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0" codeName="{7A2D7E96-6E34-419A-AE5F-296B3A7E7977}"/>
  <workbookPr showInkAnnotation="0" codeName="ThisWorkbook"/>
  <mc:AlternateContent xmlns:mc="http://schemas.openxmlformats.org/markup-compatibility/2006">
    <mc:Choice Requires="x15">
      <x15ac:absPath xmlns:x15ac="http://schemas.microsoft.com/office/spreadsheetml/2010/11/ac" url="/Volumes/A/Portfolio/Portfolio/dist/Portfolio/Course Management Templates/Assessment Matrix - Abnitio Training/"/>
    </mc:Choice>
  </mc:AlternateContent>
  <xr:revisionPtr revIDLastSave="0" documentId="13_ncr:1_{1FF38E3A-351D-2945-88C3-8B0D67058DED}" xr6:coauthVersionLast="45" xr6:coauthVersionMax="45" xr10:uidLastSave="{00000000-0000-0000-0000-000000000000}"/>
  <bookViews>
    <workbookView xWindow="0" yWindow="460" windowWidth="51120" windowHeight="27040" tabRatio="867" activeTab="4" xr2:uid="{00000000-000D-0000-FFFF-FFFF00000000}"/>
  </bookViews>
  <sheets>
    <sheet name="Service Review" sheetId="32" state="hidden" r:id="rId1"/>
    <sheet name="MFP" sheetId="82" r:id="rId2"/>
    <sheet name="Report" sheetId="81" state="hidden" r:id="rId3"/>
    <sheet name="Drop Down List" sheetId="20" state="hidden" r:id="rId4"/>
    <sheet name="OAS" sheetId="26" r:id="rId5"/>
    <sheet name="D3 to D14" sheetId="35" r:id="rId6"/>
    <sheet name="D3-D14 Score" sheetId="1" state="hidden" r:id="rId7"/>
    <sheet name="PRC | KHI" sheetId="63" state="hidden" r:id="rId8"/>
    <sheet name="DEL" sheetId="55" r:id="rId9"/>
    <sheet name="BKK" sheetId="64" r:id="rId10"/>
    <sheet name="LHR AT" sheetId="66" r:id="rId11"/>
    <sheet name="LHR LU" sheetId="67" r:id="rId12"/>
    <sheet name="JFK LU" sheetId="68" r:id="rId13"/>
    <sheet name="JFK LB | BF" sheetId="69" r:id="rId14"/>
    <sheet name="PRC | KHI AS" sheetId="80" state="hidden" r:id="rId15"/>
    <sheet name="DEL AS" sheetId="74" state="hidden" r:id="rId16"/>
    <sheet name="BKK AS" sheetId="75" state="hidden" r:id="rId17"/>
    <sheet name="LHR AT AS" sheetId="76" state="hidden" r:id="rId18"/>
    <sheet name="LHR LU AS" sheetId="77" state="hidden" r:id="rId19"/>
    <sheet name="JFK LU AS" sheetId="78" state="hidden" r:id="rId20"/>
    <sheet name="JFK LB | BF AS" sheetId="79" state="hidden" r:id="rId21"/>
    <sheet name="Drinks" sheetId="83" state="hidden" r:id="rId22"/>
    <sheet name="Profiles | Scenarios" sheetId="61" r:id="rId23"/>
    <sheet name="KA" sheetId="14" r:id="rId24"/>
    <sheet name="Graph" sheetId="30" r:id="rId25"/>
    <sheet name="Rubric" sheetId="18" r:id="rId26"/>
    <sheet name="Rubric (.)" sheetId="36" state="hidden" r:id="rId27"/>
    <sheet name="MFP Colors" sheetId="71" state="hidden" r:id="rId28"/>
  </sheets>
  <externalReferences>
    <externalReference r:id="rId29"/>
  </externalReferences>
  <definedNames>
    <definedName name="_BKK_1.1_MT">'BKK AS'!$D$86</definedName>
    <definedName name="_BKK_1.1_T">'BKK AS'!$D$85</definedName>
    <definedName name="_BKK_1.2_MT">'BKK AS'!$F$86</definedName>
    <definedName name="_BKK_1.2_T">'BKK AS'!$F$85</definedName>
    <definedName name="_BKK_1.3_MT">'BKK AS'!$H$86</definedName>
    <definedName name="_BKK_1.3_T">'BKK AS'!$H$85</definedName>
    <definedName name="_BKK_1.4_MT">'BKK AS'!$J$86</definedName>
    <definedName name="_BKK_1.4_T">'BKK AS'!$J$85</definedName>
    <definedName name="_BKK_1.5_MT">'BKK AS'!$L$86</definedName>
    <definedName name="_BKK_1.5_T">'BKK AS'!$L$85</definedName>
    <definedName name="_BKK_2.1_MT">'BKK AS'!$N$86</definedName>
    <definedName name="_BKK_2.1_T">'BKK AS'!$N$85</definedName>
    <definedName name="_BKK_2.2_MT">'BKK AS'!$P$86</definedName>
    <definedName name="_BKK_2.2_T">'BKK AS'!$P$85</definedName>
    <definedName name="_BKK_2.3_MT">'BKK AS'!$R$86</definedName>
    <definedName name="_BKK_2.3_T">'BKK AS'!$R$85</definedName>
    <definedName name="_BKK_2.4_MT">'BKK AS'!$T$86</definedName>
    <definedName name="_BKK_2.4_T">'BKK AS'!$T$85</definedName>
    <definedName name="_BKK_3.1_MT">'BKK AS'!$V$86</definedName>
    <definedName name="_BKK_3.1_T">'BKK AS'!$V$85</definedName>
    <definedName name="_BKK_3.2_MT">'BKK AS'!$X$86</definedName>
    <definedName name="_BKK_3.2_T">'BKK AS'!$X$85</definedName>
    <definedName name="_BKK_3.3_MT">'BKK AS'!$Z$86</definedName>
    <definedName name="_BKK_3.3_T">'BKK AS'!$Z$85</definedName>
    <definedName name="_BKK_4.1_MT">'BKK AS'!$AB$86</definedName>
    <definedName name="_BKK_4.1_T">'BKK AS'!$AB$85</definedName>
    <definedName name="_BKK_4.2_MT">'BKK AS'!$AD$86</definedName>
    <definedName name="_BKK_4.2_T">'BKK AS'!$AD$85</definedName>
    <definedName name="_BKK_4.3_MT">'BKK AS'!$AF$86</definedName>
    <definedName name="_BKK_4.3_T">'BKK AS'!$AF$85</definedName>
    <definedName name="_BKK_4.4_MT">'BKK AS'!$AH$86</definedName>
    <definedName name="_BKK_4.4_T">'BKK AS'!$AH$85</definedName>
    <definedName name="_DEL_1.1_MT">'DEL AS'!$D$77</definedName>
    <definedName name="_DEL_1.1_T">'DEL AS'!$D$76</definedName>
    <definedName name="_DEL_1.2_MT">'DEL AS'!$F$77</definedName>
    <definedName name="_DEL_1.2_T">'DEL AS'!$F$76</definedName>
    <definedName name="_DEL_1.3_MT">'DEL AS'!$H$77</definedName>
    <definedName name="_DEL_1.3_T">'DEL AS'!$H$76</definedName>
    <definedName name="_DEL_1.4_MT">'DEL AS'!$J$77</definedName>
    <definedName name="_DEL_1.4_T">'DEL AS'!$J$76</definedName>
    <definedName name="_DEL_1.5_MT">'DEL AS'!$L$77</definedName>
    <definedName name="_DEL_1.5_T">'DEL AS'!$L$76</definedName>
    <definedName name="_DEL_2.1_MT">'DEL AS'!$N$77</definedName>
    <definedName name="_DEL_2.1_T">'DEL AS'!$N$76</definedName>
    <definedName name="_DEL_2.2_MT">'DEL AS'!$P$77</definedName>
    <definedName name="_DEL_2.2_T">'DEL AS'!$P$76</definedName>
    <definedName name="_DEL_2.3_MT">'DEL AS'!$R$77</definedName>
    <definedName name="_DEL_2.3_T">'DEL AS'!$R$76</definedName>
    <definedName name="_DEL_2.4_MT">'DEL AS'!$T$77</definedName>
    <definedName name="_DEL_2.4_T">'DEL AS'!$T$76</definedName>
    <definedName name="_DEL_3.1_MT">'DEL AS'!$V$77</definedName>
    <definedName name="_DEL_3.1_T">'DEL AS'!$V$76</definedName>
    <definedName name="_DEL_3.2_MT">'DEL AS'!$X$77</definedName>
    <definedName name="_DEL_3.2_T">'DEL AS'!$X$76</definedName>
    <definedName name="_DEL_3.3_MT">'DEL AS'!$Z$77</definedName>
    <definedName name="_DEL_3.3_T">'DEL AS'!$Z$76</definedName>
    <definedName name="_DEL_4.1_MT">'DEL AS'!$AB$77</definedName>
    <definedName name="_DEL_4.1_T">'DEL AS'!$AB$76</definedName>
    <definedName name="_DEL_4.2_MT">'DEL AS'!$AD$77</definedName>
    <definedName name="_DEL_4.2_T">'DEL AS'!$AD$76</definedName>
    <definedName name="_DEL_4.3_MT">'DEL AS'!$AF$77</definedName>
    <definedName name="_DEL_4.3_T">'DEL AS'!$AF$76</definedName>
    <definedName name="_DEL_4.4_MT">'DEL AS'!$AH$77</definedName>
    <definedName name="_DEL_4.4_T">'DEL AS'!$AH$76</definedName>
    <definedName name="_JFKLBBF_1.1_MT">'JFK LB | BF AS'!$D$102</definedName>
    <definedName name="_JFKLBBF_1.1_T">'JFK LB | BF AS'!$D$101</definedName>
    <definedName name="_JFKLBBF_1.2_MT">'JFK LB | BF AS'!$F$102</definedName>
    <definedName name="_JFKLBBF_1.2_T">'JFK LB | BF AS'!$F$101</definedName>
    <definedName name="_JFKLBBF_1.3_MT">'JFK LB | BF AS'!$H$102</definedName>
    <definedName name="_JFKLBBF_1.3_T">'JFK LB | BF AS'!$H$101</definedName>
    <definedName name="_JFKLBBF_1.4_MT">'JFK LB | BF AS'!$J$102</definedName>
    <definedName name="_JFKLBBF_1.4_T">'JFK LB | BF AS'!$J$101</definedName>
    <definedName name="_JFKLBBF_1.5_MT">'JFK LB | BF AS'!$L$102</definedName>
    <definedName name="_JFKLBBF_1.5_T">'JFK LB | BF AS'!$L$101</definedName>
    <definedName name="_JFKLBBF_2.1_MT">'JFK LB | BF AS'!$N$102</definedName>
    <definedName name="_JFKLBBF_2.1_T">'JFK LB | BF AS'!$N$101</definedName>
    <definedName name="_JFKLBBF_2.2_MT">'JFK LB | BF AS'!$P$102</definedName>
    <definedName name="_JFKLBBF_2.2_T">'JFK LB | BF AS'!$P$101</definedName>
    <definedName name="_JFKLBBF_2.3_MT">'JFK LB | BF AS'!$R$102</definedName>
    <definedName name="_JFKLBBF_2.3_T">'JFK LB | BF AS'!$R$101</definedName>
    <definedName name="_JFKLBBF_2.4_MT">'JFK LB | BF AS'!$T$102</definedName>
    <definedName name="_JFKLBBF_2.4_T">'JFK LB | BF AS'!$T$101</definedName>
    <definedName name="_JFKLBBF_3.1_MT">'JFK LB | BF AS'!$V$102</definedName>
    <definedName name="_JFKLBBF_3.1_T">'JFK LB | BF AS'!$V$101</definedName>
    <definedName name="_JFKLBBF_3.2_MT">'JFK LB | BF AS'!$X$102</definedName>
    <definedName name="_JFKLBBF_3.2_T">'JFK LB | BF AS'!$X$101</definedName>
    <definedName name="_JFKLBBF_3.3_MT">'JFK LB | BF AS'!$Z$102</definedName>
    <definedName name="_JFKLBBF_3.3_T">'JFK LB | BF AS'!$Z$101</definedName>
    <definedName name="_JFKLBBF_4.1_MT">'JFK LB | BF AS'!$AB$102</definedName>
    <definedName name="_JFKLBBF_4.1_T">'JFK LB | BF AS'!$AB$101</definedName>
    <definedName name="_JFKLBBF_4.2_MT">'JFK LB | BF AS'!$AD$102</definedName>
    <definedName name="_JFKLBBF_4.2_T">'JFK LB | BF AS'!$AD$101</definedName>
    <definedName name="_JFKLBBF_4.3_MT">'JFK LB | BF AS'!$AF$102</definedName>
    <definedName name="_JFKLBBF_4.3_T">'JFK LB | BF AS'!$AF$101</definedName>
    <definedName name="_JFKLBBF_4.4_MT">'JFK LB | BF AS'!$AH$102</definedName>
    <definedName name="_JFKLBBF_4.4_T">'JFK LB | BF AS'!$AH$101</definedName>
    <definedName name="_JFKLU_1.1_MT">'JFK LU AS'!$D$83</definedName>
    <definedName name="_JFKLU_1.1_T">'JFK LU AS'!$D$82</definedName>
    <definedName name="_JFKLU_1.2_MT">'JFK LU AS'!$F$83</definedName>
    <definedName name="_JFKLU_1.2_T">'JFK LU AS'!$F$82</definedName>
    <definedName name="_JFKLU_1.3_MT">'JFK LU AS'!$H$83</definedName>
    <definedName name="_JFKLU_1.3_T">'JFK LU AS'!$H$82</definedName>
    <definedName name="_JFKLU_1.4_MT">'JFK LU AS'!$J$83</definedName>
    <definedName name="_JFKLU_1.4_T">'JFK LU AS'!$J$82</definedName>
    <definedName name="_JFKLU_1.5_MT">'JFK LU AS'!$L$83</definedName>
    <definedName name="_JFKLU_1.5_T">'JFK LU AS'!$L$82</definedName>
    <definedName name="_JFKLU_2.1_MT">'JFK LU AS'!$N$83</definedName>
    <definedName name="_JFKLU_2.1_T">'JFK LU AS'!$N$82</definedName>
    <definedName name="_JFKLU_2.2_MT">'JFK LU AS'!$P$83</definedName>
    <definedName name="_JFKLU_2.2_T">'JFK LU AS'!$P$82</definedName>
    <definedName name="_JFKLU_2.3_MT">'JFK LU AS'!$R$83</definedName>
    <definedName name="_JFKLU_2.3_T">'JFK LU AS'!$R$82</definedName>
    <definedName name="_JFKLU_2.4_MT">'JFK LU AS'!$T$83</definedName>
    <definedName name="_JFKLU_2.4_T">'JFK LU AS'!$T$82</definedName>
    <definedName name="_JFKLU_3.1_MT">'JFK LU AS'!$V$83</definedName>
    <definedName name="_JFKLU_3.1_T">'JFK LU AS'!$V$82</definedName>
    <definedName name="_JFKLU_3.2_MT">'JFK LU AS'!$X$83</definedName>
    <definedName name="_JFKLU_3.2_T">'JFK LU AS'!$X$82</definedName>
    <definedName name="_JFKLU_3.3_MT">'JFK LU AS'!$Z$83</definedName>
    <definedName name="_JFKLU_3.3_T">'JFK LU AS'!$Z$82</definedName>
    <definedName name="_JFKLU_4.1_MT">'JFK LU AS'!$AB$83</definedName>
    <definedName name="_JFKLU_4.1_T">'JFK LU AS'!$AB$82</definedName>
    <definedName name="_JFKLU_4.2_MT">'JFK LU AS'!$AD$83</definedName>
    <definedName name="_JFKLU_4.2_T">'JFK LU AS'!$AD$82</definedName>
    <definedName name="_JFKLU_4.3_MT">'JFK LU AS'!$AF$83</definedName>
    <definedName name="_JFKLU_4.3_T">'JFK LU AS'!$AF$82</definedName>
    <definedName name="_JFKLU_4.4_MT">'JFK LU AS'!$AH$83</definedName>
    <definedName name="_JFKLU_4.4_T">'JFK LU AS'!$AH$82</definedName>
    <definedName name="_LHRAT_1.1_MT">'LHR AT AS'!$D$80</definedName>
    <definedName name="_LHRAT_1.1_T">'LHR AT AS'!$D$79</definedName>
    <definedName name="_LHRAT_1.2_MT">'LHR AT AS'!$F$80</definedName>
    <definedName name="_LHRAT_1.2_T">'LHR AT AS'!$F$79</definedName>
    <definedName name="_LHRAT_1.3_MT">'LHR AT AS'!$H$80</definedName>
    <definedName name="_LHRAT_1.3_T">'LHR AT AS'!$H$79</definedName>
    <definedName name="_LHRAT_1.4_MT">'LHR AT AS'!$J$80</definedName>
    <definedName name="_LHRAT_1.4_T">'LHR AT AS'!$J$79</definedName>
    <definedName name="_LHRAT_1.5_MT">'LHR AT AS'!$L$80</definedName>
    <definedName name="_LHRAT_1.5_T">'LHR AT AS'!$L$79</definedName>
    <definedName name="_LHRAT_2.1_MT">'LHR AT AS'!$N$80</definedName>
    <definedName name="_LHRAT_2.1_T">'LHR AT AS'!$N$79</definedName>
    <definedName name="_LHRAT_2.2_MT">'LHR AT AS'!$P$80</definedName>
    <definedName name="_LHRAT_2.2_T">'LHR AT AS'!$P$79</definedName>
    <definedName name="_LHRAT_2.3_MT">'LHR AT AS'!$R$80</definedName>
    <definedName name="_LHRAT_2.3_T">'LHR AT AS'!$R$79</definedName>
    <definedName name="_LHRAT_2.4_MT">'LHR AT AS'!$T$80</definedName>
    <definedName name="_LHRAT_2.4_T">'LHR AT AS'!$T$79</definedName>
    <definedName name="_LHRAT_3.1_MT">'LHR AT AS'!$V$80</definedName>
    <definedName name="_LHRAT_3.1_T">'LHR AT AS'!$V$79</definedName>
    <definedName name="_LHRAT_3.2_MT">'LHR AT AS'!$X$80</definedName>
    <definedName name="_LHRAT_3.2_T">'LHR AT AS'!$X$79</definedName>
    <definedName name="_LHRAT_3.3_MT">'LHR AT AS'!$Z$80</definedName>
    <definedName name="_LHRAT_3.3_T">'LHR AT AS'!$Z$79</definedName>
    <definedName name="_LHRAT_4.1_MT">'LHR AT AS'!$AB$80</definedName>
    <definedName name="_LHRAT_4.1_T">'LHR AT AS'!$AB$79</definedName>
    <definedName name="_LHRAT_4.2_MT">'LHR AT AS'!$AD$80</definedName>
    <definedName name="_LHRAT_4.2_T">'LHR AT AS'!$AD$79</definedName>
    <definedName name="_LHRAT_4.3_MT">'LHR AT AS'!$AF$80</definedName>
    <definedName name="_LHRAT_4.3_T">'LHR AT AS'!$AF$79</definedName>
    <definedName name="_LHRAT_4.4_MT">'LHR AT AS'!$AH$80</definedName>
    <definedName name="_LHRAT_4.4_T">'LHR AT AS'!$AH$79</definedName>
    <definedName name="_LHRLU_1.1_MT">'LHR LU AS'!$D$80</definedName>
    <definedName name="_LHRLU_1.1_T">'LHR LU AS'!$D$79</definedName>
    <definedName name="_LHRLU_1.2_MT">'LHR LU AS'!$F$80</definedName>
    <definedName name="_LHRLU_1.2_T">'LHR LU AS'!$F$79</definedName>
    <definedName name="_LHRLU_1.3_MT">'LHR LU AS'!$H$80</definedName>
    <definedName name="_LHRLU_1.3_T">'LHR LU AS'!$H$79</definedName>
    <definedName name="_LHRLU_1.4_MT">'LHR LU AS'!$J$80</definedName>
    <definedName name="_LHRLU_1.4_T">'LHR LU AS'!$J$79</definedName>
    <definedName name="_LHRLU_1.5_MT">'LHR LU AS'!$L$80</definedName>
    <definedName name="_LHRLU_1.5_T">'LHR LU AS'!$L$79</definedName>
    <definedName name="_LHRLU_2.1_MT">'LHR LU AS'!$N$80</definedName>
    <definedName name="_LHRLU_2.1_T">'LHR LU AS'!$N$79</definedName>
    <definedName name="_LHRLU_2.2_MT">'LHR LU AS'!$P$80</definedName>
    <definedName name="_LHRLU_2.2_T">'LHR LU AS'!$P$79</definedName>
    <definedName name="_LHRLU_2.3_MT">'LHR LU AS'!$R$80</definedName>
    <definedName name="_LHRLU_2.3_T">'LHR LU AS'!$R$79</definedName>
    <definedName name="_LHRLU_2.4_MT">'LHR LU AS'!$T$80</definedName>
    <definedName name="_LHRLU_2.4_T">'LHR LU AS'!$T$79</definedName>
    <definedName name="_LHRLU_3.1_MT">'LHR LU AS'!$V$80</definedName>
    <definedName name="_LHRLU_3.1_T">'LHR LU AS'!$V$79</definedName>
    <definedName name="_LHRLU_3.2_MT">'LHR LU AS'!$X$80</definedName>
    <definedName name="_LHRLU_3.2_T">'LHR LU AS'!$X$79</definedName>
    <definedName name="_LHRLU_3.3_MT">'LHR LU AS'!$Z$80</definedName>
    <definedName name="_LHRLU_3.3_T">'LHR LU AS'!$Z$79</definedName>
    <definedName name="_LHRLU_4.1_MT">'LHR LU AS'!$AB$80</definedName>
    <definedName name="_LHRLU_4.1_T">'LHR LU AS'!$AB$79</definedName>
    <definedName name="_LHRLU_4.2_MT">'LHR LU AS'!$AD$80</definedName>
    <definedName name="_LHRLU_4.2_T">'LHR LU AS'!$AD$79</definedName>
    <definedName name="_LHRLU_4.3_MT">'LHR LU AS'!$AF$80</definedName>
    <definedName name="_LHRLU_4.3_T">'LHR LU AS'!$AF$79</definedName>
    <definedName name="_LHRLU_4.4_MT">'LHR LU AS'!$AH$80</definedName>
    <definedName name="_LHRLU_4.4_T">'LHR LU AS'!$AH$79</definedName>
    <definedName name="_MATRIX" localSheetId="16">#REF!</definedName>
    <definedName name="_MATRIX" localSheetId="15">#REF!</definedName>
    <definedName name="_MATRIX" localSheetId="20">#REF!</definedName>
    <definedName name="_MATRIX" localSheetId="19">#REF!</definedName>
    <definedName name="_MATRIX" localSheetId="17">#REF!</definedName>
    <definedName name="_MATRIX" localSheetId="18">#REF!</definedName>
    <definedName name="_MATRIX" localSheetId="7">'D3 to D14'!#REF!</definedName>
    <definedName name="_MATRIX" localSheetId="14">#REF!</definedName>
    <definedName name="_MATRIX" localSheetId="2">'D3 to D14'!#REF!</definedName>
    <definedName name="_MCS">'D3 to D14'!$A$19</definedName>
    <definedName name="_MKPI">'D3 to D14'!$A$39</definedName>
    <definedName name="_PROF">'D3 to D14'!$A$6</definedName>
    <definedName name="_TW">'D3 to D14'!$A$30</definedName>
    <definedName name="A1.Resit">KA!$D$6</definedName>
    <definedName name="A1.Score">KA!$C$6</definedName>
    <definedName name="A2.Resit">KA!$D$7</definedName>
    <definedName name="A2.Score">KA!$C$7</definedName>
    <definedName name="A3.Resit">KA!$D$8</definedName>
    <definedName name="A3.Score">KA!$C$8</definedName>
    <definedName name="A4.Resit">KA!$D$9</definedName>
    <definedName name="A4.Score">KA!$C$9</definedName>
    <definedName name="AKBI1.1">'D3-D14 Score'!$BK$7</definedName>
    <definedName name="AKBI1.2">'D3-D14 Score'!$BK$8</definedName>
    <definedName name="AKBI1.3">'D3-D14 Score'!$BK$9</definedName>
    <definedName name="AKBI1.4">'D3-D14 Score'!$BK$10</definedName>
    <definedName name="AKBI1.5">'D3-D14 Score'!$BK$11</definedName>
    <definedName name="AKBI2.1">'D3-D14 Score'!$BK$15</definedName>
    <definedName name="AKBI2.2">'D3-D14 Score'!$BK$16</definedName>
    <definedName name="AKBI2.3">'D3-D14 Score'!$BK$17</definedName>
    <definedName name="AKBI2.4">'D3-D14 Score'!$BK$18</definedName>
    <definedName name="AKBI3.1">'D3-D14 Score'!$BK$22</definedName>
    <definedName name="AKBI3.2">'D3-D14 Score'!$BK$23</definedName>
    <definedName name="AKBI3.3">'D3-D14 Score'!$BK$24</definedName>
    <definedName name="AKBI4.1">'D3-D14 Score'!$BK$28</definedName>
    <definedName name="AKBI4.2">'D3-D14 Score'!$BK$29</definedName>
    <definedName name="AKBI4.3">'D3-D14 Score'!$BK$30</definedName>
    <definedName name="AKBI4.4">'D3-D14 Score'!$BK$31</definedName>
    <definedName name="autotick">'Profiles | Scenarios'!$BM$3</definedName>
    <definedName name="Bar1.Resit">KA!$D$10</definedName>
    <definedName name="Bar1.Score">KA!$C$10</definedName>
    <definedName name="Bar2.Resit">KA!$D$11</definedName>
    <definedName name="Bar2.Score">KA!$C$11</definedName>
    <definedName name="BatchAtCreation" localSheetId="16">[1]OAS!$X$4</definedName>
    <definedName name="BatchAtCreation" localSheetId="15">[1]OAS!$X$4</definedName>
    <definedName name="BatchAtCreation" localSheetId="20">[1]OAS!$X$4</definedName>
    <definedName name="BatchAtCreation" localSheetId="19">[1]OAS!$X$4</definedName>
    <definedName name="BatchAtCreation" localSheetId="17">[1]OAS!$X$4</definedName>
    <definedName name="BatchAtCreation" localSheetId="18">[1]OAS!$X$4</definedName>
    <definedName name="BatchAtCreation" localSheetId="14">[1]OAS!$X$4</definedName>
    <definedName name="BatchAtCreation">OAS!$X$4</definedName>
    <definedName name="BKBI1.1">'D3-D14 Score'!$BL$7</definedName>
    <definedName name="BKBI1.2">'D3-D14 Score'!$BL$8</definedName>
    <definedName name="BKBI1.3">'D3-D14 Score'!$BL$9</definedName>
    <definedName name="BKBI1.4">'D3-D14 Score'!$BL$10</definedName>
    <definedName name="BKBI1.5">'D3-D14 Score'!$BL$11</definedName>
    <definedName name="BKBI2.1">'D3-D14 Score'!$BL$15</definedName>
    <definedName name="BKBI2.2">'D3-D14 Score'!$BL$16</definedName>
    <definedName name="BKBI2.3">'D3-D14 Score'!$BL$17</definedName>
    <definedName name="BKBI2.4">'D3-D14 Score'!$BL$18</definedName>
    <definedName name="BKBI3.1">'D3-D14 Score'!$BL$22</definedName>
    <definedName name="BKBI3.2">'D3-D14 Score'!$BL$23</definedName>
    <definedName name="BKBI3.3">'D3-D14 Score'!$BL$24</definedName>
    <definedName name="BKBI4.1">'D3-D14 Score'!$BL$28</definedName>
    <definedName name="BKBI4.2">'D3-D14 Score'!$BL$29</definedName>
    <definedName name="BKBI4.3">'D3-D14 Score'!$BL$30</definedName>
    <definedName name="BKBI4.4">'D3-D14 Score'!$BL$31</definedName>
    <definedName name="BKK_" localSheetId="9">BKK!$AR$2</definedName>
    <definedName name="BKK_" localSheetId="16">#REF!</definedName>
    <definedName name="BKK_" localSheetId="15">#REF!</definedName>
    <definedName name="BKK_" localSheetId="20">#REF!</definedName>
    <definedName name="BKK_" localSheetId="19">#REF!</definedName>
    <definedName name="BKK_" localSheetId="17">#REF!</definedName>
    <definedName name="BKK_" localSheetId="18">#REF!</definedName>
    <definedName name="BKK_" localSheetId="14">#REF!</definedName>
    <definedName name="BKK_Drinks1" localSheetId="16">#REF!</definedName>
    <definedName name="BKK_Drinks1" localSheetId="15">#REF!</definedName>
    <definedName name="BKK_Drinks1" localSheetId="20">#REF!</definedName>
    <definedName name="BKK_Drinks1" localSheetId="19">#REF!</definedName>
    <definedName name="BKK_Drinks1" localSheetId="17">#REF!</definedName>
    <definedName name="BKK_Drinks1" localSheetId="18">#REF!</definedName>
    <definedName name="BKK_Drinks1" localSheetId="14">#REF!</definedName>
    <definedName name="BKK_Drinks2" localSheetId="16">#REF!</definedName>
    <definedName name="BKK_Drinks2" localSheetId="15">#REF!</definedName>
    <definedName name="BKK_Drinks2" localSheetId="20">#REF!</definedName>
    <definedName name="BKK_Drinks2" localSheetId="19">#REF!</definedName>
    <definedName name="BKK_Drinks2" localSheetId="17">#REF!</definedName>
    <definedName name="BKK_Drinks2" localSheetId="18">#REF!</definedName>
    <definedName name="BKK_Drinks2" localSheetId="14">#REF!</definedName>
    <definedName name="BKK_Drinks3" localSheetId="16">#REF!</definedName>
    <definedName name="BKK_Drinks3" localSheetId="15">#REF!</definedName>
    <definedName name="BKK_Drinks3" localSheetId="20">#REF!</definedName>
    <definedName name="BKK_Drinks3" localSheetId="19">#REF!</definedName>
    <definedName name="BKK_Drinks3" localSheetId="17">#REF!</definedName>
    <definedName name="BKK_Drinks3" localSheetId="18">#REF!</definedName>
    <definedName name="BKK_Drinks3" localSheetId="14">#REF!</definedName>
    <definedName name="BKK_LU_2">BKK!$A$94</definedName>
    <definedName name="BKK_Lunch1" localSheetId="16">#REF!</definedName>
    <definedName name="BKK_Lunch1" localSheetId="15">#REF!</definedName>
    <definedName name="BKK_Lunch1" localSheetId="20">#REF!</definedName>
    <definedName name="BKK_Lunch1" localSheetId="19">#REF!</definedName>
    <definedName name="BKK_Lunch1" localSheetId="17">#REF!</definedName>
    <definedName name="BKK_Lunch1" localSheetId="18">#REF!</definedName>
    <definedName name="BKK_Lunch1" localSheetId="14">#REF!</definedName>
    <definedName name="BKK_Lunch2" localSheetId="16">#REF!</definedName>
    <definedName name="BKK_Lunch2" localSheetId="15">#REF!</definedName>
    <definedName name="BKK_Lunch2" localSheetId="20">#REF!</definedName>
    <definedName name="BKK_Lunch2" localSheetId="19">#REF!</definedName>
    <definedName name="BKK_Lunch2" localSheetId="17">#REF!</definedName>
    <definedName name="BKK_Lunch2" localSheetId="18">#REF!</definedName>
    <definedName name="BKK_Lunch2" localSheetId="14">#REF!</definedName>
    <definedName name="BKK_Welcome" localSheetId="16">#REF!</definedName>
    <definedName name="BKK_Welcome" localSheetId="15">#REF!</definedName>
    <definedName name="BKK_Welcome" localSheetId="20">#REF!</definedName>
    <definedName name="BKK_Welcome" localSheetId="19">#REF!</definedName>
    <definedName name="BKK_Welcome" localSheetId="17">#REF!</definedName>
    <definedName name="BKK_Welcome" localSheetId="18">#REF!</definedName>
    <definedName name="BKK_Welcome" localSheetId="14">#REF!</definedName>
    <definedName name="CAJFKLBBF">'D3-D14 Score'!$AV$42</definedName>
    <definedName name="CAJFKLU">'D3-D14 Score'!$AP$42</definedName>
    <definedName name="CalculatorType">OAS!$X$1</definedName>
    <definedName name="CALHRAT">'D3-D14 Score'!$AD$42</definedName>
    <definedName name="CALHRLU">'D3-D14 Score'!$AJ$42</definedName>
    <definedName name="CCM" localSheetId="16">[1]Report!$L$4</definedName>
    <definedName name="CCM" localSheetId="15">[1]Report!$L$4</definedName>
    <definedName name="CCM" localSheetId="20">[1]Report!$L$4</definedName>
    <definedName name="CCM" localSheetId="19">[1]Report!$L$4</definedName>
    <definedName name="CCM" localSheetId="17">[1]Report!$L$4</definedName>
    <definedName name="CCM" localSheetId="18">[1]Report!$L$4</definedName>
    <definedName name="CCM" localSheetId="14">[1]Report!$L$4</definedName>
    <definedName name="CCM" localSheetId="2">Report!$L$4</definedName>
    <definedName name="CCM">MFP!$D$4</definedName>
    <definedName name="Champagne">Drinks!$Y$7:$AF$49</definedName>
    <definedName name="CourseDates.Finishing">OAS!$AD$13</definedName>
    <definedName name="CustomerProfiles" localSheetId="16">'[1]Profiles | Scenarios'!$A$5</definedName>
    <definedName name="CustomerProfiles" localSheetId="15">'[1]Profiles | Scenarios'!$A$5</definedName>
    <definedName name="CustomerProfiles" localSheetId="20">'[1]Profiles | Scenarios'!$A$5</definedName>
    <definedName name="CustomerProfiles" localSheetId="19">'[1]Profiles | Scenarios'!$A$5</definedName>
    <definedName name="CustomerProfiles" localSheetId="17">'[1]Profiles | Scenarios'!$A$5</definedName>
    <definedName name="CustomerProfiles" localSheetId="18">'[1]Profiles | Scenarios'!$A$5</definedName>
    <definedName name="CustomerProfiles" localSheetId="14">'[1]Profiles | Scenarios'!$A$5</definedName>
    <definedName name="CustomerProfiles">'Profiles | Scenarios'!$A$5</definedName>
    <definedName name="CustomerScenariors" localSheetId="16">'[1]Profiles | Scenarios'!$A$55</definedName>
    <definedName name="CustomerScenariors" localSheetId="15">'[1]Profiles | Scenarios'!$A$55</definedName>
    <definedName name="CustomerScenariors" localSheetId="20">'[1]Profiles | Scenarios'!$A$55</definedName>
    <definedName name="CustomerScenariors" localSheetId="19">'[1]Profiles | Scenarios'!$A$55</definedName>
    <definedName name="CustomerScenariors" localSheetId="17">'[1]Profiles | Scenarios'!$A$55</definedName>
    <definedName name="CustomerScenariors" localSheetId="18">'[1]Profiles | Scenarios'!$A$55</definedName>
    <definedName name="CustomerScenariors" localSheetId="14">'[1]Profiles | Scenarios'!$A$55</definedName>
    <definedName name="CustomerScenariors">'Profiles | Scenarios'!$A$55</definedName>
    <definedName name="D3D14.1.EX">'D3 to D14'!$AN$18</definedName>
    <definedName name="D3D14.1.MT">'D3 to D14'!$AA$18</definedName>
    <definedName name="D3D14.1.NM">'D3 to D14'!$A$18</definedName>
    <definedName name="D3D14.1.WT">'D3 to D14'!$N$18</definedName>
    <definedName name="D3D14.2.EX">'D3 to D14'!$AN$29</definedName>
    <definedName name="D3D14.2.MT">'D3 to D14'!$AA$29</definedName>
    <definedName name="D3D14.2.NM">'D3 to D14'!$A$29</definedName>
    <definedName name="D3D14.2.WT">'D3 to D14'!$N$29</definedName>
    <definedName name="D3D14.3.EX">'D3 to D14'!$AN$38</definedName>
    <definedName name="D3D14.3.MT">'D3 to D14'!$AA$38</definedName>
    <definedName name="D3D14.3.NM">'D3 to D14'!$A$38</definedName>
    <definedName name="D3D14.3.WT">'D3 to D14'!$N$38</definedName>
    <definedName name="D3D14.4.EX">'D3 to D14'!$AN$49</definedName>
    <definedName name="D3D14.4.MT">'D3 to D14'!$AA$49</definedName>
    <definedName name="D3D14.4.NM">'D3 to D14'!$A$49</definedName>
    <definedName name="D3D14.4.WT">'D3 to D14'!$N$49</definedName>
    <definedName name="Date" localSheetId="16">[1]Report!$AR$4</definedName>
    <definedName name="Date" localSheetId="15">[1]Report!$AR$4</definedName>
    <definedName name="Date" localSheetId="20">[1]Report!$AR$4</definedName>
    <definedName name="Date" localSheetId="19">[1]Report!$AR$4</definedName>
    <definedName name="Date" localSheetId="17">[1]Report!$AR$4</definedName>
    <definedName name="Date" localSheetId="18">[1]Report!$AR$4</definedName>
    <definedName name="Date" localSheetId="14">[1]Report!$AR$4</definedName>
    <definedName name="Date" localSheetId="2">Report!$AR$4</definedName>
    <definedName name="Date">MFP!$N$4</definedName>
    <definedName name="DEL_" localSheetId="16">#REF!</definedName>
    <definedName name="DEL_" localSheetId="15">#REF!</definedName>
    <definedName name="DEL_" localSheetId="20">#REF!</definedName>
    <definedName name="DEL_" localSheetId="19">#REF!</definedName>
    <definedName name="DEL_" localSheetId="17">#REF!</definedName>
    <definedName name="DEL_" localSheetId="18">#REF!</definedName>
    <definedName name="DEL_" localSheetId="14">#REF!</definedName>
    <definedName name="DEL_">DEL!$AR$2</definedName>
    <definedName name="DEL_Drinks1" localSheetId="16">#REF!</definedName>
    <definedName name="DEL_Drinks1" localSheetId="15">#REF!</definedName>
    <definedName name="DEL_Drinks1" localSheetId="20">#REF!</definedName>
    <definedName name="DEL_Drinks1" localSheetId="19">#REF!</definedName>
    <definedName name="DEL_Drinks1" localSheetId="17">#REF!</definedName>
    <definedName name="DEL_Drinks1" localSheetId="18">#REF!</definedName>
    <definedName name="DEL_Drinks1" localSheetId="14">#REF!</definedName>
    <definedName name="DEL_Drinks1" localSheetId="2">#REF!</definedName>
    <definedName name="DEL_Drinks2" localSheetId="16">#REF!</definedName>
    <definedName name="DEL_Drinks2" localSheetId="15">#REF!</definedName>
    <definedName name="DEL_Drinks2" localSheetId="20">#REF!</definedName>
    <definedName name="DEL_Drinks2" localSheetId="19">#REF!</definedName>
    <definedName name="DEL_Drinks2" localSheetId="17">#REF!</definedName>
    <definedName name="DEL_Drinks2" localSheetId="18">#REF!</definedName>
    <definedName name="DEL_Drinks2" localSheetId="14">#REF!</definedName>
    <definedName name="DEL_Drinks2" localSheetId="2">#REF!</definedName>
    <definedName name="DEL_Drinks3" localSheetId="16">#REF!</definedName>
    <definedName name="DEL_Drinks3" localSheetId="15">#REF!</definedName>
    <definedName name="DEL_Drinks3" localSheetId="20">#REF!</definedName>
    <definedName name="DEL_Drinks3" localSheetId="19">#REF!</definedName>
    <definedName name="DEL_Drinks3" localSheetId="17">#REF!</definedName>
    <definedName name="DEL_Drinks3" localSheetId="18">#REF!</definedName>
    <definedName name="DEL_Drinks3" localSheetId="14">#REF!</definedName>
    <definedName name="DEL_Drinks3" localSheetId="2">#REF!</definedName>
    <definedName name="DEL_Lunch" localSheetId="16">#REF!</definedName>
    <definedName name="DEL_Lunch" localSheetId="15">#REF!</definedName>
    <definedName name="DEL_Lunch" localSheetId="20">#REF!</definedName>
    <definedName name="DEL_Lunch" localSheetId="19">#REF!</definedName>
    <definedName name="DEL_Lunch" localSheetId="17">#REF!</definedName>
    <definedName name="DEL_Lunch" localSheetId="18">#REF!</definedName>
    <definedName name="DEL_Lunch" localSheetId="14">#REF!</definedName>
    <definedName name="DEL_Lunch" localSheetId="2">#REF!</definedName>
    <definedName name="DEL_Welcome" localSheetId="16">#REF!</definedName>
    <definedName name="DEL_Welcome" localSheetId="15">#REF!</definedName>
    <definedName name="DEL_Welcome" localSheetId="20">#REF!</definedName>
    <definedName name="DEL_Welcome" localSheetId="19">#REF!</definedName>
    <definedName name="DEL_Welcome" localSheetId="17">#REF!</definedName>
    <definedName name="DEL_Welcome" localSheetId="18">#REF!</definedName>
    <definedName name="DEL_Welcome" localSheetId="14">#REF!</definedName>
    <definedName name="DEL_Welcome" localSheetId="2">#REF!</definedName>
    <definedName name="Drinks1" localSheetId="9">BKK!$A$142</definedName>
    <definedName name="Drinks1" localSheetId="21">Drinks!$A$6</definedName>
    <definedName name="Drinks1" localSheetId="13">'JFK LB | BF'!$A$188:$BM$189</definedName>
    <definedName name="Drinks1" localSheetId="12">'JFK LU'!$A$93:$BM$94</definedName>
    <definedName name="Drinks1" localSheetId="10">'LHR AT'!$A$93:$BM$94</definedName>
    <definedName name="Drinks1" localSheetId="11">'LHR LU'!$A$93:$BM$94</definedName>
    <definedName name="Drinks1" localSheetId="7">'PRC | KHI'!$A$46</definedName>
    <definedName name="Drinks1">DEL!$A$97</definedName>
    <definedName name="Drinks2" localSheetId="9">BKK!$A$192</definedName>
    <definedName name="Drinks2" localSheetId="21">Drinks!#REF!</definedName>
    <definedName name="Drinks2" localSheetId="13">'JFK LB | BF'!$A$238:$BM$239</definedName>
    <definedName name="Drinks2" localSheetId="12">'JFK LU'!$A$143:$BM$144</definedName>
    <definedName name="Drinks2" localSheetId="10">'LHR AT'!$A$143:$BM$144</definedName>
    <definedName name="Drinks2" localSheetId="11">'LHR LU'!$A$143:$BM$144</definedName>
    <definedName name="Drinks2" localSheetId="7">'PRC | KHI'!$A$91</definedName>
    <definedName name="Drinks2">DEL!$A$147</definedName>
    <definedName name="Drinks3" localSheetId="9">BKK!$A$242</definedName>
    <definedName name="Drinks3" localSheetId="21">Drinks!$A$102</definedName>
    <definedName name="Drinks3" localSheetId="13">'JFK LB | BF'!$A$288:$BN$289</definedName>
    <definedName name="Drinks3" localSheetId="12">'JFK LU'!$A$193</definedName>
    <definedName name="Drinks3" localSheetId="10">'LHR AT'!$A$193</definedName>
    <definedName name="Drinks3" localSheetId="11">'LHR LU'!$A$193</definedName>
    <definedName name="Drinks3" localSheetId="7">'PRC | KHI'!$A$142</definedName>
    <definedName name="Drinks3">DEL!$A$197</definedName>
    <definedName name="E_Learnings">'D3 to D14'!$A$50</definedName>
    <definedName name="English.Comments">OAS!$K$47</definedName>
    <definedName name="English.Flag" localSheetId="16">[1]OAS!$Q$46</definedName>
    <definedName name="English.Flag" localSheetId="15">[1]OAS!$Q$46</definedName>
    <definedName name="English.Flag" localSheetId="20">[1]OAS!$Q$46</definedName>
    <definedName name="English.Flag" localSheetId="19">[1]OAS!$Q$46</definedName>
    <definedName name="English.Flag" localSheetId="17">[1]OAS!$Q$46</definedName>
    <definedName name="English.Flag" localSheetId="18">[1]OAS!$Q$46</definedName>
    <definedName name="English.Flag" localSheetId="14">[1]OAS!$Q$46</definedName>
    <definedName name="English.Flag">OAS!$P$45</definedName>
    <definedName name="Experience">'D3 to D14'!$N$4</definedName>
    <definedName name="FirstName" localSheetId="16">[1]OAS!$X$21</definedName>
    <definedName name="FirstName" localSheetId="15">[1]OAS!$X$21</definedName>
    <definedName name="FirstName" localSheetId="20">[1]OAS!$X$21</definedName>
    <definedName name="FirstName" localSheetId="19">[1]OAS!$X$21</definedName>
    <definedName name="FirstName" localSheetId="17">[1]OAS!$X$21</definedName>
    <definedName name="FirstName" localSheetId="18">[1]OAS!$X$21</definedName>
    <definedName name="FirstName" localSheetId="14">[1]OAS!$X$21</definedName>
    <definedName name="FirstName">OAS!$X$21</definedName>
    <definedName name="Gender">OAS!$Z$22</definedName>
    <definedName name="Group" localSheetId="16">[1]Report!$AR$3</definedName>
    <definedName name="Group" localSheetId="15">[1]Report!$AR$3</definedName>
    <definedName name="Group" localSheetId="20">[1]Report!$AR$3</definedName>
    <definedName name="Group" localSheetId="19">[1]Report!$AR$3</definedName>
    <definedName name="Group" localSheetId="17">[1]Report!$AR$3</definedName>
    <definedName name="Group" localSheetId="18">[1]Report!$AR$3</definedName>
    <definedName name="Group" localSheetId="14">[1]Report!$AR$3</definedName>
    <definedName name="Group" localSheetId="2">Report!$AR$3</definedName>
    <definedName name="Group">MFP!$N$3</definedName>
    <definedName name="Group.Finishing">OAS!$AE$13</definedName>
    <definedName name="Group.Previous">OAS!$AG$13</definedName>
    <definedName name="IncludeWithFinishing">OAS!$X$2</definedName>
    <definedName name="IsFinishing" localSheetId="16">[1]OAS!$H$40</definedName>
    <definedName name="IsFinishing" localSheetId="15">[1]OAS!$H$40</definedName>
    <definedName name="IsFinishing" localSheetId="20">[1]OAS!$H$40</definedName>
    <definedName name="IsFinishing" localSheetId="19">[1]OAS!$H$40</definedName>
    <definedName name="IsFinishing" localSheetId="17">[1]OAS!$H$40</definedName>
    <definedName name="IsFinishing" localSheetId="18">[1]OAS!$H$40</definedName>
    <definedName name="IsFinishing" localSheetId="14">[1]OAS!$H$40</definedName>
    <definedName name="IsFinishing">OAS!$H$39</definedName>
    <definedName name="IsRepeating" localSheetId="16">[1]OAS!$H$43</definedName>
    <definedName name="IsRepeating" localSheetId="15">[1]OAS!$H$43</definedName>
    <definedName name="IsRepeating" localSheetId="20">[1]OAS!$H$43</definedName>
    <definedName name="IsRepeating" localSheetId="19">[1]OAS!$H$43</definedName>
    <definedName name="IsRepeating" localSheetId="17">[1]OAS!$H$43</definedName>
    <definedName name="IsRepeating" localSheetId="18">[1]OAS!$H$43</definedName>
    <definedName name="IsRepeating" localSheetId="14">[1]OAS!$H$43</definedName>
    <definedName name="IsRepeating">OAS!$H$42</definedName>
    <definedName name="IUNom">OAS!$P$42</definedName>
    <definedName name="JFK_" localSheetId="16">#REF!</definedName>
    <definedName name="JFK_" localSheetId="15">#REF!</definedName>
    <definedName name="JFK_" localSheetId="20">#REF!</definedName>
    <definedName name="JFK_" localSheetId="19">#REF!</definedName>
    <definedName name="JFK_" localSheetId="17">#REF!</definedName>
    <definedName name="JFK_" localSheetId="18">#REF!</definedName>
    <definedName name="JFK_" localSheetId="14">#REF!</definedName>
    <definedName name="JFK_" localSheetId="2">#REF!</definedName>
    <definedName name="JFK_BF_2">'JFK LB | BF'!$A$93</definedName>
    <definedName name="JFK_BF_3">'JFK LB | BF'!$A$140</definedName>
    <definedName name="JFK_Drink1" localSheetId="16">#REF!</definedName>
    <definedName name="JFK_Drink1" localSheetId="15">#REF!</definedName>
    <definedName name="JFK_Drink1" localSheetId="20">#REF!</definedName>
    <definedName name="JFK_Drink1" localSheetId="19">#REF!</definedName>
    <definedName name="JFK_Drink1" localSheetId="17">#REF!</definedName>
    <definedName name="JFK_Drink1" localSheetId="18">#REF!</definedName>
    <definedName name="JFK_Drink1" localSheetId="14">#REF!</definedName>
    <definedName name="JFK_Drink1" localSheetId="2">#REF!</definedName>
    <definedName name="JFK_Drink2" localSheetId="16">#REF!</definedName>
    <definedName name="JFK_Drink2" localSheetId="15">#REF!</definedName>
    <definedName name="JFK_Drink2" localSheetId="20">#REF!</definedName>
    <definedName name="JFK_Drink2" localSheetId="19">#REF!</definedName>
    <definedName name="JFK_Drink2" localSheetId="17">#REF!</definedName>
    <definedName name="JFK_Drink2" localSheetId="18">#REF!</definedName>
    <definedName name="JFK_Drink2" localSheetId="14">#REF!</definedName>
    <definedName name="JFK_Drink2" localSheetId="2">#REF!</definedName>
    <definedName name="JFK_Drink3" localSheetId="16">#REF!</definedName>
    <definedName name="JFK_Drink3" localSheetId="15">#REF!</definedName>
    <definedName name="JFK_Drink3" localSheetId="20">#REF!</definedName>
    <definedName name="JFK_Drink3" localSheetId="19">#REF!</definedName>
    <definedName name="JFK_Drink3" localSheetId="17">#REF!</definedName>
    <definedName name="JFK_Drink3" localSheetId="18">#REF!</definedName>
    <definedName name="JFK_Drink3" localSheetId="14">#REF!</definedName>
    <definedName name="JFK_Drink3" localSheetId="2">#REF!</definedName>
    <definedName name="JFK_HB" localSheetId="16">#REF!</definedName>
    <definedName name="JFK_HB" localSheetId="15">#REF!</definedName>
    <definedName name="JFK_HB" localSheetId="20">#REF!</definedName>
    <definedName name="JFK_HB" localSheetId="19">#REF!</definedName>
    <definedName name="JFK_HB" localSheetId="17">#REF!</definedName>
    <definedName name="JFK_HB" localSheetId="18">#REF!</definedName>
    <definedName name="JFK_HB" localSheetId="14">#REF!</definedName>
    <definedName name="JFK_HB" localSheetId="2">#REF!</definedName>
    <definedName name="JFK_HB2" localSheetId="16">#REF!</definedName>
    <definedName name="JFK_HB2" localSheetId="15">#REF!</definedName>
    <definedName name="JFK_HB2" localSheetId="20">#REF!</definedName>
    <definedName name="JFK_HB2" localSheetId="19">#REF!</definedName>
    <definedName name="JFK_HB2" localSheetId="17">#REF!</definedName>
    <definedName name="JFK_HB2" localSheetId="18">#REF!</definedName>
    <definedName name="JFK_HB2" localSheetId="14">#REF!</definedName>
    <definedName name="JFK_HB2" localSheetId="2">#REF!</definedName>
    <definedName name="JFK_LB" localSheetId="16">#REF!</definedName>
    <definedName name="JFK_LB" localSheetId="15">#REF!</definedName>
    <definedName name="JFK_LB" localSheetId="20">#REF!</definedName>
    <definedName name="JFK_LB" localSheetId="19">#REF!</definedName>
    <definedName name="JFK_LB" localSheetId="17">#REF!</definedName>
    <definedName name="JFK_LB" localSheetId="18">#REF!</definedName>
    <definedName name="JFK_LB" localSheetId="14">#REF!</definedName>
    <definedName name="JFK_LB" localSheetId="2">#REF!</definedName>
    <definedName name="JFK_Lunch" localSheetId="16">#REF!</definedName>
    <definedName name="JFK_Lunch" localSheetId="15">#REF!</definedName>
    <definedName name="JFK_Lunch" localSheetId="20">#REF!</definedName>
    <definedName name="JFK_Lunch" localSheetId="19">#REF!</definedName>
    <definedName name="JFK_Lunch" localSheetId="17">#REF!</definedName>
    <definedName name="JFK_Lunch" localSheetId="18">#REF!</definedName>
    <definedName name="JFK_Lunch" localSheetId="14">#REF!</definedName>
    <definedName name="JFK_Lunch" localSheetId="2">#REF!</definedName>
    <definedName name="JFK_Welcome" localSheetId="16">#REF!</definedName>
    <definedName name="JFK_Welcome" localSheetId="15">#REF!</definedName>
    <definedName name="JFK_Welcome" localSheetId="20">#REF!</definedName>
    <definedName name="JFK_Welcome" localSheetId="19">#REF!</definedName>
    <definedName name="JFK_Welcome" localSheetId="17">#REF!</definedName>
    <definedName name="JFK_Welcome" localSheetId="18">#REF!</definedName>
    <definedName name="JFK_Welcome" localSheetId="14">#REF!</definedName>
    <definedName name="JFK_Welcome" localSheetId="2">#REF!</definedName>
    <definedName name="JFKLBBF">'D3-D14 Score'!$AX$3</definedName>
    <definedName name="JFKLBBF_" localSheetId="21">Drinks!$AR$2</definedName>
    <definedName name="JFKLBBF_" localSheetId="13">'JFK LB | BF'!$AR$2</definedName>
    <definedName name="JFKLU">'D3-D14 Score'!$AR$3</definedName>
    <definedName name="JFKLU_" localSheetId="12">'JFK LU'!$AR$2</definedName>
    <definedName name="KBI1.2">'D3-D14 Score'!$BK$8</definedName>
    <definedName name="KBI1.3">'D3-D14 Score'!$BK$9</definedName>
    <definedName name="KBI1.4">'D3-D14 Score'!$BK$10</definedName>
    <definedName name="KBI1.5">'D3-D14 Score'!$BK$11</definedName>
    <definedName name="KBI2.1">'D3-D14 Score'!$BK$15</definedName>
    <definedName name="KBI2.2">'D3-D14 Score'!$BK$16</definedName>
    <definedName name="KBI2.3">'D3-D14 Score'!$BK$17</definedName>
    <definedName name="KBI2.4" localSheetId="16">'[1]D3-D14 Score'!#REF!</definedName>
    <definedName name="KBI2.4" localSheetId="15">'[1]D3-D14 Score'!#REF!</definedName>
    <definedName name="KBI2.4" localSheetId="20">'[1]D3-D14 Score'!#REF!</definedName>
    <definedName name="KBI2.4" localSheetId="19">'[1]D3-D14 Score'!#REF!</definedName>
    <definedName name="KBI2.4" localSheetId="17">'[1]D3-D14 Score'!#REF!</definedName>
    <definedName name="KBI2.4" localSheetId="18">'[1]D3-D14 Score'!#REF!</definedName>
    <definedName name="KBI2.4" localSheetId="14">'[1]D3-D14 Score'!#REF!</definedName>
    <definedName name="KBI2.4">'D3-D14 Score'!$BK$18</definedName>
    <definedName name="KBI3.1">'D3-D14 Score'!$BK$22</definedName>
    <definedName name="KBI3.2">'D3-D14 Score'!$BK$23</definedName>
    <definedName name="KBI3.3">'D3-D14 Score'!$BK$24</definedName>
    <definedName name="KBI4.1">'D3-D14 Score'!$BK$28</definedName>
    <definedName name="KBI4.2">'D3-D14 Score'!$BK$29</definedName>
    <definedName name="KBI4.3">'D3-D14 Score'!$BK$30</definedName>
    <definedName name="KBI4.4">'D3-D14 Score'!$BK$31</definedName>
    <definedName name="KHI_" localSheetId="7">'PRC | KHI'!$AR$2</definedName>
    <definedName name="LHR_" localSheetId="16">#REF!</definedName>
    <definedName name="LHR_" localSheetId="15">#REF!</definedName>
    <definedName name="LHR_" localSheetId="20">#REF!</definedName>
    <definedName name="LHR_" localSheetId="19">#REF!</definedName>
    <definedName name="LHR_" localSheetId="17">#REF!</definedName>
    <definedName name="LHR_" localSheetId="18">#REF!</definedName>
    <definedName name="LHR_" localSheetId="14">#REF!</definedName>
    <definedName name="LHR_" localSheetId="2">#REF!</definedName>
    <definedName name="LHR_Drinks1" localSheetId="16">#REF!</definedName>
    <definedName name="LHR_Drinks1" localSheetId="15">#REF!</definedName>
    <definedName name="LHR_Drinks1" localSheetId="20">#REF!</definedName>
    <definedName name="LHR_Drinks1" localSheetId="19">#REF!</definedName>
    <definedName name="LHR_Drinks1" localSheetId="17">#REF!</definedName>
    <definedName name="LHR_Drinks1" localSheetId="18">#REF!</definedName>
    <definedName name="LHR_Drinks1" localSheetId="14">#REF!</definedName>
    <definedName name="LHR_Drinks1" localSheetId="2">#REF!</definedName>
    <definedName name="LHR_Drinks2" localSheetId="16">#REF!</definedName>
    <definedName name="LHR_Drinks2" localSheetId="15">#REF!</definedName>
    <definedName name="LHR_Drinks2" localSheetId="20">#REF!</definedName>
    <definedName name="LHR_Drinks2" localSheetId="19">#REF!</definedName>
    <definedName name="LHR_Drinks2" localSheetId="17">#REF!</definedName>
    <definedName name="LHR_Drinks2" localSheetId="18">#REF!</definedName>
    <definedName name="LHR_Drinks2" localSheetId="14">#REF!</definedName>
    <definedName name="LHR_Drinks2" localSheetId="2">#REF!</definedName>
    <definedName name="LHR_Drinks3" localSheetId="16">#REF!</definedName>
    <definedName name="LHR_Drinks3" localSheetId="15">#REF!</definedName>
    <definedName name="LHR_Drinks3" localSheetId="20">#REF!</definedName>
    <definedName name="LHR_Drinks3" localSheetId="19">#REF!</definedName>
    <definedName name="LHR_Drinks3" localSheetId="17">#REF!</definedName>
    <definedName name="LHR_Drinks3" localSheetId="18">#REF!</definedName>
    <definedName name="LHR_Drinks3" localSheetId="14">#REF!</definedName>
    <definedName name="LHR_Drinks3" localSheetId="2">#REF!</definedName>
    <definedName name="LHR_Lunch" localSheetId="16">#REF!</definedName>
    <definedName name="LHR_Lunch" localSheetId="15">#REF!</definedName>
    <definedName name="LHR_Lunch" localSheetId="20">#REF!</definedName>
    <definedName name="LHR_Lunch" localSheetId="19">#REF!</definedName>
    <definedName name="LHR_Lunch" localSheetId="17">#REF!</definedName>
    <definedName name="LHR_Lunch" localSheetId="18">#REF!</definedName>
    <definedName name="LHR_Lunch" localSheetId="14">#REF!</definedName>
    <definedName name="LHR_Lunch" localSheetId="2">#REF!</definedName>
    <definedName name="LHR_Welcome" localSheetId="16">#REF!</definedName>
    <definedName name="LHR_Welcome" localSheetId="15">#REF!</definedName>
    <definedName name="LHR_Welcome" localSheetId="20">#REF!</definedName>
    <definedName name="LHR_Welcome" localSheetId="19">#REF!</definedName>
    <definedName name="LHR_Welcome" localSheetId="17">#REF!</definedName>
    <definedName name="LHR_Welcome" localSheetId="18">#REF!</definedName>
    <definedName name="LHR_Welcome" localSheetId="14">#REF!</definedName>
    <definedName name="LHR_Welcome" localSheetId="2">#REF!</definedName>
    <definedName name="LHRAT">'D3-D14 Score'!$AF$3</definedName>
    <definedName name="LHRAT_" localSheetId="10">'LHR AT'!$AR$2</definedName>
    <definedName name="LHRLU">'D3-D14 Score'!$AL$3</definedName>
    <definedName name="LHRLU_" localSheetId="11">'LHR LU'!$AR$2</definedName>
    <definedName name="LHT_AT" localSheetId="16">#REF!</definedName>
    <definedName name="LHT_AT" localSheetId="15">#REF!</definedName>
    <definedName name="LHT_AT" localSheetId="20">#REF!</definedName>
    <definedName name="LHT_AT" localSheetId="19">#REF!</definedName>
    <definedName name="LHT_AT" localSheetId="17">#REF!</definedName>
    <definedName name="LHT_AT" localSheetId="18">#REF!</definedName>
    <definedName name="LHT_AT" localSheetId="14">#REF!</definedName>
    <definedName name="LHT_AT" localSheetId="2">#REF!</definedName>
    <definedName name="List.YesNo">'Drop Down List'!$E$2:$E$3</definedName>
    <definedName name="Lunch__CAT_3_DEL" localSheetId="9">BKK!$A$46</definedName>
    <definedName name="Lunch__CAT_3_DEL" localSheetId="21">Drinks!#REF!</definedName>
    <definedName name="Lunch__CAT_3_DEL" localSheetId="13">'JFK LB | BF'!$A$45</definedName>
    <definedName name="Lunch__CAT_3_DEL" localSheetId="12">'JFK LU'!$A$45</definedName>
    <definedName name="Lunch__CAT_3_DEL" localSheetId="10">'LHR AT'!$A$45</definedName>
    <definedName name="Lunch__CAT_3_DEL" localSheetId="11">'LHR LU'!$A$45</definedName>
    <definedName name="Lunch__CAT_3_DEL">DEL!$A$47</definedName>
    <definedName name="Name" localSheetId="16">[1]Report!$L$2</definedName>
    <definedName name="Name" localSheetId="15">[1]Report!$L$2</definedName>
    <definedName name="Name" localSheetId="20">[1]Report!$L$2</definedName>
    <definedName name="Name" localSheetId="19">[1]Report!$L$2</definedName>
    <definedName name="Name" localSheetId="17">[1]Report!$L$2</definedName>
    <definedName name="Name" localSheetId="18">[1]Report!$L$2</definedName>
    <definedName name="Name" localSheetId="14">[1]Report!$L$2</definedName>
    <definedName name="Name">MFP!$D$2</definedName>
    <definedName name="Nationality">'D3 to D14'!$L$3</definedName>
    <definedName name="Nickname">OAS!$Z$21</definedName>
    <definedName name="Nominations">OAS!$AB$13</definedName>
    <definedName name="OAS1.1">OAS!$A$29</definedName>
    <definedName name="OAS1.2">OAS!$B$29</definedName>
    <definedName name="OAS1.3">OAS!$C$29</definedName>
    <definedName name="OAS1.4">OAS!$D$29</definedName>
    <definedName name="OAS1.5">OAS!$E$29</definedName>
    <definedName name="OAS2.1">OAS!$F$29</definedName>
    <definedName name="OAS2.2">OAS!$G$29</definedName>
    <definedName name="OAS2.3">OAS!$H$29</definedName>
    <definedName name="OAS2.4">OAS!$I$29</definedName>
    <definedName name="OAS3.1">OAS!$J$29</definedName>
    <definedName name="OAS3.2">OAS!$K$29</definedName>
    <definedName name="OAS3.3">OAS!$L$29</definedName>
    <definedName name="OAS4.1">OAS!$M$29</definedName>
    <definedName name="OAS4.2">OAS!$N$29</definedName>
    <definedName name="OAS4.3">OAS!$O$29</definedName>
    <definedName name="OAS4.4">OAS!$P$29</definedName>
    <definedName name="OASALL">OAS!$P$19</definedName>
    <definedName name="OverallComments">MFP!$A$67</definedName>
    <definedName name="OverallScore.Competency">OAS!$P$16</definedName>
    <definedName name="OverallScore.Initial">OAS!$Z$13</definedName>
    <definedName name="OverallScore.KA">OAS!$P$13</definedName>
    <definedName name="OverallScore.Practical">OAS!$P$10</definedName>
    <definedName name="OverallScore.Previous">OAS!$AA$13</definedName>
    <definedName name="_xlnm.Print_Area" localSheetId="9">BKK!$A$1:$BR$297</definedName>
    <definedName name="_xlnm.Print_Area" localSheetId="16">'BKK AS'!$A$1:$AT$97</definedName>
    <definedName name="_xlnm.Print_Area" localSheetId="6">'D3-D14 Score'!$A$1:$BM$54</definedName>
    <definedName name="_xlnm.Print_Area" localSheetId="8">DEL!$A$1:$BP$252</definedName>
    <definedName name="_xlnm.Print_Area" localSheetId="15">'DEL AS'!$A$1:$BT$88</definedName>
    <definedName name="_xlnm.Print_Area" localSheetId="21">Drinks!$A$1:$EV$61</definedName>
    <definedName name="_xlnm.Print_Area" localSheetId="24">Graph!$A$1:$R$32</definedName>
    <definedName name="_xlnm.Print_Area" localSheetId="13">'JFK LB | BF'!$A$1:$BP$343</definedName>
    <definedName name="_xlnm.Print_Area" localSheetId="20">'JFK LB | BF AS'!$A$1:$BG$113</definedName>
    <definedName name="_xlnm.Print_Area" localSheetId="12">'JFK LU'!$A$1:$BP$248</definedName>
    <definedName name="_xlnm.Print_Area" localSheetId="19">'JFK LU AS'!$A$1:$BD$94</definedName>
    <definedName name="_xlnm.Print_Area" localSheetId="23">KA!$A$1:$I$23</definedName>
    <definedName name="_xlnm.Print_Area" localSheetId="10">'LHR AT'!$A$1:$BP$248</definedName>
    <definedName name="_xlnm.Print_Area" localSheetId="17">'LHR AT AS'!$A$1:$BF$91</definedName>
    <definedName name="_xlnm.Print_Area" localSheetId="11">'LHR LU'!$A$1:$BP$248</definedName>
    <definedName name="_xlnm.Print_Area" localSheetId="18">'LHR LU AS'!$A$1:$BA$91</definedName>
    <definedName name="_xlnm.Print_Area" localSheetId="4">OAS!$A$1:$P$82</definedName>
    <definedName name="_xlnm.Print_Area" localSheetId="14">'PRC | KHI AS'!$A$1:$AS$63</definedName>
    <definedName name="_xlnm.Print_Area" localSheetId="22">'Profiles | Scenarios'!$A$1:$BO$114</definedName>
    <definedName name="_xlnm.Print_Area" localSheetId="2">Report!$A$1:$BH$91</definedName>
    <definedName name="_xlnm.Print_Area" localSheetId="25">Rubric!$A$1:$D$36</definedName>
    <definedName name="_xlnm.Print_Area" localSheetId="0">'Service Review'!$A$1:$BI$238</definedName>
    <definedName name="Profile_Boarding">'Profiles | Scenarios'!$A$9:$M$22</definedName>
    <definedName name="Profile_Customer_on_Wheelchair">'Profiles | Scenarios'!$AN$43:$AZ$54</definedName>
    <definedName name="Profile_Customer_Visually_Impaired">'Profiles | Scenarios'!$AN$27:$AZ$38</definedName>
    <definedName name="Profile_Deportee">'Profiles | Scenarios'!$N$43:$Z$54</definedName>
    <definedName name="Profile_High_Valued_Customer">'Profiles | Scenarios'!$AA$9:$AM$22</definedName>
    <definedName name="Profile_Honeymoon_Couple">'Profiles | Scenarios'!$N$27:$Z$40</definedName>
    <definedName name="Profile_iO">'Profiles | Scenarios'!$N$9:$Z$24</definedName>
    <definedName name="Profile_Non_English_Speaker">'Profiles | Scenarios'!$AA$43:$AM$52</definedName>
    <definedName name="Profile_Others">'Profiles | Scenarios'!$BA$9:$BM$18</definedName>
    <definedName name="Profile_Parent_with_Infant">'Profiles | Scenarios'!$AN$9:$AZ$22</definedName>
    <definedName name="Profile_Unaccompanied_Minor">'Profiles | Scenarios'!$AA$27:$AM$40</definedName>
    <definedName name="Profile_We_Care">'Profiles | Scenarios'!$A$27:$M$38</definedName>
    <definedName name="PWSJFKLBBF">'D3-D14 Score'!$AX$42</definedName>
    <definedName name="PWSJFKLU">'D3-D14 Score'!$AR$42</definedName>
    <definedName name="PWSLHRAT">'D3-D14 Score'!$AF$42</definedName>
    <definedName name="PWSLHRLU">'D3-D14 Score'!$AL$42</definedName>
    <definedName name="RepeatedWeek">OAS!$AH$13</definedName>
    <definedName name="RepeatReason" localSheetId="16">[1]OAS!$H$46</definedName>
    <definedName name="RepeatReason" localSheetId="15">[1]OAS!$H$46</definedName>
    <definedName name="RepeatReason" localSheetId="20">[1]OAS!$H$46</definedName>
    <definedName name="RepeatReason" localSheetId="19">[1]OAS!$H$46</definedName>
    <definedName name="RepeatReason" localSheetId="17">[1]OAS!$H$46</definedName>
    <definedName name="RepeatReason" localSheetId="18">[1]OAS!$H$46</definedName>
    <definedName name="RepeatReason" localSheetId="14">[1]OAS!$H$46</definedName>
    <definedName name="RepeatReason">OAS!$H$45</definedName>
    <definedName name="Review.Competencies">OAS!$AJ$13</definedName>
    <definedName name="Review.KBIs">OAS!$AK$13</definedName>
    <definedName name="Review.Reason">OAS!$AI$13</definedName>
    <definedName name="Review.YesNo">OAS!$AF$13</definedName>
    <definedName name="Rotation" localSheetId="16">#REF!</definedName>
    <definedName name="Rotation" localSheetId="15">#REF!</definedName>
    <definedName name="Rotation" localSheetId="20">#REF!</definedName>
    <definedName name="Rotation" localSheetId="19">#REF!</definedName>
    <definedName name="Rotation" localSheetId="17">#REF!</definedName>
    <definedName name="Rotation" localSheetId="18">#REF!</definedName>
    <definedName name="Rotation" localSheetId="14">#REF!</definedName>
    <definedName name="Rotation">'D3 to D14'!$AX$1</definedName>
    <definedName name="StaffNumber" localSheetId="16">[1]Report!$AR$2</definedName>
    <definedName name="StaffNumber" localSheetId="15">[1]Report!$AR$2</definedName>
    <definedName name="StaffNumber" localSheetId="20">[1]Report!$AR$2</definedName>
    <definedName name="StaffNumber" localSheetId="19">[1]Report!$AR$2</definedName>
    <definedName name="StaffNumber" localSheetId="17">[1]Report!$AR$2</definedName>
    <definedName name="StaffNumber" localSheetId="18">[1]Report!$AR$2</definedName>
    <definedName name="StaffNumber" localSheetId="14">[1]Report!$AR$2</definedName>
    <definedName name="StaffNumber">MFP!$N$2</definedName>
    <definedName name="StartDate">OAS!$AC$13</definedName>
    <definedName name="TrainerComments">OAS!$AL$13</definedName>
    <definedName name="Trainers" localSheetId="16">[1]Report!$L$3</definedName>
    <definedName name="Trainers" localSheetId="15">[1]Report!$L$3</definedName>
    <definedName name="Trainers" localSheetId="20">[1]Report!$L$3</definedName>
    <definedName name="Trainers" localSheetId="19">[1]Report!$L$3</definedName>
    <definedName name="Trainers" localSheetId="17">[1]Report!$L$3</definedName>
    <definedName name="Trainers" localSheetId="18">[1]Report!$L$3</definedName>
    <definedName name="Trainers" localSheetId="14">[1]Report!$L$3</definedName>
    <definedName name="Trainers">MFP!$D$3</definedName>
    <definedName name="Trainers.OAS">OAS!$Y$13</definedName>
    <definedName name="Welcome_Services_DEL" localSheetId="9">BKK!$A$7</definedName>
    <definedName name="Welcome_Services_DEL" localSheetId="21">Drinks!#REF!</definedName>
    <definedName name="Welcome_Services_DEL" localSheetId="13">'JFK LB | BF'!$A$7</definedName>
    <definedName name="Welcome_Services_DEL" localSheetId="12">'JFK LU'!$A$7</definedName>
    <definedName name="Welcome_Services_DEL" localSheetId="10">'LHR AT'!$A$7</definedName>
    <definedName name="Welcome_Services_DEL" localSheetId="11">'LHR LU'!$A$7</definedName>
    <definedName name="Welcome_Services_DEL">DEL!$A$7</definedName>
    <definedName name="Z_B4419C5D_1877_4ABB_A46F_9E0AFFC75B59_.wvu.Cols" localSheetId="16" hidden="1">'BKK AS'!$F:$K,'BKK AS'!$R:$S,'BKK AS'!$X:$AA</definedName>
    <definedName name="Z_B4419C5D_1877_4ABB_A46F_9E0AFFC75B59_.wvu.Cols" localSheetId="6" hidden="1">'D3-D14 Score'!$O:$O</definedName>
    <definedName name="Z_B4419C5D_1877_4ABB_A46F_9E0AFFC75B59_.wvu.Cols" localSheetId="20" hidden="1">'JFK LB | BF AS'!$F:$K,'JFK LB | BF AS'!$R:$S,'JFK LB | BF AS'!$X:$AE</definedName>
    <definedName name="Z_B4419C5D_1877_4ABB_A46F_9E0AFFC75B59_.wvu.Cols" localSheetId="19" hidden="1">'JFK LU AS'!$F:$K,'JFK LU AS'!$R:$S,'JFK LU AS'!$X:$AE</definedName>
    <definedName name="Z_B4419C5D_1877_4ABB_A46F_9E0AFFC75B59_.wvu.Cols" localSheetId="23" hidden="1">KA!$K:$XFD</definedName>
    <definedName name="Z_B4419C5D_1877_4ABB_A46F_9E0AFFC75B59_.wvu.Cols" localSheetId="17" hidden="1">'LHR AT AS'!$F:$K,'LHR AT AS'!$R:$S,'LHR AT AS'!$X:$AA,'LHR AT AS'!$AD:$AE</definedName>
    <definedName name="Z_B4419C5D_1877_4ABB_A46F_9E0AFFC75B59_.wvu.Cols" localSheetId="18" hidden="1">'LHR LU AS'!$F:$K,'LHR LU AS'!$R:$S,'LHR LU AS'!$X:$AE</definedName>
    <definedName name="Z_B4419C5D_1877_4ABB_A46F_9E0AFFC75B59_.wvu.Cols" localSheetId="1" hidden="1">MFP!$U:$XFD</definedName>
    <definedName name="Z_B4419C5D_1877_4ABB_A46F_9E0AFFC75B59_.wvu.Cols" localSheetId="4" hidden="1">OAS!$W:$XFD</definedName>
    <definedName name="Z_B4419C5D_1877_4ABB_A46F_9E0AFFC75B59_.wvu.Cols" localSheetId="14" hidden="1">'PRC | KHI AS'!$F:$K,'PRC | KHI AS'!$R:$S,'PRC | KHI AS'!$X:$AE</definedName>
    <definedName name="Z_B4419C5D_1877_4ABB_A46F_9E0AFFC75B59_.wvu.Cols" localSheetId="25" hidden="1">Rubric!$E:$XFD</definedName>
    <definedName name="Z_B4419C5D_1877_4ABB_A46F_9E0AFFC75B59_.wvu.Cols" localSheetId="26" hidden="1">'Rubric (.)'!$E:$XFD</definedName>
    <definedName name="Z_B4419C5D_1877_4ABB_A46F_9E0AFFC75B59_.wvu.Cols" localSheetId="0" hidden="1">'Service Review'!$BK:$XFD</definedName>
    <definedName name="Z_B4419C5D_1877_4ABB_A46F_9E0AFFC75B59_.wvu.PrintArea" localSheetId="16" hidden="1">'BKK AS'!$A$1:$AT$97</definedName>
    <definedName name="Z_B4419C5D_1877_4ABB_A46F_9E0AFFC75B59_.wvu.PrintArea" localSheetId="6" hidden="1">'D3-D14 Score'!$A$1:$BM$54</definedName>
    <definedName name="Z_B4419C5D_1877_4ABB_A46F_9E0AFFC75B59_.wvu.PrintArea" localSheetId="8" hidden="1">DEL!$A$1:$BP$249</definedName>
    <definedName name="Z_B4419C5D_1877_4ABB_A46F_9E0AFFC75B59_.wvu.PrintArea" localSheetId="15" hidden="1">'DEL AS'!$A$1:$BT$88</definedName>
    <definedName name="Z_B4419C5D_1877_4ABB_A46F_9E0AFFC75B59_.wvu.PrintArea" localSheetId="21" hidden="1">Drinks!$A$1:$EV$61</definedName>
    <definedName name="Z_B4419C5D_1877_4ABB_A46F_9E0AFFC75B59_.wvu.PrintArea" localSheetId="13" hidden="1">'JFK LB | BF'!$A$1:$BP$344</definedName>
    <definedName name="Z_B4419C5D_1877_4ABB_A46F_9E0AFFC75B59_.wvu.PrintArea" localSheetId="20" hidden="1">'JFK LB | BF AS'!$A$1:$BG$113</definedName>
    <definedName name="Z_B4419C5D_1877_4ABB_A46F_9E0AFFC75B59_.wvu.PrintArea" localSheetId="12" hidden="1">'JFK LU'!$A$1:$BP$249</definedName>
    <definedName name="Z_B4419C5D_1877_4ABB_A46F_9E0AFFC75B59_.wvu.PrintArea" localSheetId="19" hidden="1">'JFK LU AS'!$A$1:$BD$94</definedName>
    <definedName name="Z_B4419C5D_1877_4ABB_A46F_9E0AFFC75B59_.wvu.PrintArea" localSheetId="23" hidden="1">KA!$A$1:$J$23</definedName>
    <definedName name="Z_B4419C5D_1877_4ABB_A46F_9E0AFFC75B59_.wvu.PrintArea" localSheetId="10" hidden="1">'LHR AT'!$A$1:$BP$249</definedName>
    <definedName name="Z_B4419C5D_1877_4ABB_A46F_9E0AFFC75B59_.wvu.PrintArea" localSheetId="17" hidden="1">'LHR AT AS'!$A$1:$BF$91</definedName>
    <definedName name="Z_B4419C5D_1877_4ABB_A46F_9E0AFFC75B59_.wvu.PrintArea" localSheetId="11" hidden="1">'LHR LU'!$A$1:$BP$249</definedName>
    <definedName name="Z_B4419C5D_1877_4ABB_A46F_9E0AFFC75B59_.wvu.PrintArea" localSheetId="18" hidden="1">'LHR LU AS'!$A$1:$BA$91</definedName>
    <definedName name="Z_B4419C5D_1877_4ABB_A46F_9E0AFFC75B59_.wvu.PrintArea" localSheetId="4" hidden="1">OAS!$A$1:$P$82</definedName>
    <definedName name="Z_B4419C5D_1877_4ABB_A46F_9E0AFFC75B59_.wvu.PrintArea" localSheetId="14" hidden="1">'PRC | KHI AS'!$A$1:$AS$63</definedName>
    <definedName name="Z_B4419C5D_1877_4ABB_A46F_9E0AFFC75B59_.wvu.PrintArea" localSheetId="2" hidden="1">Report!$A$1:$BH$91</definedName>
    <definedName name="Z_B4419C5D_1877_4ABB_A46F_9E0AFFC75B59_.wvu.PrintArea" localSheetId="0" hidden="1">'Service Review'!$A$1:$BI$238</definedName>
    <definedName name="Z_B4419C5D_1877_4ABB_A46F_9E0AFFC75B59_.wvu.Rows" localSheetId="23" hidden="1">KA!$24:$1048576</definedName>
    <definedName name="Z_B4419C5D_1877_4ABB_A46F_9E0AFFC75B59_.wvu.Rows" localSheetId="1" hidden="1">MFP!$88:$1048576,MFP!$68:$86</definedName>
    <definedName name="Z_B4419C5D_1877_4ABB_A46F_9E0AFFC75B59_.wvu.Rows" localSheetId="2" hidden="1">Report!$114:$1048576,Report!$32:$33,Report!$55:$56,Report!$73:$74,Report!$92:$93,Report!$98:$113</definedName>
    <definedName name="Z_B4419C5D_1877_4ABB_A46F_9E0AFFC75B59_.wvu.Rows" localSheetId="25" hidden="1">Rubric!$52:$1048576</definedName>
    <definedName name="Z_B4419C5D_1877_4ABB_A46F_9E0AFFC75B59_.wvu.Rows" localSheetId="26" hidden="1">'Rubric (.)'!$50:$1048576</definedName>
    <definedName name="Z_B4419C5D_1877_4ABB_A46F_9E0AFFC75B59_.wvu.Rows" localSheetId="0" hidden="1">'Service Review'!$240:$1048576</definedName>
  </definedNames>
  <calcPr calcId="191029"/>
  <customWorkbookViews>
    <customWorkbookView name="Report to print for crew" guid="{6F32447A-4407-44AD-A35F-AE919A5CF3AF}" includePrintSettings="0" includeHiddenRowCol="0" maximized="1" windowWidth="1440" windowHeight="675" tabRatio="783" activeSheetId="32"/>
    <customWorkbookView name="PrintView" guid="{B4419C5D-1877-4ABB-A46F-9E0AFFC75B59}" maximized="1" xWindow="-1928" yWindow="-82" windowWidth="1936" windowHeight="1096" tabRatio="783" activeSheetId="55"/>
  </customWorkbookViews>
</workbook>
</file>

<file path=xl/calcChain.xml><?xml version="1.0" encoding="utf-8"?>
<calcChain xmlns="http://schemas.openxmlformats.org/spreadsheetml/2006/main">
  <c r="M79" i="64" l="1"/>
  <c r="M80" i="64"/>
  <c r="M81" i="64"/>
  <c r="M78" i="64"/>
  <c r="M36" i="14" l="1"/>
  <c r="N36" i="14"/>
  <c r="I23" i="14"/>
  <c r="I25" i="14" s="1"/>
  <c r="E12" i="14" s="1"/>
  <c r="O14" i="26" l="1"/>
  <c r="H129" i="64"/>
  <c r="H127" i="64"/>
  <c r="H128" i="64"/>
  <c r="F14" i="79" l="1"/>
  <c r="F102" i="79"/>
  <c r="F101" i="79" s="1"/>
  <c r="H14" i="79"/>
  <c r="H102" i="79"/>
  <c r="H101" i="79"/>
  <c r="J14" i="79"/>
  <c r="P102" i="79"/>
  <c r="P101" i="79" s="1"/>
  <c r="R14" i="79"/>
  <c r="R102" i="79" s="1"/>
  <c r="R101" i="79"/>
  <c r="X14" i="79"/>
  <c r="X102" i="79" s="1"/>
  <c r="X101" i="79" s="1"/>
  <c r="Z14" i="79"/>
  <c r="Z102" i="79"/>
  <c r="Z101" i="79" s="1"/>
  <c r="AB14" i="79"/>
  <c r="AB102" i="79"/>
  <c r="AB101" i="79"/>
  <c r="AD14" i="79"/>
  <c r="AD102" i="79" s="1"/>
  <c r="AD101" i="79" s="1"/>
  <c r="F83" i="78"/>
  <c r="F82" i="78"/>
  <c r="H83" i="78"/>
  <c r="H82" i="78" s="1"/>
  <c r="P83" i="78"/>
  <c r="P82" i="78" s="1"/>
  <c r="R83" i="78"/>
  <c r="R82" i="78"/>
  <c r="X83" i="78"/>
  <c r="X82" i="78" s="1"/>
  <c r="Z83" i="78"/>
  <c r="Z82" i="78"/>
  <c r="AB83" i="78"/>
  <c r="AB82" i="78" s="1"/>
  <c r="AD83" i="78"/>
  <c r="AD82" i="78" s="1"/>
  <c r="B68" i="79"/>
  <c r="B100" i="79"/>
  <c r="B67" i="79"/>
  <c r="B99" i="79" s="1"/>
  <c r="B66" i="79"/>
  <c r="B98" i="79"/>
  <c r="B65" i="79"/>
  <c r="B81" i="79" s="1"/>
  <c r="B97" i="79"/>
  <c r="B64" i="79"/>
  <c r="B96" i="79"/>
  <c r="B63" i="79"/>
  <c r="B95" i="79" s="1"/>
  <c r="B62" i="79"/>
  <c r="B94" i="79"/>
  <c r="B61" i="79"/>
  <c r="B93" i="79"/>
  <c r="B60" i="79"/>
  <c r="B92" i="79"/>
  <c r="B59" i="79"/>
  <c r="B91" i="79" s="1"/>
  <c r="B58" i="79"/>
  <c r="B90" i="79"/>
  <c r="B57" i="79"/>
  <c r="B73" i="79" s="1"/>
  <c r="B89" i="79"/>
  <c r="B56" i="79"/>
  <c r="B88" i="79"/>
  <c r="B55" i="79"/>
  <c r="B87" i="79" s="1"/>
  <c r="B54" i="79"/>
  <c r="B86" i="79"/>
  <c r="B53" i="79"/>
  <c r="B69" i="79" s="1"/>
  <c r="B84" i="79"/>
  <c r="B83" i="79"/>
  <c r="B82" i="79"/>
  <c r="B80" i="79"/>
  <c r="B79" i="79"/>
  <c r="B78" i="79"/>
  <c r="B77" i="79"/>
  <c r="B76" i="79"/>
  <c r="B75" i="79"/>
  <c r="B74" i="79"/>
  <c r="B72" i="79"/>
  <c r="B71" i="79"/>
  <c r="B70" i="79"/>
  <c r="B49" i="78"/>
  <c r="B81" i="78"/>
  <c r="B48" i="78"/>
  <c r="B80" i="78" s="1"/>
  <c r="B47" i="78"/>
  <c r="B79" i="78"/>
  <c r="B46" i="78"/>
  <c r="B45" i="78"/>
  <c r="B77" i="78"/>
  <c r="B44" i="78"/>
  <c r="B76" i="78" s="1"/>
  <c r="B43" i="78"/>
  <c r="B75" i="78"/>
  <c r="B42" i="78"/>
  <c r="B58" i="78" s="1"/>
  <c r="B74" i="78"/>
  <c r="B41" i="78"/>
  <c r="B73" i="78"/>
  <c r="B40" i="78"/>
  <c r="B72" i="78" s="1"/>
  <c r="B39" i="78"/>
  <c r="B71" i="78"/>
  <c r="B38" i="78"/>
  <c r="B54" i="78" s="1"/>
  <c r="B70" i="78"/>
  <c r="B37" i="78"/>
  <c r="B69" i="78"/>
  <c r="B36" i="78"/>
  <c r="B68" i="78" s="1"/>
  <c r="B35" i="78"/>
  <c r="B67" i="78"/>
  <c r="B34" i="78"/>
  <c r="B50" i="78" s="1"/>
  <c r="B66" i="78"/>
  <c r="B65" i="78"/>
  <c r="B64" i="78"/>
  <c r="B63" i="78"/>
  <c r="B61" i="78"/>
  <c r="B60" i="78"/>
  <c r="B59" i="78"/>
  <c r="B57" i="78"/>
  <c r="B56" i="78"/>
  <c r="B55" i="78"/>
  <c r="B53" i="78"/>
  <c r="B52" i="78"/>
  <c r="B51" i="78"/>
  <c r="F80" i="77"/>
  <c r="F79" i="77"/>
  <c r="H80" i="77"/>
  <c r="H79" i="77" s="1"/>
  <c r="P80" i="77"/>
  <c r="P79" i="77" s="1"/>
  <c r="R80" i="77"/>
  <c r="R79" i="77"/>
  <c r="X80" i="77"/>
  <c r="X79" i="77"/>
  <c r="Z80" i="77"/>
  <c r="Z79" i="77" s="1"/>
  <c r="AB80" i="77"/>
  <c r="AB79" i="77" s="1"/>
  <c r="AD80" i="77"/>
  <c r="AD79" i="77" s="1"/>
  <c r="B32" i="77"/>
  <c r="B64" i="77" s="1"/>
  <c r="B33" i="77"/>
  <c r="B49" i="77" s="1"/>
  <c r="B65" i="77"/>
  <c r="B34" i="77"/>
  <c r="B35" i="77"/>
  <c r="B36" i="77"/>
  <c r="B68" i="77" s="1"/>
  <c r="B37" i="77"/>
  <c r="B53" i="77" s="1"/>
  <c r="B69" i="77"/>
  <c r="B38" i="77"/>
  <c r="B70" i="77" s="1"/>
  <c r="B39" i="77"/>
  <c r="B40" i="77"/>
  <c r="B41" i="77"/>
  <c r="B57" i="77" s="1"/>
  <c r="B73" i="77"/>
  <c r="B42" i="77"/>
  <c r="B74" i="77" s="1"/>
  <c r="B43" i="77"/>
  <c r="B75" i="77" s="1"/>
  <c r="B44" i="77"/>
  <c r="B76" i="77" s="1"/>
  <c r="B45" i="77"/>
  <c r="B61" i="77" s="1"/>
  <c r="B77" i="77"/>
  <c r="B46" i="77"/>
  <c r="B31" i="77"/>
  <c r="B48" i="77"/>
  <c r="B52" i="77"/>
  <c r="B54" i="77"/>
  <c r="B58" i="77"/>
  <c r="B59" i="77"/>
  <c r="B60" i="77"/>
  <c r="F80" i="76"/>
  <c r="F79" i="76" s="1"/>
  <c r="H80" i="76"/>
  <c r="H79" i="76" s="1"/>
  <c r="P80" i="76"/>
  <c r="P79" i="76" s="1"/>
  <c r="R80" i="76"/>
  <c r="R79" i="76" s="1"/>
  <c r="X80" i="76"/>
  <c r="X79" i="76" s="1"/>
  <c r="Z80" i="76"/>
  <c r="Z79" i="76"/>
  <c r="AB80" i="76"/>
  <c r="AB79" i="76" s="1"/>
  <c r="AD80" i="76"/>
  <c r="AD79" i="76" s="1"/>
  <c r="F86" i="75"/>
  <c r="F85" i="75" s="1"/>
  <c r="H86" i="75"/>
  <c r="H85" i="75" s="1"/>
  <c r="L25" i="75"/>
  <c r="L26" i="75"/>
  <c r="N25" i="75"/>
  <c r="N26" i="75"/>
  <c r="P86" i="75"/>
  <c r="P85" i="75"/>
  <c r="R86" i="75"/>
  <c r="R85" i="75" s="1"/>
  <c r="T25" i="75"/>
  <c r="X86" i="75"/>
  <c r="X85" i="75" s="1"/>
  <c r="Z86" i="75"/>
  <c r="Z85" i="75" s="1"/>
  <c r="AB86" i="75"/>
  <c r="AB85" i="75" s="1"/>
  <c r="AD86" i="75"/>
  <c r="AD85" i="75"/>
  <c r="D25" i="75"/>
  <c r="F77" i="74"/>
  <c r="F76" i="74" s="1"/>
  <c r="H77" i="74"/>
  <c r="H76" i="74" s="1"/>
  <c r="P77" i="74"/>
  <c r="P76" i="74"/>
  <c r="R77" i="74"/>
  <c r="R76" i="74" s="1"/>
  <c r="X77" i="74"/>
  <c r="X76" i="74"/>
  <c r="Z77" i="74"/>
  <c r="Z76" i="74" s="1"/>
  <c r="AB77" i="74"/>
  <c r="AB76" i="74" s="1"/>
  <c r="AD77" i="74"/>
  <c r="AD76" i="74"/>
  <c r="B32" i="76"/>
  <c r="B64" i="76"/>
  <c r="B33" i="76"/>
  <c r="B65" i="76" s="1"/>
  <c r="B34" i="76"/>
  <c r="B66" i="76" s="1"/>
  <c r="B35" i="76"/>
  <c r="B67" i="76" s="1"/>
  <c r="B36" i="76"/>
  <c r="B52" i="76" s="1"/>
  <c r="B68" i="76"/>
  <c r="B37" i="76"/>
  <c r="B53" i="76" s="1"/>
  <c r="B38" i="76"/>
  <c r="B54" i="76" s="1"/>
  <c r="B39" i="76"/>
  <c r="B71" i="76" s="1"/>
  <c r="B40" i="76"/>
  <c r="B72" i="76"/>
  <c r="B41" i="76"/>
  <c r="B73" i="76" s="1"/>
  <c r="B42" i="76"/>
  <c r="B74" i="76" s="1"/>
  <c r="B43" i="76"/>
  <c r="B75" i="76" s="1"/>
  <c r="B44" i="76"/>
  <c r="B60" i="76" s="1"/>
  <c r="B76" i="76"/>
  <c r="B45" i="76"/>
  <c r="B61" i="76" s="1"/>
  <c r="B46" i="76"/>
  <c r="B78" i="76" s="1"/>
  <c r="B31" i="76"/>
  <c r="B63" i="76" s="1"/>
  <c r="B62" i="76"/>
  <c r="B48" i="76"/>
  <c r="B50" i="76"/>
  <c r="B51" i="76"/>
  <c r="B55" i="76"/>
  <c r="B56" i="76"/>
  <c r="B58" i="76"/>
  <c r="B59" i="76"/>
  <c r="B29" i="75"/>
  <c r="B30" i="75"/>
  <c r="B31" i="75"/>
  <c r="B32" i="75"/>
  <c r="B33" i="75"/>
  <c r="B34" i="75"/>
  <c r="B35" i="75"/>
  <c r="B28" i="75"/>
  <c r="B21" i="75"/>
  <c r="B22" i="75"/>
  <c r="B23" i="75"/>
  <c r="B24" i="75"/>
  <c r="B25" i="75"/>
  <c r="B26" i="75"/>
  <c r="B27" i="75"/>
  <c r="B20" i="75"/>
  <c r="B23" i="74"/>
  <c r="B24" i="74"/>
  <c r="B25" i="74"/>
  <c r="B26" i="74"/>
  <c r="B22" i="74"/>
  <c r="B18" i="74"/>
  <c r="B19" i="74"/>
  <c r="B20" i="74"/>
  <c r="B21" i="74"/>
  <c r="B17" i="74"/>
  <c r="AR75" i="64"/>
  <c r="U15" i="75" s="1"/>
  <c r="AS75" i="64"/>
  <c r="T15" i="75" s="1"/>
  <c r="AR76" i="64"/>
  <c r="AG15" i="75" s="1"/>
  <c r="AS76" i="64"/>
  <c r="AF15" i="75" s="1"/>
  <c r="AR77" i="64"/>
  <c r="AI15" i="75" s="1"/>
  <c r="AS77" i="64"/>
  <c r="AH15" i="75" s="1"/>
  <c r="BI191" i="64"/>
  <c r="AH42" i="75" s="1"/>
  <c r="BH191" i="64"/>
  <c r="AI42" i="75" s="1"/>
  <c r="BA191" i="64"/>
  <c r="AH41" i="75" s="1"/>
  <c r="AZ191" i="64"/>
  <c r="AI41" i="75" s="1"/>
  <c r="AK191" i="64"/>
  <c r="AH39" i="75" s="1"/>
  <c r="AJ191" i="64"/>
  <c r="AI39" i="75" s="1"/>
  <c r="BI190" i="64"/>
  <c r="AF42" i="75" s="1"/>
  <c r="BH190" i="64"/>
  <c r="AG42" i="75" s="1"/>
  <c r="BA190" i="64"/>
  <c r="AF41" i="75" s="1"/>
  <c r="AZ190" i="64"/>
  <c r="AG41" i="75" s="1"/>
  <c r="AK190" i="64"/>
  <c r="AF39" i="75" s="1"/>
  <c r="AJ190" i="64"/>
  <c r="AG39" i="75" s="1"/>
  <c r="BI189" i="64"/>
  <c r="L42" i="75" s="1"/>
  <c r="BH189" i="64"/>
  <c r="M42" i="75" s="1"/>
  <c r="BA189" i="64"/>
  <c r="L41" i="75" s="1"/>
  <c r="AZ189" i="64"/>
  <c r="M41" i="75" s="1"/>
  <c r="AK189" i="64"/>
  <c r="L39" i="75" s="1"/>
  <c r="AJ189" i="64"/>
  <c r="M39" i="75" s="1"/>
  <c r="AS188" i="64"/>
  <c r="AH40" i="75" s="1"/>
  <c r="AR188" i="64"/>
  <c r="AI40" i="75" s="1"/>
  <c r="M188" i="64"/>
  <c r="J74" i="75" s="1"/>
  <c r="L188" i="64"/>
  <c r="J73" i="75" s="1"/>
  <c r="K188" i="64"/>
  <c r="J72" i="75" s="1"/>
  <c r="J188" i="64"/>
  <c r="J71" i="75" s="1"/>
  <c r="I188" i="64"/>
  <c r="J70" i="75" s="1"/>
  <c r="H188" i="64"/>
  <c r="J69" i="75" s="1"/>
  <c r="G188" i="64"/>
  <c r="J40" i="64"/>
  <c r="J43" i="64"/>
  <c r="V10" i="75" s="1"/>
  <c r="I40" i="64"/>
  <c r="I43" i="64"/>
  <c r="V9" i="75" s="1"/>
  <c r="J18" i="64"/>
  <c r="J36" i="64"/>
  <c r="T8" i="75" s="1"/>
  <c r="J24" i="64"/>
  <c r="J35" i="64"/>
  <c r="N8" i="75" s="1"/>
  <c r="J30" i="64"/>
  <c r="J34" i="64"/>
  <c r="L8" i="75" s="1"/>
  <c r="J12" i="64"/>
  <c r="J15" i="64"/>
  <c r="J21" i="64"/>
  <c r="J27" i="64"/>
  <c r="J33" i="64"/>
  <c r="D8" i="75" s="1"/>
  <c r="I18" i="64"/>
  <c r="I36" i="64"/>
  <c r="T7" i="75" s="1"/>
  <c r="I24" i="64"/>
  <c r="I35" i="64"/>
  <c r="N7" i="75" s="1"/>
  <c r="I30" i="64"/>
  <c r="I34" i="64"/>
  <c r="L7" i="75" s="1"/>
  <c r="I12" i="64"/>
  <c r="I15" i="64"/>
  <c r="I21" i="64"/>
  <c r="I27" i="64"/>
  <c r="I33" i="64"/>
  <c r="D7" i="75" s="1"/>
  <c r="AD12" i="64"/>
  <c r="AD15" i="64"/>
  <c r="AD18" i="64"/>
  <c r="AD21" i="64"/>
  <c r="AD24" i="64"/>
  <c r="AD27" i="64"/>
  <c r="AD30" i="64"/>
  <c r="AD33" i="64"/>
  <c r="AD36" i="64"/>
  <c r="AD39" i="64"/>
  <c r="AD45" i="64"/>
  <c r="AH6" i="75" s="1"/>
  <c r="AD44" i="64"/>
  <c r="AF6" i="75" s="1"/>
  <c r="AD43" i="64"/>
  <c r="T6" i="75" s="1"/>
  <c r="AD42" i="64"/>
  <c r="L6" i="75" s="1"/>
  <c r="T15" i="64"/>
  <c r="T18" i="64"/>
  <c r="T21" i="64"/>
  <c r="T35" i="64"/>
  <c r="AH5" i="75" s="1"/>
  <c r="T24" i="64"/>
  <c r="T30" i="64"/>
  <c r="T34" i="64"/>
  <c r="AF5" i="75" s="1"/>
  <c r="T12" i="64"/>
  <c r="T27" i="64"/>
  <c r="T33" i="64"/>
  <c r="L5" i="75" s="1"/>
  <c r="B38" i="75"/>
  <c r="B54" i="75" s="1"/>
  <c r="B70" i="75"/>
  <c r="B39" i="75"/>
  <c r="B71" i="75" s="1"/>
  <c r="B40" i="75"/>
  <c r="B72" i="75" s="1"/>
  <c r="B41" i="75"/>
  <c r="B57" i="75" s="1"/>
  <c r="B73" i="75"/>
  <c r="B42" i="75"/>
  <c r="B74" i="75"/>
  <c r="B43" i="75"/>
  <c r="B75" i="75" s="1"/>
  <c r="B44" i="75"/>
  <c r="B60" i="75" s="1"/>
  <c r="B45" i="75"/>
  <c r="B77" i="75" s="1"/>
  <c r="B46" i="75"/>
  <c r="B78" i="75"/>
  <c r="B47" i="75"/>
  <c r="B79" i="75" s="1"/>
  <c r="B48" i="75"/>
  <c r="B64" i="75" s="1"/>
  <c r="B80" i="75"/>
  <c r="B49" i="75"/>
  <c r="B65" i="75" s="1"/>
  <c r="B50" i="75"/>
  <c r="B82" i="75"/>
  <c r="B51" i="75"/>
  <c r="B83" i="75" s="1"/>
  <c r="B52" i="75"/>
  <c r="B84" i="75"/>
  <c r="B37" i="75"/>
  <c r="B53" i="75" s="1"/>
  <c r="B58" i="75"/>
  <c r="B61" i="75"/>
  <c r="B62" i="75"/>
  <c r="B66" i="75"/>
  <c r="B67" i="75"/>
  <c r="B68" i="75"/>
  <c r="B61" i="74"/>
  <c r="B62" i="74"/>
  <c r="B67" i="74"/>
  <c r="B68" i="74"/>
  <c r="B69" i="74"/>
  <c r="B70" i="74"/>
  <c r="B71" i="74"/>
  <c r="B60" i="74"/>
  <c r="B45" i="74"/>
  <c r="B46" i="74"/>
  <c r="B47" i="74"/>
  <c r="B51" i="74"/>
  <c r="B54" i="74"/>
  <c r="B55" i="74"/>
  <c r="B44" i="74"/>
  <c r="H102" i="55"/>
  <c r="H108" i="55"/>
  <c r="H114" i="55"/>
  <c r="H117" i="55"/>
  <c r="H129" i="55"/>
  <c r="D44" i="74" s="1"/>
  <c r="H120" i="55"/>
  <c r="H130" i="55"/>
  <c r="L44" i="74" s="1"/>
  <c r="H111" i="55"/>
  <c r="H123" i="55"/>
  <c r="H131" i="55"/>
  <c r="N44" i="74" s="1"/>
  <c r="H105" i="55"/>
  <c r="H126" i="55"/>
  <c r="H132" i="55"/>
  <c r="T44" i="74"/>
  <c r="U132" i="55"/>
  <c r="U138" i="55"/>
  <c r="L28" i="74" s="1"/>
  <c r="U102" i="55"/>
  <c r="U105" i="55"/>
  <c r="U108" i="55"/>
  <c r="U139" i="55"/>
  <c r="AF28" i="74"/>
  <c r="U111" i="55"/>
  <c r="U114" i="55"/>
  <c r="U117" i="55"/>
  <c r="U120" i="55"/>
  <c r="U123" i="55"/>
  <c r="U126" i="55"/>
  <c r="U129" i="55"/>
  <c r="U135" i="55"/>
  <c r="U140" i="55"/>
  <c r="AH28" i="74" s="1"/>
  <c r="B43" i="74"/>
  <c r="B59" i="74" s="1"/>
  <c r="B29" i="74"/>
  <c r="B30" i="74"/>
  <c r="B31" i="74"/>
  <c r="B63" i="74" s="1"/>
  <c r="B32" i="74"/>
  <c r="B33" i="74"/>
  <c r="B65" i="74" s="1"/>
  <c r="B34" i="74"/>
  <c r="B50" i="74" s="1"/>
  <c r="B35" i="74"/>
  <c r="B36" i="74"/>
  <c r="B52" i="74" s="1"/>
  <c r="B37" i="74"/>
  <c r="B53" i="74" s="1"/>
  <c r="B38" i="74"/>
  <c r="B39" i="74"/>
  <c r="B40" i="74"/>
  <c r="B41" i="74"/>
  <c r="B73" i="74" s="1"/>
  <c r="B42" i="74"/>
  <c r="B74" i="74" s="1"/>
  <c r="B28" i="74"/>
  <c r="H93" i="55"/>
  <c r="V22" i="74"/>
  <c r="I93" i="55"/>
  <c r="V23" i="74"/>
  <c r="J93" i="55"/>
  <c r="V24" i="74"/>
  <c r="K93" i="55"/>
  <c r="V25" i="74"/>
  <c r="L93" i="55"/>
  <c r="V26" i="74"/>
  <c r="H94" i="55"/>
  <c r="J22" i="74"/>
  <c r="I94" i="55"/>
  <c r="J23" i="74" s="1"/>
  <c r="J94" i="55"/>
  <c r="J24" i="74" s="1"/>
  <c r="K94" i="55"/>
  <c r="J25" i="74"/>
  <c r="L94" i="55"/>
  <c r="J26" i="74"/>
  <c r="H79" i="55"/>
  <c r="D17" i="74"/>
  <c r="I79" i="55"/>
  <c r="D18" i="74"/>
  <c r="J79" i="55"/>
  <c r="D19" i="74" s="1"/>
  <c r="K79" i="55"/>
  <c r="D20" i="74" s="1"/>
  <c r="L79" i="55"/>
  <c r="D21" i="74"/>
  <c r="H80" i="55"/>
  <c r="L17" i="74" s="1"/>
  <c r="I80" i="55"/>
  <c r="L18" i="74"/>
  <c r="J80" i="55"/>
  <c r="L19" i="74" s="1"/>
  <c r="K80" i="55"/>
  <c r="L20" i="74"/>
  <c r="L80" i="55"/>
  <c r="L21" i="74"/>
  <c r="H81" i="55"/>
  <c r="N17" i="74"/>
  <c r="I81" i="55"/>
  <c r="N18" i="74"/>
  <c r="J81" i="55"/>
  <c r="N19" i="74"/>
  <c r="K81" i="55"/>
  <c r="N20" i="74" s="1"/>
  <c r="L81" i="55"/>
  <c r="N21" i="74" s="1"/>
  <c r="H82" i="55"/>
  <c r="T17" i="74"/>
  <c r="I82" i="55"/>
  <c r="T18" i="74"/>
  <c r="J82" i="55"/>
  <c r="T19" i="74" s="1"/>
  <c r="K82" i="55"/>
  <c r="T20" i="74" s="1"/>
  <c r="L82" i="55"/>
  <c r="T21" i="74" s="1"/>
  <c r="I52" i="55"/>
  <c r="I58" i="55"/>
  <c r="I64" i="55"/>
  <c r="I67" i="55"/>
  <c r="J52" i="55"/>
  <c r="J58" i="55"/>
  <c r="J64" i="55"/>
  <c r="J67" i="55"/>
  <c r="K52" i="55"/>
  <c r="K58" i="55"/>
  <c r="K64" i="55"/>
  <c r="K67" i="55"/>
  <c r="L52" i="55"/>
  <c r="L58" i="55"/>
  <c r="L64" i="55"/>
  <c r="L67" i="55"/>
  <c r="I70" i="55"/>
  <c r="J70" i="55"/>
  <c r="K70" i="55"/>
  <c r="L70" i="55"/>
  <c r="I61" i="55"/>
  <c r="I73" i="55"/>
  <c r="J61" i="55"/>
  <c r="J73" i="55"/>
  <c r="K61" i="55"/>
  <c r="K73" i="55"/>
  <c r="L61" i="55"/>
  <c r="L73" i="55"/>
  <c r="I55" i="55"/>
  <c r="I76" i="55"/>
  <c r="J55" i="55"/>
  <c r="J76" i="55"/>
  <c r="K55" i="55"/>
  <c r="K76" i="55"/>
  <c r="L55" i="55"/>
  <c r="L76" i="55"/>
  <c r="H52" i="55"/>
  <c r="H58" i="55"/>
  <c r="H64" i="55"/>
  <c r="H67" i="55"/>
  <c r="H70" i="55"/>
  <c r="H61" i="55"/>
  <c r="H73" i="55"/>
  <c r="H55" i="55"/>
  <c r="H76" i="55"/>
  <c r="BA67" i="55"/>
  <c r="BA70" i="55"/>
  <c r="BA73" i="55"/>
  <c r="T16" i="74"/>
  <c r="BA52" i="55"/>
  <c r="BA55" i="55"/>
  <c r="BA58" i="55"/>
  <c r="BA61" i="55"/>
  <c r="BA64" i="55"/>
  <c r="BA74" i="55"/>
  <c r="AH16" i="74"/>
  <c r="AS58" i="55"/>
  <c r="AS64" i="55"/>
  <c r="AS70" i="55"/>
  <c r="AS73" i="55"/>
  <c r="AS76" i="55"/>
  <c r="T15" i="74"/>
  <c r="AS52" i="55"/>
  <c r="AS55" i="55"/>
  <c r="AS61" i="55"/>
  <c r="AS67" i="55"/>
  <c r="AS77" i="55"/>
  <c r="AH15" i="74" s="1"/>
  <c r="AK67" i="55"/>
  <c r="AK70" i="55"/>
  <c r="AK76" i="55"/>
  <c r="AK79" i="55"/>
  <c r="T14" i="74" s="1"/>
  <c r="AK64" i="55"/>
  <c r="AK73" i="55"/>
  <c r="AK80" i="55"/>
  <c r="AF14" i="74" s="1"/>
  <c r="AK52" i="55"/>
  <c r="AK55" i="55"/>
  <c r="AK58" i="55"/>
  <c r="AK61" i="55"/>
  <c r="AK81" i="55"/>
  <c r="AH14" i="74"/>
  <c r="AC58" i="55"/>
  <c r="AC67" i="55"/>
  <c r="AC76" i="55"/>
  <c r="T13" i="74"/>
  <c r="AC73" i="55"/>
  <c r="AC77" i="55"/>
  <c r="AF13" i="74" s="1"/>
  <c r="AC52" i="55"/>
  <c r="AC55" i="55"/>
  <c r="AC61" i="55"/>
  <c r="AC64" i="55"/>
  <c r="AC70" i="55"/>
  <c r="AC78" i="55"/>
  <c r="AH13" i="74" s="1"/>
  <c r="U58" i="55"/>
  <c r="U67" i="55"/>
  <c r="L12" i="74" s="1"/>
  <c r="U64" i="55"/>
  <c r="U68" i="55"/>
  <c r="N12" i="74" s="1"/>
  <c r="U61" i="55"/>
  <c r="U69" i="55"/>
  <c r="AF12" i="74"/>
  <c r="U52" i="55"/>
  <c r="U55" i="55"/>
  <c r="U70" i="55"/>
  <c r="AH12" i="74" s="1"/>
  <c r="T24" i="55"/>
  <c r="T30" i="55"/>
  <c r="T34" i="55"/>
  <c r="AF5" i="74" s="1"/>
  <c r="T15" i="55"/>
  <c r="T18" i="55"/>
  <c r="T21" i="55"/>
  <c r="T35" i="55"/>
  <c r="AH5" i="74" s="1"/>
  <c r="I27" i="55"/>
  <c r="T12" i="55"/>
  <c r="T27" i="55"/>
  <c r="T33" i="55"/>
  <c r="L5" i="74" s="1"/>
  <c r="S35" i="55"/>
  <c r="AI5" i="74" s="1"/>
  <c r="S34" i="55"/>
  <c r="AG5" i="74" s="1"/>
  <c r="S33" i="55"/>
  <c r="M5" i="74" s="1"/>
  <c r="J40" i="55"/>
  <c r="J43" i="55"/>
  <c r="V10" i="74"/>
  <c r="I40" i="55"/>
  <c r="I43" i="55"/>
  <c r="V9" i="74" s="1"/>
  <c r="H43" i="55"/>
  <c r="W10" i="74" s="1"/>
  <c r="J18" i="55"/>
  <c r="J36" i="55"/>
  <c r="T8" i="74"/>
  <c r="I18" i="55"/>
  <c r="I36" i="55"/>
  <c r="T7" i="74"/>
  <c r="H36" i="55"/>
  <c r="U8" i="74" s="1"/>
  <c r="J24" i="55"/>
  <c r="J35" i="55"/>
  <c r="N8" i="74"/>
  <c r="I24" i="55"/>
  <c r="I35" i="55"/>
  <c r="N7" i="74" s="1"/>
  <c r="H35" i="55"/>
  <c r="O8" i="74" s="1"/>
  <c r="O7" i="74"/>
  <c r="J30" i="55"/>
  <c r="J34" i="55"/>
  <c r="L8" i="74" s="1"/>
  <c r="I30" i="55"/>
  <c r="I34" i="55"/>
  <c r="L7" i="74" s="1"/>
  <c r="H34" i="55"/>
  <c r="M8" i="74"/>
  <c r="M7" i="74"/>
  <c r="J12" i="55"/>
  <c r="J15" i="55"/>
  <c r="J21" i="55"/>
  <c r="J27" i="55"/>
  <c r="J33" i="55"/>
  <c r="D8" i="74" s="1"/>
  <c r="I12" i="55"/>
  <c r="I15" i="55"/>
  <c r="I21" i="55"/>
  <c r="I33" i="55"/>
  <c r="D7" i="74"/>
  <c r="H33" i="55"/>
  <c r="E8" i="74" s="1"/>
  <c r="H334" i="69"/>
  <c r="J97" i="79" s="1"/>
  <c r="I334" i="69"/>
  <c r="J98" i="79" s="1"/>
  <c r="J334" i="69"/>
  <c r="J99" i="79" s="1"/>
  <c r="K334" i="69"/>
  <c r="J100" i="79" s="1"/>
  <c r="K333" i="69"/>
  <c r="V100" i="79" s="1"/>
  <c r="J333" i="69"/>
  <c r="V99" i="79" s="1"/>
  <c r="I333" i="69"/>
  <c r="V98" i="79" s="1"/>
  <c r="H333" i="69"/>
  <c r="V97" i="79" s="1"/>
  <c r="G334" i="69"/>
  <c r="G333" i="69"/>
  <c r="K330" i="69"/>
  <c r="J330" i="69"/>
  <c r="I330" i="69"/>
  <c r="H330" i="69"/>
  <c r="K327" i="69"/>
  <c r="J327" i="69"/>
  <c r="I327" i="69"/>
  <c r="H327" i="69"/>
  <c r="H321" i="69"/>
  <c r="L81" i="79" s="1"/>
  <c r="I321" i="69"/>
  <c r="L82" i="79" s="1"/>
  <c r="J321" i="69"/>
  <c r="L83" i="79" s="1"/>
  <c r="K321" i="69"/>
  <c r="L84" i="79" s="1"/>
  <c r="H322" i="69"/>
  <c r="N81" i="79" s="1"/>
  <c r="I322" i="69"/>
  <c r="N82" i="79" s="1"/>
  <c r="J322" i="69"/>
  <c r="N83" i="79" s="1"/>
  <c r="K322" i="69"/>
  <c r="N84" i="79" s="1"/>
  <c r="H323" i="69"/>
  <c r="T81" i="79" s="1"/>
  <c r="I323" i="69"/>
  <c r="T82" i="79" s="1"/>
  <c r="J323" i="69"/>
  <c r="T83" i="79" s="1"/>
  <c r="K323" i="69"/>
  <c r="T84" i="79" s="1"/>
  <c r="K320" i="69"/>
  <c r="D84" i="79" s="1"/>
  <c r="J320" i="69"/>
  <c r="D83" i="79" s="1"/>
  <c r="I320" i="69"/>
  <c r="D82" i="79" s="1"/>
  <c r="H320" i="69"/>
  <c r="D81" i="79" s="1"/>
  <c r="G321" i="69"/>
  <c r="G322" i="69"/>
  <c r="G323" i="69"/>
  <c r="G320" i="69"/>
  <c r="K317" i="69"/>
  <c r="J317" i="69"/>
  <c r="I317" i="69"/>
  <c r="H317" i="69"/>
  <c r="K314" i="69"/>
  <c r="J314" i="69"/>
  <c r="I314" i="69"/>
  <c r="H314" i="69"/>
  <c r="K311" i="69"/>
  <c r="J311" i="69"/>
  <c r="I311" i="69"/>
  <c r="H311" i="69"/>
  <c r="K308" i="69"/>
  <c r="J308" i="69"/>
  <c r="I308" i="69"/>
  <c r="H308" i="69"/>
  <c r="K305" i="69"/>
  <c r="J305" i="69"/>
  <c r="I305" i="69"/>
  <c r="H305" i="69"/>
  <c r="K302" i="69"/>
  <c r="J302" i="69"/>
  <c r="I302" i="69"/>
  <c r="H302" i="69"/>
  <c r="K299" i="69"/>
  <c r="J299" i="69"/>
  <c r="I299" i="69"/>
  <c r="H299" i="69"/>
  <c r="K296" i="69"/>
  <c r="J296" i="69"/>
  <c r="I296" i="69"/>
  <c r="H296" i="69"/>
  <c r="K293" i="69"/>
  <c r="J293" i="69"/>
  <c r="I293" i="69"/>
  <c r="H293" i="69"/>
  <c r="H284" i="69"/>
  <c r="J91" i="79" s="1"/>
  <c r="I284" i="69"/>
  <c r="J92" i="79" s="1"/>
  <c r="J284" i="69"/>
  <c r="J93" i="79" s="1"/>
  <c r="K284" i="69"/>
  <c r="J94" i="79" s="1"/>
  <c r="L284" i="69"/>
  <c r="J95" i="79" s="1"/>
  <c r="M284" i="69"/>
  <c r="J96" i="79" s="1"/>
  <c r="M283" i="69"/>
  <c r="V96" i="79" s="1"/>
  <c r="L283" i="69"/>
  <c r="V95" i="79" s="1"/>
  <c r="K283" i="69"/>
  <c r="V94" i="79" s="1"/>
  <c r="J283" i="69"/>
  <c r="V93" i="79" s="1"/>
  <c r="I283" i="69"/>
  <c r="V92" i="79" s="1"/>
  <c r="H283" i="69"/>
  <c r="V91" i="79" s="1"/>
  <c r="G284" i="69"/>
  <c r="G283" i="69"/>
  <c r="H271" i="69"/>
  <c r="L75" i="79" s="1"/>
  <c r="I271" i="69"/>
  <c r="L76" i="79" s="1"/>
  <c r="J271" i="69"/>
  <c r="L77" i="79" s="1"/>
  <c r="K271" i="69"/>
  <c r="L78" i="79" s="1"/>
  <c r="L271" i="69"/>
  <c r="L79" i="79" s="1"/>
  <c r="M271" i="69"/>
  <c r="L80" i="79" s="1"/>
  <c r="H272" i="69"/>
  <c r="N75" i="79" s="1"/>
  <c r="I272" i="69"/>
  <c r="N76" i="79" s="1"/>
  <c r="J272" i="69"/>
  <c r="N77" i="79" s="1"/>
  <c r="K272" i="69"/>
  <c r="N78" i="79" s="1"/>
  <c r="L272" i="69"/>
  <c r="N79" i="79" s="1"/>
  <c r="M272" i="69"/>
  <c r="N80" i="79" s="1"/>
  <c r="H273" i="69"/>
  <c r="T75" i="79" s="1"/>
  <c r="I273" i="69"/>
  <c r="T76" i="79" s="1"/>
  <c r="J273" i="69"/>
  <c r="T77" i="79" s="1"/>
  <c r="K273" i="69"/>
  <c r="T78" i="79" s="1"/>
  <c r="L273" i="69"/>
  <c r="T79" i="79" s="1"/>
  <c r="M273" i="69"/>
  <c r="T80" i="79" s="1"/>
  <c r="M270" i="69"/>
  <c r="D80" i="79" s="1"/>
  <c r="L270" i="69"/>
  <c r="D79" i="79" s="1"/>
  <c r="K270" i="69"/>
  <c r="D78" i="79" s="1"/>
  <c r="J270" i="69"/>
  <c r="D77" i="79" s="1"/>
  <c r="H270" i="69"/>
  <c r="D75" i="79" s="1"/>
  <c r="I270" i="69"/>
  <c r="D76" i="79" s="1"/>
  <c r="G271" i="69"/>
  <c r="G272" i="69"/>
  <c r="G273" i="69"/>
  <c r="G270" i="69"/>
  <c r="M280" i="69"/>
  <c r="L280" i="69"/>
  <c r="K280" i="69"/>
  <c r="J280" i="69"/>
  <c r="I280" i="69"/>
  <c r="H280" i="69"/>
  <c r="M277" i="69"/>
  <c r="L277" i="69"/>
  <c r="K277" i="69"/>
  <c r="J277" i="69"/>
  <c r="I277" i="69"/>
  <c r="H277" i="69"/>
  <c r="M267" i="69"/>
  <c r="L267" i="69"/>
  <c r="K267" i="69"/>
  <c r="J267" i="69"/>
  <c r="I267" i="69"/>
  <c r="H267" i="69"/>
  <c r="M264" i="69"/>
  <c r="L264" i="69"/>
  <c r="K264" i="69"/>
  <c r="J264" i="69"/>
  <c r="I264" i="69"/>
  <c r="H264" i="69"/>
  <c r="M261" i="69"/>
  <c r="L261" i="69"/>
  <c r="K261" i="69"/>
  <c r="J261" i="69"/>
  <c r="I261" i="69"/>
  <c r="H261" i="69"/>
  <c r="M258" i="69"/>
  <c r="L258" i="69"/>
  <c r="K258" i="69"/>
  <c r="J258" i="69"/>
  <c r="I258" i="69"/>
  <c r="H258" i="69"/>
  <c r="M255" i="69"/>
  <c r="L255" i="69"/>
  <c r="K255" i="69"/>
  <c r="J255" i="69"/>
  <c r="I255" i="69"/>
  <c r="H255" i="69"/>
  <c r="M252" i="69"/>
  <c r="L252" i="69"/>
  <c r="K252" i="69"/>
  <c r="J252" i="69"/>
  <c r="I252" i="69"/>
  <c r="H252" i="69"/>
  <c r="M249" i="69"/>
  <c r="L249" i="69"/>
  <c r="K249" i="69"/>
  <c r="J249" i="69"/>
  <c r="I249" i="69"/>
  <c r="H249" i="69"/>
  <c r="M246" i="69"/>
  <c r="L246" i="69"/>
  <c r="K246" i="69"/>
  <c r="J246" i="69"/>
  <c r="I246" i="69"/>
  <c r="H246" i="69"/>
  <c r="M243" i="69"/>
  <c r="L243" i="69"/>
  <c r="K243" i="69"/>
  <c r="J243" i="69"/>
  <c r="I243" i="69"/>
  <c r="H243" i="69"/>
  <c r="H234" i="69"/>
  <c r="J85" i="79" s="1"/>
  <c r="I234" i="69"/>
  <c r="J86" i="79" s="1"/>
  <c r="J234" i="69"/>
  <c r="J87" i="79" s="1"/>
  <c r="K234" i="69"/>
  <c r="J88" i="79" s="1"/>
  <c r="L234" i="69"/>
  <c r="J89" i="79" s="1"/>
  <c r="M234" i="69"/>
  <c r="J90" i="79" s="1"/>
  <c r="M233" i="69"/>
  <c r="V90" i="79" s="1"/>
  <c r="L233" i="69"/>
  <c r="V89" i="79" s="1"/>
  <c r="K233" i="69"/>
  <c r="V88" i="79" s="1"/>
  <c r="J233" i="69"/>
  <c r="V87" i="79" s="1"/>
  <c r="I233" i="69"/>
  <c r="V86" i="79" s="1"/>
  <c r="H233" i="69"/>
  <c r="V85" i="79" s="1"/>
  <c r="H221" i="69"/>
  <c r="L69" i="79" s="1"/>
  <c r="I221" i="69"/>
  <c r="L70" i="79" s="1"/>
  <c r="J221" i="69"/>
  <c r="L71" i="79" s="1"/>
  <c r="K221" i="69"/>
  <c r="L72" i="79" s="1"/>
  <c r="L221" i="69"/>
  <c r="L73" i="79" s="1"/>
  <c r="M221" i="69"/>
  <c r="L74" i="79" s="1"/>
  <c r="H222" i="69"/>
  <c r="N69" i="79" s="1"/>
  <c r="I222" i="69"/>
  <c r="N70" i="79" s="1"/>
  <c r="J222" i="69"/>
  <c r="N71" i="79" s="1"/>
  <c r="K222" i="69"/>
  <c r="N72" i="79" s="1"/>
  <c r="L222" i="69"/>
  <c r="N73" i="79" s="1"/>
  <c r="M222" i="69"/>
  <c r="N74" i="79" s="1"/>
  <c r="H223" i="69"/>
  <c r="T69" i="79" s="1"/>
  <c r="I223" i="69"/>
  <c r="T70" i="79" s="1"/>
  <c r="J223" i="69"/>
  <c r="T71" i="79" s="1"/>
  <c r="K223" i="69"/>
  <c r="T72" i="79" s="1"/>
  <c r="L223" i="69"/>
  <c r="T73" i="79" s="1"/>
  <c r="M223" i="69"/>
  <c r="T74" i="79" s="1"/>
  <c r="M220" i="69"/>
  <c r="D74" i="79" s="1"/>
  <c r="L220" i="69"/>
  <c r="D73" i="79" s="1"/>
  <c r="K220" i="69"/>
  <c r="D72" i="79" s="1"/>
  <c r="J220" i="69"/>
  <c r="D71" i="79" s="1"/>
  <c r="I220" i="69"/>
  <c r="D70" i="79" s="1"/>
  <c r="H220" i="69"/>
  <c r="D69" i="79" s="1"/>
  <c r="G234" i="69"/>
  <c r="G233" i="69"/>
  <c r="M230" i="69"/>
  <c r="L230" i="69"/>
  <c r="K230" i="69"/>
  <c r="J230" i="69"/>
  <c r="I230" i="69"/>
  <c r="H230" i="69"/>
  <c r="M227" i="69"/>
  <c r="L227" i="69"/>
  <c r="K227" i="69"/>
  <c r="J227" i="69"/>
  <c r="I227" i="69"/>
  <c r="H227" i="69"/>
  <c r="G221" i="69"/>
  <c r="G222" i="69"/>
  <c r="G223" i="69"/>
  <c r="G220" i="69"/>
  <c r="H187" i="69"/>
  <c r="J50" i="79" s="1"/>
  <c r="I187" i="69"/>
  <c r="J51" i="79" s="1"/>
  <c r="I186" i="69"/>
  <c r="V51" i="79" s="1"/>
  <c r="H186" i="69"/>
  <c r="V50" i="79" s="1"/>
  <c r="G187" i="69"/>
  <c r="G186" i="69"/>
  <c r="I183" i="69"/>
  <c r="H183" i="69"/>
  <c r="I180" i="69"/>
  <c r="H180" i="69"/>
  <c r="G173" i="69"/>
  <c r="G174" i="69"/>
  <c r="G175" i="69"/>
  <c r="H173" i="69"/>
  <c r="L42" i="79" s="1"/>
  <c r="I173" i="69"/>
  <c r="L43" i="79" s="1"/>
  <c r="H174" i="69"/>
  <c r="N42" i="79" s="1"/>
  <c r="I174" i="69"/>
  <c r="N43" i="79" s="1"/>
  <c r="H175" i="69"/>
  <c r="T42" i="79" s="1"/>
  <c r="I175" i="69"/>
  <c r="T43" i="79" s="1"/>
  <c r="I172" i="69"/>
  <c r="D43" i="79" s="1"/>
  <c r="H172" i="69"/>
  <c r="D42" i="79" s="1"/>
  <c r="G172" i="69"/>
  <c r="H148" i="69"/>
  <c r="I148" i="69"/>
  <c r="H151" i="69"/>
  <c r="I151" i="69"/>
  <c r="H154" i="69"/>
  <c r="I154" i="69"/>
  <c r="H157" i="69"/>
  <c r="I157" i="69"/>
  <c r="H160" i="69"/>
  <c r="I160" i="69"/>
  <c r="H163" i="69"/>
  <c r="I163" i="69"/>
  <c r="H166" i="69"/>
  <c r="I166" i="69"/>
  <c r="H169" i="69"/>
  <c r="I169" i="69"/>
  <c r="I145" i="69"/>
  <c r="H145" i="69"/>
  <c r="H139" i="69"/>
  <c r="J44" i="79" s="1"/>
  <c r="I139" i="69"/>
  <c r="J45" i="79" s="1"/>
  <c r="J139" i="69"/>
  <c r="J46" i="79" s="1"/>
  <c r="K139" i="69"/>
  <c r="J47" i="79" s="1"/>
  <c r="L139" i="69"/>
  <c r="J48" i="79" s="1"/>
  <c r="M139" i="69"/>
  <c r="J49" i="79" s="1"/>
  <c r="M138" i="69"/>
  <c r="V49" i="79" s="1"/>
  <c r="L138" i="69"/>
  <c r="V48" i="79" s="1"/>
  <c r="K138" i="69"/>
  <c r="V47" i="79" s="1"/>
  <c r="J138" i="69"/>
  <c r="V46" i="79" s="1"/>
  <c r="I138" i="69"/>
  <c r="V45" i="79" s="1"/>
  <c r="H138" i="69"/>
  <c r="V44" i="79" s="1"/>
  <c r="G139" i="69"/>
  <c r="G138" i="69"/>
  <c r="M135" i="69"/>
  <c r="L135" i="69"/>
  <c r="K135" i="69"/>
  <c r="J135" i="69"/>
  <c r="I135" i="69"/>
  <c r="H135" i="69"/>
  <c r="M132" i="69"/>
  <c r="L132" i="69"/>
  <c r="K132" i="69"/>
  <c r="J132" i="69"/>
  <c r="I132" i="69"/>
  <c r="H132" i="69"/>
  <c r="H126" i="69"/>
  <c r="L36" i="79" s="1"/>
  <c r="I126" i="69"/>
  <c r="L37" i="79" s="1"/>
  <c r="J126" i="69"/>
  <c r="L38" i="79" s="1"/>
  <c r="K126" i="69"/>
  <c r="L39" i="79" s="1"/>
  <c r="L126" i="69"/>
  <c r="L40" i="79" s="1"/>
  <c r="M126" i="69"/>
  <c r="L41" i="79" s="1"/>
  <c r="H127" i="69"/>
  <c r="N36" i="79" s="1"/>
  <c r="I127" i="69"/>
  <c r="N37" i="79" s="1"/>
  <c r="J127" i="69"/>
  <c r="N38" i="79" s="1"/>
  <c r="K127" i="69"/>
  <c r="N39" i="79" s="1"/>
  <c r="L127" i="69"/>
  <c r="N40" i="79" s="1"/>
  <c r="M127" i="69"/>
  <c r="N41" i="79" s="1"/>
  <c r="H128" i="69"/>
  <c r="T36" i="79" s="1"/>
  <c r="I128" i="69"/>
  <c r="T37" i="79" s="1"/>
  <c r="J128" i="69"/>
  <c r="T38" i="79" s="1"/>
  <c r="K128" i="69"/>
  <c r="T39" i="79" s="1"/>
  <c r="L128" i="69"/>
  <c r="T40" i="79" s="1"/>
  <c r="M128" i="69"/>
  <c r="T41" i="79" s="1"/>
  <c r="M125" i="69"/>
  <c r="D41" i="79" s="1"/>
  <c r="L125" i="69"/>
  <c r="D40" i="79" s="1"/>
  <c r="K125" i="69"/>
  <c r="D39" i="79" s="1"/>
  <c r="J125" i="69"/>
  <c r="D38" i="79" s="1"/>
  <c r="I125" i="69"/>
  <c r="D37" i="79" s="1"/>
  <c r="H125" i="69"/>
  <c r="D36" i="79" s="1"/>
  <c r="G126" i="69"/>
  <c r="G127" i="69"/>
  <c r="G128" i="69"/>
  <c r="G125" i="69"/>
  <c r="H101" i="69"/>
  <c r="I101" i="69"/>
  <c r="J101" i="69"/>
  <c r="K101" i="69"/>
  <c r="L101" i="69"/>
  <c r="M101" i="69"/>
  <c r="H104" i="69"/>
  <c r="I104" i="69"/>
  <c r="J104" i="69"/>
  <c r="K104" i="69"/>
  <c r="L104" i="69"/>
  <c r="M104" i="69"/>
  <c r="H107" i="69"/>
  <c r="I107" i="69"/>
  <c r="J107" i="69"/>
  <c r="K107" i="69"/>
  <c r="L107" i="69"/>
  <c r="M107" i="69"/>
  <c r="H110" i="69"/>
  <c r="I110" i="69"/>
  <c r="J110" i="69"/>
  <c r="K110" i="69"/>
  <c r="L110" i="69"/>
  <c r="M110" i="69"/>
  <c r="H113" i="69"/>
  <c r="I113" i="69"/>
  <c r="J113" i="69"/>
  <c r="K113" i="69"/>
  <c r="L113" i="69"/>
  <c r="M113" i="69"/>
  <c r="H116" i="69"/>
  <c r="I116" i="69"/>
  <c r="J116" i="69"/>
  <c r="K116" i="69"/>
  <c r="L116" i="69"/>
  <c r="M116" i="69"/>
  <c r="H119" i="69"/>
  <c r="I119" i="69"/>
  <c r="J119" i="69"/>
  <c r="K119" i="69"/>
  <c r="L119" i="69"/>
  <c r="M119" i="69"/>
  <c r="H122" i="69"/>
  <c r="I122" i="69"/>
  <c r="J122" i="69"/>
  <c r="K122" i="69"/>
  <c r="L122" i="69"/>
  <c r="M122" i="69"/>
  <c r="M98" i="69"/>
  <c r="L98" i="69"/>
  <c r="K98" i="69"/>
  <c r="J98" i="69"/>
  <c r="I98" i="69"/>
  <c r="H98" i="69"/>
  <c r="H91" i="69"/>
  <c r="J23" i="79" s="1"/>
  <c r="I91" i="69"/>
  <c r="J24" i="79" s="1"/>
  <c r="J91" i="69"/>
  <c r="J25" i="79" s="1"/>
  <c r="K91" i="69"/>
  <c r="J26" i="79" s="1"/>
  <c r="K90" i="69"/>
  <c r="V26" i="79" s="1"/>
  <c r="J90" i="69"/>
  <c r="V25" i="79" s="1"/>
  <c r="I90" i="69"/>
  <c r="V24" i="79" s="1"/>
  <c r="H90" i="69"/>
  <c r="V23" i="79" s="1"/>
  <c r="G91" i="69"/>
  <c r="G90" i="69"/>
  <c r="K87" i="69"/>
  <c r="J87" i="69"/>
  <c r="I87" i="69"/>
  <c r="H87" i="69"/>
  <c r="K84" i="69"/>
  <c r="J84" i="69"/>
  <c r="I84" i="69"/>
  <c r="H84" i="69"/>
  <c r="H78" i="69"/>
  <c r="L19" i="79" s="1"/>
  <c r="I78" i="69"/>
  <c r="L20" i="79" s="1"/>
  <c r="J78" i="69"/>
  <c r="L21" i="79" s="1"/>
  <c r="K78" i="69"/>
  <c r="L22" i="79" s="1"/>
  <c r="H79" i="69"/>
  <c r="N19" i="79" s="1"/>
  <c r="I79" i="69"/>
  <c r="N20" i="79" s="1"/>
  <c r="J79" i="69"/>
  <c r="N21" i="79" s="1"/>
  <c r="K79" i="69"/>
  <c r="N22" i="79" s="1"/>
  <c r="H80" i="69"/>
  <c r="T19" i="79" s="1"/>
  <c r="I80" i="69"/>
  <c r="T20" i="79" s="1"/>
  <c r="J80" i="69"/>
  <c r="T21" i="79" s="1"/>
  <c r="K80" i="69"/>
  <c r="T22" i="79" s="1"/>
  <c r="K77" i="69"/>
  <c r="D22" i="79" s="1"/>
  <c r="J77" i="69"/>
  <c r="D21" i="79" s="1"/>
  <c r="I77" i="69"/>
  <c r="D20" i="79" s="1"/>
  <c r="H77" i="69"/>
  <c r="D19" i="79" s="1"/>
  <c r="G80" i="69"/>
  <c r="G78" i="69"/>
  <c r="G79" i="69"/>
  <c r="G77" i="69"/>
  <c r="H53" i="69"/>
  <c r="I53" i="69"/>
  <c r="J53" i="69"/>
  <c r="K53" i="69"/>
  <c r="H56" i="69"/>
  <c r="I56" i="69"/>
  <c r="J56" i="69"/>
  <c r="K56" i="69"/>
  <c r="H59" i="69"/>
  <c r="I59" i="69"/>
  <c r="J59" i="69"/>
  <c r="K59" i="69"/>
  <c r="H62" i="69"/>
  <c r="I62" i="69"/>
  <c r="J62" i="69"/>
  <c r="K62" i="69"/>
  <c r="H65" i="69"/>
  <c r="I65" i="69"/>
  <c r="J65" i="69"/>
  <c r="K65" i="69"/>
  <c r="H68" i="69"/>
  <c r="I68" i="69"/>
  <c r="J68" i="69"/>
  <c r="K68" i="69"/>
  <c r="H71" i="69"/>
  <c r="I71" i="69"/>
  <c r="J71" i="69"/>
  <c r="K71" i="69"/>
  <c r="H74" i="69"/>
  <c r="I74" i="69"/>
  <c r="J74" i="69"/>
  <c r="K74" i="69"/>
  <c r="K50" i="69"/>
  <c r="J50" i="69"/>
  <c r="I50" i="69"/>
  <c r="H50" i="69"/>
  <c r="H196" i="69"/>
  <c r="I196" i="69"/>
  <c r="J196" i="69"/>
  <c r="K196" i="69"/>
  <c r="L196" i="69"/>
  <c r="M196" i="69"/>
  <c r="H199" i="69"/>
  <c r="I199" i="69"/>
  <c r="J199" i="69"/>
  <c r="K199" i="69"/>
  <c r="L199" i="69"/>
  <c r="M199" i="69"/>
  <c r="H202" i="69"/>
  <c r="I202" i="69"/>
  <c r="J202" i="69"/>
  <c r="K202" i="69"/>
  <c r="L202" i="69"/>
  <c r="M202" i="69"/>
  <c r="H205" i="69"/>
  <c r="I205" i="69"/>
  <c r="J205" i="69"/>
  <c r="K205" i="69"/>
  <c r="L205" i="69"/>
  <c r="M205" i="69"/>
  <c r="H208" i="69"/>
  <c r="I208" i="69"/>
  <c r="J208" i="69"/>
  <c r="K208" i="69"/>
  <c r="L208" i="69"/>
  <c r="M208" i="69"/>
  <c r="H211" i="69"/>
  <c r="I211" i="69"/>
  <c r="J211" i="69"/>
  <c r="K211" i="69"/>
  <c r="L211" i="69"/>
  <c r="M211" i="69"/>
  <c r="H214" i="69"/>
  <c r="I214" i="69"/>
  <c r="J214" i="69"/>
  <c r="K214" i="69"/>
  <c r="L214" i="69"/>
  <c r="M214" i="69"/>
  <c r="H217" i="69"/>
  <c r="I217" i="69"/>
  <c r="J217" i="69"/>
  <c r="K217" i="69"/>
  <c r="L217" i="69"/>
  <c r="M217" i="69"/>
  <c r="M193" i="69"/>
  <c r="L193" i="69"/>
  <c r="K193" i="69"/>
  <c r="J193" i="69"/>
  <c r="I193" i="69"/>
  <c r="H193" i="69"/>
  <c r="M88" i="68"/>
  <c r="L88" i="68"/>
  <c r="K88" i="68"/>
  <c r="J88" i="68"/>
  <c r="I88" i="68"/>
  <c r="H88" i="68"/>
  <c r="M85" i="68"/>
  <c r="L85" i="68"/>
  <c r="K85" i="68"/>
  <c r="J85" i="68"/>
  <c r="I85" i="68"/>
  <c r="H85" i="68"/>
  <c r="H53" i="68"/>
  <c r="I53" i="68"/>
  <c r="J53" i="68"/>
  <c r="K53" i="68"/>
  <c r="L53" i="68"/>
  <c r="M53" i="68"/>
  <c r="H56" i="68"/>
  <c r="I56" i="68"/>
  <c r="J56" i="68"/>
  <c r="K56" i="68"/>
  <c r="L56" i="68"/>
  <c r="M56" i="68"/>
  <c r="H59" i="68"/>
  <c r="I59" i="68"/>
  <c r="J59" i="68"/>
  <c r="K59" i="68"/>
  <c r="L59" i="68"/>
  <c r="M59" i="68"/>
  <c r="H62" i="68"/>
  <c r="I62" i="68"/>
  <c r="J62" i="68"/>
  <c r="K62" i="68"/>
  <c r="L62" i="68"/>
  <c r="M62" i="68"/>
  <c r="H65" i="68"/>
  <c r="I65" i="68"/>
  <c r="J65" i="68"/>
  <c r="K65" i="68"/>
  <c r="L65" i="68"/>
  <c r="M65" i="68"/>
  <c r="H68" i="68"/>
  <c r="I68" i="68"/>
  <c r="J68" i="68"/>
  <c r="K68" i="68"/>
  <c r="L68" i="68"/>
  <c r="M68" i="68"/>
  <c r="H71" i="68"/>
  <c r="I71" i="68"/>
  <c r="J71" i="68"/>
  <c r="K71" i="68"/>
  <c r="L71" i="68"/>
  <c r="M71" i="68"/>
  <c r="H74" i="68"/>
  <c r="I74" i="68"/>
  <c r="J74" i="68"/>
  <c r="K74" i="68"/>
  <c r="L74" i="68"/>
  <c r="M74" i="68"/>
  <c r="M50" i="68"/>
  <c r="L50" i="68"/>
  <c r="K50" i="68"/>
  <c r="J50" i="68"/>
  <c r="I50" i="68"/>
  <c r="H50" i="68"/>
  <c r="M80" i="68"/>
  <c r="T26" i="78" s="1"/>
  <c r="M79" i="68"/>
  <c r="N26" i="78" s="1"/>
  <c r="M78" i="68"/>
  <c r="L26" i="78" s="1"/>
  <c r="M77" i="68"/>
  <c r="D26" i="78" s="1"/>
  <c r="L80" i="68"/>
  <c r="T25" i="78" s="1"/>
  <c r="L79" i="68"/>
  <c r="N25" i="78" s="1"/>
  <c r="L78" i="68"/>
  <c r="L25" i="78" s="1"/>
  <c r="L77" i="68"/>
  <c r="D25" i="78" s="1"/>
  <c r="K80" i="68"/>
  <c r="T24" i="78" s="1"/>
  <c r="K79" i="68"/>
  <c r="N24" i="78" s="1"/>
  <c r="K78" i="68"/>
  <c r="L24" i="78" s="1"/>
  <c r="K77" i="68"/>
  <c r="D24" i="78" s="1"/>
  <c r="J80" i="68"/>
  <c r="T23" i="78" s="1"/>
  <c r="J79" i="68"/>
  <c r="N23" i="78" s="1"/>
  <c r="J78" i="68"/>
  <c r="L23" i="78" s="1"/>
  <c r="J77" i="68"/>
  <c r="D23" i="78" s="1"/>
  <c r="I80" i="68"/>
  <c r="T22" i="78" s="1"/>
  <c r="I79" i="68"/>
  <c r="N22" i="78" s="1"/>
  <c r="I78" i="68"/>
  <c r="L22" i="78" s="1"/>
  <c r="I77" i="68"/>
  <c r="D22" i="78" s="1"/>
  <c r="H80" i="68"/>
  <c r="T21" i="78" s="1"/>
  <c r="H79" i="68"/>
  <c r="N21" i="78" s="1"/>
  <c r="H78" i="68"/>
  <c r="L21" i="78" s="1"/>
  <c r="H77" i="68"/>
  <c r="D21" i="78" s="1"/>
  <c r="M92" i="68"/>
  <c r="J32" i="78" s="1"/>
  <c r="L92" i="68"/>
  <c r="J31" i="78" s="1"/>
  <c r="K92" i="68"/>
  <c r="J30" i="78" s="1"/>
  <c r="J92" i="68"/>
  <c r="J29" i="78" s="1"/>
  <c r="I92" i="68"/>
  <c r="J28" i="78" s="1"/>
  <c r="H92" i="68"/>
  <c r="J27" i="78" s="1"/>
  <c r="G92" i="68"/>
  <c r="M91" i="68"/>
  <c r="V32" i="78" s="1"/>
  <c r="L91" i="68"/>
  <c r="V31" i="78" s="1"/>
  <c r="K91" i="68"/>
  <c r="V30" i="78" s="1"/>
  <c r="J91" i="68"/>
  <c r="V29" i="78" s="1"/>
  <c r="I91" i="68"/>
  <c r="V28" i="78" s="1"/>
  <c r="H91" i="68"/>
  <c r="V27" i="78" s="1"/>
  <c r="G91" i="68"/>
  <c r="G80" i="68"/>
  <c r="G79" i="68"/>
  <c r="G78" i="68"/>
  <c r="G77" i="68"/>
  <c r="K239" i="68"/>
  <c r="J81" i="78" s="1"/>
  <c r="J239" i="68"/>
  <c r="J80" i="78" s="1"/>
  <c r="I239" i="68"/>
  <c r="J79" i="78" s="1"/>
  <c r="H239" i="68"/>
  <c r="J78" i="78" s="1"/>
  <c r="G239" i="68"/>
  <c r="K238" i="68"/>
  <c r="V81" i="78" s="1"/>
  <c r="J238" i="68"/>
  <c r="V80" i="78" s="1"/>
  <c r="I238" i="68"/>
  <c r="V79" i="78" s="1"/>
  <c r="H238" i="68"/>
  <c r="V78" i="78" s="1"/>
  <c r="G238" i="68"/>
  <c r="K235" i="68"/>
  <c r="J235" i="68"/>
  <c r="I235" i="68"/>
  <c r="H235" i="68"/>
  <c r="K232" i="68"/>
  <c r="J232" i="68"/>
  <c r="I232" i="68"/>
  <c r="H232" i="68"/>
  <c r="K228" i="68"/>
  <c r="T65" i="78" s="1"/>
  <c r="J228" i="68"/>
  <c r="T64" i="78" s="1"/>
  <c r="I228" i="68"/>
  <c r="T63" i="78" s="1"/>
  <c r="H228" i="68"/>
  <c r="T62" i="78" s="1"/>
  <c r="G228" i="68"/>
  <c r="K227" i="68"/>
  <c r="N65" i="78" s="1"/>
  <c r="J227" i="68"/>
  <c r="N64" i="78" s="1"/>
  <c r="I227" i="68"/>
  <c r="N63" i="78" s="1"/>
  <c r="H227" i="68"/>
  <c r="N62" i="78" s="1"/>
  <c r="G227" i="68"/>
  <c r="K226" i="68"/>
  <c r="L65" i="78" s="1"/>
  <c r="J226" i="68"/>
  <c r="L64" i="78" s="1"/>
  <c r="I226" i="68"/>
  <c r="L63" i="78" s="1"/>
  <c r="H226" i="68"/>
  <c r="L62" i="78" s="1"/>
  <c r="G226" i="68"/>
  <c r="K225" i="68"/>
  <c r="D65" i="78" s="1"/>
  <c r="J225" i="68"/>
  <c r="D64" i="78" s="1"/>
  <c r="I225" i="68"/>
  <c r="D63" i="78" s="1"/>
  <c r="H225" i="68"/>
  <c r="D62" i="78" s="1"/>
  <c r="G225" i="68"/>
  <c r="K222" i="68"/>
  <c r="J222" i="68"/>
  <c r="I222" i="68"/>
  <c r="H222" i="68"/>
  <c r="K219" i="68"/>
  <c r="J219" i="68"/>
  <c r="I219" i="68"/>
  <c r="H219" i="68"/>
  <c r="K216" i="68"/>
  <c r="J216" i="68"/>
  <c r="I216" i="68"/>
  <c r="H216" i="68"/>
  <c r="K213" i="68"/>
  <c r="J213" i="68"/>
  <c r="I213" i="68"/>
  <c r="H213" i="68"/>
  <c r="K210" i="68"/>
  <c r="J210" i="68"/>
  <c r="I210" i="68"/>
  <c r="H210" i="68"/>
  <c r="K207" i="68"/>
  <c r="J207" i="68"/>
  <c r="I207" i="68"/>
  <c r="H207" i="68"/>
  <c r="K204" i="68"/>
  <c r="J204" i="68"/>
  <c r="I204" i="68"/>
  <c r="H204" i="68"/>
  <c r="K201" i="68"/>
  <c r="J201" i="68"/>
  <c r="I201" i="68"/>
  <c r="H201" i="68"/>
  <c r="K198" i="68"/>
  <c r="J198" i="68"/>
  <c r="I198" i="68"/>
  <c r="H198" i="68"/>
  <c r="M189" i="68"/>
  <c r="J77" i="78" s="1"/>
  <c r="L189" i="68"/>
  <c r="J76" i="78" s="1"/>
  <c r="K189" i="68"/>
  <c r="J75" i="78" s="1"/>
  <c r="J189" i="68"/>
  <c r="J74" i="78" s="1"/>
  <c r="I189" i="68"/>
  <c r="J73" i="78" s="1"/>
  <c r="H189" i="68"/>
  <c r="J72" i="78" s="1"/>
  <c r="G189" i="68"/>
  <c r="M188" i="68"/>
  <c r="V77" i="78" s="1"/>
  <c r="L188" i="68"/>
  <c r="V76" i="78" s="1"/>
  <c r="K188" i="68"/>
  <c r="V75" i="78" s="1"/>
  <c r="J188" i="68"/>
  <c r="V74" i="78" s="1"/>
  <c r="I188" i="68"/>
  <c r="V73" i="78" s="1"/>
  <c r="H188" i="68"/>
  <c r="V72" i="78" s="1"/>
  <c r="G188" i="68"/>
  <c r="M185" i="68"/>
  <c r="L185" i="68"/>
  <c r="K185" i="68"/>
  <c r="J185" i="68"/>
  <c r="I185" i="68"/>
  <c r="H185" i="68"/>
  <c r="M182" i="68"/>
  <c r="L182" i="68"/>
  <c r="K182" i="68"/>
  <c r="J182" i="68"/>
  <c r="I182" i="68"/>
  <c r="H182" i="68"/>
  <c r="M178" i="68"/>
  <c r="T61" i="78" s="1"/>
  <c r="L178" i="68"/>
  <c r="T60" i="78" s="1"/>
  <c r="K178" i="68"/>
  <c r="T59" i="78" s="1"/>
  <c r="J178" i="68"/>
  <c r="T58" i="78" s="1"/>
  <c r="I178" i="68"/>
  <c r="T57" i="78" s="1"/>
  <c r="H178" i="68"/>
  <c r="T56" i="78" s="1"/>
  <c r="G178" i="68"/>
  <c r="M177" i="68"/>
  <c r="N61" i="78" s="1"/>
  <c r="L177" i="68"/>
  <c r="N60" i="78" s="1"/>
  <c r="K177" i="68"/>
  <c r="N59" i="78" s="1"/>
  <c r="J177" i="68"/>
  <c r="N58" i="78" s="1"/>
  <c r="I177" i="68"/>
  <c r="N57" i="78" s="1"/>
  <c r="H177" i="68"/>
  <c r="N56" i="78" s="1"/>
  <c r="G177" i="68"/>
  <c r="M176" i="68"/>
  <c r="L61" i="78" s="1"/>
  <c r="L176" i="68"/>
  <c r="L60" i="78" s="1"/>
  <c r="K176" i="68"/>
  <c r="L59" i="78" s="1"/>
  <c r="J176" i="68"/>
  <c r="L58" i="78" s="1"/>
  <c r="I176" i="68"/>
  <c r="L57" i="78" s="1"/>
  <c r="H176" i="68"/>
  <c r="L56" i="78" s="1"/>
  <c r="G176" i="68"/>
  <c r="M175" i="68"/>
  <c r="D61" i="78" s="1"/>
  <c r="L175" i="68"/>
  <c r="D60" i="78" s="1"/>
  <c r="K175" i="68"/>
  <c r="D59" i="78" s="1"/>
  <c r="J175" i="68"/>
  <c r="D58" i="78" s="1"/>
  <c r="I175" i="68"/>
  <c r="D57" i="78" s="1"/>
  <c r="H175" i="68"/>
  <c r="D56" i="78" s="1"/>
  <c r="G175" i="68"/>
  <c r="M172" i="68"/>
  <c r="L172" i="68"/>
  <c r="K172" i="68"/>
  <c r="J172" i="68"/>
  <c r="I172" i="68"/>
  <c r="H172" i="68"/>
  <c r="M169" i="68"/>
  <c r="L169" i="68"/>
  <c r="K169" i="68"/>
  <c r="J169" i="68"/>
  <c r="I169" i="68"/>
  <c r="H169" i="68"/>
  <c r="M166" i="68"/>
  <c r="L166" i="68"/>
  <c r="K166" i="68"/>
  <c r="J166" i="68"/>
  <c r="I166" i="68"/>
  <c r="H166" i="68"/>
  <c r="M163" i="68"/>
  <c r="L163" i="68"/>
  <c r="K163" i="68"/>
  <c r="J163" i="68"/>
  <c r="I163" i="68"/>
  <c r="H163" i="68"/>
  <c r="M160" i="68"/>
  <c r="L160" i="68"/>
  <c r="K160" i="68"/>
  <c r="J160" i="68"/>
  <c r="I160" i="68"/>
  <c r="H160" i="68"/>
  <c r="M157" i="68"/>
  <c r="L157" i="68"/>
  <c r="K157" i="68"/>
  <c r="J157" i="68"/>
  <c r="I157" i="68"/>
  <c r="H157" i="68"/>
  <c r="M154" i="68"/>
  <c r="L154" i="68"/>
  <c r="K154" i="68"/>
  <c r="J154" i="68"/>
  <c r="I154" i="68"/>
  <c r="H154" i="68"/>
  <c r="M151" i="68"/>
  <c r="L151" i="68"/>
  <c r="K151" i="68"/>
  <c r="J151" i="68"/>
  <c r="I151" i="68"/>
  <c r="H151" i="68"/>
  <c r="M148" i="68"/>
  <c r="L148" i="68"/>
  <c r="K148" i="68"/>
  <c r="J148" i="68"/>
  <c r="I148" i="68"/>
  <c r="H148" i="68"/>
  <c r="M139" i="68"/>
  <c r="J71" i="78" s="1"/>
  <c r="L139" i="68"/>
  <c r="J70" i="78" s="1"/>
  <c r="K139" i="68"/>
  <c r="J69" i="78" s="1"/>
  <c r="J139" i="68"/>
  <c r="J68" i="78" s="1"/>
  <c r="I139" i="68"/>
  <c r="J67" i="78" s="1"/>
  <c r="H139" i="68"/>
  <c r="J66" i="78" s="1"/>
  <c r="G139" i="68"/>
  <c r="M138" i="68"/>
  <c r="V71" i="78" s="1"/>
  <c r="L138" i="68"/>
  <c r="V70" i="78" s="1"/>
  <c r="K138" i="68"/>
  <c r="V69" i="78" s="1"/>
  <c r="J138" i="68"/>
  <c r="V68" i="78" s="1"/>
  <c r="I138" i="68"/>
  <c r="V67" i="78" s="1"/>
  <c r="H138" i="68"/>
  <c r="V66" i="78" s="1"/>
  <c r="G138" i="68"/>
  <c r="M135" i="68"/>
  <c r="L135" i="68"/>
  <c r="K135" i="68"/>
  <c r="J135" i="68"/>
  <c r="I135" i="68"/>
  <c r="H135" i="68"/>
  <c r="M132" i="68"/>
  <c r="L132" i="68"/>
  <c r="K132" i="68"/>
  <c r="J132" i="68"/>
  <c r="I132" i="68"/>
  <c r="H132" i="68"/>
  <c r="M128" i="68"/>
  <c r="T55" i="78" s="1"/>
  <c r="L128" i="68"/>
  <c r="T54" i="78" s="1"/>
  <c r="K128" i="68"/>
  <c r="T53" i="78" s="1"/>
  <c r="J128" i="68"/>
  <c r="T52" i="78" s="1"/>
  <c r="I128" i="68"/>
  <c r="T51" i="78" s="1"/>
  <c r="H128" i="68"/>
  <c r="T50" i="78" s="1"/>
  <c r="G128" i="68"/>
  <c r="M127" i="68"/>
  <c r="N55" i="78" s="1"/>
  <c r="L127" i="68"/>
  <c r="N54" i="78" s="1"/>
  <c r="K127" i="68"/>
  <c r="N53" i="78" s="1"/>
  <c r="J127" i="68"/>
  <c r="N52" i="78" s="1"/>
  <c r="I127" i="68"/>
  <c r="N51" i="78" s="1"/>
  <c r="H127" i="68"/>
  <c r="N50" i="78" s="1"/>
  <c r="G127" i="68"/>
  <c r="M126" i="68"/>
  <c r="L55" i="78" s="1"/>
  <c r="L126" i="68"/>
  <c r="L54" i="78" s="1"/>
  <c r="K126" i="68"/>
  <c r="L53" i="78" s="1"/>
  <c r="J126" i="68"/>
  <c r="L52" i="78" s="1"/>
  <c r="I126" i="68"/>
  <c r="L51" i="78" s="1"/>
  <c r="H126" i="68"/>
  <c r="L50" i="78" s="1"/>
  <c r="G126" i="68"/>
  <c r="M125" i="68"/>
  <c r="D55" i="78" s="1"/>
  <c r="L125" i="68"/>
  <c r="D54" i="78" s="1"/>
  <c r="K125" i="68"/>
  <c r="D53" i="78" s="1"/>
  <c r="J125" i="68"/>
  <c r="D52" i="78" s="1"/>
  <c r="I125" i="68"/>
  <c r="D51" i="78" s="1"/>
  <c r="H125" i="68"/>
  <c r="D50" i="78" s="1"/>
  <c r="G125" i="68"/>
  <c r="M122" i="68"/>
  <c r="L122" i="68"/>
  <c r="K122" i="68"/>
  <c r="J122" i="68"/>
  <c r="I122" i="68"/>
  <c r="H122" i="68"/>
  <c r="M119" i="68"/>
  <c r="L119" i="68"/>
  <c r="K119" i="68"/>
  <c r="J119" i="68"/>
  <c r="I119" i="68"/>
  <c r="H119" i="68"/>
  <c r="M116" i="68"/>
  <c r="L116" i="68"/>
  <c r="K116" i="68"/>
  <c r="J116" i="68"/>
  <c r="I116" i="68"/>
  <c r="H116" i="68"/>
  <c r="M113" i="68"/>
  <c r="L113" i="68"/>
  <c r="K113" i="68"/>
  <c r="J113" i="68"/>
  <c r="I113" i="68"/>
  <c r="H113" i="68"/>
  <c r="M110" i="68"/>
  <c r="L110" i="68"/>
  <c r="K110" i="68"/>
  <c r="J110" i="68"/>
  <c r="I110" i="68"/>
  <c r="H110" i="68"/>
  <c r="M107" i="68"/>
  <c r="L107" i="68"/>
  <c r="K107" i="68"/>
  <c r="J107" i="68"/>
  <c r="I107" i="68"/>
  <c r="H107" i="68"/>
  <c r="M104" i="68"/>
  <c r="L104" i="68"/>
  <c r="K104" i="68"/>
  <c r="J104" i="68"/>
  <c r="I104" i="68"/>
  <c r="H104" i="68"/>
  <c r="M101" i="68"/>
  <c r="L101" i="68"/>
  <c r="K101" i="68"/>
  <c r="J101" i="68"/>
  <c r="I101" i="68"/>
  <c r="H101" i="68"/>
  <c r="M98" i="68"/>
  <c r="L98" i="68"/>
  <c r="K98" i="68"/>
  <c r="J98" i="68"/>
  <c r="I98" i="68"/>
  <c r="H98" i="68"/>
  <c r="K239" i="67"/>
  <c r="J78" i="77" s="1"/>
  <c r="J239" i="67"/>
  <c r="J77" i="77" s="1"/>
  <c r="I239" i="67"/>
  <c r="J76" i="77" s="1"/>
  <c r="H239" i="67"/>
  <c r="J75" i="77" s="1"/>
  <c r="G239" i="67"/>
  <c r="K238" i="67"/>
  <c r="V78" i="77" s="1"/>
  <c r="J238" i="67"/>
  <c r="V77" i="77" s="1"/>
  <c r="I238" i="67"/>
  <c r="V76" i="77" s="1"/>
  <c r="H238" i="67"/>
  <c r="V75" i="77" s="1"/>
  <c r="G238" i="67"/>
  <c r="K235" i="67"/>
  <c r="J235" i="67"/>
  <c r="I235" i="67"/>
  <c r="H235" i="67"/>
  <c r="K232" i="67"/>
  <c r="J232" i="67"/>
  <c r="I232" i="67"/>
  <c r="H232" i="67"/>
  <c r="K228" i="67"/>
  <c r="T62" i="77" s="1"/>
  <c r="J228" i="67"/>
  <c r="T61" i="77" s="1"/>
  <c r="I228" i="67"/>
  <c r="T60" i="77" s="1"/>
  <c r="H228" i="67"/>
  <c r="T59" i="77" s="1"/>
  <c r="G228" i="67"/>
  <c r="K227" i="67"/>
  <c r="N62" i="77" s="1"/>
  <c r="J227" i="67"/>
  <c r="N61" i="77" s="1"/>
  <c r="I227" i="67"/>
  <c r="N60" i="77" s="1"/>
  <c r="H227" i="67"/>
  <c r="N59" i="77" s="1"/>
  <c r="G227" i="67"/>
  <c r="K226" i="67"/>
  <c r="L62" i="77" s="1"/>
  <c r="J226" i="67"/>
  <c r="L61" i="77" s="1"/>
  <c r="I226" i="67"/>
  <c r="L60" i="77" s="1"/>
  <c r="H226" i="67"/>
  <c r="L59" i="77" s="1"/>
  <c r="G226" i="67"/>
  <c r="K225" i="67"/>
  <c r="D62" i="77" s="1"/>
  <c r="J225" i="67"/>
  <c r="D61" i="77" s="1"/>
  <c r="I225" i="67"/>
  <c r="D60" i="77" s="1"/>
  <c r="H225" i="67"/>
  <c r="D59" i="77" s="1"/>
  <c r="G225" i="67"/>
  <c r="K222" i="67"/>
  <c r="J222" i="67"/>
  <c r="I222" i="67"/>
  <c r="H222" i="67"/>
  <c r="K219" i="67"/>
  <c r="J219" i="67"/>
  <c r="I219" i="67"/>
  <c r="H219" i="67"/>
  <c r="K216" i="67"/>
  <c r="J216" i="67"/>
  <c r="I216" i="67"/>
  <c r="H216" i="67"/>
  <c r="K213" i="67"/>
  <c r="J213" i="67"/>
  <c r="I213" i="67"/>
  <c r="H213" i="67"/>
  <c r="K210" i="67"/>
  <c r="J210" i="67"/>
  <c r="I210" i="67"/>
  <c r="H210" i="67"/>
  <c r="K207" i="67"/>
  <c r="J207" i="67"/>
  <c r="I207" i="67"/>
  <c r="H207" i="67"/>
  <c r="K204" i="67"/>
  <c r="J204" i="67"/>
  <c r="I204" i="67"/>
  <c r="H204" i="67"/>
  <c r="K201" i="67"/>
  <c r="J201" i="67"/>
  <c r="I201" i="67"/>
  <c r="H201" i="67"/>
  <c r="K198" i="67"/>
  <c r="J198" i="67"/>
  <c r="I198" i="67"/>
  <c r="H198" i="67"/>
  <c r="M189" i="67"/>
  <c r="J74" i="77" s="1"/>
  <c r="L189" i="67"/>
  <c r="J73" i="77" s="1"/>
  <c r="K189" i="67"/>
  <c r="J72" i="77" s="1"/>
  <c r="J189" i="67"/>
  <c r="J71" i="77" s="1"/>
  <c r="I189" i="67"/>
  <c r="J70" i="77" s="1"/>
  <c r="H189" i="67"/>
  <c r="J69" i="77" s="1"/>
  <c r="G189" i="67"/>
  <c r="M188" i="67"/>
  <c r="V74" i="77" s="1"/>
  <c r="L188" i="67"/>
  <c r="V73" i="77" s="1"/>
  <c r="K188" i="67"/>
  <c r="V72" i="77" s="1"/>
  <c r="J188" i="67"/>
  <c r="V71" i="77" s="1"/>
  <c r="I188" i="67"/>
  <c r="V70" i="77" s="1"/>
  <c r="H188" i="67"/>
  <c r="V69" i="77" s="1"/>
  <c r="G188" i="67"/>
  <c r="M185" i="67"/>
  <c r="L185" i="67"/>
  <c r="K185" i="67"/>
  <c r="J185" i="67"/>
  <c r="I185" i="67"/>
  <c r="H185" i="67"/>
  <c r="M182" i="67"/>
  <c r="L182" i="67"/>
  <c r="K182" i="67"/>
  <c r="J182" i="67"/>
  <c r="I182" i="67"/>
  <c r="H182" i="67"/>
  <c r="M178" i="67"/>
  <c r="T58" i="77" s="1"/>
  <c r="L178" i="67"/>
  <c r="T57" i="77" s="1"/>
  <c r="K178" i="67"/>
  <c r="T56" i="77" s="1"/>
  <c r="J178" i="67"/>
  <c r="T55" i="77" s="1"/>
  <c r="I178" i="67"/>
  <c r="T54" i="77" s="1"/>
  <c r="H178" i="67"/>
  <c r="T53" i="77" s="1"/>
  <c r="G178" i="67"/>
  <c r="M177" i="67"/>
  <c r="N58" i="77" s="1"/>
  <c r="L177" i="67"/>
  <c r="N57" i="77" s="1"/>
  <c r="K177" i="67"/>
  <c r="N56" i="77" s="1"/>
  <c r="J177" i="67"/>
  <c r="N55" i="77" s="1"/>
  <c r="I177" i="67"/>
  <c r="N54" i="77" s="1"/>
  <c r="H177" i="67"/>
  <c r="N53" i="77" s="1"/>
  <c r="G177" i="67"/>
  <c r="M176" i="67"/>
  <c r="L58" i="77" s="1"/>
  <c r="L176" i="67"/>
  <c r="L57" i="77" s="1"/>
  <c r="K176" i="67"/>
  <c r="L56" i="77" s="1"/>
  <c r="J176" i="67"/>
  <c r="L55" i="77" s="1"/>
  <c r="I176" i="67"/>
  <c r="L54" i="77" s="1"/>
  <c r="H176" i="67"/>
  <c r="L53" i="77" s="1"/>
  <c r="G176" i="67"/>
  <c r="M175" i="67"/>
  <c r="D58" i="77" s="1"/>
  <c r="L175" i="67"/>
  <c r="D57" i="77" s="1"/>
  <c r="K175" i="67"/>
  <c r="D56" i="77" s="1"/>
  <c r="J175" i="67"/>
  <c r="D55" i="77" s="1"/>
  <c r="I175" i="67"/>
  <c r="D54" i="77" s="1"/>
  <c r="H175" i="67"/>
  <c r="D53" i="77" s="1"/>
  <c r="G175" i="67"/>
  <c r="M172" i="67"/>
  <c r="L172" i="67"/>
  <c r="K172" i="67"/>
  <c r="J172" i="67"/>
  <c r="I172" i="67"/>
  <c r="H172" i="67"/>
  <c r="M169" i="67"/>
  <c r="L169" i="67"/>
  <c r="K169" i="67"/>
  <c r="J169" i="67"/>
  <c r="I169" i="67"/>
  <c r="H169" i="67"/>
  <c r="M166" i="67"/>
  <c r="L166" i="67"/>
  <c r="K166" i="67"/>
  <c r="J166" i="67"/>
  <c r="I166" i="67"/>
  <c r="H166" i="67"/>
  <c r="M163" i="67"/>
  <c r="L163" i="67"/>
  <c r="K163" i="67"/>
  <c r="J163" i="67"/>
  <c r="I163" i="67"/>
  <c r="H163" i="67"/>
  <c r="M160" i="67"/>
  <c r="L160" i="67"/>
  <c r="K160" i="67"/>
  <c r="J160" i="67"/>
  <c r="I160" i="67"/>
  <c r="H160" i="67"/>
  <c r="M157" i="67"/>
  <c r="L157" i="67"/>
  <c r="K157" i="67"/>
  <c r="J157" i="67"/>
  <c r="I157" i="67"/>
  <c r="H157" i="67"/>
  <c r="M154" i="67"/>
  <c r="L154" i="67"/>
  <c r="K154" i="67"/>
  <c r="J154" i="67"/>
  <c r="I154" i="67"/>
  <c r="H154" i="67"/>
  <c r="M151" i="67"/>
  <c r="L151" i="67"/>
  <c r="K151" i="67"/>
  <c r="J151" i="67"/>
  <c r="I151" i="67"/>
  <c r="H151" i="67"/>
  <c r="M148" i="67"/>
  <c r="L148" i="67"/>
  <c r="K148" i="67"/>
  <c r="J148" i="67"/>
  <c r="I148" i="67"/>
  <c r="H148" i="67"/>
  <c r="M139" i="67"/>
  <c r="J68" i="77" s="1"/>
  <c r="L139" i="67"/>
  <c r="J67" i="77" s="1"/>
  <c r="K139" i="67"/>
  <c r="J66" i="77" s="1"/>
  <c r="J139" i="67"/>
  <c r="J65" i="77" s="1"/>
  <c r="I139" i="67"/>
  <c r="J64" i="77" s="1"/>
  <c r="H139" i="67"/>
  <c r="J63" i="77" s="1"/>
  <c r="G139" i="67"/>
  <c r="M138" i="67"/>
  <c r="V68" i="77" s="1"/>
  <c r="L138" i="67"/>
  <c r="V67" i="77" s="1"/>
  <c r="K138" i="67"/>
  <c r="V66" i="77" s="1"/>
  <c r="J138" i="67"/>
  <c r="V65" i="77" s="1"/>
  <c r="I138" i="67"/>
  <c r="V64" i="77" s="1"/>
  <c r="H138" i="67"/>
  <c r="V63" i="77" s="1"/>
  <c r="G138" i="67"/>
  <c r="M135" i="67"/>
  <c r="L135" i="67"/>
  <c r="K135" i="67"/>
  <c r="J135" i="67"/>
  <c r="I135" i="67"/>
  <c r="H135" i="67"/>
  <c r="M132" i="67"/>
  <c r="L132" i="67"/>
  <c r="K132" i="67"/>
  <c r="J132" i="67"/>
  <c r="I132" i="67"/>
  <c r="H132" i="67"/>
  <c r="M128" i="67"/>
  <c r="T52" i="77" s="1"/>
  <c r="L128" i="67"/>
  <c r="T51" i="77" s="1"/>
  <c r="K128" i="67"/>
  <c r="T50" i="77" s="1"/>
  <c r="J128" i="67"/>
  <c r="T49" i="77" s="1"/>
  <c r="I128" i="67"/>
  <c r="T48" i="77" s="1"/>
  <c r="H128" i="67"/>
  <c r="T47" i="77" s="1"/>
  <c r="G128" i="67"/>
  <c r="M127" i="67"/>
  <c r="N52" i="77" s="1"/>
  <c r="L127" i="67"/>
  <c r="N51" i="77" s="1"/>
  <c r="K127" i="67"/>
  <c r="N50" i="77" s="1"/>
  <c r="J127" i="67"/>
  <c r="N49" i="77" s="1"/>
  <c r="I127" i="67"/>
  <c r="N48" i="77" s="1"/>
  <c r="H127" i="67"/>
  <c r="N47" i="77" s="1"/>
  <c r="G127" i="67"/>
  <c r="M126" i="67"/>
  <c r="L52" i="77" s="1"/>
  <c r="L126" i="67"/>
  <c r="L51" i="77" s="1"/>
  <c r="K126" i="67"/>
  <c r="L50" i="77" s="1"/>
  <c r="J126" i="67"/>
  <c r="L49" i="77" s="1"/>
  <c r="I126" i="67"/>
  <c r="L48" i="77" s="1"/>
  <c r="H126" i="67"/>
  <c r="L47" i="77" s="1"/>
  <c r="G126" i="67"/>
  <c r="M125" i="67"/>
  <c r="D52" i="77" s="1"/>
  <c r="L125" i="67"/>
  <c r="D51" i="77" s="1"/>
  <c r="K125" i="67"/>
  <c r="D50" i="77" s="1"/>
  <c r="J125" i="67"/>
  <c r="D49" i="77" s="1"/>
  <c r="I125" i="67"/>
  <c r="D48" i="77" s="1"/>
  <c r="H125" i="67"/>
  <c r="D47" i="77" s="1"/>
  <c r="G125" i="67"/>
  <c r="M122" i="67"/>
  <c r="L122" i="67"/>
  <c r="K122" i="67"/>
  <c r="J122" i="67"/>
  <c r="I122" i="67"/>
  <c r="H122" i="67"/>
  <c r="M119" i="67"/>
  <c r="L119" i="67"/>
  <c r="K119" i="67"/>
  <c r="J119" i="67"/>
  <c r="I119" i="67"/>
  <c r="H119" i="67"/>
  <c r="M116" i="67"/>
  <c r="L116" i="67"/>
  <c r="K116" i="67"/>
  <c r="J116" i="67"/>
  <c r="I116" i="67"/>
  <c r="H116" i="67"/>
  <c r="M113" i="67"/>
  <c r="L113" i="67"/>
  <c r="K113" i="67"/>
  <c r="J113" i="67"/>
  <c r="I113" i="67"/>
  <c r="H113" i="67"/>
  <c r="M110" i="67"/>
  <c r="L110" i="67"/>
  <c r="K110" i="67"/>
  <c r="J110" i="67"/>
  <c r="I110" i="67"/>
  <c r="H110" i="67"/>
  <c r="M107" i="67"/>
  <c r="L107" i="67"/>
  <c r="K107" i="67"/>
  <c r="J107" i="67"/>
  <c r="I107" i="67"/>
  <c r="H107" i="67"/>
  <c r="M104" i="67"/>
  <c r="L104" i="67"/>
  <c r="K104" i="67"/>
  <c r="J104" i="67"/>
  <c r="I104" i="67"/>
  <c r="H104" i="67"/>
  <c r="M101" i="67"/>
  <c r="L101" i="67"/>
  <c r="K101" i="67"/>
  <c r="J101" i="67"/>
  <c r="I101" i="67"/>
  <c r="H101" i="67"/>
  <c r="M98" i="67"/>
  <c r="L98" i="67"/>
  <c r="K98" i="67"/>
  <c r="J98" i="67"/>
  <c r="I98" i="67"/>
  <c r="H98" i="67"/>
  <c r="M92" i="67"/>
  <c r="J29" i="77" s="1"/>
  <c r="L92" i="67"/>
  <c r="J28" i="77" s="1"/>
  <c r="K92" i="67"/>
  <c r="J27" i="77" s="1"/>
  <c r="J92" i="67"/>
  <c r="J26" i="77" s="1"/>
  <c r="I92" i="67"/>
  <c r="J25" i="77" s="1"/>
  <c r="H92" i="67"/>
  <c r="J24" i="77" s="1"/>
  <c r="J80" i="77" s="1"/>
  <c r="J79" i="77" s="1"/>
  <c r="G92" i="67"/>
  <c r="M91" i="67"/>
  <c r="V29" i="77" s="1"/>
  <c r="L91" i="67"/>
  <c r="V28" i="77" s="1"/>
  <c r="K91" i="67"/>
  <c r="V27" i="77" s="1"/>
  <c r="J91" i="67"/>
  <c r="V26" i="77" s="1"/>
  <c r="I91" i="67"/>
  <c r="V25" i="77" s="1"/>
  <c r="H91" i="67"/>
  <c r="V24" i="77" s="1"/>
  <c r="G91" i="67"/>
  <c r="M88" i="67"/>
  <c r="L88" i="67"/>
  <c r="K88" i="67"/>
  <c r="J88" i="67"/>
  <c r="I88" i="67"/>
  <c r="H88" i="67"/>
  <c r="M85" i="67"/>
  <c r="L85" i="67"/>
  <c r="K85" i="67"/>
  <c r="J85" i="67"/>
  <c r="I85" i="67"/>
  <c r="H85" i="67"/>
  <c r="M80" i="67"/>
  <c r="T23" i="77" s="1"/>
  <c r="L80" i="67"/>
  <c r="T22" i="77" s="1"/>
  <c r="K80" i="67"/>
  <c r="T21" i="77" s="1"/>
  <c r="J80" i="67"/>
  <c r="T20" i="77" s="1"/>
  <c r="I80" i="67"/>
  <c r="T19" i="77" s="1"/>
  <c r="H80" i="67"/>
  <c r="T18" i="77" s="1"/>
  <c r="G80" i="67"/>
  <c r="M79" i="67"/>
  <c r="N23" i="77" s="1"/>
  <c r="L79" i="67"/>
  <c r="N22" i="77" s="1"/>
  <c r="K79" i="67"/>
  <c r="N21" i="77" s="1"/>
  <c r="J79" i="67"/>
  <c r="N20" i="77" s="1"/>
  <c r="I79" i="67"/>
  <c r="N19" i="77" s="1"/>
  <c r="H79" i="67"/>
  <c r="N18" i="77" s="1"/>
  <c r="G79" i="67"/>
  <c r="M78" i="67"/>
  <c r="L23" i="77" s="1"/>
  <c r="L78" i="67"/>
  <c r="L22" i="77" s="1"/>
  <c r="K78" i="67"/>
  <c r="L21" i="77" s="1"/>
  <c r="J78" i="67"/>
  <c r="L20" i="77" s="1"/>
  <c r="I78" i="67"/>
  <c r="L19" i="77" s="1"/>
  <c r="H78" i="67"/>
  <c r="L18" i="77" s="1"/>
  <c r="G78" i="67"/>
  <c r="M77" i="67"/>
  <c r="D23" i="77" s="1"/>
  <c r="L77" i="67"/>
  <c r="D22" i="77" s="1"/>
  <c r="K77" i="67"/>
  <c r="D21" i="77" s="1"/>
  <c r="J77" i="67"/>
  <c r="D20" i="77" s="1"/>
  <c r="I77" i="67"/>
  <c r="D19" i="77" s="1"/>
  <c r="H77" i="67"/>
  <c r="D18" i="77" s="1"/>
  <c r="G77" i="67"/>
  <c r="M74" i="67"/>
  <c r="L74" i="67"/>
  <c r="K74" i="67"/>
  <c r="J74" i="67"/>
  <c r="I74" i="67"/>
  <c r="H74" i="67"/>
  <c r="M71" i="67"/>
  <c r="L71" i="67"/>
  <c r="K71" i="67"/>
  <c r="J71" i="67"/>
  <c r="I71" i="67"/>
  <c r="H71" i="67"/>
  <c r="M68" i="67"/>
  <c r="L68" i="67"/>
  <c r="K68" i="67"/>
  <c r="J68" i="67"/>
  <c r="I68" i="67"/>
  <c r="H68" i="67"/>
  <c r="M65" i="67"/>
  <c r="L65" i="67"/>
  <c r="K65" i="67"/>
  <c r="J65" i="67"/>
  <c r="I65" i="67"/>
  <c r="H65" i="67"/>
  <c r="M62" i="67"/>
  <c r="L62" i="67"/>
  <c r="K62" i="67"/>
  <c r="J62" i="67"/>
  <c r="I62" i="67"/>
  <c r="H62" i="67"/>
  <c r="M59" i="67"/>
  <c r="L59" i="67"/>
  <c r="K59" i="67"/>
  <c r="J59" i="67"/>
  <c r="I59" i="67"/>
  <c r="H59" i="67"/>
  <c r="M56" i="67"/>
  <c r="L56" i="67"/>
  <c r="K56" i="67"/>
  <c r="J56" i="67"/>
  <c r="I56" i="67"/>
  <c r="H56" i="67"/>
  <c r="M53" i="67"/>
  <c r="L53" i="67"/>
  <c r="K53" i="67"/>
  <c r="J53" i="67"/>
  <c r="I53" i="67"/>
  <c r="H53" i="67"/>
  <c r="M50" i="67"/>
  <c r="L50" i="67"/>
  <c r="K50" i="67"/>
  <c r="J50" i="67"/>
  <c r="I50" i="67"/>
  <c r="H50" i="67"/>
  <c r="H239" i="66"/>
  <c r="J75" i="76" s="1"/>
  <c r="I239" i="66"/>
  <c r="J76" i="76" s="1"/>
  <c r="J239" i="66"/>
  <c r="J77" i="76" s="1"/>
  <c r="K239" i="66"/>
  <c r="J78" i="76" s="1"/>
  <c r="K238" i="66"/>
  <c r="V78" i="76" s="1"/>
  <c r="J238" i="66"/>
  <c r="V77" i="76" s="1"/>
  <c r="H238" i="66"/>
  <c r="V75" i="76" s="1"/>
  <c r="I238" i="66"/>
  <c r="V76" i="76" s="1"/>
  <c r="G239" i="66"/>
  <c r="G238" i="66"/>
  <c r="K235" i="66"/>
  <c r="J235" i="66"/>
  <c r="I235" i="66"/>
  <c r="H235" i="66"/>
  <c r="K232" i="66"/>
  <c r="J232" i="66"/>
  <c r="I232" i="66"/>
  <c r="H232" i="66"/>
  <c r="G226" i="66"/>
  <c r="H226" i="66"/>
  <c r="L59" i="76" s="1"/>
  <c r="I226" i="66"/>
  <c r="L60" i="76" s="1"/>
  <c r="J226" i="66"/>
  <c r="L61" i="76" s="1"/>
  <c r="K226" i="66"/>
  <c r="L62" i="76" s="1"/>
  <c r="G227" i="66"/>
  <c r="H227" i="66"/>
  <c r="N59" i="76" s="1"/>
  <c r="I227" i="66"/>
  <c r="N60" i="76" s="1"/>
  <c r="J227" i="66"/>
  <c r="N61" i="76" s="1"/>
  <c r="K227" i="66"/>
  <c r="N62" i="76" s="1"/>
  <c r="G228" i="66"/>
  <c r="H228" i="66"/>
  <c r="T59" i="76" s="1"/>
  <c r="I228" i="66"/>
  <c r="T60" i="76" s="1"/>
  <c r="J228" i="66"/>
  <c r="T61" i="76" s="1"/>
  <c r="K228" i="66"/>
  <c r="T62" i="76" s="1"/>
  <c r="K225" i="66"/>
  <c r="D62" i="76" s="1"/>
  <c r="J225" i="66"/>
  <c r="D61" i="76" s="1"/>
  <c r="I225" i="66"/>
  <c r="D60" i="76" s="1"/>
  <c r="H225" i="66"/>
  <c r="D59" i="76" s="1"/>
  <c r="G225" i="66"/>
  <c r="H141" i="64"/>
  <c r="V34" i="75" s="1"/>
  <c r="I141" i="64"/>
  <c r="V35" i="75" s="1"/>
  <c r="I140" i="64"/>
  <c r="J35" i="75" s="1"/>
  <c r="H140" i="64"/>
  <c r="J34" i="75" s="1"/>
  <c r="I137" i="64"/>
  <c r="H137" i="64"/>
  <c r="I134" i="64"/>
  <c r="H134" i="64"/>
  <c r="G127" i="64"/>
  <c r="I127" i="64"/>
  <c r="L27" i="75" s="1"/>
  <c r="G128" i="64"/>
  <c r="I128" i="64"/>
  <c r="N27" i="75" s="1"/>
  <c r="G129" i="64"/>
  <c r="T26" i="75"/>
  <c r="I129" i="64"/>
  <c r="T27" i="75" s="1"/>
  <c r="I126" i="64"/>
  <c r="D27" i="75" s="1"/>
  <c r="H126" i="64"/>
  <c r="D26" i="75" s="1"/>
  <c r="H102" i="64"/>
  <c r="I102" i="64"/>
  <c r="H105" i="64"/>
  <c r="I105" i="64"/>
  <c r="H108" i="64"/>
  <c r="I108" i="64"/>
  <c r="H111" i="64"/>
  <c r="I111" i="64"/>
  <c r="H114" i="64"/>
  <c r="I114" i="64"/>
  <c r="H117" i="64"/>
  <c r="I117" i="64"/>
  <c r="H120" i="64"/>
  <c r="I120" i="64"/>
  <c r="H123" i="64"/>
  <c r="I123" i="64"/>
  <c r="I99" i="64"/>
  <c r="H99" i="64"/>
  <c r="G189" i="66"/>
  <c r="H189" i="66"/>
  <c r="J69" i="76" s="1"/>
  <c r="I189" i="66"/>
  <c r="J70" i="76" s="1"/>
  <c r="J189" i="66"/>
  <c r="J71" i="76" s="1"/>
  <c r="K189" i="66"/>
  <c r="J72" i="76" s="1"/>
  <c r="L189" i="66"/>
  <c r="J73" i="76" s="1"/>
  <c r="M189" i="66"/>
  <c r="J74" i="76" s="1"/>
  <c r="M188" i="66"/>
  <c r="V74" i="76" s="1"/>
  <c r="L188" i="66"/>
  <c r="V73" i="76" s="1"/>
  <c r="K188" i="66"/>
  <c r="V72" i="76" s="1"/>
  <c r="J188" i="66"/>
  <c r="V71" i="76" s="1"/>
  <c r="I188" i="66"/>
  <c r="V70" i="76" s="1"/>
  <c r="H188" i="66"/>
  <c r="V69" i="76" s="1"/>
  <c r="G188" i="66"/>
  <c r="H176" i="66"/>
  <c r="L53" i="76" s="1"/>
  <c r="I176" i="66"/>
  <c r="L54" i="76" s="1"/>
  <c r="J176" i="66"/>
  <c r="L55" i="76" s="1"/>
  <c r="K176" i="66"/>
  <c r="L56" i="76" s="1"/>
  <c r="L176" i="66"/>
  <c r="L57" i="76" s="1"/>
  <c r="M176" i="66"/>
  <c r="L58" i="76" s="1"/>
  <c r="H177" i="66"/>
  <c r="N53" i="76" s="1"/>
  <c r="I177" i="66"/>
  <c r="N54" i="76" s="1"/>
  <c r="J177" i="66"/>
  <c r="N55" i="76" s="1"/>
  <c r="K177" i="66"/>
  <c r="N56" i="76" s="1"/>
  <c r="L177" i="66"/>
  <c r="N57" i="76" s="1"/>
  <c r="M177" i="66"/>
  <c r="N58" i="76" s="1"/>
  <c r="H178" i="66"/>
  <c r="T53" i="76" s="1"/>
  <c r="I178" i="66"/>
  <c r="T54" i="76" s="1"/>
  <c r="J178" i="66"/>
  <c r="T55" i="76" s="1"/>
  <c r="K178" i="66"/>
  <c r="T56" i="76" s="1"/>
  <c r="L178" i="66"/>
  <c r="T57" i="76" s="1"/>
  <c r="M178" i="66"/>
  <c r="T58" i="76" s="1"/>
  <c r="M175" i="66"/>
  <c r="D58" i="76" s="1"/>
  <c r="L175" i="66"/>
  <c r="D57" i="76" s="1"/>
  <c r="K175" i="66"/>
  <c r="D56" i="76" s="1"/>
  <c r="J175" i="66"/>
  <c r="D55" i="76" s="1"/>
  <c r="I175" i="66"/>
  <c r="D54" i="76" s="1"/>
  <c r="H175" i="66"/>
  <c r="D53" i="76" s="1"/>
  <c r="G176" i="66"/>
  <c r="G177" i="66"/>
  <c r="G178" i="66"/>
  <c r="G175" i="66"/>
  <c r="G139" i="66"/>
  <c r="H139" i="66"/>
  <c r="J63" i="76" s="1"/>
  <c r="I139" i="66"/>
  <c r="J64" i="76" s="1"/>
  <c r="J139" i="66"/>
  <c r="J65" i="76" s="1"/>
  <c r="K139" i="66"/>
  <c r="J66" i="76" s="1"/>
  <c r="L139" i="66"/>
  <c r="J67" i="76" s="1"/>
  <c r="M139" i="66"/>
  <c r="J68" i="76" s="1"/>
  <c r="M138" i="66"/>
  <c r="V68" i="76" s="1"/>
  <c r="L138" i="66"/>
  <c r="V67" i="76" s="1"/>
  <c r="K138" i="66"/>
  <c r="V66" i="76" s="1"/>
  <c r="J138" i="66"/>
  <c r="V65" i="76" s="1"/>
  <c r="I138" i="66"/>
  <c r="V64" i="76" s="1"/>
  <c r="H138" i="66"/>
  <c r="V63" i="76" s="1"/>
  <c r="G138" i="66"/>
  <c r="M128" i="66"/>
  <c r="T52" i="76" s="1"/>
  <c r="G126" i="66"/>
  <c r="H126" i="66"/>
  <c r="L47" i="76" s="1"/>
  <c r="I126" i="66"/>
  <c r="L48" i="76" s="1"/>
  <c r="J126" i="66"/>
  <c r="L49" i="76" s="1"/>
  <c r="K126" i="66"/>
  <c r="L50" i="76" s="1"/>
  <c r="L126" i="66"/>
  <c r="L51" i="76" s="1"/>
  <c r="M126" i="66"/>
  <c r="L52" i="76" s="1"/>
  <c r="G127" i="66"/>
  <c r="H127" i="66"/>
  <c r="N47" i="76" s="1"/>
  <c r="I127" i="66"/>
  <c r="N48" i="76" s="1"/>
  <c r="J127" i="66"/>
  <c r="N49" i="76" s="1"/>
  <c r="K127" i="66"/>
  <c r="N50" i="76" s="1"/>
  <c r="L127" i="66"/>
  <c r="N51" i="76" s="1"/>
  <c r="M127" i="66"/>
  <c r="N52" i="76" s="1"/>
  <c r="G128" i="66"/>
  <c r="H128" i="66"/>
  <c r="T47" i="76" s="1"/>
  <c r="I128" i="66"/>
  <c r="T48" i="76" s="1"/>
  <c r="J128" i="66"/>
  <c r="T49" i="76" s="1"/>
  <c r="K128" i="66"/>
  <c r="T50" i="76" s="1"/>
  <c r="L128" i="66"/>
  <c r="T51" i="76" s="1"/>
  <c r="M125" i="66"/>
  <c r="D52" i="76" s="1"/>
  <c r="L125" i="66"/>
  <c r="D51" i="76" s="1"/>
  <c r="K125" i="66"/>
  <c r="D50" i="76" s="1"/>
  <c r="I125" i="66"/>
  <c r="D48" i="76" s="1"/>
  <c r="J125" i="66"/>
  <c r="D49" i="76" s="1"/>
  <c r="H125" i="66"/>
  <c r="D47" i="76" s="1"/>
  <c r="G125" i="66"/>
  <c r="G92" i="66"/>
  <c r="G91" i="66"/>
  <c r="H92" i="66"/>
  <c r="J24" i="76" s="1"/>
  <c r="I92" i="66"/>
  <c r="J25" i="76" s="1"/>
  <c r="J92" i="66"/>
  <c r="J26" i="76" s="1"/>
  <c r="K92" i="66"/>
  <c r="J27" i="76" s="1"/>
  <c r="L92" i="66"/>
  <c r="J28" i="76" s="1"/>
  <c r="M92" i="66"/>
  <c r="J29" i="76" s="1"/>
  <c r="M91" i="66"/>
  <c r="V29" i="76" s="1"/>
  <c r="L91" i="66"/>
  <c r="V28" i="76" s="1"/>
  <c r="K91" i="66"/>
  <c r="V27" i="76" s="1"/>
  <c r="J91" i="66"/>
  <c r="V26" i="76" s="1"/>
  <c r="I91" i="66"/>
  <c r="V25" i="76" s="1"/>
  <c r="H91" i="66"/>
  <c r="V24" i="76" s="1"/>
  <c r="H78" i="66"/>
  <c r="L18" i="76" s="1"/>
  <c r="I78" i="66"/>
  <c r="L19" i="76" s="1"/>
  <c r="J78" i="66"/>
  <c r="L20" i="76" s="1"/>
  <c r="K78" i="66"/>
  <c r="L21" i="76" s="1"/>
  <c r="L78" i="66"/>
  <c r="L22" i="76" s="1"/>
  <c r="M78" i="66"/>
  <c r="L23" i="76" s="1"/>
  <c r="H79" i="66"/>
  <c r="N18" i="76" s="1"/>
  <c r="I79" i="66"/>
  <c r="N19" i="76" s="1"/>
  <c r="J79" i="66"/>
  <c r="N20" i="76" s="1"/>
  <c r="K79" i="66"/>
  <c r="N21" i="76" s="1"/>
  <c r="L79" i="66"/>
  <c r="N22" i="76" s="1"/>
  <c r="M79" i="66"/>
  <c r="N23" i="76" s="1"/>
  <c r="H80" i="66"/>
  <c r="T18" i="76" s="1"/>
  <c r="I80" i="66"/>
  <c r="T19" i="76" s="1"/>
  <c r="J80" i="66"/>
  <c r="T20" i="76" s="1"/>
  <c r="K80" i="66"/>
  <c r="T21" i="76" s="1"/>
  <c r="L80" i="66"/>
  <c r="T22" i="76" s="1"/>
  <c r="M80" i="66"/>
  <c r="T23" i="76" s="1"/>
  <c r="M77" i="66"/>
  <c r="D23" i="76" s="1"/>
  <c r="L77" i="66"/>
  <c r="D22" i="76" s="1"/>
  <c r="J77" i="66"/>
  <c r="D20" i="76" s="1"/>
  <c r="K77" i="66"/>
  <c r="D21" i="76" s="1"/>
  <c r="I77" i="66"/>
  <c r="D19" i="76" s="1"/>
  <c r="H77" i="66"/>
  <c r="D18" i="76" s="1"/>
  <c r="G78" i="66"/>
  <c r="G79" i="66"/>
  <c r="G80" i="66"/>
  <c r="G77" i="66"/>
  <c r="K222" i="66"/>
  <c r="J222" i="66"/>
  <c r="I222" i="66"/>
  <c r="H222" i="66"/>
  <c r="K219" i="66"/>
  <c r="J219" i="66"/>
  <c r="I219" i="66"/>
  <c r="H219" i="66"/>
  <c r="K216" i="66"/>
  <c r="J216" i="66"/>
  <c r="I216" i="66"/>
  <c r="H216" i="66"/>
  <c r="K213" i="66"/>
  <c r="J213" i="66"/>
  <c r="I213" i="66"/>
  <c r="H213" i="66"/>
  <c r="K210" i="66"/>
  <c r="J210" i="66"/>
  <c r="I210" i="66"/>
  <c r="H210" i="66"/>
  <c r="K207" i="66"/>
  <c r="J207" i="66"/>
  <c r="I207" i="66"/>
  <c r="H207" i="66"/>
  <c r="K204" i="66"/>
  <c r="J204" i="66"/>
  <c r="I204" i="66"/>
  <c r="H204" i="66"/>
  <c r="K201" i="66"/>
  <c r="J201" i="66"/>
  <c r="I201" i="66"/>
  <c r="H201" i="66"/>
  <c r="K198" i="66"/>
  <c r="J198" i="66"/>
  <c r="I198" i="66"/>
  <c r="H198" i="66"/>
  <c r="M185" i="66"/>
  <c r="L185" i="66"/>
  <c r="K185" i="66"/>
  <c r="J185" i="66"/>
  <c r="I185" i="66"/>
  <c r="H185" i="66"/>
  <c r="M182" i="66"/>
  <c r="L182" i="66"/>
  <c r="K182" i="66"/>
  <c r="J182" i="66"/>
  <c r="I182" i="66"/>
  <c r="H182" i="66"/>
  <c r="M172" i="66"/>
  <c r="L172" i="66"/>
  <c r="K172" i="66"/>
  <c r="J172" i="66"/>
  <c r="I172" i="66"/>
  <c r="H172" i="66"/>
  <c r="M169" i="66"/>
  <c r="L169" i="66"/>
  <c r="K169" i="66"/>
  <c r="J169" i="66"/>
  <c r="I169" i="66"/>
  <c r="H169" i="66"/>
  <c r="M166" i="66"/>
  <c r="L166" i="66"/>
  <c r="K166" i="66"/>
  <c r="J166" i="66"/>
  <c r="I166" i="66"/>
  <c r="H166" i="66"/>
  <c r="M163" i="66"/>
  <c r="L163" i="66"/>
  <c r="K163" i="66"/>
  <c r="J163" i="66"/>
  <c r="I163" i="66"/>
  <c r="H163" i="66"/>
  <c r="M160" i="66"/>
  <c r="L160" i="66"/>
  <c r="K160" i="66"/>
  <c r="J160" i="66"/>
  <c r="I160" i="66"/>
  <c r="H160" i="66"/>
  <c r="M157" i="66"/>
  <c r="L157" i="66"/>
  <c r="K157" i="66"/>
  <c r="J157" i="66"/>
  <c r="I157" i="66"/>
  <c r="H157" i="66"/>
  <c r="M154" i="66"/>
  <c r="L154" i="66"/>
  <c r="K154" i="66"/>
  <c r="J154" i="66"/>
  <c r="I154" i="66"/>
  <c r="H154" i="66"/>
  <c r="M151" i="66"/>
  <c r="L151" i="66"/>
  <c r="K151" i="66"/>
  <c r="J151" i="66"/>
  <c r="I151" i="66"/>
  <c r="H151" i="66"/>
  <c r="M148" i="66"/>
  <c r="L148" i="66"/>
  <c r="K148" i="66"/>
  <c r="J148" i="66"/>
  <c r="I148" i="66"/>
  <c r="H148" i="66"/>
  <c r="M135" i="66"/>
  <c r="L135" i="66"/>
  <c r="K135" i="66"/>
  <c r="J135" i="66"/>
  <c r="I135" i="66"/>
  <c r="H135" i="66"/>
  <c r="M132" i="66"/>
  <c r="L132" i="66"/>
  <c r="K132" i="66"/>
  <c r="J132" i="66"/>
  <c r="I132" i="66"/>
  <c r="H132" i="66"/>
  <c r="M122" i="66"/>
  <c r="L122" i="66"/>
  <c r="K122" i="66"/>
  <c r="J122" i="66"/>
  <c r="I122" i="66"/>
  <c r="H122" i="66"/>
  <c r="M119" i="66"/>
  <c r="L119" i="66"/>
  <c r="K119" i="66"/>
  <c r="J119" i="66"/>
  <c r="I119" i="66"/>
  <c r="H119" i="66"/>
  <c r="M116" i="66"/>
  <c r="L116" i="66"/>
  <c r="K116" i="66"/>
  <c r="J116" i="66"/>
  <c r="I116" i="66"/>
  <c r="H116" i="66"/>
  <c r="M113" i="66"/>
  <c r="L113" i="66"/>
  <c r="K113" i="66"/>
  <c r="J113" i="66"/>
  <c r="I113" i="66"/>
  <c r="H113" i="66"/>
  <c r="M110" i="66"/>
  <c r="L110" i="66"/>
  <c r="K110" i="66"/>
  <c r="J110" i="66"/>
  <c r="I110" i="66"/>
  <c r="H110" i="66"/>
  <c r="M107" i="66"/>
  <c r="L107" i="66"/>
  <c r="K107" i="66"/>
  <c r="J107" i="66"/>
  <c r="I107" i="66"/>
  <c r="H107" i="66"/>
  <c r="M104" i="66"/>
  <c r="L104" i="66"/>
  <c r="K104" i="66"/>
  <c r="J104" i="66"/>
  <c r="I104" i="66"/>
  <c r="H104" i="66"/>
  <c r="M101" i="66"/>
  <c r="L101" i="66"/>
  <c r="K101" i="66"/>
  <c r="J101" i="66"/>
  <c r="I101" i="66"/>
  <c r="H101" i="66"/>
  <c r="M98" i="66"/>
  <c r="L98" i="66"/>
  <c r="K98" i="66"/>
  <c r="J98" i="66"/>
  <c r="I98" i="66"/>
  <c r="H98" i="66"/>
  <c r="M88" i="66"/>
  <c r="L88" i="66"/>
  <c r="K88" i="66"/>
  <c r="J88" i="66"/>
  <c r="I88" i="66"/>
  <c r="H88" i="66"/>
  <c r="M85" i="66"/>
  <c r="L85" i="66"/>
  <c r="K85" i="66"/>
  <c r="J85" i="66"/>
  <c r="I85" i="66"/>
  <c r="H85" i="66"/>
  <c r="M74" i="66"/>
  <c r="L74" i="66"/>
  <c r="K74" i="66"/>
  <c r="J74" i="66"/>
  <c r="I74" i="66"/>
  <c r="H74" i="66"/>
  <c r="M71" i="66"/>
  <c r="L71" i="66"/>
  <c r="K71" i="66"/>
  <c r="J71" i="66"/>
  <c r="I71" i="66"/>
  <c r="H71" i="66"/>
  <c r="M68" i="66"/>
  <c r="L68" i="66"/>
  <c r="K68" i="66"/>
  <c r="J68" i="66"/>
  <c r="I68" i="66"/>
  <c r="H68" i="66"/>
  <c r="M65" i="66"/>
  <c r="L65" i="66"/>
  <c r="K65" i="66"/>
  <c r="J65" i="66"/>
  <c r="I65" i="66"/>
  <c r="H65" i="66"/>
  <c r="M62" i="66"/>
  <c r="L62" i="66"/>
  <c r="K62" i="66"/>
  <c r="J62" i="66"/>
  <c r="I62" i="66"/>
  <c r="H62" i="66"/>
  <c r="M59" i="66"/>
  <c r="L59" i="66"/>
  <c r="K59" i="66"/>
  <c r="J59" i="66"/>
  <c r="I59" i="66"/>
  <c r="H59" i="66"/>
  <c r="M56" i="66"/>
  <c r="L56" i="66"/>
  <c r="K56" i="66"/>
  <c r="J56" i="66"/>
  <c r="I56" i="66"/>
  <c r="H56" i="66"/>
  <c r="M53" i="66"/>
  <c r="L53" i="66"/>
  <c r="K53" i="66"/>
  <c r="J53" i="66"/>
  <c r="I53" i="66"/>
  <c r="H53" i="66"/>
  <c r="M50" i="66"/>
  <c r="L50" i="66"/>
  <c r="K50" i="66"/>
  <c r="J50" i="66"/>
  <c r="I50" i="66"/>
  <c r="H50" i="66"/>
  <c r="H232" i="55"/>
  <c r="T56" i="74" s="1"/>
  <c r="G243" i="55"/>
  <c r="K74" i="74" s="1"/>
  <c r="G242" i="55"/>
  <c r="W72" i="74" s="1"/>
  <c r="G230" i="55"/>
  <c r="M56" i="74" s="1"/>
  <c r="G231" i="55"/>
  <c r="O57" i="74" s="1"/>
  <c r="G232" i="55"/>
  <c r="G229" i="55"/>
  <c r="E57" i="74" s="1"/>
  <c r="G193" i="55"/>
  <c r="K70" i="74" s="1"/>
  <c r="G192" i="55"/>
  <c r="W71" i="74" s="1"/>
  <c r="G180" i="55"/>
  <c r="M50" i="74" s="1"/>
  <c r="G181" i="55"/>
  <c r="O55" i="74" s="1"/>
  <c r="G182" i="55"/>
  <c r="U54" i="74" s="1"/>
  <c r="G179" i="55"/>
  <c r="E52" i="74" s="1"/>
  <c r="G143" i="55"/>
  <c r="K64" i="74" s="1"/>
  <c r="G142" i="55"/>
  <c r="W63" i="74" s="1"/>
  <c r="G130" i="55"/>
  <c r="M47" i="74" s="1"/>
  <c r="G131" i="55"/>
  <c r="O45" i="74" s="1"/>
  <c r="G132" i="55"/>
  <c r="U46" i="74" s="1"/>
  <c r="G129" i="55"/>
  <c r="E49" i="74" s="1"/>
  <c r="BB8" i="35"/>
  <c r="L90" i="55"/>
  <c r="K90" i="55"/>
  <c r="J90" i="55"/>
  <c r="I90" i="55"/>
  <c r="L87" i="55"/>
  <c r="K87" i="55"/>
  <c r="J87" i="55"/>
  <c r="I87" i="55"/>
  <c r="G94" i="55"/>
  <c r="K23" i="74" s="1"/>
  <c r="G93" i="55"/>
  <c r="W26" i="74" s="1"/>
  <c r="H288" i="64"/>
  <c r="J81" i="75" s="1"/>
  <c r="I288" i="64"/>
  <c r="J82" i="75" s="1"/>
  <c r="J288" i="64"/>
  <c r="J83" i="75" s="1"/>
  <c r="K288" i="64"/>
  <c r="J84" i="75" s="1"/>
  <c r="K287" i="64"/>
  <c r="V84" i="75" s="1"/>
  <c r="J287" i="64"/>
  <c r="V83" i="75" s="1"/>
  <c r="I287" i="64"/>
  <c r="V82" i="75" s="1"/>
  <c r="H287" i="64"/>
  <c r="V81" i="75" s="1"/>
  <c r="H275" i="64"/>
  <c r="L65" i="75" s="1"/>
  <c r="I275" i="64"/>
  <c r="L66" i="75" s="1"/>
  <c r="J275" i="64"/>
  <c r="L67" i="75" s="1"/>
  <c r="K275" i="64"/>
  <c r="L68" i="75" s="1"/>
  <c r="H276" i="64"/>
  <c r="N65" i="75" s="1"/>
  <c r="I276" i="64"/>
  <c r="N66" i="75" s="1"/>
  <c r="J276" i="64"/>
  <c r="N67" i="75" s="1"/>
  <c r="K276" i="64"/>
  <c r="N68" i="75" s="1"/>
  <c r="H277" i="64"/>
  <c r="T65" i="75" s="1"/>
  <c r="I277" i="64"/>
  <c r="T66" i="75" s="1"/>
  <c r="J277" i="64"/>
  <c r="T67" i="75" s="1"/>
  <c r="K277" i="64"/>
  <c r="T68" i="75" s="1"/>
  <c r="H274" i="64"/>
  <c r="D65" i="75" s="1"/>
  <c r="I274" i="64"/>
  <c r="D66" i="75" s="1"/>
  <c r="J274" i="64"/>
  <c r="D67" i="75" s="1"/>
  <c r="K274" i="64"/>
  <c r="D68" i="75" s="1"/>
  <c r="G288" i="64"/>
  <c r="G287" i="64"/>
  <c r="G275" i="64"/>
  <c r="G276" i="64"/>
  <c r="G277" i="64"/>
  <c r="G274" i="64"/>
  <c r="G238" i="64"/>
  <c r="G237" i="64"/>
  <c r="G225" i="64"/>
  <c r="G226" i="64"/>
  <c r="G227" i="64"/>
  <c r="G224" i="64"/>
  <c r="G187" i="64"/>
  <c r="G175" i="64"/>
  <c r="G176" i="64"/>
  <c r="G177" i="64"/>
  <c r="G174" i="64"/>
  <c r="G141" i="64"/>
  <c r="G140" i="64"/>
  <c r="G126" i="64"/>
  <c r="G93" i="64"/>
  <c r="G92" i="64"/>
  <c r="G79" i="64"/>
  <c r="G80" i="64"/>
  <c r="G81" i="64"/>
  <c r="G78" i="64"/>
  <c r="K284" i="64"/>
  <c r="J284" i="64"/>
  <c r="I284" i="64"/>
  <c r="H284" i="64"/>
  <c r="K281" i="64"/>
  <c r="J281" i="64"/>
  <c r="I281" i="64"/>
  <c r="H281" i="64"/>
  <c r="K271" i="64"/>
  <c r="J271" i="64"/>
  <c r="I271" i="64"/>
  <c r="H271" i="64"/>
  <c r="K268" i="64"/>
  <c r="J268" i="64"/>
  <c r="I268" i="64"/>
  <c r="H268" i="64"/>
  <c r="K265" i="64"/>
  <c r="J265" i="64"/>
  <c r="I265" i="64"/>
  <c r="H265" i="64"/>
  <c r="K262" i="64"/>
  <c r="J262" i="64"/>
  <c r="I262" i="64"/>
  <c r="H262" i="64"/>
  <c r="K259" i="64"/>
  <c r="J259" i="64"/>
  <c r="I259" i="64"/>
  <c r="H259" i="64"/>
  <c r="K256" i="64"/>
  <c r="J256" i="64"/>
  <c r="I256" i="64"/>
  <c r="H256" i="64"/>
  <c r="K253" i="64"/>
  <c r="J253" i="64"/>
  <c r="I253" i="64"/>
  <c r="H253" i="64"/>
  <c r="K250" i="64"/>
  <c r="J250" i="64"/>
  <c r="I250" i="64"/>
  <c r="H250" i="64"/>
  <c r="K247" i="64"/>
  <c r="J247" i="64"/>
  <c r="I247" i="64"/>
  <c r="H247" i="64"/>
  <c r="H238" i="64"/>
  <c r="J75" i="75" s="1"/>
  <c r="I238" i="64"/>
  <c r="J76" i="75" s="1"/>
  <c r="J238" i="64"/>
  <c r="J77" i="75" s="1"/>
  <c r="K238" i="64"/>
  <c r="J78" i="75" s="1"/>
  <c r="L238" i="64"/>
  <c r="J79" i="75" s="1"/>
  <c r="M238" i="64"/>
  <c r="J80" i="75" s="1"/>
  <c r="M237" i="64"/>
  <c r="V80" i="75" s="1"/>
  <c r="L237" i="64"/>
  <c r="V79" i="75" s="1"/>
  <c r="K237" i="64"/>
  <c r="V78" i="75" s="1"/>
  <c r="J237" i="64"/>
  <c r="V77" i="75" s="1"/>
  <c r="I237" i="64"/>
  <c r="V76" i="75" s="1"/>
  <c r="H237" i="64"/>
  <c r="V75" i="75" s="1"/>
  <c r="I226" i="64"/>
  <c r="N60" i="75" s="1"/>
  <c r="M227" i="64"/>
  <c r="T64" i="75" s="1"/>
  <c r="H225" i="64"/>
  <c r="L59" i="75" s="1"/>
  <c r="I225" i="64"/>
  <c r="L60" i="75" s="1"/>
  <c r="J225" i="64"/>
  <c r="L61" i="75" s="1"/>
  <c r="K225" i="64"/>
  <c r="L62" i="75" s="1"/>
  <c r="L225" i="64"/>
  <c r="L63" i="75" s="1"/>
  <c r="M225" i="64"/>
  <c r="L64" i="75" s="1"/>
  <c r="H226" i="64"/>
  <c r="N59" i="75" s="1"/>
  <c r="J226" i="64"/>
  <c r="N61" i="75" s="1"/>
  <c r="K226" i="64"/>
  <c r="N62" i="75" s="1"/>
  <c r="L226" i="64"/>
  <c r="N63" i="75" s="1"/>
  <c r="M226" i="64"/>
  <c r="N64" i="75" s="1"/>
  <c r="H227" i="64"/>
  <c r="T59" i="75" s="1"/>
  <c r="I227" i="64"/>
  <c r="T60" i="75" s="1"/>
  <c r="J227" i="64"/>
  <c r="T61" i="75" s="1"/>
  <c r="K227" i="64"/>
  <c r="T62" i="75" s="1"/>
  <c r="L227" i="64"/>
  <c r="T63" i="75" s="1"/>
  <c r="M224" i="64"/>
  <c r="D64" i="75" s="1"/>
  <c r="L224" i="64"/>
  <c r="D63" i="75" s="1"/>
  <c r="K224" i="64"/>
  <c r="D62" i="75" s="1"/>
  <c r="J224" i="64"/>
  <c r="D61" i="75" s="1"/>
  <c r="I224" i="64"/>
  <c r="D60" i="75" s="1"/>
  <c r="H224" i="64"/>
  <c r="D59" i="75" s="1"/>
  <c r="M234" i="64"/>
  <c r="L234" i="64"/>
  <c r="K234" i="64"/>
  <c r="J234" i="64"/>
  <c r="I234" i="64"/>
  <c r="H234" i="64"/>
  <c r="M231" i="64"/>
  <c r="L231" i="64"/>
  <c r="K231" i="64"/>
  <c r="J231" i="64"/>
  <c r="I231" i="64"/>
  <c r="H231" i="64"/>
  <c r="M221" i="64"/>
  <c r="L221" i="64"/>
  <c r="K221" i="64"/>
  <c r="J221" i="64"/>
  <c r="I221" i="64"/>
  <c r="H221" i="64"/>
  <c r="M218" i="64"/>
  <c r="L218" i="64"/>
  <c r="K218" i="64"/>
  <c r="J218" i="64"/>
  <c r="I218" i="64"/>
  <c r="H218" i="64"/>
  <c r="M215" i="64"/>
  <c r="L215" i="64"/>
  <c r="K215" i="64"/>
  <c r="J215" i="64"/>
  <c r="I215" i="64"/>
  <c r="H215" i="64"/>
  <c r="M212" i="64"/>
  <c r="L212" i="64"/>
  <c r="K212" i="64"/>
  <c r="J212" i="64"/>
  <c r="I212" i="64"/>
  <c r="H212" i="64"/>
  <c r="M209" i="64"/>
  <c r="L209" i="64"/>
  <c r="K209" i="64"/>
  <c r="J209" i="64"/>
  <c r="I209" i="64"/>
  <c r="H209" i="64"/>
  <c r="M206" i="64"/>
  <c r="L206" i="64"/>
  <c r="K206" i="64"/>
  <c r="J206" i="64"/>
  <c r="I206" i="64"/>
  <c r="H206" i="64"/>
  <c r="M203" i="64"/>
  <c r="L203" i="64"/>
  <c r="K203" i="64"/>
  <c r="J203" i="64"/>
  <c r="I203" i="64"/>
  <c r="H203" i="64"/>
  <c r="M200" i="64"/>
  <c r="L200" i="64"/>
  <c r="K200" i="64"/>
  <c r="J200" i="64"/>
  <c r="I200" i="64"/>
  <c r="H200" i="64"/>
  <c r="M197" i="64"/>
  <c r="L197" i="64"/>
  <c r="K197" i="64"/>
  <c r="J197" i="64"/>
  <c r="I197" i="64"/>
  <c r="H197" i="64"/>
  <c r="M187" i="64"/>
  <c r="V74" i="75" s="1"/>
  <c r="L187" i="64"/>
  <c r="V73" i="75" s="1"/>
  <c r="K187" i="64"/>
  <c r="V72" i="75" s="1"/>
  <c r="J187" i="64"/>
  <c r="V71" i="75" s="1"/>
  <c r="I187" i="64"/>
  <c r="V70" i="75" s="1"/>
  <c r="H187" i="64"/>
  <c r="V69" i="75" s="1"/>
  <c r="H175" i="64"/>
  <c r="L53" i="75" s="1"/>
  <c r="I175" i="64"/>
  <c r="L54" i="75" s="1"/>
  <c r="J175" i="64"/>
  <c r="L55" i="75" s="1"/>
  <c r="K175" i="64"/>
  <c r="L56" i="75" s="1"/>
  <c r="L175" i="64"/>
  <c r="L57" i="75" s="1"/>
  <c r="M175" i="64"/>
  <c r="L58" i="75" s="1"/>
  <c r="H176" i="64"/>
  <c r="N53" i="75" s="1"/>
  <c r="I176" i="64"/>
  <c r="N54" i="75" s="1"/>
  <c r="J176" i="64"/>
  <c r="N55" i="75" s="1"/>
  <c r="K176" i="64"/>
  <c r="N56" i="75" s="1"/>
  <c r="L176" i="64"/>
  <c r="N57" i="75" s="1"/>
  <c r="M176" i="64"/>
  <c r="N58" i="75" s="1"/>
  <c r="H177" i="64"/>
  <c r="T53" i="75" s="1"/>
  <c r="I177" i="64"/>
  <c r="T54" i="75" s="1"/>
  <c r="J177" i="64"/>
  <c r="T55" i="75" s="1"/>
  <c r="K177" i="64"/>
  <c r="T56" i="75" s="1"/>
  <c r="L177" i="64"/>
  <c r="T57" i="75" s="1"/>
  <c r="M177" i="64"/>
  <c r="T58" i="75" s="1"/>
  <c r="M174" i="64"/>
  <c r="D58" i="75" s="1"/>
  <c r="L174" i="64"/>
  <c r="D57" i="75" s="1"/>
  <c r="K174" i="64"/>
  <c r="D56" i="75" s="1"/>
  <c r="J174" i="64"/>
  <c r="D55" i="75" s="1"/>
  <c r="I174" i="64"/>
  <c r="D54" i="75" s="1"/>
  <c r="H174" i="64"/>
  <c r="D53" i="75" s="1"/>
  <c r="M184" i="64"/>
  <c r="L184" i="64"/>
  <c r="K184" i="64"/>
  <c r="J184" i="64"/>
  <c r="I184" i="64"/>
  <c r="H184" i="64"/>
  <c r="M181" i="64"/>
  <c r="L181" i="64"/>
  <c r="K181" i="64"/>
  <c r="J181" i="64"/>
  <c r="I181" i="64"/>
  <c r="H181" i="64"/>
  <c r="M171" i="64"/>
  <c r="L171" i="64"/>
  <c r="K171" i="64"/>
  <c r="J171" i="64"/>
  <c r="I171" i="64"/>
  <c r="H171" i="64"/>
  <c r="M168" i="64"/>
  <c r="L168" i="64"/>
  <c r="K168" i="64"/>
  <c r="J168" i="64"/>
  <c r="I168" i="64"/>
  <c r="H168" i="64"/>
  <c r="M165" i="64"/>
  <c r="L165" i="64"/>
  <c r="K165" i="64"/>
  <c r="J165" i="64"/>
  <c r="I165" i="64"/>
  <c r="H165" i="64"/>
  <c r="M162" i="64"/>
  <c r="L162" i="64"/>
  <c r="K162" i="64"/>
  <c r="J162" i="64"/>
  <c r="I162" i="64"/>
  <c r="H162" i="64"/>
  <c r="M159" i="64"/>
  <c r="L159" i="64"/>
  <c r="K159" i="64"/>
  <c r="J159" i="64"/>
  <c r="I159" i="64"/>
  <c r="H159" i="64"/>
  <c r="M156" i="64"/>
  <c r="L156" i="64"/>
  <c r="K156" i="64"/>
  <c r="J156" i="64"/>
  <c r="I156" i="64"/>
  <c r="H156" i="64"/>
  <c r="M153" i="64"/>
  <c r="L153" i="64"/>
  <c r="K153" i="64"/>
  <c r="J153" i="64"/>
  <c r="I153" i="64"/>
  <c r="H153" i="64"/>
  <c r="M150" i="64"/>
  <c r="L150" i="64"/>
  <c r="K150" i="64"/>
  <c r="J150" i="64"/>
  <c r="I150" i="64"/>
  <c r="H150" i="64"/>
  <c r="M147" i="64"/>
  <c r="L147" i="64"/>
  <c r="K147" i="64"/>
  <c r="J147" i="64"/>
  <c r="I147" i="64"/>
  <c r="H147" i="64"/>
  <c r="M93" i="64"/>
  <c r="V33" i="75" s="1"/>
  <c r="M92" i="64"/>
  <c r="J33" i="75" s="1"/>
  <c r="I89" i="64"/>
  <c r="I93" i="64"/>
  <c r="V29" i="75" s="1"/>
  <c r="J93" i="64"/>
  <c r="V30" i="75" s="1"/>
  <c r="K93" i="64"/>
  <c r="V31" i="75" s="1"/>
  <c r="L93" i="64"/>
  <c r="V32" i="75" s="1"/>
  <c r="L92" i="64"/>
  <c r="J32" i="75" s="1"/>
  <c r="K92" i="64"/>
  <c r="J31" i="75" s="1"/>
  <c r="J92" i="64"/>
  <c r="J30" i="75" s="1"/>
  <c r="I86" i="64"/>
  <c r="I92" i="64"/>
  <c r="J29" i="75" s="1"/>
  <c r="H89" i="64"/>
  <c r="H93" i="64"/>
  <c r="V28" i="75" s="1"/>
  <c r="H86" i="64"/>
  <c r="H92" i="64"/>
  <c r="J28" i="75" s="1"/>
  <c r="L79" i="64"/>
  <c r="L24" i="75" s="1"/>
  <c r="L80" i="64"/>
  <c r="N24" i="75" s="1"/>
  <c r="L81" i="64"/>
  <c r="T24" i="75" s="1"/>
  <c r="L78" i="64"/>
  <c r="D24" i="75" s="1"/>
  <c r="K79" i="64"/>
  <c r="L23" i="75" s="1"/>
  <c r="K80" i="64"/>
  <c r="N23" i="75" s="1"/>
  <c r="K81" i="64"/>
  <c r="T23" i="75" s="1"/>
  <c r="K78" i="64"/>
  <c r="D23" i="75" s="1"/>
  <c r="J79" i="64"/>
  <c r="L22" i="75" s="1"/>
  <c r="J80" i="64"/>
  <c r="N22" i="75" s="1"/>
  <c r="J81" i="64"/>
  <c r="T22" i="75" s="1"/>
  <c r="J78" i="64"/>
  <c r="D22" i="75" s="1"/>
  <c r="I69" i="64"/>
  <c r="I79" i="64"/>
  <c r="L21" i="75" s="1"/>
  <c r="I60" i="64"/>
  <c r="I72" i="64"/>
  <c r="I80" i="64"/>
  <c r="N21" i="75" s="1"/>
  <c r="I54" i="64"/>
  <c r="I75" i="64"/>
  <c r="I81" i="64"/>
  <c r="T21" i="75" s="1"/>
  <c r="I51" i="64"/>
  <c r="I57" i="64"/>
  <c r="I63" i="64"/>
  <c r="I66" i="64"/>
  <c r="I78" i="64"/>
  <c r="D21" i="75" s="1"/>
  <c r="H69" i="64"/>
  <c r="H79" i="64"/>
  <c r="L20" i="75" s="1"/>
  <c r="H60" i="64"/>
  <c r="H72" i="64"/>
  <c r="H80" i="64"/>
  <c r="N20" i="75" s="1"/>
  <c r="H54" i="64"/>
  <c r="H75" i="64"/>
  <c r="H81" i="64"/>
  <c r="T20" i="75" s="1"/>
  <c r="H51" i="64"/>
  <c r="H57" i="64"/>
  <c r="H63" i="64"/>
  <c r="H66" i="64"/>
  <c r="H78" i="64"/>
  <c r="D20" i="75" s="1"/>
  <c r="M89" i="64"/>
  <c r="L89" i="64"/>
  <c r="K89" i="64"/>
  <c r="J89" i="64"/>
  <c r="M86" i="64"/>
  <c r="L86" i="64"/>
  <c r="K86" i="64"/>
  <c r="J86" i="64"/>
  <c r="M54" i="64"/>
  <c r="M57" i="64"/>
  <c r="M60" i="64"/>
  <c r="M63" i="64"/>
  <c r="M66" i="64"/>
  <c r="M69" i="64"/>
  <c r="M72" i="64"/>
  <c r="M75" i="64"/>
  <c r="M51" i="64"/>
  <c r="AG3" i="64"/>
  <c r="L75" i="64"/>
  <c r="K75" i="64"/>
  <c r="J75" i="64"/>
  <c r="L72" i="64"/>
  <c r="K72" i="64"/>
  <c r="J72" i="64"/>
  <c r="L69" i="64"/>
  <c r="K69" i="64"/>
  <c r="J69" i="64"/>
  <c r="L66" i="64"/>
  <c r="K66" i="64"/>
  <c r="J66" i="64"/>
  <c r="L63" i="64"/>
  <c r="K63" i="64"/>
  <c r="J63" i="64"/>
  <c r="L60" i="64"/>
  <c r="K60" i="64"/>
  <c r="J60" i="64"/>
  <c r="L57" i="64"/>
  <c r="K57" i="64"/>
  <c r="J57" i="64"/>
  <c r="L54" i="64"/>
  <c r="K54" i="64"/>
  <c r="J54" i="64"/>
  <c r="L51" i="64"/>
  <c r="K51" i="64"/>
  <c r="J51" i="64"/>
  <c r="H239" i="55"/>
  <c r="H243" i="55"/>
  <c r="J72" i="74" s="1"/>
  <c r="I239" i="55"/>
  <c r="I243" i="55"/>
  <c r="J73" i="74" s="1"/>
  <c r="J239" i="55"/>
  <c r="J243" i="55"/>
  <c r="J74" i="74" s="1"/>
  <c r="K239" i="55"/>
  <c r="K243" i="55"/>
  <c r="J75" i="74" s="1"/>
  <c r="K236" i="55"/>
  <c r="K242" i="55"/>
  <c r="V75" i="74" s="1"/>
  <c r="J236" i="55"/>
  <c r="J242" i="55"/>
  <c r="V74" i="74" s="1"/>
  <c r="I236" i="55"/>
  <c r="I242" i="55"/>
  <c r="V73" i="74" s="1"/>
  <c r="H236" i="55"/>
  <c r="H242" i="55"/>
  <c r="V72" i="74" s="1"/>
  <c r="H205" i="55"/>
  <c r="I205" i="55"/>
  <c r="J205" i="55"/>
  <c r="K205" i="55"/>
  <c r="H208" i="55"/>
  <c r="I208" i="55"/>
  <c r="J208" i="55"/>
  <c r="K208" i="55"/>
  <c r="H211" i="55"/>
  <c r="I211" i="55"/>
  <c r="J211" i="55"/>
  <c r="K211" i="55"/>
  <c r="H214" i="55"/>
  <c r="I214" i="55"/>
  <c r="J214" i="55"/>
  <c r="K214" i="55"/>
  <c r="H217" i="55"/>
  <c r="I217" i="55"/>
  <c r="J217" i="55"/>
  <c r="K217" i="55"/>
  <c r="H220" i="55"/>
  <c r="I220" i="55"/>
  <c r="J220" i="55"/>
  <c r="K220" i="55"/>
  <c r="H223" i="55"/>
  <c r="I223" i="55"/>
  <c r="J223" i="55"/>
  <c r="K223" i="55"/>
  <c r="H226" i="55"/>
  <c r="I226" i="55"/>
  <c r="J226" i="55"/>
  <c r="K226" i="55"/>
  <c r="K202" i="55"/>
  <c r="J202" i="55"/>
  <c r="I202" i="55"/>
  <c r="H202" i="55"/>
  <c r="H230" i="55"/>
  <c r="L56" i="74" s="1"/>
  <c r="I230" i="55"/>
  <c r="L57" i="74" s="1"/>
  <c r="J230" i="55"/>
  <c r="L58" i="74" s="1"/>
  <c r="K230" i="55"/>
  <c r="L59" i="74" s="1"/>
  <c r="H231" i="55"/>
  <c r="N56" i="74" s="1"/>
  <c r="I231" i="55"/>
  <c r="N57" i="74" s="1"/>
  <c r="J231" i="55"/>
  <c r="N58" i="74" s="1"/>
  <c r="K231" i="55"/>
  <c r="N59" i="74" s="1"/>
  <c r="I232" i="55"/>
  <c r="T57" i="74" s="1"/>
  <c r="J232" i="55"/>
  <c r="T58" i="74" s="1"/>
  <c r="K232" i="55"/>
  <c r="T59" i="74" s="1"/>
  <c r="K229" i="55"/>
  <c r="D59" i="74" s="1"/>
  <c r="J229" i="55"/>
  <c r="D58" i="74" s="1"/>
  <c r="I229" i="55"/>
  <c r="D57" i="74" s="1"/>
  <c r="H229" i="55"/>
  <c r="D56" i="74" s="1"/>
  <c r="H189" i="55"/>
  <c r="H193" i="55"/>
  <c r="J66" i="74" s="1"/>
  <c r="I189" i="55"/>
  <c r="I193" i="55"/>
  <c r="J67" i="74" s="1"/>
  <c r="J189" i="55"/>
  <c r="J193" i="55"/>
  <c r="J68" i="74" s="1"/>
  <c r="K189" i="55"/>
  <c r="K193" i="55"/>
  <c r="J69" i="74" s="1"/>
  <c r="L189" i="55"/>
  <c r="L193" i="55"/>
  <c r="J70" i="74" s="1"/>
  <c r="M189" i="55"/>
  <c r="M193" i="55"/>
  <c r="J71" i="74" s="1"/>
  <c r="H186" i="55"/>
  <c r="H192" i="55"/>
  <c r="V66" i="74" s="1"/>
  <c r="I186" i="55"/>
  <c r="I192" i="55"/>
  <c r="V67" i="74" s="1"/>
  <c r="J186" i="55"/>
  <c r="J192" i="55"/>
  <c r="V68" i="74" s="1"/>
  <c r="K186" i="55"/>
  <c r="K192" i="55"/>
  <c r="V69" i="74" s="1"/>
  <c r="L186" i="55"/>
  <c r="L192" i="55"/>
  <c r="V70" i="74" s="1"/>
  <c r="M186" i="55"/>
  <c r="M192" i="55"/>
  <c r="V71" i="74" s="1"/>
  <c r="H152" i="55"/>
  <c r="H158" i="55"/>
  <c r="H164" i="55"/>
  <c r="H167" i="55"/>
  <c r="H179" i="55"/>
  <c r="D50" i="74" s="1"/>
  <c r="M170" i="55"/>
  <c r="M180" i="55"/>
  <c r="L55" i="74" s="1"/>
  <c r="M161" i="55"/>
  <c r="M173" i="55"/>
  <c r="M181" i="55"/>
  <c r="N55" i="74" s="1"/>
  <c r="M155" i="55"/>
  <c r="M176" i="55"/>
  <c r="M182" i="55"/>
  <c r="T55" i="74" s="1"/>
  <c r="M152" i="55"/>
  <c r="M158" i="55"/>
  <c r="M164" i="55"/>
  <c r="M167" i="55"/>
  <c r="M179" i="55"/>
  <c r="D55" i="74" s="1"/>
  <c r="L170" i="55"/>
  <c r="L180" i="55"/>
  <c r="L54" i="74" s="1"/>
  <c r="L161" i="55"/>
  <c r="L173" i="55"/>
  <c r="L181" i="55"/>
  <c r="N54" i="74" s="1"/>
  <c r="L155" i="55"/>
  <c r="L176" i="55"/>
  <c r="L182" i="55"/>
  <c r="T54" i="74" s="1"/>
  <c r="L152" i="55"/>
  <c r="L158" i="55"/>
  <c r="L164" i="55"/>
  <c r="L167" i="55"/>
  <c r="L179" i="55"/>
  <c r="D54" i="74" s="1"/>
  <c r="K170" i="55"/>
  <c r="K180" i="55"/>
  <c r="L53" i="74" s="1"/>
  <c r="K161" i="55"/>
  <c r="K173" i="55"/>
  <c r="K181" i="55"/>
  <c r="N53" i="74" s="1"/>
  <c r="K155" i="55"/>
  <c r="K176" i="55"/>
  <c r="K182" i="55"/>
  <c r="T53" i="74" s="1"/>
  <c r="K152" i="55"/>
  <c r="K158" i="55"/>
  <c r="K164" i="55"/>
  <c r="K167" i="55"/>
  <c r="K179" i="55"/>
  <c r="D53" i="74" s="1"/>
  <c r="J155" i="55"/>
  <c r="J176" i="55"/>
  <c r="J182" i="55"/>
  <c r="T52" i="74" s="1"/>
  <c r="J161" i="55"/>
  <c r="J173" i="55"/>
  <c r="J181" i="55"/>
  <c r="N52" i="74" s="1"/>
  <c r="J170" i="55"/>
  <c r="J180" i="55"/>
  <c r="L52" i="74" s="1"/>
  <c r="J152" i="55"/>
  <c r="J158" i="55"/>
  <c r="J164" i="55"/>
  <c r="J167" i="55"/>
  <c r="J179" i="55"/>
  <c r="D52" i="74" s="1"/>
  <c r="I170" i="55"/>
  <c r="I180" i="55"/>
  <c r="L51" i="74" s="1"/>
  <c r="I161" i="55"/>
  <c r="I173" i="55"/>
  <c r="I181" i="55"/>
  <c r="N51" i="74" s="1"/>
  <c r="I155" i="55"/>
  <c r="I176" i="55"/>
  <c r="I182" i="55"/>
  <c r="T51" i="74" s="1"/>
  <c r="I152" i="55"/>
  <c r="I158" i="55"/>
  <c r="I164" i="55"/>
  <c r="I167" i="55"/>
  <c r="I179" i="55"/>
  <c r="D51" i="74" s="1"/>
  <c r="H170" i="55"/>
  <c r="H180" i="55"/>
  <c r="L50" i="74" s="1"/>
  <c r="H161" i="55"/>
  <c r="H173" i="55"/>
  <c r="H181" i="55"/>
  <c r="N50" i="74" s="1"/>
  <c r="H155" i="55"/>
  <c r="H176" i="55"/>
  <c r="H182" i="55"/>
  <c r="T50" i="74" s="1"/>
  <c r="H90" i="55"/>
  <c r="H139" i="55"/>
  <c r="H143" i="55"/>
  <c r="J60" i="74" s="1"/>
  <c r="I139" i="55"/>
  <c r="I143" i="55"/>
  <c r="J61" i="74" s="1"/>
  <c r="J139" i="55"/>
  <c r="J143" i="55"/>
  <c r="J62" i="74" s="1"/>
  <c r="K139" i="55"/>
  <c r="K143" i="55"/>
  <c r="J63" i="74" s="1"/>
  <c r="L139" i="55"/>
  <c r="L143" i="55"/>
  <c r="J64" i="74" s="1"/>
  <c r="M139" i="55"/>
  <c r="M143" i="55"/>
  <c r="J65" i="74" s="1"/>
  <c r="H136" i="55"/>
  <c r="H142" i="55"/>
  <c r="V60" i="74" s="1"/>
  <c r="M136" i="55"/>
  <c r="M142" i="55"/>
  <c r="V65" i="74" s="1"/>
  <c r="J136" i="55"/>
  <c r="J142" i="55"/>
  <c r="V62" i="74" s="1"/>
  <c r="K136" i="55"/>
  <c r="K142" i="55"/>
  <c r="V63" i="74" s="1"/>
  <c r="L136" i="55"/>
  <c r="L142" i="55"/>
  <c r="V64" i="74" s="1"/>
  <c r="I136" i="55"/>
  <c r="I142" i="55"/>
  <c r="V61" i="74" s="1"/>
  <c r="M120" i="55"/>
  <c r="M130" i="55"/>
  <c r="L49" i="74" s="1"/>
  <c r="M111" i="55"/>
  <c r="M123" i="55"/>
  <c r="M131" i="55"/>
  <c r="N49" i="74" s="1"/>
  <c r="M105" i="55"/>
  <c r="M126" i="55"/>
  <c r="M132" i="55"/>
  <c r="T49" i="74" s="1"/>
  <c r="M102" i="55"/>
  <c r="M108" i="55"/>
  <c r="M114" i="55"/>
  <c r="M117" i="55"/>
  <c r="M129" i="55"/>
  <c r="D49" i="74" s="1"/>
  <c r="L120" i="55"/>
  <c r="L130" i="55"/>
  <c r="L48" i="74" s="1"/>
  <c r="L111" i="55"/>
  <c r="L123" i="55"/>
  <c r="L131" i="55"/>
  <c r="N48" i="74" s="1"/>
  <c r="L105" i="55"/>
  <c r="L126" i="55"/>
  <c r="L132" i="55"/>
  <c r="T48" i="74" s="1"/>
  <c r="L102" i="55"/>
  <c r="L108" i="55"/>
  <c r="L114" i="55"/>
  <c r="L117" i="55"/>
  <c r="L129" i="55"/>
  <c r="D48" i="74" s="1"/>
  <c r="K120" i="55"/>
  <c r="K130" i="55"/>
  <c r="L47" i="74" s="1"/>
  <c r="K111" i="55"/>
  <c r="K123" i="55"/>
  <c r="K131" i="55"/>
  <c r="N47" i="74" s="1"/>
  <c r="K105" i="55"/>
  <c r="K126" i="55"/>
  <c r="K132" i="55"/>
  <c r="T47" i="74" s="1"/>
  <c r="K102" i="55"/>
  <c r="K108" i="55"/>
  <c r="K114" i="55"/>
  <c r="K117" i="55"/>
  <c r="K129" i="55"/>
  <c r="D47" i="74" s="1"/>
  <c r="J120" i="55"/>
  <c r="J130" i="55"/>
  <c r="L46" i="74" s="1"/>
  <c r="J111" i="55"/>
  <c r="J123" i="55"/>
  <c r="J131" i="55"/>
  <c r="N46" i="74" s="1"/>
  <c r="J105" i="55"/>
  <c r="J126" i="55"/>
  <c r="J132" i="55"/>
  <c r="T46" i="74" s="1"/>
  <c r="J102" i="55"/>
  <c r="J108" i="55"/>
  <c r="J114" i="55"/>
  <c r="J117" i="55"/>
  <c r="J129" i="55"/>
  <c r="D46" i="74" s="1"/>
  <c r="I120" i="55"/>
  <c r="I130" i="55"/>
  <c r="L45" i="74" s="1"/>
  <c r="I111" i="55"/>
  <c r="I123" i="55"/>
  <c r="I131" i="55"/>
  <c r="N45" i="74" s="1"/>
  <c r="I105" i="55"/>
  <c r="I126" i="55"/>
  <c r="I132" i="55"/>
  <c r="T45" i="74" s="1"/>
  <c r="I102" i="55"/>
  <c r="I108" i="55"/>
  <c r="I114" i="55"/>
  <c r="I117" i="55"/>
  <c r="I129" i="55"/>
  <c r="D45" i="74" s="1"/>
  <c r="H87" i="55"/>
  <c r="G80" i="55"/>
  <c r="M17" i="74" s="1"/>
  <c r="AU74" i="61"/>
  <c r="AU71" i="61"/>
  <c r="AU68" i="61"/>
  <c r="AU65" i="61"/>
  <c r="AU62" i="61"/>
  <c r="AU59" i="61"/>
  <c r="X25" i="26"/>
  <c r="AC13" i="26" s="1"/>
  <c r="BJ47" i="35"/>
  <c r="BK47" i="35"/>
  <c r="L83" i="61"/>
  <c r="L80" i="61"/>
  <c r="L77" i="61"/>
  <c r="L74" i="61"/>
  <c r="L71" i="61"/>
  <c r="L68" i="61"/>
  <c r="L62" i="61"/>
  <c r="L59" i="61"/>
  <c r="BF8" i="35"/>
  <c r="R7" i="1" s="1"/>
  <c r="S7" i="1" s="1"/>
  <c r="BF10" i="35"/>
  <c r="R8" i="1"/>
  <c r="S8" i="1"/>
  <c r="BF12" i="35"/>
  <c r="R9" i="1" s="1"/>
  <c r="S9" i="1" s="1"/>
  <c r="BF14" i="35"/>
  <c r="R10" i="1"/>
  <c r="S10" i="1" s="1"/>
  <c r="BF16" i="35"/>
  <c r="R11" i="1"/>
  <c r="S11" i="1" s="1"/>
  <c r="BF21" i="35"/>
  <c r="R15" i="1"/>
  <c r="S15" i="1" s="1"/>
  <c r="BF23" i="35"/>
  <c r="R16" i="1" s="1"/>
  <c r="S16" i="1" s="1"/>
  <c r="BF25" i="35"/>
  <c r="R17" i="1" s="1"/>
  <c r="S17" i="1" s="1"/>
  <c r="BF27" i="35"/>
  <c r="R18" i="1" s="1"/>
  <c r="S18" i="1" s="1"/>
  <c r="BF32" i="35"/>
  <c r="R22" i="1"/>
  <c r="S22" i="1"/>
  <c r="BF34" i="35"/>
  <c r="R23" i="1" s="1"/>
  <c r="S23" i="1" s="1"/>
  <c r="BF36" i="35"/>
  <c r="R24" i="1"/>
  <c r="S24" i="1" s="1"/>
  <c r="BF41" i="35"/>
  <c r="R28" i="1"/>
  <c r="S28" i="1" s="1"/>
  <c r="BF43" i="35"/>
  <c r="R29" i="1"/>
  <c r="S29" i="1" s="1"/>
  <c r="BF45" i="35"/>
  <c r="R30" i="1" s="1"/>
  <c r="S30" i="1" s="1"/>
  <c r="BF47" i="35"/>
  <c r="R31" i="1" s="1"/>
  <c r="S31" i="1" s="1"/>
  <c r="AD39" i="55"/>
  <c r="AD42" i="55"/>
  <c r="L6" i="74" s="1"/>
  <c r="AC129" i="55"/>
  <c r="AC135" i="55"/>
  <c r="L29" i="74" s="1"/>
  <c r="AK138" i="55"/>
  <c r="AK144" i="55"/>
  <c r="L30" i="74" s="1"/>
  <c r="AS138" i="55"/>
  <c r="AS141" i="55"/>
  <c r="L31" i="74" s="1"/>
  <c r="BA138" i="55"/>
  <c r="BA144" i="55"/>
  <c r="L32" i="74" s="1"/>
  <c r="BI138" i="55"/>
  <c r="BI144" i="55"/>
  <c r="L33" i="74" s="1"/>
  <c r="U179" i="55"/>
  <c r="U185" i="55"/>
  <c r="L34" i="74" s="1"/>
  <c r="AC176" i="55"/>
  <c r="AC182" i="55"/>
  <c r="L35" i="74" s="1"/>
  <c r="AK176" i="55"/>
  <c r="AK182" i="55"/>
  <c r="L36" i="74" s="1"/>
  <c r="AS173" i="55"/>
  <c r="AS179" i="55"/>
  <c r="L37" i="74" s="1"/>
  <c r="BA188" i="55"/>
  <c r="BA194" i="55"/>
  <c r="L38" i="74" s="1"/>
  <c r="BI188" i="55"/>
  <c r="BI194" i="55"/>
  <c r="L39" i="74" s="1"/>
  <c r="U235" i="55"/>
  <c r="U241" i="55"/>
  <c r="L40" i="74" s="1"/>
  <c r="AC235" i="55"/>
  <c r="AC241" i="55"/>
  <c r="L41" i="74" s="1"/>
  <c r="AK232" i="55"/>
  <c r="AK238" i="55"/>
  <c r="L42" i="74" s="1"/>
  <c r="AS244" i="55"/>
  <c r="AS250" i="55"/>
  <c r="L43" i="74" s="1"/>
  <c r="T138" i="55"/>
  <c r="M28" i="74" s="1"/>
  <c r="AB135" i="55"/>
  <c r="M29" i="74" s="1"/>
  <c r="AJ144" i="55"/>
  <c r="M30" i="74" s="1"/>
  <c r="AR141" i="55"/>
  <c r="M31" i="74" s="1"/>
  <c r="AZ144" i="55"/>
  <c r="M32" i="74" s="1"/>
  <c r="BH144" i="55"/>
  <c r="M33" i="74" s="1"/>
  <c r="T185" i="55"/>
  <c r="M34" i="74" s="1"/>
  <c r="AB182" i="55"/>
  <c r="M35" i="74" s="1"/>
  <c r="AJ182" i="55"/>
  <c r="M36" i="74" s="1"/>
  <c r="AR179" i="55"/>
  <c r="M37" i="74" s="1"/>
  <c r="AZ194" i="55"/>
  <c r="M38" i="74" s="1"/>
  <c r="BH194" i="55"/>
  <c r="M39" i="74" s="1"/>
  <c r="T241" i="55"/>
  <c r="M40" i="74" s="1"/>
  <c r="AB241" i="55"/>
  <c r="M41" i="74" s="1"/>
  <c r="AJ238" i="55"/>
  <c r="M42" i="74" s="1"/>
  <c r="AR250" i="55"/>
  <c r="M43" i="74" s="1"/>
  <c r="AD33" i="55"/>
  <c r="AD36" i="55"/>
  <c r="AD43" i="55"/>
  <c r="T6" i="74" s="1"/>
  <c r="AD27" i="55"/>
  <c r="AD44" i="55"/>
  <c r="AF6" i="74" s="1"/>
  <c r="AC102" i="55"/>
  <c r="AC105" i="55"/>
  <c r="AC108" i="55"/>
  <c r="AC111" i="55"/>
  <c r="AC136" i="55"/>
  <c r="AF29" i="74" s="1"/>
  <c r="AK102" i="55"/>
  <c r="AK105" i="55"/>
  <c r="AK108" i="55"/>
  <c r="AK111" i="55"/>
  <c r="AK114" i="55"/>
  <c r="AK117" i="55"/>
  <c r="AK120" i="55"/>
  <c r="AK123" i="55"/>
  <c r="AK126" i="55"/>
  <c r="AK129" i="55"/>
  <c r="AK132" i="55"/>
  <c r="AK135" i="55"/>
  <c r="AK141" i="55"/>
  <c r="AK145" i="55"/>
  <c r="AF30" i="74" s="1"/>
  <c r="AS102" i="55"/>
  <c r="AS105" i="55"/>
  <c r="AS108" i="55"/>
  <c r="AS111" i="55"/>
  <c r="AS142" i="55"/>
  <c r="AF31" i="74" s="1"/>
  <c r="BA102" i="55"/>
  <c r="BA105" i="55"/>
  <c r="BA108" i="55"/>
  <c r="BA111" i="55"/>
  <c r="BA114" i="55"/>
  <c r="BA117" i="55"/>
  <c r="BA120" i="55"/>
  <c r="BA123" i="55"/>
  <c r="BA126" i="55"/>
  <c r="BA129" i="55"/>
  <c r="BA132" i="55"/>
  <c r="BA135" i="55"/>
  <c r="BA141" i="55"/>
  <c r="BA145" i="55"/>
  <c r="AF32" i="74" s="1"/>
  <c r="BI102" i="55"/>
  <c r="BI105" i="55"/>
  <c r="BI108" i="55"/>
  <c r="BI111" i="55"/>
  <c r="BI114" i="55"/>
  <c r="BI117" i="55"/>
  <c r="BI120" i="55"/>
  <c r="BI123" i="55"/>
  <c r="BI126" i="55"/>
  <c r="BI129" i="55"/>
  <c r="BI132" i="55"/>
  <c r="BI135" i="55"/>
  <c r="BI141" i="55"/>
  <c r="BI145" i="55"/>
  <c r="AF33" i="74" s="1"/>
  <c r="U152" i="55"/>
  <c r="U155" i="55"/>
  <c r="U158" i="55"/>
  <c r="U164" i="55"/>
  <c r="U186" i="55"/>
  <c r="AF34" i="74" s="1"/>
  <c r="AC152" i="55"/>
  <c r="AC155" i="55"/>
  <c r="AC158" i="55"/>
  <c r="AC183" i="55"/>
  <c r="AF35" i="74" s="1"/>
  <c r="AK152" i="55"/>
  <c r="AK155" i="55"/>
  <c r="AK183" i="55"/>
  <c r="AF36" i="74" s="1"/>
  <c r="AS152" i="55"/>
  <c r="AS167" i="55"/>
  <c r="AS180" i="55"/>
  <c r="AF37" i="74" s="1"/>
  <c r="BA152" i="55"/>
  <c r="BA155" i="55"/>
  <c r="BA158" i="55"/>
  <c r="BA164" i="55"/>
  <c r="BA195" i="55"/>
  <c r="AF38" i="74" s="1"/>
  <c r="BI152" i="55"/>
  <c r="BI155" i="55"/>
  <c r="BI158" i="55"/>
  <c r="BI164" i="55"/>
  <c r="BI161" i="55"/>
  <c r="BI167" i="55"/>
  <c r="BI170" i="55"/>
  <c r="BI173" i="55"/>
  <c r="BI176" i="55"/>
  <c r="BI179" i="55"/>
  <c r="BI182" i="55"/>
  <c r="BI185" i="55"/>
  <c r="BI191" i="55"/>
  <c r="BI195" i="55"/>
  <c r="AF39" i="74" s="1"/>
  <c r="U202" i="55"/>
  <c r="U205" i="55"/>
  <c r="U208" i="55"/>
  <c r="U214" i="55"/>
  <c r="U211" i="55"/>
  <c r="U217" i="55"/>
  <c r="U220" i="55"/>
  <c r="U223" i="55"/>
  <c r="U226" i="55"/>
  <c r="U229" i="55"/>
  <c r="U232" i="55"/>
  <c r="U238" i="55"/>
  <c r="U242" i="55"/>
  <c r="AF40" i="74" s="1"/>
  <c r="AC202" i="55"/>
  <c r="AC205" i="55"/>
  <c r="AC208" i="55"/>
  <c r="AC214" i="55"/>
  <c r="AC211" i="55"/>
  <c r="AC217" i="55"/>
  <c r="AC220" i="55"/>
  <c r="AC223" i="55"/>
  <c r="AC226" i="55"/>
  <c r="AC229" i="55"/>
  <c r="AC232" i="55"/>
  <c r="AC238" i="55"/>
  <c r="AC242" i="55"/>
  <c r="AF41" i="74" s="1"/>
  <c r="AK202" i="55"/>
  <c r="AK205" i="55"/>
  <c r="AK208" i="55"/>
  <c r="AK214" i="55"/>
  <c r="AK239" i="55"/>
  <c r="AF42" i="74" s="1"/>
  <c r="AS202" i="55"/>
  <c r="AS205" i="55"/>
  <c r="AS208" i="55"/>
  <c r="AS214" i="55"/>
  <c r="AS211" i="55"/>
  <c r="AS217" i="55"/>
  <c r="AS220" i="55"/>
  <c r="AS223" i="55"/>
  <c r="AS226" i="55"/>
  <c r="AS229" i="55"/>
  <c r="AS232" i="55"/>
  <c r="AS235" i="55"/>
  <c r="AS238" i="55"/>
  <c r="AS241" i="55"/>
  <c r="AS247" i="55"/>
  <c r="AS251" i="55"/>
  <c r="AF43" i="74" s="1"/>
  <c r="T139" i="55"/>
  <c r="AG28" i="74" s="1"/>
  <c r="AB136" i="55"/>
  <c r="AG29" i="74" s="1"/>
  <c r="AJ145" i="55"/>
  <c r="AG30" i="74" s="1"/>
  <c r="AR142" i="55"/>
  <c r="AG31" i="74" s="1"/>
  <c r="AZ145" i="55"/>
  <c r="AG32" i="74" s="1"/>
  <c r="BH145" i="55"/>
  <c r="AG33" i="74" s="1"/>
  <c r="T186" i="55"/>
  <c r="AG34" i="74" s="1"/>
  <c r="AB183" i="55"/>
  <c r="AG35" i="74" s="1"/>
  <c r="AJ183" i="55"/>
  <c r="AG36" i="74" s="1"/>
  <c r="AR180" i="55"/>
  <c r="AG37" i="74" s="1"/>
  <c r="AZ195" i="55"/>
  <c r="AG38" i="74" s="1"/>
  <c r="BH195" i="55"/>
  <c r="AG39" i="74" s="1"/>
  <c r="T242" i="55"/>
  <c r="AG40" i="74" s="1"/>
  <c r="AB242" i="55"/>
  <c r="AG41" i="74" s="1"/>
  <c r="AJ239" i="55"/>
  <c r="AG42" i="74" s="1"/>
  <c r="AR251" i="55"/>
  <c r="AG43" i="74" s="1"/>
  <c r="AD12" i="55"/>
  <c r="AD15" i="55"/>
  <c r="AD18" i="55"/>
  <c r="AD21" i="55"/>
  <c r="AD24" i="55"/>
  <c r="AD30" i="55"/>
  <c r="AD45" i="55"/>
  <c r="AH6" i="74" s="1"/>
  <c r="AC114" i="55"/>
  <c r="AC117" i="55"/>
  <c r="AC120" i="55"/>
  <c r="AC123" i="55"/>
  <c r="AC126" i="55"/>
  <c r="AC132" i="55"/>
  <c r="AC137" i="55"/>
  <c r="AH29" i="74" s="1"/>
  <c r="AK146" i="55"/>
  <c r="AH30" i="74" s="1"/>
  <c r="AS114" i="55"/>
  <c r="AS117" i="55"/>
  <c r="AS120" i="55"/>
  <c r="AS123" i="55"/>
  <c r="AS126" i="55"/>
  <c r="AS129" i="55"/>
  <c r="AS132" i="55"/>
  <c r="AS135" i="55"/>
  <c r="AS143" i="55"/>
  <c r="AH31" i="74" s="1"/>
  <c r="BA146" i="55"/>
  <c r="AH32" i="74" s="1"/>
  <c r="BI146" i="55"/>
  <c r="AH33" i="74" s="1"/>
  <c r="U161" i="55"/>
  <c r="U167" i="55"/>
  <c r="U170" i="55"/>
  <c r="U173" i="55"/>
  <c r="U176" i="55"/>
  <c r="U182" i="55"/>
  <c r="U187" i="55"/>
  <c r="AH34" i="74" s="1"/>
  <c r="AC161" i="55"/>
  <c r="AC164" i="55"/>
  <c r="AC167" i="55"/>
  <c r="AC170" i="55"/>
  <c r="AC173" i="55"/>
  <c r="AC179" i="55"/>
  <c r="AC184" i="55"/>
  <c r="AH35" i="74" s="1"/>
  <c r="AK158" i="55"/>
  <c r="AK161" i="55"/>
  <c r="AK164" i="55"/>
  <c r="AK167" i="55"/>
  <c r="AK170" i="55"/>
  <c r="AK173" i="55"/>
  <c r="AK179" i="55"/>
  <c r="AK184" i="55"/>
  <c r="AH36" i="74" s="1"/>
  <c r="AS155" i="55"/>
  <c r="AS158" i="55"/>
  <c r="AS161" i="55"/>
  <c r="AS164" i="55"/>
  <c r="AS170" i="55"/>
  <c r="AS176" i="55"/>
  <c r="AS181" i="55"/>
  <c r="AH37" i="74" s="1"/>
  <c r="BA161" i="55"/>
  <c r="BA167" i="55"/>
  <c r="BA170" i="55"/>
  <c r="BA173" i="55"/>
  <c r="BA176" i="55"/>
  <c r="BA179" i="55"/>
  <c r="BA182" i="55"/>
  <c r="BA185" i="55"/>
  <c r="BA191" i="55"/>
  <c r="BA196" i="55"/>
  <c r="AH38" i="74" s="1"/>
  <c r="BI196" i="55"/>
  <c r="AH39" i="74" s="1"/>
  <c r="U243" i="55"/>
  <c r="AH40" i="74" s="1"/>
  <c r="AC243" i="55"/>
  <c r="AH41" i="74" s="1"/>
  <c r="AK211" i="55"/>
  <c r="AK217" i="55"/>
  <c r="AK220" i="55"/>
  <c r="AK223" i="55"/>
  <c r="AK226" i="55"/>
  <c r="AK229" i="55"/>
  <c r="AK235" i="55"/>
  <c r="AK240" i="55"/>
  <c r="AH42" i="74" s="1"/>
  <c r="AS252" i="55"/>
  <c r="AH43" i="74" s="1"/>
  <c r="T140" i="55"/>
  <c r="AI28" i="74" s="1"/>
  <c r="AB137" i="55"/>
  <c r="AI29" i="74" s="1"/>
  <c r="AJ146" i="55"/>
  <c r="AI30" i="74" s="1"/>
  <c r="AR143" i="55"/>
  <c r="AI31" i="74" s="1"/>
  <c r="AZ146" i="55"/>
  <c r="AI32" i="74" s="1"/>
  <c r="BH146" i="55"/>
  <c r="AI33" i="74" s="1"/>
  <c r="T187" i="55"/>
  <c r="AI34" i="74" s="1"/>
  <c r="AB184" i="55"/>
  <c r="AI35" i="74" s="1"/>
  <c r="AJ184" i="55"/>
  <c r="AI36" i="74" s="1"/>
  <c r="AR181" i="55"/>
  <c r="AI37" i="74" s="1"/>
  <c r="AZ196" i="55"/>
  <c r="AI38" i="74" s="1"/>
  <c r="BH196" i="55"/>
  <c r="AI39" i="74" s="1"/>
  <c r="T243" i="55"/>
  <c r="AI40" i="74" s="1"/>
  <c r="AB243" i="55"/>
  <c r="AI41" i="74" s="1"/>
  <c r="AJ240" i="55"/>
  <c r="AI42" i="74" s="1"/>
  <c r="AR252" i="55"/>
  <c r="AI43" i="74" s="1"/>
  <c r="X21" i="26"/>
  <c r="BM3" i="69"/>
  <c r="BI3" i="69"/>
  <c r="BE3" i="69"/>
  <c r="BA3" i="69"/>
  <c r="AW3" i="69"/>
  <c r="AS3" i="69"/>
  <c r="AO3" i="69"/>
  <c r="AO3" i="64"/>
  <c r="AK3" i="64"/>
  <c r="AI97" i="61"/>
  <c r="AI94" i="61"/>
  <c r="AI91" i="61"/>
  <c r="AI88" i="61"/>
  <c r="AI77" i="61"/>
  <c r="AI74" i="61"/>
  <c r="AI71" i="61"/>
  <c r="AI68" i="61"/>
  <c r="AI65" i="61"/>
  <c r="AI62" i="61"/>
  <c r="AI59" i="61"/>
  <c r="BG16" i="35"/>
  <c r="BH16" i="35"/>
  <c r="BI16" i="35"/>
  <c r="BJ16" i="35"/>
  <c r="BI47" i="35"/>
  <c r="BH47" i="35"/>
  <c r="BG47" i="35"/>
  <c r="BE47" i="35"/>
  <c r="BD47" i="35"/>
  <c r="BC47" i="35"/>
  <c r="BI45" i="35"/>
  <c r="BH45" i="35"/>
  <c r="BG45" i="35"/>
  <c r="BE45" i="35"/>
  <c r="BD45" i="35"/>
  <c r="BC45" i="35"/>
  <c r="BI43" i="35"/>
  <c r="BH43" i="35"/>
  <c r="BG43" i="35"/>
  <c r="BE43" i="35"/>
  <c r="BD43" i="35"/>
  <c r="BC43" i="35"/>
  <c r="BL41" i="35"/>
  <c r="BK41" i="35"/>
  <c r="BJ41" i="35"/>
  <c r="BI41" i="35"/>
  <c r="BH41" i="35"/>
  <c r="BG41" i="35"/>
  <c r="BE41" i="35"/>
  <c r="BD41" i="35"/>
  <c r="BC41" i="35"/>
  <c r="BB41" i="35"/>
  <c r="BA41" i="35"/>
  <c r="BL36" i="35"/>
  <c r="BK36" i="35"/>
  <c r="BJ36" i="35"/>
  <c r="BI36" i="35"/>
  <c r="BH36" i="35"/>
  <c r="BG36" i="35"/>
  <c r="BE36" i="35"/>
  <c r="BD36" i="35"/>
  <c r="BC36" i="35"/>
  <c r="BB36" i="35"/>
  <c r="BA36" i="35"/>
  <c r="BL34" i="35"/>
  <c r="BK34" i="35"/>
  <c r="BJ34" i="35"/>
  <c r="BI34" i="35"/>
  <c r="BH34" i="35"/>
  <c r="BG34" i="35"/>
  <c r="BE34" i="35"/>
  <c r="BD34" i="35"/>
  <c r="BC34" i="35"/>
  <c r="BB34" i="35"/>
  <c r="BA34" i="35"/>
  <c r="BL32" i="35"/>
  <c r="BK32" i="35"/>
  <c r="BE22" i="1" s="1"/>
  <c r="BJ32" i="35"/>
  <c r="BI32" i="35"/>
  <c r="BH32" i="35"/>
  <c r="BG32" i="35"/>
  <c r="BE32" i="35"/>
  <c r="BD32" i="35"/>
  <c r="BC32" i="35"/>
  <c r="BB32" i="35"/>
  <c r="E22" i="1" s="1"/>
  <c r="F22" i="1" s="1"/>
  <c r="BA32" i="35"/>
  <c r="BI27" i="35"/>
  <c r="BH27" i="35"/>
  <c r="BG27" i="35"/>
  <c r="BE27" i="35"/>
  <c r="BI25" i="35"/>
  <c r="BH25" i="35"/>
  <c r="BG25" i="35"/>
  <c r="X17" i="1" s="1"/>
  <c r="BE25" i="35"/>
  <c r="BD25" i="35"/>
  <c r="BC25" i="35"/>
  <c r="BI23" i="35"/>
  <c r="BH23" i="35"/>
  <c r="BG23" i="35"/>
  <c r="BE23" i="35"/>
  <c r="BI21" i="35"/>
  <c r="AV15" i="1" s="1"/>
  <c r="AW15" i="1" s="1"/>
  <c r="BH21" i="35"/>
  <c r="BG21" i="35"/>
  <c r="BE21" i="35"/>
  <c r="BD21" i="35"/>
  <c r="BC21" i="35"/>
  <c r="BL16" i="35"/>
  <c r="BK16" i="35"/>
  <c r="BE16" i="35"/>
  <c r="BD16" i="35"/>
  <c r="BC16" i="35"/>
  <c r="BB16" i="35"/>
  <c r="BA16" i="35"/>
  <c r="BL14" i="35"/>
  <c r="BK14" i="35"/>
  <c r="BJ14" i="35"/>
  <c r="BI14" i="35"/>
  <c r="AP10" i="1" s="1"/>
  <c r="AQ10" i="1" s="1"/>
  <c r="BH14" i="35"/>
  <c r="BG14" i="35"/>
  <c r="BE14" i="35"/>
  <c r="BD14" i="35"/>
  <c r="BC14" i="35"/>
  <c r="BB14" i="35"/>
  <c r="BA14" i="35"/>
  <c r="BL12" i="35"/>
  <c r="BK12" i="35"/>
  <c r="BJ12" i="35"/>
  <c r="BI12" i="35"/>
  <c r="BH12" i="35"/>
  <c r="BG12" i="35"/>
  <c r="BE12" i="35"/>
  <c r="BD12" i="35"/>
  <c r="BC12" i="35"/>
  <c r="BB12" i="35"/>
  <c r="BA12" i="35"/>
  <c r="BL10" i="35"/>
  <c r="BK10" i="35"/>
  <c r="BJ10" i="35"/>
  <c r="BI10" i="35"/>
  <c r="BH10" i="35"/>
  <c r="BG10" i="35"/>
  <c r="BE10" i="35"/>
  <c r="BD10" i="35"/>
  <c r="BC10" i="35"/>
  <c r="BB10" i="35"/>
  <c r="BA10" i="35"/>
  <c r="BA8" i="35"/>
  <c r="BC8" i="35"/>
  <c r="BD8" i="35"/>
  <c r="BE8" i="35"/>
  <c r="BG8" i="35"/>
  <c r="BH8" i="35"/>
  <c r="BI8" i="35"/>
  <c r="BJ8" i="35"/>
  <c r="AR343" i="69"/>
  <c r="AI68" i="79" s="1"/>
  <c r="AJ331" i="69"/>
  <c r="AI67" i="79" s="1"/>
  <c r="AB334" i="69"/>
  <c r="AI66" i="79" s="1"/>
  <c r="T334" i="69"/>
  <c r="AI65" i="79" s="1"/>
  <c r="AR342" i="69"/>
  <c r="AG68" i="79" s="1"/>
  <c r="AJ330" i="69"/>
  <c r="AG67" i="79" s="1"/>
  <c r="AB333" i="69"/>
  <c r="AG66" i="79" s="1"/>
  <c r="T333" i="69"/>
  <c r="AG65" i="79" s="1"/>
  <c r="AR341" i="69"/>
  <c r="M68" i="79" s="1"/>
  <c r="AJ329" i="69"/>
  <c r="M67" i="79" s="1"/>
  <c r="AB332" i="69"/>
  <c r="M66" i="79" s="1"/>
  <c r="T332" i="69"/>
  <c r="M65" i="79" s="1"/>
  <c r="BH287" i="69"/>
  <c r="AI64" i="79" s="1"/>
  <c r="AZ287" i="69"/>
  <c r="AI63" i="79" s="1"/>
  <c r="AR272" i="69"/>
  <c r="AI62" i="79" s="1"/>
  <c r="AJ275" i="69"/>
  <c r="AI61" i="79" s="1"/>
  <c r="AB275" i="69"/>
  <c r="AI60" i="79" s="1"/>
  <c r="T278" i="69"/>
  <c r="AI59" i="79" s="1"/>
  <c r="BH286" i="69"/>
  <c r="AG64" i="79" s="1"/>
  <c r="AZ286" i="69"/>
  <c r="AG63" i="79" s="1"/>
  <c r="AR271" i="69"/>
  <c r="AG62" i="79" s="1"/>
  <c r="AJ274" i="69"/>
  <c r="AG61" i="79" s="1"/>
  <c r="AB274" i="69"/>
  <c r="AG60" i="79" s="1"/>
  <c r="T277" i="69"/>
  <c r="AG59" i="79" s="1"/>
  <c r="BH285" i="69"/>
  <c r="M64" i="79" s="1"/>
  <c r="AZ285" i="69"/>
  <c r="M63" i="79" s="1"/>
  <c r="AR270" i="69"/>
  <c r="M62" i="79" s="1"/>
  <c r="AJ273" i="69"/>
  <c r="M61" i="79" s="1"/>
  <c r="AB273" i="69"/>
  <c r="M60" i="79" s="1"/>
  <c r="T276" i="69"/>
  <c r="M59" i="79" s="1"/>
  <c r="BH237" i="69"/>
  <c r="AI58" i="79" s="1"/>
  <c r="AZ237" i="69"/>
  <c r="AI57" i="79" s="1"/>
  <c r="AR234" i="69"/>
  <c r="AI56" i="79" s="1"/>
  <c r="AJ237" i="69"/>
  <c r="AI55" i="79" s="1"/>
  <c r="AB228" i="69"/>
  <c r="AI54" i="79" s="1"/>
  <c r="T231" i="69"/>
  <c r="AI53" i="79" s="1"/>
  <c r="BH236" i="69"/>
  <c r="AG58" i="79" s="1"/>
  <c r="AZ236" i="69"/>
  <c r="AG57" i="79" s="1"/>
  <c r="AR233" i="69"/>
  <c r="AG56" i="79" s="1"/>
  <c r="AJ236" i="69"/>
  <c r="AG55" i="79" s="1"/>
  <c r="AB227" i="69"/>
  <c r="AG54" i="79" s="1"/>
  <c r="T230" i="69"/>
  <c r="AG53" i="79" s="1"/>
  <c r="BH235" i="69"/>
  <c r="M58" i="79" s="1"/>
  <c r="AZ235" i="69"/>
  <c r="M57" i="79" s="1"/>
  <c r="AR232" i="69"/>
  <c r="M56" i="79" s="1"/>
  <c r="AJ235" i="69"/>
  <c r="M55" i="79" s="1"/>
  <c r="AB226" i="69"/>
  <c r="M54" i="79" s="1"/>
  <c r="T229" i="69"/>
  <c r="M53" i="79" s="1"/>
  <c r="AR248" i="68"/>
  <c r="AI49" i="78" s="1"/>
  <c r="AJ236" i="68"/>
  <c r="AI48" i="78" s="1"/>
  <c r="AB239" i="68"/>
  <c r="AI47" i="78" s="1"/>
  <c r="T239" i="68"/>
  <c r="AI46" i="78" s="1"/>
  <c r="AR247" i="68"/>
  <c r="AG49" i="78" s="1"/>
  <c r="AJ235" i="68"/>
  <c r="AG48" i="78" s="1"/>
  <c r="AB238" i="68"/>
  <c r="AG47" i="78" s="1"/>
  <c r="T238" i="68"/>
  <c r="AG46" i="78" s="1"/>
  <c r="AR246" i="68"/>
  <c r="M49" i="78" s="1"/>
  <c r="AJ234" i="68"/>
  <c r="M48" i="78" s="1"/>
  <c r="AB237" i="68"/>
  <c r="M47" i="78" s="1"/>
  <c r="T237" i="68"/>
  <c r="M46" i="78" s="1"/>
  <c r="BH192" i="68"/>
  <c r="AI45" i="78" s="1"/>
  <c r="AZ192" i="68"/>
  <c r="AI44" i="78" s="1"/>
  <c r="AR177" i="68"/>
  <c r="AI43" i="78" s="1"/>
  <c r="AJ180" i="68"/>
  <c r="AI42" i="78" s="1"/>
  <c r="AB180" i="68"/>
  <c r="AI41" i="78" s="1"/>
  <c r="T183" i="68"/>
  <c r="AI40" i="78" s="1"/>
  <c r="BH191" i="68"/>
  <c r="AG45" i="78" s="1"/>
  <c r="AZ191" i="68"/>
  <c r="AG44" i="78" s="1"/>
  <c r="AR176" i="68"/>
  <c r="AG43" i="78" s="1"/>
  <c r="AJ179" i="68"/>
  <c r="AG42" i="78" s="1"/>
  <c r="AB179" i="68"/>
  <c r="AG41" i="78" s="1"/>
  <c r="T182" i="68"/>
  <c r="AG40" i="78" s="1"/>
  <c r="BH190" i="68"/>
  <c r="M45" i="78" s="1"/>
  <c r="AZ190" i="68"/>
  <c r="M44" i="78" s="1"/>
  <c r="AR175" i="68"/>
  <c r="M43" i="78" s="1"/>
  <c r="AJ178" i="68"/>
  <c r="M42" i="78" s="1"/>
  <c r="AB178" i="68"/>
  <c r="M41" i="78" s="1"/>
  <c r="T181" i="68"/>
  <c r="M40" i="78" s="1"/>
  <c r="BH142" i="68"/>
  <c r="AI39" i="78" s="1"/>
  <c r="AZ142" i="68"/>
  <c r="AI38" i="78" s="1"/>
  <c r="AR139" i="68"/>
  <c r="AI37" i="78" s="1"/>
  <c r="AJ142" i="68"/>
  <c r="AI36" i="78" s="1"/>
  <c r="AB133" i="68"/>
  <c r="AI35" i="78" s="1"/>
  <c r="T136" i="68"/>
  <c r="AI34" i="78" s="1"/>
  <c r="BH141" i="68"/>
  <c r="AG39" i="78" s="1"/>
  <c r="AZ141" i="68"/>
  <c r="AG38" i="78" s="1"/>
  <c r="AR138" i="68"/>
  <c r="AG37" i="78" s="1"/>
  <c r="AJ141" i="68"/>
  <c r="AG36" i="78" s="1"/>
  <c r="AB132" i="68"/>
  <c r="AG35" i="78" s="1"/>
  <c r="T135" i="68"/>
  <c r="AG34" i="78" s="1"/>
  <c r="BH140" i="68"/>
  <c r="M39" i="78" s="1"/>
  <c r="AZ140" i="68"/>
  <c r="M38" i="78" s="1"/>
  <c r="AR137" i="68"/>
  <c r="M37" i="78" s="1"/>
  <c r="AJ140" i="68"/>
  <c r="M36" i="78" s="1"/>
  <c r="AB131" i="68"/>
  <c r="M35" i="78" s="1"/>
  <c r="T134" i="68"/>
  <c r="M34" i="78" s="1"/>
  <c r="AR248" i="67"/>
  <c r="AI46" i="77" s="1"/>
  <c r="AJ236" i="67"/>
  <c r="AI45" i="77" s="1"/>
  <c r="AB239" i="67"/>
  <c r="AI44" i="77" s="1"/>
  <c r="T239" i="67"/>
  <c r="AI43" i="77" s="1"/>
  <c r="AR247" i="67"/>
  <c r="AG46" i="77" s="1"/>
  <c r="AJ235" i="67"/>
  <c r="AG45" i="77" s="1"/>
  <c r="AB238" i="67"/>
  <c r="AG44" i="77" s="1"/>
  <c r="T238" i="67"/>
  <c r="AG43" i="77" s="1"/>
  <c r="AR246" i="67"/>
  <c r="M46" i="77" s="1"/>
  <c r="AJ234" i="67"/>
  <c r="M45" i="77" s="1"/>
  <c r="AB237" i="67"/>
  <c r="M44" i="77" s="1"/>
  <c r="T237" i="67"/>
  <c r="M43" i="77" s="1"/>
  <c r="BH192" i="67"/>
  <c r="AI42" i="77" s="1"/>
  <c r="AZ192" i="67"/>
  <c r="AI41" i="77" s="1"/>
  <c r="AR177" i="67"/>
  <c r="AI40" i="77" s="1"/>
  <c r="AJ180" i="67"/>
  <c r="AI39" i="77" s="1"/>
  <c r="AB180" i="67"/>
  <c r="AI38" i="77" s="1"/>
  <c r="T183" i="67"/>
  <c r="AI37" i="77" s="1"/>
  <c r="BH191" i="67"/>
  <c r="AG42" i="77" s="1"/>
  <c r="AZ191" i="67"/>
  <c r="AG41" i="77" s="1"/>
  <c r="AR176" i="67"/>
  <c r="AG40" i="77" s="1"/>
  <c r="AJ179" i="67"/>
  <c r="AG39" i="77" s="1"/>
  <c r="AB179" i="67"/>
  <c r="AG38" i="77" s="1"/>
  <c r="T182" i="67"/>
  <c r="AG37" i="77" s="1"/>
  <c r="BH190" i="67"/>
  <c r="M42" i="77" s="1"/>
  <c r="AZ190" i="67"/>
  <c r="M41" i="77" s="1"/>
  <c r="AR175" i="67"/>
  <c r="M40" i="77" s="1"/>
  <c r="AJ178" i="67"/>
  <c r="M39" i="77" s="1"/>
  <c r="AB178" i="67"/>
  <c r="M38" i="77" s="1"/>
  <c r="T181" i="67"/>
  <c r="M37" i="77" s="1"/>
  <c r="BH142" i="67"/>
  <c r="AI36" i="77" s="1"/>
  <c r="AZ142" i="67"/>
  <c r="AI35" i="77" s="1"/>
  <c r="AR139" i="67"/>
  <c r="AI34" i="77" s="1"/>
  <c r="AJ142" i="67"/>
  <c r="AI33" i="77" s="1"/>
  <c r="AB133" i="67"/>
  <c r="AI32" i="77" s="1"/>
  <c r="T136" i="67"/>
  <c r="AI31" i="77" s="1"/>
  <c r="BH141" i="67"/>
  <c r="AG36" i="77" s="1"/>
  <c r="AZ141" i="67"/>
  <c r="AG35" i="77" s="1"/>
  <c r="AR138" i="67"/>
  <c r="AG34" i="77" s="1"/>
  <c r="AJ141" i="67"/>
  <c r="AG33" i="77" s="1"/>
  <c r="AB132" i="67"/>
  <c r="AG32" i="77" s="1"/>
  <c r="T135" i="67"/>
  <c r="AG31" i="77" s="1"/>
  <c r="BH140" i="67"/>
  <c r="M36" i="77" s="1"/>
  <c r="AZ140" i="67"/>
  <c r="M35" i="77" s="1"/>
  <c r="AR137" i="67"/>
  <c r="M34" i="77" s="1"/>
  <c r="AJ140" i="67"/>
  <c r="M33" i="77" s="1"/>
  <c r="AB131" i="67"/>
  <c r="M32" i="77" s="1"/>
  <c r="T134" i="67"/>
  <c r="M31" i="77" s="1"/>
  <c r="AR248" i="66"/>
  <c r="AI46" i="76" s="1"/>
  <c r="AJ236" i="66"/>
  <c r="AI45" i="76" s="1"/>
  <c r="AB239" i="66"/>
  <c r="AI44" i="76" s="1"/>
  <c r="T239" i="66"/>
  <c r="AI43" i="76" s="1"/>
  <c r="AR247" i="66"/>
  <c r="AG46" i="76" s="1"/>
  <c r="AJ235" i="66"/>
  <c r="AG45" i="76" s="1"/>
  <c r="AB238" i="66"/>
  <c r="AG44" i="76" s="1"/>
  <c r="T238" i="66"/>
  <c r="AG43" i="76" s="1"/>
  <c r="AR246" i="66"/>
  <c r="M46" i="76" s="1"/>
  <c r="AJ234" i="66"/>
  <c r="M45" i="76" s="1"/>
  <c r="AB237" i="66"/>
  <c r="M44" i="76" s="1"/>
  <c r="T237" i="66"/>
  <c r="M43" i="76" s="1"/>
  <c r="BH192" i="66"/>
  <c r="AI42" i="76" s="1"/>
  <c r="AZ192" i="66"/>
  <c r="AI41" i="76" s="1"/>
  <c r="AR177" i="66"/>
  <c r="AI40" i="76" s="1"/>
  <c r="AJ180" i="66"/>
  <c r="AI39" i="76" s="1"/>
  <c r="AB180" i="66"/>
  <c r="AI38" i="76" s="1"/>
  <c r="T183" i="66"/>
  <c r="AI37" i="76" s="1"/>
  <c r="BH191" i="66"/>
  <c r="AG42" i="76" s="1"/>
  <c r="AZ191" i="66"/>
  <c r="AG41" i="76" s="1"/>
  <c r="AR176" i="66"/>
  <c r="AG40" i="76" s="1"/>
  <c r="AJ179" i="66"/>
  <c r="AG39" i="76" s="1"/>
  <c r="AB179" i="66"/>
  <c r="AG38" i="76" s="1"/>
  <c r="T182" i="66"/>
  <c r="AG37" i="76" s="1"/>
  <c r="BH190" i="66"/>
  <c r="M42" i="76" s="1"/>
  <c r="AZ190" i="66"/>
  <c r="M41" i="76" s="1"/>
  <c r="AR175" i="66"/>
  <c r="M40" i="76" s="1"/>
  <c r="AJ178" i="66"/>
  <c r="M39" i="76" s="1"/>
  <c r="AB178" i="66"/>
  <c r="M38" i="76" s="1"/>
  <c r="T181" i="66"/>
  <c r="M37" i="76" s="1"/>
  <c r="BH142" i="66"/>
  <c r="AI36" i="76" s="1"/>
  <c r="AZ142" i="66"/>
  <c r="AI35" i="76" s="1"/>
  <c r="AR139" i="66"/>
  <c r="AI34" i="76" s="1"/>
  <c r="AJ142" i="66"/>
  <c r="AI33" i="76" s="1"/>
  <c r="AB133" i="66"/>
  <c r="AI32" i="76" s="1"/>
  <c r="T136" i="66"/>
  <c r="AI31" i="76" s="1"/>
  <c r="BH141" i="66"/>
  <c r="AG36" i="76" s="1"/>
  <c r="AZ141" i="66"/>
  <c r="AG35" i="76" s="1"/>
  <c r="AR138" i="66"/>
  <c r="AG34" i="76" s="1"/>
  <c r="AJ141" i="66"/>
  <c r="AG33" i="76" s="1"/>
  <c r="AB132" i="66"/>
  <c r="AG32" i="76" s="1"/>
  <c r="T135" i="66"/>
  <c r="AG31" i="76" s="1"/>
  <c r="BH140" i="66"/>
  <c r="M36" i="76" s="1"/>
  <c r="AZ140" i="66"/>
  <c r="M35" i="76" s="1"/>
  <c r="AR137" i="66"/>
  <c r="M34" i="76" s="1"/>
  <c r="AJ140" i="66"/>
  <c r="M33" i="76" s="1"/>
  <c r="AB131" i="66"/>
  <c r="M32" i="76" s="1"/>
  <c r="T134" i="66"/>
  <c r="M31" i="76" s="1"/>
  <c r="C79" i="76"/>
  <c r="AR297" i="64"/>
  <c r="AI52" i="75" s="1"/>
  <c r="AJ285" i="64"/>
  <c r="AI51" i="75" s="1"/>
  <c r="AB288" i="64"/>
  <c r="AI50" i="75" s="1"/>
  <c r="T288" i="64"/>
  <c r="AI49" i="75" s="1"/>
  <c r="AR296" i="64"/>
  <c r="AG52" i="75" s="1"/>
  <c r="AJ284" i="64"/>
  <c r="AG51" i="75" s="1"/>
  <c r="AB287" i="64"/>
  <c r="AG50" i="75" s="1"/>
  <c r="T287" i="64"/>
  <c r="AG49" i="75" s="1"/>
  <c r="AR295" i="64"/>
  <c r="M52" i="75" s="1"/>
  <c r="AJ283" i="64"/>
  <c r="M51" i="75" s="1"/>
  <c r="AB286" i="64"/>
  <c r="M50" i="75" s="1"/>
  <c r="T286" i="64"/>
  <c r="M49" i="75" s="1"/>
  <c r="BH241" i="64"/>
  <c r="AI48" i="75" s="1"/>
  <c r="AZ241" i="64"/>
  <c r="AI47" i="75" s="1"/>
  <c r="AR226" i="64"/>
  <c r="AI46" i="75" s="1"/>
  <c r="AJ229" i="64"/>
  <c r="AI45" i="75" s="1"/>
  <c r="AB229" i="64"/>
  <c r="AI44" i="75" s="1"/>
  <c r="T232" i="64"/>
  <c r="AI43" i="75" s="1"/>
  <c r="BH240" i="64"/>
  <c r="AG48" i="75" s="1"/>
  <c r="AZ240" i="64"/>
  <c r="AG47" i="75" s="1"/>
  <c r="AR225" i="64"/>
  <c r="AG46" i="75" s="1"/>
  <c r="AJ228" i="64"/>
  <c r="AG45" i="75" s="1"/>
  <c r="AB228" i="64"/>
  <c r="AG44" i="75" s="1"/>
  <c r="T231" i="64"/>
  <c r="AG43" i="75" s="1"/>
  <c r="BH239" i="64"/>
  <c r="M48" i="75" s="1"/>
  <c r="AZ239" i="64"/>
  <c r="M47" i="75" s="1"/>
  <c r="AR224" i="64"/>
  <c r="M46" i="75" s="1"/>
  <c r="AJ227" i="64"/>
  <c r="M45" i="75" s="1"/>
  <c r="AB227" i="64"/>
  <c r="M44" i="75" s="1"/>
  <c r="T230" i="64"/>
  <c r="M43" i="75" s="1"/>
  <c r="AB182" i="64"/>
  <c r="AI38" i="75" s="1"/>
  <c r="T185" i="64"/>
  <c r="AI37" i="75" s="1"/>
  <c r="AR187" i="64"/>
  <c r="AG40" i="75" s="1"/>
  <c r="AB181" i="64"/>
  <c r="AG38" i="75" s="1"/>
  <c r="T184" i="64"/>
  <c r="AG37" i="75" s="1"/>
  <c r="AR186" i="64"/>
  <c r="M40" i="75" s="1"/>
  <c r="AB180" i="64"/>
  <c r="M38" i="75" s="1"/>
  <c r="T183" i="64"/>
  <c r="M37" i="75" s="1"/>
  <c r="AO5" i="66"/>
  <c r="AK234" i="66"/>
  <c r="L45" i="76" s="1"/>
  <c r="AC237" i="66"/>
  <c r="L44" i="76" s="1"/>
  <c r="AK201" i="66"/>
  <c r="AK204" i="66"/>
  <c r="AK207" i="66"/>
  <c r="AK236" i="66"/>
  <c r="AH45" i="76" s="1"/>
  <c r="AK210" i="66"/>
  <c r="AK213" i="66"/>
  <c r="AK216" i="66"/>
  <c r="AK219" i="66"/>
  <c r="AK222" i="66"/>
  <c r="AK225" i="66"/>
  <c r="AK228" i="66"/>
  <c r="AK231" i="66"/>
  <c r="AC201" i="66"/>
  <c r="AC204" i="66"/>
  <c r="AC207" i="66"/>
  <c r="AC239" i="66"/>
  <c r="AH44" i="76" s="1"/>
  <c r="AC210" i="66"/>
  <c r="AC213" i="66"/>
  <c r="AC216" i="66"/>
  <c r="AC219" i="66"/>
  <c r="AC222" i="66"/>
  <c r="AC225" i="66"/>
  <c r="AC228" i="66"/>
  <c r="AC231" i="66"/>
  <c r="AC234" i="66"/>
  <c r="AK198" i="66"/>
  <c r="AK235" i="66"/>
  <c r="AF45" i="76" s="1"/>
  <c r="AC198" i="66"/>
  <c r="AC238" i="66"/>
  <c r="AF44" i="76" s="1"/>
  <c r="BA183" i="64"/>
  <c r="AK201" i="67"/>
  <c r="AK204" i="67"/>
  <c r="AK207" i="67"/>
  <c r="AK210" i="67"/>
  <c r="AK213" i="67"/>
  <c r="AK216" i="67"/>
  <c r="AK219" i="67"/>
  <c r="AK222" i="67"/>
  <c r="AK225" i="67"/>
  <c r="AK228" i="67"/>
  <c r="AK234" i="67"/>
  <c r="L45" i="77" s="1"/>
  <c r="AK231" i="67"/>
  <c r="AC201" i="67"/>
  <c r="AC204" i="67"/>
  <c r="AC207" i="67"/>
  <c r="AC210" i="67"/>
  <c r="AC213" i="67"/>
  <c r="AC216" i="67"/>
  <c r="AC219" i="67"/>
  <c r="AC222" i="67"/>
  <c r="AC225" i="67"/>
  <c r="AC228" i="67"/>
  <c r="AC231" i="67"/>
  <c r="AC237" i="67"/>
  <c r="L44" i="77" s="1"/>
  <c r="AC234" i="67"/>
  <c r="AK198" i="67"/>
  <c r="AK235" i="67"/>
  <c r="AF45" i="77" s="1"/>
  <c r="AC198" i="67"/>
  <c r="AK296" i="69"/>
  <c r="AK299" i="69"/>
  <c r="AK302" i="69"/>
  <c r="AK305" i="69"/>
  <c r="AK308" i="69"/>
  <c r="AK311" i="69"/>
  <c r="AK314" i="69"/>
  <c r="AK317" i="69"/>
  <c r="AK320" i="69"/>
  <c r="AK323" i="69"/>
  <c r="AK329" i="69"/>
  <c r="L67" i="79" s="1"/>
  <c r="AK326" i="69"/>
  <c r="AK293" i="69"/>
  <c r="AC296" i="69"/>
  <c r="AC299" i="69"/>
  <c r="AC333" i="69"/>
  <c r="AF66" i="79" s="1"/>
  <c r="AC302" i="69"/>
  <c r="AC305" i="69"/>
  <c r="AC308" i="69"/>
  <c r="AC311" i="69"/>
  <c r="AC314" i="69"/>
  <c r="AC317" i="69"/>
  <c r="AC320" i="69"/>
  <c r="AC323" i="69"/>
  <c r="AC326" i="69"/>
  <c r="AC332" i="69"/>
  <c r="L66" i="79" s="1"/>
  <c r="AC329" i="69"/>
  <c r="AC293" i="69"/>
  <c r="AC237" i="68"/>
  <c r="L47" i="78" s="1"/>
  <c r="AK201" i="68"/>
  <c r="AK235" i="68"/>
  <c r="AF48" i="78" s="1"/>
  <c r="AK204" i="68"/>
  <c r="AK207" i="68"/>
  <c r="AK210" i="68"/>
  <c r="AK213" i="68"/>
  <c r="AK216" i="68"/>
  <c r="AK219" i="68"/>
  <c r="AK222" i="68"/>
  <c r="AK225" i="68"/>
  <c r="AK228" i="68"/>
  <c r="AK234" i="68"/>
  <c r="L48" i="78" s="1"/>
  <c r="AK231" i="68"/>
  <c r="AK198" i="68"/>
  <c r="AC201" i="68"/>
  <c r="AC204" i="68"/>
  <c r="AC207" i="68"/>
  <c r="AC210" i="68"/>
  <c r="AC213" i="68"/>
  <c r="AC216" i="68"/>
  <c r="AC219" i="68"/>
  <c r="AC222" i="68"/>
  <c r="AC225" i="68"/>
  <c r="AC228" i="68"/>
  <c r="AC231" i="68"/>
  <c r="AC234" i="68"/>
  <c r="AC198" i="68"/>
  <c r="BI5" i="69"/>
  <c r="BE5" i="69"/>
  <c r="BA5" i="69"/>
  <c r="AW5" i="69"/>
  <c r="AS5" i="69"/>
  <c r="AO5" i="69"/>
  <c r="AK5" i="69"/>
  <c r="AG5" i="69"/>
  <c r="AC5" i="69"/>
  <c r="Y5" i="69"/>
  <c r="U5" i="69"/>
  <c r="Q5" i="69"/>
  <c r="M5" i="69"/>
  <c r="I5" i="69"/>
  <c r="E5" i="69"/>
  <c r="A5" i="69"/>
  <c r="AS341" i="69"/>
  <c r="L68" i="79" s="1"/>
  <c r="AS338" i="69"/>
  <c r="AS335" i="69"/>
  <c r="AS332" i="69"/>
  <c r="AS329" i="69"/>
  <c r="U329" i="69"/>
  <c r="AS326" i="69"/>
  <c r="U326" i="69"/>
  <c r="U332" i="69"/>
  <c r="L65" i="79" s="1"/>
  <c r="AS323" i="69"/>
  <c r="U323" i="69"/>
  <c r="AS320" i="69"/>
  <c r="U320" i="69"/>
  <c r="AS317" i="69"/>
  <c r="U317" i="69"/>
  <c r="AS314" i="69"/>
  <c r="U314" i="69"/>
  <c r="AS311" i="69"/>
  <c r="U311" i="69"/>
  <c r="AS308" i="69"/>
  <c r="U308" i="69"/>
  <c r="AS305" i="69"/>
  <c r="U305" i="69"/>
  <c r="AS302" i="69"/>
  <c r="U302" i="69"/>
  <c r="U334" i="69"/>
  <c r="AH65" i="79" s="1"/>
  <c r="AS299" i="69"/>
  <c r="U299" i="69"/>
  <c r="AS296" i="69"/>
  <c r="U296" i="69"/>
  <c r="AS293" i="69"/>
  <c r="U293" i="69"/>
  <c r="BI282" i="69"/>
  <c r="BA282" i="69"/>
  <c r="BI279" i="69"/>
  <c r="BI285" i="69"/>
  <c r="L64" i="79" s="1"/>
  <c r="BA279" i="69"/>
  <c r="BA285" i="69"/>
  <c r="L63" i="79" s="1"/>
  <c r="U278" i="69"/>
  <c r="AH59" i="79" s="1"/>
  <c r="BI276" i="69"/>
  <c r="BA276" i="69"/>
  <c r="BI273" i="69"/>
  <c r="BA273" i="69"/>
  <c r="AC273" i="69"/>
  <c r="L60" i="79" s="1"/>
  <c r="U273" i="69"/>
  <c r="BI270" i="69"/>
  <c r="BA270" i="69"/>
  <c r="AK270" i="69"/>
  <c r="AC270" i="69"/>
  <c r="U270" i="69"/>
  <c r="U276" i="69"/>
  <c r="L59" i="79" s="1"/>
  <c r="BI267" i="69"/>
  <c r="BA267" i="69"/>
  <c r="AS267" i="69"/>
  <c r="AK267" i="69"/>
  <c r="AK273" i="69"/>
  <c r="L61" i="79" s="1"/>
  <c r="AC267" i="69"/>
  <c r="U267" i="69"/>
  <c r="BI264" i="69"/>
  <c r="BA264" i="69"/>
  <c r="AS264" i="69"/>
  <c r="AS270" i="69"/>
  <c r="L62" i="79" s="1"/>
  <c r="AK264" i="69"/>
  <c r="AC264" i="69"/>
  <c r="U264" i="69"/>
  <c r="BI261" i="69"/>
  <c r="BA261" i="69"/>
  <c r="AS261" i="69"/>
  <c r="AK261" i="69"/>
  <c r="AC261" i="69"/>
  <c r="U261" i="69"/>
  <c r="BI258" i="69"/>
  <c r="BA258" i="69"/>
  <c r="AS258" i="69"/>
  <c r="AK258" i="69"/>
  <c r="AC258" i="69"/>
  <c r="U258" i="69"/>
  <c r="BI255" i="69"/>
  <c r="BA255" i="69"/>
  <c r="AS255" i="69"/>
  <c r="AK255" i="69"/>
  <c r="AC255" i="69"/>
  <c r="U255" i="69"/>
  <c r="BI252" i="69"/>
  <c r="BA252" i="69"/>
  <c r="AS252" i="69"/>
  <c r="AK252" i="69"/>
  <c r="AC252" i="69"/>
  <c r="AC275" i="69"/>
  <c r="AH60" i="79" s="1"/>
  <c r="U252" i="69"/>
  <c r="BI249" i="69"/>
  <c r="BA249" i="69"/>
  <c r="AS249" i="69"/>
  <c r="AK249" i="69"/>
  <c r="AK275" i="69"/>
  <c r="AH61" i="79" s="1"/>
  <c r="AC249" i="69"/>
  <c r="U249" i="69"/>
  <c r="BI246" i="69"/>
  <c r="BA246" i="69"/>
  <c r="AS246" i="69"/>
  <c r="AS272" i="69"/>
  <c r="AH62" i="79" s="1"/>
  <c r="AK246" i="69"/>
  <c r="AC246" i="69"/>
  <c r="U246" i="69"/>
  <c r="BI243" i="69"/>
  <c r="BI286" i="69"/>
  <c r="AF64" i="79" s="1"/>
  <c r="BA243" i="69"/>
  <c r="BA286" i="69"/>
  <c r="AF63" i="79" s="1"/>
  <c r="AS243" i="69"/>
  <c r="AS271" i="69"/>
  <c r="AF62" i="79" s="1"/>
  <c r="AK243" i="69"/>
  <c r="AK274" i="69"/>
  <c r="AF61" i="79" s="1"/>
  <c r="AC243" i="69"/>
  <c r="AC274" i="69"/>
  <c r="AF60" i="79" s="1"/>
  <c r="U243" i="69"/>
  <c r="U277" i="69"/>
  <c r="AF59" i="79" s="1"/>
  <c r="BI236" i="69"/>
  <c r="AF58" i="79" s="1"/>
  <c r="BA235" i="69"/>
  <c r="L57" i="79" s="1"/>
  <c r="AS233" i="69"/>
  <c r="AF56" i="79" s="1"/>
  <c r="BI232" i="69"/>
  <c r="BA232" i="69"/>
  <c r="BA237" i="69"/>
  <c r="AH57" i="79" s="1"/>
  <c r="AS232" i="69"/>
  <c r="L56" i="79" s="1"/>
  <c r="AK232" i="69"/>
  <c r="BI229" i="69"/>
  <c r="BI235" i="69"/>
  <c r="L58" i="79" s="1"/>
  <c r="BA229" i="69"/>
  <c r="AS229" i="69"/>
  <c r="AK229" i="69"/>
  <c r="AK235" i="69"/>
  <c r="L55" i="79" s="1"/>
  <c r="BI226" i="69"/>
  <c r="BA226" i="69"/>
  <c r="AS226" i="69"/>
  <c r="AK226" i="69"/>
  <c r="AC226" i="69"/>
  <c r="L54" i="79" s="1"/>
  <c r="U226" i="69"/>
  <c r="BI223" i="69"/>
  <c r="BA223" i="69"/>
  <c r="AS223" i="69"/>
  <c r="AK223" i="69"/>
  <c r="AC223" i="69"/>
  <c r="U223" i="69"/>
  <c r="U229" i="69"/>
  <c r="L53" i="79" s="1"/>
  <c r="BI220" i="69"/>
  <c r="BA220" i="69"/>
  <c r="AS220" i="69"/>
  <c r="AK220" i="69"/>
  <c r="AC220" i="69"/>
  <c r="U220" i="69"/>
  <c r="BI217" i="69"/>
  <c r="BA217" i="69"/>
  <c r="AS217" i="69"/>
  <c r="AK217" i="69"/>
  <c r="AC217" i="69"/>
  <c r="U217" i="69"/>
  <c r="BI214" i="69"/>
  <c r="BA214" i="69"/>
  <c r="AS214" i="69"/>
  <c r="AK214" i="69"/>
  <c r="AC214" i="69"/>
  <c r="U214" i="69"/>
  <c r="BI211" i="69"/>
  <c r="BA211" i="69"/>
  <c r="AS211" i="69"/>
  <c r="AK211" i="69"/>
  <c r="AC211" i="69"/>
  <c r="U211" i="69"/>
  <c r="BI208" i="69"/>
  <c r="BA208" i="69"/>
  <c r="AS208" i="69"/>
  <c r="AK208" i="69"/>
  <c r="AC208" i="69"/>
  <c r="U208" i="69"/>
  <c r="BI205" i="69"/>
  <c r="BA205" i="69"/>
  <c r="AS205" i="69"/>
  <c r="AS234" i="69"/>
  <c r="AH56" i="79" s="1"/>
  <c r="AK205" i="69"/>
  <c r="AC205" i="69"/>
  <c r="AC228" i="69"/>
  <c r="AH54" i="79" s="1"/>
  <c r="U205" i="69"/>
  <c r="BI202" i="69"/>
  <c r="BA202" i="69"/>
  <c r="AS202" i="69"/>
  <c r="AK202" i="69"/>
  <c r="AC202" i="69"/>
  <c r="U202" i="69"/>
  <c r="BI199" i="69"/>
  <c r="BA199" i="69"/>
  <c r="AS199" i="69"/>
  <c r="AK199" i="69"/>
  <c r="AC199" i="69"/>
  <c r="U199" i="69"/>
  <c r="BI196" i="69"/>
  <c r="BA196" i="69"/>
  <c r="AS196" i="69"/>
  <c r="AK196" i="69"/>
  <c r="AC196" i="69"/>
  <c r="U196" i="69"/>
  <c r="BI193" i="69"/>
  <c r="BA193" i="69"/>
  <c r="BA236" i="69"/>
  <c r="AF57" i="79" s="1"/>
  <c r="AS193" i="69"/>
  <c r="AK193" i="69"/>
  <c r="AK236" i="69"/>
  <c r="AF55" i="79" s="1"/>
  <c r="AC193" i="69"/>
  <c r="AC227" i="69"/>
  <c r="AF54" i="79" s="1"/>
  <c r="U193" i="69"/>
  <c r="U230" i="69"/>
  <c r="AF53" i="79" s="1"/>
  <c r="BI5" i="68"/>
  <c r="BE5" i="68"/>
  <c r="BA5" i="68"/>
  <c r="AW5" i="68"/>
  <c r="AS5" i="68"/>
  <c r="AO5" i="68"/>
  <c r="AK5" i="68"/>
  <c r="AG5" i="68"/>
  <c r="AC5" i="68"/>
  <c r="Y5" i="68"/>
  <c r="U5" i="68"/>
  <c r="Q5" i="68"/>
  <c r="M5" i="68"/>
  <c r="I5" i="68"/>
  <c r="E5" i="68"/>
  <c r="A5" i="68"/>
  <c r="AS243" i="68"/>
  <c r="AS240" i="68"/>
  <c r="AS246" i="68"/>
  <c r="L49" i="78" s="1"/>
  <c r="AS237" i="68"/>
  <c r="AS234" i="68"/>
  <c r="U234" i="68"/>
  <c r="AS231" i="68"/>
  <c r="U231" i="68"/>
  <c r="U237" i="68"/>
  <c r="L46" i="78" s="1"/>
  <c r="AS228" i="68"/>
  <c r="U228" i="68"/>
  <c r="AS225" i="68"/>
  <c r="U225" i="68"/>
  <c r="AS222" i="68"/>
  <c r="U222" i="68"/>
  <c r="AS219" i="68"/>
  <c r="U219" i="68"/>
  <c r="AS216" i="68"/>
  <c r="U216" i="68"/>
  <c r="AS213" i="68"/>
  <c r="U213" i="68"/>
  <c r="AS210" i="68"/>
  <c r="U210" i="68"/>
  <c r="AS207" i="68"/>
  <c r="U207" i="68"/>
  <c r="AS204" i="68"/>
  <c r="U204" i="68"/>
  <c r="AS201" i="68"/>
  <c r="U201" i="68"/>
  <c r="AS198" i="68"/>
  <c r="U198" i="68"/>
  <c r="BI191" i="68"/>
  <c r="AF45" i="78" s="1"/>
  <c r="BI187" i="68"/>
  <c r="BA187" i="68"/>
  <c r="BI184" i="68"/>
  <c r="BI190" i="68"/>
  <c r="L45" i="78" s="1"/>
  <c r="BA184" i="68"/>
  <c r="BA190" i="68"/>
  <c r="L44" i="78" s="1"/>
  <c r="BI181" i="68"/>
  <c r="BA181" i="68"/>
  <c r="AK179" i="68"/>
  <c r="AF42" i="78" s="1"/>
  <c r="BI178" i="68"/>
  <c r="BA178" i="68"/>
  <c r="AC178" i="68"/>
  <c r="L41" i="78" s="1"/>
  <c r="U178" i="68"/>
  <c r="BI175" i="68"/>
  <c r="BA175" i="68"/>
  <c r="AK175" i="68"/>
  <c r="AC175" i="68"/>
  <c r="U175" i="68"/>
  <c r="U181" i="68"/>
  <c r="L40" i="78" s="1"/>
  <c r="BI172" i="68"/>
  <c r="BA172" i="68"/>
  <c r="AS172" i="68"/>
  <c r="AK172" i="68"/>
  <c r="AK178" i="68"/>
  <c r="L42" i="78" s="1"/>
  <c r="AC172" i="68"/>
  <c r="U172" i="68"/>
  <c r="BI169" i="68"/>
  <c r="BA169" i="68"/>
  <c r="AS169" i="68"/>
  <c r="AS175" i="68"/>
  <c r="L43" i="78" s="1"/>
  <c r="AK169" i="68"/>
  <c r="AC169" i="68"/>
  <c r="U169" i="68"/>
  <c r="BI166" i="68"/>
  <c r="BA166" i="68"/>
  <c r="AS166" i="68"/>
  <c r="AK166" i="68"/>
  <c r="AC166" i="68"/>
  <c r="U166" i="68"/>
  <c r="BI163" i="68"/>
  <c r="BA163" i="68"/>
  <c r="AS163" i="68"/>
  <c r="AK163" i="68"/>
  <c r="AC163" i="68"/>
  <c r="U163" i="68"/>
  <c r="BI160" i="68"/>
  <c r="BA160" i="68"/>
  <c r="AS160" i="68"/>
  <c r="AK160" i="68"/>
  <c r="AC160" i="68"/>
  <c r="U160" i="68"/>
  <c r="BI157" i="68"/>
  <c r="BA157" i="68"/>
  <c r="BA192" i="68"/>
  <c r="AH44" i="78" s="1"/>
  <c r="AS157" i="68"/>
  <c r="AK157" i="68"/>
  <c r="AC157" i="68"/>
  <c r="AC180" i="68"/>
  <c r="AH41" i="78" s="1"/>
  <c r="U157" i="68"/>
  <c r="BI154" i="68"/>
  <c r="BA154" i="68"/>
  <c r="AS154" i="68"/>
  <c r="AK154" i="68"/>
  <c r="AK180" i="68"/>
  <c r="AH42" i="78" s="1"/>
  <c r="AC154" i="68"/>
  <c r="U154" i="68"/>
  <c r="BI151" i="68"/>
  <c r="BA151" i="68"/>
  <c r="AS151" i="68"/>
  <c r="AS177" i="68"/>
  <c r="AH43" i="78" s="1"/>
  <c r="AK151" i="68"/>
  <c r="AC151" i="68"/>
  <c r="U151" i="68"/>
  <c r="BI148" i="68"/>
  <c r="BA148" i="68"/>
  <c r="BA191" i="68"/>
  <c r="AF44" i="78" s="1"/>
  <c r="AS148" i="68"/>
  <c r="AS176" i="68"/>
  <c r="AF43" i="78" s="1"/>
  <c r="AK148" i="68"/>
  <c r="AC148" i="68"/>
  <c r="AC179" i="68"/>
  <c r="AF41" i="78" s="1"/>
  <c r="U148" i="68"/>
  <c r="U182" i="68"/>
  <c r="AF40" i="78" s="1"/>
  <c r="BI137" i="68"/>
  <c r="BA137" i="68"/>
  <c r="AK137" i="68"/>
  <c r="BI134" i="68"/>
  <c r="BI140" i="68"/>
  <c r="L39" i="78" s="1"/>
  <c r="BA134" i="68"/>
  <c r="BA140" i="68"/>
  <c r="L38" i="78" s="1"/>
  <c r="AS134" i="68"/>
  <c r="AS137" i="68"/>
  <c r="L37" i="78" s="1"/>
  <c r="AK134" i="68"/>
  <c r="AK140" i="68"/>
  <c r="L36" i="78" s="1"/>
  <c r="BI131" i="68"/>
  <c r="BA131" i="68"/>
  <c r="AS131" i="68"/>
  <c r="AK131" i="68"/>
  <c r="U131" i="68"/>
  <c r="BI128" i="68"/>
  <c r="BA128" i="68"/>
  <c r="AS128" i="68"/>
  <c r="AK128" i="68"/>
  <c r="AC128" i="68"/>
  <c r="U128" i="68"/>
  <c r="U134" i="68"/>
  <c r="L34" i="78" s="1"/>
  <c r="BI125" i="68"/>
  <c r="BA125" i="68"/>
  <c r="AS125" i="68"/>
  <c r="AK125" i="68"/>
  <c r="AC125" i="68"/>
  <c r="AC131" i="68"/>
  <c r="L35" i="78" s="1"/>
  <c r="U125" i="68"/>
  <c r="BI122" i="68"/>
  <c r="BA122" i="68"/>
  <c r="AS122" i="68"/>
  <c r="AK122" i="68"/>
  <c r="AC122" i="68"/>
  <c r="U122" i="68"/>
  <c r="BI119" i="68"/>
  <c r="BA119" i="68"/>
  <c r="AS119" i="68"/>
  <c r="AK119" i="68"/>
  <c r="AK142" i="68"/>
  <c r="AH36" i="78" s="1"/>
  <c r="AC119" i="68"/>
  <c r="U119" i="68"/>
  <c r="BI116" i="68"/>
  <c r="BA116" i="68"/>
  <c r="AS116" i="68"/>
  <c r="AK116" i="68"/>
  <c r="AC116" i="68"/>
  <c r="U116" i="68"/>
  <c r="BI113" i="68"/>
  <c r="BA113" i="68"/>
  <c r="BA142" i="68"/>
  <c r="AH38" i="78" s="1"/>
  <c r="AS113" i="68"/>
  <c r="AK113" i="68"/>
  <c r="AC113" i="68"/>
  <c r="U113" i="68"/>
  <c r="BI110" i="68"/>
  <c r="BA110" i="68"/>
  <c r="AS110" i="68"/>
  <c r="AK110" i="68"/>
  <c r="AC110" i="68"/>
  <c r="U110" i="68"/>
  <c r="BI107" i="68"/>
  <c r="BA107" i="68"/>
  <c r="AS107" i="68"/>
  <c r="AK107" i="68"/>
  <c r="AC107" i="68"/>
  <c r="U107" i="68"/>
  <c r="BI104" i="68"/>
  <c r="BA104" i="68"/>
  <c r="AS104" i="68"/>
  <c r="AK104" i="68"/>
  <c r="AC104" i="68"/>
  <c r="U104" i="68"/>
  <c r="BI101" i="68"/>
  <c r="BA101" i="68"/>
  <c r="AS101" i="68"/>
  <c r="AK101" i="68"/>
  <c r="AC101" i="68"/>
  <c r="U101" i="68"/>
  <c r="BI98" i="68"/>
  <c r="BI141" i="68"/>
  <c r="AF39" i="78" s="1"/>
  <c r="BA98" i="68"/>
  <c r="BA141" i="68"/>
  <c r="AF38" i="78" s="1"/>
  <c r="AS98" i="68"/>
  <c r="AS138" i="68"/>
  <c r="AF37" i="78" s="1"/>
  <c r="AK98" i="68"/>
  <c r="AK141" i="68"/>
  <c r="AF36" i="78" s="1"/>
  <c r="AC98" i="68"/>
  <c r="AC132" i="68"/>
  <c r="AF35" i="78" s="1"/>
  <c r="U98" i="68"/>
  <c r="U135" i="68"/>
  <c r="AF34" i="78" s="1"/>
  <c r="BI5" i="67"/>
  <c r="BE5" i="67"/>
  <c r="BA5" i="67"/>
  <c r="AW5" i="67"/>
  <c r="AS5" i="67"/>
  <c r="AO5" i="67"/>
  <c r="AK5" i="67"/>
  <c r="AG5" i="67"/>
  <c r="AC5" i="67"/>
  <c r="Y5" i="67"/>
  <c r="U5" i="67"/>
  <c r="Q5" i="67"/>
  <c r="M5" i="67"/>
  <c r="I5" i="67"/>
  <c r="E5" i="67"/>
  <c r="A5" i="67"/>
  <c r="AS246" i="67"/>
  <c r="L46" i="77" s="1"/>
  <c r="AS243" i="67"/>
  <c r="AS240" i="67"/>
  <c r="AS237" i="67"/>
  <c r="AS234" i="67"/>
  <c r="U234" i="67"/>
  <c r="AS231" i="67"/>
  <c r="U231" i="67"/>
  <c r="U237" i="67"/>
  <c r="AS228" i="67"/>
  <c r="U228" i="67"/>
  <c r="AS225" i="67"/>
  <c r="U225" i="67"/>
  <c r="AS222" i="67"/>
  <c r="U222" i="67"/>
  <c r="AS219" i="67"/>
  <c r="U219" i="67"/>
  <c r="AS216" i="67"/>
  <c r="U216" i="67"/>
  <c r="AS213" i="67"/>
  <c r="U213" i="67"/>
  <c r="AS210" i="67"/>
  <c r="U210" i="67"/>
  <c r="AS207" i="67"/>
  <c r="U207" i="67"/>
  <c r="AS204" i="67"/>
  <c r="U204" i="67"/>
  <c r="AS201" i="67"/>
  <c r="U201" i="67"/>
  <c r="U238" i="67"/>
  <c r="AS198" i="67"/>
  <c r="AS247" i="67"/>
  <c r="AF46" i="77" s="1"/>
  <c r="U198" i="67"/>
  <c r="BI187" i="67"/>
  <c r="BA187" i="67"/>
  <c r="BI184" i="67"/>
  <c r="BI190" i="67"/>
  <c r="L42" i="77" s="1"/>
  <c r="BA184" i="67"/>
  <c r="BA190" i="67"/>
  <c r="L41" i="77" s="1"/>
  <c r="BI181" i="67"/>
  <c r="BA181" i="67"/>
  <c r="BI178" i="67"/>
  <c r="BA178" i="67"/>
  <c r="AK178" i="67"/>
  <c r="L39" i="77" s="1"/>
  <c r="U178" i="67"/>
  <c r="BI175" i="67"/>
  <c r="BA175" i="67"/>
  <c r="AK175" i="67"/>
  <c r="AC175" i="67"/>
  <c r="U175" i="67"/>
  <c r="U181" i="67"/>
  <c r="L37" i="77" s="1"/>
  <c r="BI172" i="67"/>
  <c r="BA172" i="67"/>
  <c r="AS172" i="67"/>
  <c r="AK172" i="67"/>
  <c r="AC172" i="67"/>
  <c r="AC178" i="67"/>
  <c r="L38" i="77" s="1"/>
  <c r="U172" i="67"/>
  <c r="BI169" i="67"/>
  <c r="BA169" i="67"/>
  <c r="AS169" i="67"/>
  <c r="AS175" i="67"/>
  <c r="L40" i="77" s="1"/>
  <c r="AK169" i="67"/>
  <c r="AC169" i="67"/>
  <c r="U169" i="67"/>
  <c r="BI166" i="67"/>
  <c r="BA166" i="67"/>
  <c r="AS166" i="67"/>
  <c r="AK166" i="67"/>
  <c r="AC166" i="67"/>
  <c r="U166" i="67"/>
  <c r="BI163" i="67"/>
  <c r="BA163" i="67"/>
  <c r="AS163" i="67"/>
  <c r="AK163" i="67"/>
  <c r="AC163" i="67"/>
  <c r="U163" i="67"/>
  <c r="BI160" i="67"/>
  <c r="BA160" i="67"/>
  <c r="AS160" i="67"/>
  <c r="AK160" i="67"/>
  <c r="AC160" i="67"/>
  <c r="U160" i="67"/>
  <c r="BI157" i="67"/>
  <c r="BA157" i="67"/>
  <c r="AS157" i="67"/>
  <c r="AK157" i="67"/>
  <c r="AC157" i="67"/>
  <c r="U157" i="67"/>
  <c r="U183" i="67"/>
  <c r="AH37" i="77" s="1"/>
  <c r="BI154" i="67"/>
  <c r="BA154" i="67"/>
  <c r="AS154" i="67"/>
  <c r="AK154" i="67"/>
  <c r="AC154" i="67"/>
  <c r="U154" i="67"/>
  <c r="BI151" i="67"/>
  <c r="BA151" i="67"/>
  <c r="AS151" i="67"/>
  <c r="AK151" i="67"/>
  <c r="AC151" i="67"/>
  <c r="U151" i="67"/>
  <c r="BI148" i="67"/>
  <c r="BI191" i="67"/>
  <c r="AF42" i="77" s="1"/>
  <c r="BA148" i="67"/>
  <c r="BA191" i="67"/>
  <c r="AF41" i="77" s="1"/>
  <c r="AS148" i="67"/>
  <c r="AS176" i="67"/>
  <c r="AF40" i="77" s="1"/>
  <c r="AK148" i="67"/>
  <c r="AK179" i="67"/>
  <c r="AF39" i="77" s="1"/>
  <c r="AC148" i="67"/>
  <c r="AC179" i="67"/>
  <c r="AF38" i="77" s="1"/>
  <c r="U148" i="67"/>
  <c r="U182" i="67"/>
  <c r="AF37" i="77" s="1"/>
  <c r="BA141" i="67"/>
  <c r="AF35" i="77" s="1"/>
  <c r="BI137" i="67"/>
  <c r="BA137" i="67"/>
  <c r="AK137" i="67"/>
  <c r="BI134" i="67"/>
  <c r="BI140" i="67"/>
  <c r="L36" i="77" s="1"/>
  <c r="BA134" i="67"/>
  <c r="BA140" i="67"/>
  <c r="L35" i="77" s="1"/>
  <c r="AS134" i="67"/>
  <c r="AS137" i="67"/>
  <c r="L34" i="77" s="1"/>
  <c r="AK134" i="67"/>
  <c r="AK140" i="67"/>
  <c r="L33" i="77" s="1"/>
  <c r="AC132" i="67"/>
  <c r="AF32" i="77" s="1"/>
  <c r="BI131" i="67"/>
  <c r="BA131" i="67"/>
  <c r="AS131" i="67"/>
  <c r="AK131" i="67"/>
  <c r="AC131" i="67"/>
  <c r="L32" i="77" s="1"/>
  <c r="U131" i="67"/>
  <c r="BI128" i="67"/>
  <c r="BA128" i="67"/>
  <c r="AS128" i="67"/>
  <c r="AK128" i="67"/>
  <c r="AC128" i="67"/>
  <c r="U128" i="67"/>
  <c r="U134" i="67"/>
  <c r="L31" i="77" s="1"/>
  <c r="BI125" i="67"/>
  <c r="BA125" i="67"/>
  <c r="AS125" i="67"/>
  <c r="AK125" i="67"/>
  <c r="AC125" i="67"/>
  <c r="U125" i="67"/>
  <c r="BI122" i="67"/>
  <c r="BA122" i="67"/>
  <c r="AS122" i="67"/>
  <c r="AK122" i="67"/>
  <c r="AC122" i="67"/>
  <c r="U122" i="67"/>
  <c r="BI119" i="67"/>
  <c r="BA119" i="67"/>
  <c r="AS119" i="67"/>
  <c r="AK119" i="67"/>
  <c r="AC119" i="67"/>
  <c r="U119" i="67"/>
  <c r="BI116" i="67"/>
  <c r="BA116" i="67"/>
  <c r="AS116" i="67"/>
  <c r="AK116" i="67"/>
  <c r="AC116" i="67"/>
  <c r="U116" i="67"/>
  <c r="BI113" i="67"/>
  <c r="BI142" i="67"/>
  <c r="AH36" i="77" s="1"/>
  <c r="BA113" i="67"/>
  <c r="AS113" i="67"/>
  <c r="AK113" i="67"/>
  <c r="AC113" i="67"/>
  <c r="U113" i="67"/>
  <c r="BI110" i="67"/>
  <c r="BA110" i="67"/>
  <c r="AS110" i="67"/>
  <c r="AS139" i="67"/>
  <c r="AH34" i="77" s="1"/>
  <c r="AK110" i="67"/>
  <c r="AC110" i="67"/>
  <c r="U110" i="67"/>
  <c r="BI107" i="67"/>
  <c r="BA107" i="67"/>
  <c r="AS107" i="67"/>
  <c r="AK107" i="67"/>
  <c r="AC107" i="67"/>
  <c r="U107" i="67"/>
  <c r="U136" i="67"/>
  <c r="AH31" i="77" s="1"/>
  <c r="BI104" i="67"/>
  <c r="BA104" i="67"/>
  <c r="AS104" i="67"/>
  <c r="AK104" i="67"/>
  <c r="AC104" i="67"/>
  <c r="U104" i="67"/>
  <c r="BI101" i="67"/>
  <c r="BA101" i="67"/>
  <c r="AS101" i="67"/>
  <c r="AK101" i="67"/>
  <c r="AC101" i="67"/>
  <c r="U101" i="67"/>
  <c r="BI98" i="67"/>
  <c r="BI141" i="67"/>
  <c r="AF36" i="77" s="1"/>
  <c r="BA98" i="67"/>
  <c r="AS98" i="67"/>
  <c r="AS138" i="67"/>
  <c r="AF34" i="77" s="1"/>
  <c r="AK98" i="67"/>
  <c r="AK141" i="67"/>
  <c r="AF33" i="77" s="1"/>
  <c r="AC98" i="67"/>
  <c r="U98" i="67"/>
  <c r="U135" i="67"/>
  <c r="AF31" i="77" s="1"/>
  <c r="AS176" i="66"/>
  <c r="AF40" i="76" s="1"/>
  <c r="AK178" i="66"/>
  <c r="L39" i="76" s="1"/>
  <c r="U181" i="66"/>
  <c r="L37" i="76" s="1"/>
  <c r="BA140" i="66"/>
  <c r="L35" i="76" s="1"/>
  <c r="AS139" i="66"/>
  <c r="AH34" i="76" s="1"/>
  <c r="BI5" i="66"/>
  <c r="BE5" i="66"/>
  <c r="BA5" i="66"/>
  <c r="AW5" i="66"/>
  <c r="AS5" i="66"/>
  <c r="AK5" i="66"/>
  <c r="AG5" i="66"/>
  <c r="AC5" i="66"/>
  <c r="Y5" i="66"/>
  <c r="U5" i="66"/>
  <c r="Q5" i="66"/>
  <c r="M5" i="66"/>
  <c r="I5" i="66"/>
  <c r="E5" i="66"/>
  <c r="A5" i="66"/>
  <c r="AS243" i="66"/>
  <c r="AS240" i="66"/>
  <c r="AS246" i="66"/>
  <c r="L46" i="76" s="1"/>
  <c r="AS237" i="66"/>
  <c r="AS234" i="66"/>
  <c r="U234" i="66"/>
  <c r="AS231" i="66"/>
  <c r="U231" i="66"/>
  <c r="U237" i="66"/>
  <c r="L43" i="76" s="1"/>
  <c r="AS228" i="66"/>
  <c r="U228" i="66"/>
  <c r="AS225" i="66"/>
  <c r="U225" i="66"/>
  <c r="AS222" i="66"/>
  <c r="U222" i="66"/>
  <c r="AS219" i="66"/>
  <c r="U219" i="66"/>
  <c r="AS216" i="66"/>
  <c r="U216" i="66"/>
  <c r="AS213" i="66"/>
  <c r="U213" i="66"/>
  <c r="AS210" i="66"/>
  <c r="U210" i="66"/>
  <c r="AS207" i="66"/>
  <c r="U207" i="66"/>
  <c r="AS204" i="66"/>
  <c r="U204" i="66"/>
  <c r="AS201" i="66"/>
  <c r="U201" i="66"/>
  <c r="AS198" i="66"/>
  <c r="AS247" i="66"/>
  <c r="AF46" i="76" s="1"/>
  <c r="U198" i="66"/>
  <c r="U238" i="66"/>
  <c r="AF43" i="76" s="1"/>
  <c r="BI187" i="66"/>
  <c r="BA187" i="66"/>
  <c r="BI184" i="66"/>
  <c r="BI190" i="66"/>
  <c r="L42" i="76" s="1"/>
  <c r="BA184" i="66"/>
  <c r="BA190" i="66"/>
  <c r="L41" i="76" s="1"/>
  <c r="BI181" i="66"/>
  <c r="BA181" i="66"/>
  <c r="BI178" i="66"/>
  <c r="BA178" i="66"/>
  <c r="U178" i="66"/>
  <c r="BI175" i="66"/>
  <c r="BA175" i="66"/>
  <c r="AK175" i="66"/>
  <c r="AC175" i="66"/>
  <c r="U175" i="66"/>
  <c r="BI172" i="66"/>
  <c r="BA172" i="66"/>
  <c r="AS172" i="66"/>
  <c r="AK172" i="66"/>
  <c r="AC172" i="66"/>
  <c r="AC178" i="66"/>
  <c r="L38" i="76" s="1"/>
  <c r="U172" i="66"/>
  <c r="BI169" i="66"/>
  <c r="BA169" i="66"/>
  <c r="AS169" i="66"/>
  <c r="AS175" i="66"/>
  <c r="L40" i="76" s="1"/>
  <c r="AK169" i="66"/>
  <c r="AK180" i="66"/>
  <c r="AH39" i="76" s="1"/>
  <c r="AC169" i="66"/>
  <c r="AC180" i="66"/>
  <c r="AH38" i="76" s="1"/>
  <c r="U169" i="66"/>
  <c r="BI166" i="66"/>
  <c r="BA166" i="66"/>
  <c r="AS166" i="66"/>
  <c r="AK166" i="66"/>
  <c r="AC166" i="66"/>
  <c r="U166" i="66"/>
  <c r="BI163" i="66"/>
  <c r="BA163" i="66"/>
  <c r="AS163" i="66"/>
  <c r="AK163" i="66"/>
  <c r="AC163" i="66"/>
  <c r="U163" i="66"/>
  <c r="BI160" i="66"/>
  <c r="BA160" i="66"/>
  <c r="AS160" i="66"/>
  <c r="AK160" i="66"/>
  <c r="AC160" i="66"/>
  <c r="U160" i="66"/>
  <c r="BI157" i="66"/>
  <c r="BA157" i="66"/>
  <c r="AS157" i="66"/>
  <c r="AK157" i="66"/>
  <c r="AC157" i="66"/>
  <c r="U157" i="66"/>
  <c r="BI154" i="66"/>
  <c r="BA154" i="66"/>
  <c r="AS154" i="66"/>
  <c r="AK154" i="66"/>
  <c r="AC154" i="66"/>
  <c r="U154" i="66"/>
  <c r="BI151" i="66"/>
  <c r="BA151" i="66"/>
  <c r="AS151" i="66"/>
  <c r="AS177" i="66"/>
  <c r="AH40" i="76" s="1"/>
  <c r="AK151" i="66"/>
  <c r="AC151" i="66"/>
  <c r="U151" i="66"/>
  <c r="BI148" i="66"/>
  <c r="BI191" i="66"/>
  <c r="AF42" i="76" s="1"/>
  <c r="BA148" i="66"/>
  <c r="BA191" i="66"/>
  <c r="AF41" i="76" s="1"/>
  <c r="AS148" i="66"/>
  <c r="AK148" i="66"/>
  <c r="AK179" i="66"/>
  <c r="AF39" i="76" s="1"/>
  <c r="AC148" i="66"/>
  <c r="AC179" i="66"/>
  <c r="AF38" i="76" s="1"/>
  <c r="U148" i="66"/>
  <c r="U182" i="66"/>
  <c r="AF37" i="76" s="1"/>
  <c r="BI137" i="66"/>
  <c r="BA137" i="66"/>
  <c r="AK137" i="66"/>
  <c r="BI134" i="66"/>
  <c r="BI140" i="66"/>
  <c r="L36" i="76" s="1"/>
  <c r="BA134" i="66"/>
  <c r="AS134" i="66"/>
  <c r="AS137" i="66"/>
  <c r="L34" i="76" s="1"/>
  <c r="AK134" i="66"/>
  <c r="AK140" i="66"/>
  <c r="L33" i="76" s="1"/>
  <c r="BI131" i="66"/>
  <c r="BA131" i="66"/>
  <c r="AS131" i="66"/>
  <c r="AK131" i="66"/>
  <c r="U131" i="66"/>
  <c r="BI128" i="66"/>
  <c r="BA128" i="66"/>
  <c r="AS128" i="66"/>
  <c r="AK128" i="66"/>
  <c r="AC128" i="66"/>
  <c r="U128" i="66"/>
  <c r="U134" i="66"/>
  <c r="L31" i="76" s="1"/>
  <c r="BI125" i="66"/>
  <c r="BA125" i="66"/>
  <c r="AS125" i="66"/>
  <c r="AK125" i="66"/>
  <c r="AC125" i="66"/>
  <c r="AC131" i="66"/>
  <c r="L32" i="76" s="1"/>
  <c r="U125" i="66"/>
  <c r="BI122" i="66"/>
  <c r="BA122" i="66"/>
  <c r="AS122" i="66"/>
  <c r="AK122" i="66"/>
  <c r="AC122" i="66"/>
  <c r="U122" i="66"/>
  <c r="BI119" i="66"/>
  <c r="BA119" i="66"/>
  <c r="AS119" i="66"/>
  <c r="AK119" i="66"/>
  <c r="AC119" i="66"/>
  <c r="U119" i="66"/>
  <c r="BI116" i="66"/>
  <c r="BA116" i="66"/>
  <c r="AS116" i="66"/>
  <c r="AK116" i="66"/>
  <c r="AC116" i="66"/>
  <c r="U116" i="66"/>
  <c r="BI113" i="66"/>
  <c r="BI142" i="66"/>
  <c r="AH36" i="76" s="1"/>
  <c r="BA113" i="66"/>
  <c r="AS113" i="66"/>
  <c r="AK113" i="66"/>
  <c r="AK142" i="66"/>
  <c r="AH33" i="76" s="1"/>
  <c r="AC113" i="66"/>
  <c r="U113" i="66"/>
  <c r="BI110" i="66"/>
  <c r="BA110" i="66"/>
  <c r="AS110" i="66"/>
  <c r="AK110" i="66"/>
  <c r="AC110" i="66"/>
  <c r="U110" i="66"/>
  <c r="BI107" i="66"/>
  <c r="BA107" i="66"/>
  <c r="AS107" i="66"/>
  <c r="AK107" i="66"/>
  <c r="AC107" i="66"/>
  <c r="U107" i="66"/>
  <c r="U136" i="66"/>
  <c r="AH31" i="76" s="1"/>
  <c r="BI104" i="66"/>
  <c r="BA104" i="66"/>
  <c r="AS104" i="66"/>
  <c r="AK104" i="66"/>
  <c r="AC104" i="66"/>
  <c r="U104" i="66"/>
  <c r="BI101" i="66"/>
  <c r="BA101" i="66"/>
  <c r="AS101" i="66"/>
  <c r="AK101" i="66"/>
  <c r="AC101" i="66"/>
  <c r="U101" i="66"/>
  <c r="BI98" i="66"/>
  <c r="BI141" i="66"/>
  <c r="AF36" i="76" s="1"/>
  <c r="BA98" i="66"/>
  <c r="BA141" i="66"/>
  <c r="AF35" i="76" s="1"/>
  <c r="AS98" i="66"/>
  <c r="AS138" i="66"/>
  <c r="AF34" i="76" s="1"/>
  <c r="AK98" i="66"/>
  <c r="AK141" i="66"/>
  <c r="AF33" i="76" s="1"/>
  <c r="AC98" i="66"/>
  <c r="AC132" i="66"/>
  <c r="AF32" i="76" s="1"/>
  <c r="U98" i="66"/>
  <c r="U135" i="66"/>
  <c r="AF31" i="76" s="1"/>
  <c r="BI5" i="64"/>
  <c r="BE5" i="64"/>
  <c r="BA5" i="64"/>
  <c r="AW5" i="64"/>
  <c r="AS5" i="64"/>
  <c r="AO5" i="64"/>
  <c r="AK5" i="64"/>
  <c r="AG5" i="64"/>
  <c r="AC5" i="64"/>
  <c r="Y5" i="64"/>
  <c r="U5" i="64"/>
  <c r="Q5" i="64"/>
  <c r="M5" i="64"/>
  <c r="I5" i="64"/>
  <c r="E5" i="64"/>
  <c r="A5" i="64"/>
  <c r="AS292" i="64"/>
  <c r="AS289" i="64"/>
  <c r="AS295" i="64"/>
  <c r="L52" i="75" s="1"/>
  <c r="AS286" i="64"/>
  <c r="AS283" i="64"/>
  <c r="AC283" i="64"/>
  <c r="U283" i="64"/>
  <c r="AS280" i="64"/>
  <c r="AK280" i="64"/>
  <c r="AC280" i="64"/>
  <c r="AC286" i="64"/>
  <c r="L50" i="75" s="1"/>
  <c r="U280" i="64"/>
  <c r="U286" i="64"/>
  <c r="L49" i="75" s="1"/>
  <c r="AS277" i="64"/>
  <c r="AK277" i="64"/>
  <c r="AK283" i="64"/>
  <c r="L51" i="75" s="1"/>
  <c r="AC277" i="64"/>
  <c r="U277" i="64"/>
  <c r="AS274" i="64"/>
  <c r="AK274" i="64"/>
  <c r="AC274" i="64"/>
  <c r="U274" i="64"/>
  <c r="AS271" i="64"/>
  <c r="AK271" i="64"/>
  <c r="AC271" i="64"/>
  <c r="U271" i="64"/>
  <c r="AS268" i="64"/>
  <c r="AK268" i="64"/>
  <c r="AC268" i="64"/>
  <c r="U268" i="64"/>
  <c r="AS265" i="64"/>
  <c r="AK265" i="64"/>
  <c r="AC265" i="64"/>
  <c r="U265" i="64"/>
  <c r="AS262" i="64"/>
  <c r="AK262" i="64"/>
  <c r="AC262" i="64"/>
  <c r="U262" i="64"/>
  <c r="AS259" i="64"/>
  <c r="AK259" i="64"/>
  <c r="AC259" i="64"/>
  <c r="U259" i="64"/>
  <c r="AS256" i="64"/>
  <c r="AK256" i="64"/>
  <c r="AK285" i="64"/>
  <c r="AH51" i="75" s="1"/>
  <c r="AC256" i="64"/>
  <c r="AC288" i="64"/>
  <c r="AH50" i="75" s="1"/>
  <c r="U256" i="64"/>
  <c r="U288" i="64"/>
  <c r="AH49" i="75" s="1"/>
  <c r="AS253" i="64"/>
  <c r="AK253" i="64"/>
  <c r="AC253" i="64"/>
  <c r="U253" i="64"/>
  <c r="AS250" i="64"/>
  <c r="AK250" i="64"/>
  <c r="AC250" i="64"/>
  <c r="U250" i="64"/>
  <c r="AS247" i="64"/>
  <c r="AS296" i="64"/>
  <c r="AF52" i="75" s="1"/>
  <c r="AK247" i="64"/>
  <c r="AK284" i="64"/>
  <c r="AF51" i="75" s="1"/>
  <c r="AC247" i="64"/>
  <c r="AC287" i="64"/>
  <c r="AF50" i="75" s="1"/>
  <c r="U247" i="64"/>
  <c r="U287" i="64"/>
  <c r="AF49" i="75" s="1"/>
  <c r="BI236" i="64"/>
  <c r="BA236" i="64"/>
  <c r="BI233" i="64"/>
  <c r="BI239" i="64"/>
  <c r="L48" i="75" s="1"/>
  <c r="BA233" i="64"/>
  <c r="BA239" i="64"/>
  <c r="L47" i="75" s="1"/>
  <c r="BI230" i="64"/>
  <c r="BA230" i="64"/>
  <c r="BI227" i="64"/>
  <c r="BA227" i="64"/>
  <c r="U227" i="64"/>
  <c r="BI224" i="64"/>
  <c r="BA224" i="64"/>
  <c r="AK224" i="64"/>
  <c r="AC224" i="64"/>
  <c r="U224" i="64"/>
  <c r="U230" i="64"/>
  <c r="L43" i="75" s="1"/>
  <c r="BI221" i="64"/>
  <c r="BA221" i="64"/>
  <c r="AS221" i="64"/>
  <c r="AK221" i="64"/>
  <c r="AK227" i="64"/>
  <c r="L45" i="75" s="1"/>
  <c r="AC221" i="64"/>
  <c r="AC227" i="64"/>
  <c r="L44" i="75" s="1"/>
  <c r="U221" i="64"/>
  <c r="BI218" i="64"/>
  <c r="BA218" i="64"/>
  <c r="AS218" i="64"/>
  <c r="AS224" i="64"/>
  <c r="L46" i="75" s="1"/>
  <c r="AK218" i="64"/>
  <c r="AC218" i="64"/>
  <c r="U218" i="64"/>
  <c r="BI215" i="64"/>
  <c r="BA215" i="64"/>
  <c r="AS215" i="64"/>
  <c r="AK215" i="64"/>
  <c r="AC215" i="64"/>
  <c r="U215" i="64"/>
  <c r="BI212" i="64"/>
  <c r="BA212" i="64"/>
  <c r="AS212" i="64"/>
  <c r="AK212" i="64"/>
  <c r="AC212" i="64"/>
  <c r="U212" i="64"/>
  <c r="BI209" i="64"/>
  <c r="BA209" i="64"/>
  <c r="AS209" i="64"/>
  <c r="AK209" i="64"/>
  <c r="AC209" i="64"/>
  <c r="U209" i="64"/>
  <c r="BI206" i="64"/>
  <c r="BI241" i="64"/>
  <c r="AH48" i="75" s="1"/>
  <c r="BA206" i="64"/>
  <c r="AS206" i="64"/>
  <c r="AK206" i="64"/>
  <c r="AC206" i="64"/>
  <c r="U206" i="64"/>
  <c r="BI203" i="64"/>
  <c r="BA203" i="64"/>
  <c r="AS203" i="64"/>
  <c r="AK203" i="64"/>
  <c r="AK229" i="64"/>
  <c r="AH45" i="75" s="1"/>
  <c r="AC203" i="64"/>
  <c r="U203" i="64"/>
  <c r="BI200" i="64"/>
  <c r="BA200" i="64"/>
  <c r="AS200" i="64"/>
  <c r="AS226" i="64"/>
  <c r="AH46" i="75" s="1"/>
  <c r="AK200" i="64"/>
  <c r="AC200" i="64"/>
  <c r="U200" i="64"/>
  <c r="BI197" i="64"/>
  <c r="BI240" i="64"/>
  <c r="AF48" i="75" s="1"/>
  <c r="BA197" i="64"/>
  <c r="BA240" i="64"/>
  <c r="AF47" i="75" s="1"/>
  <c r="AS197" i="64"/>
  <c r="AS225" i="64"/>
  <c r="AF46" i="75" s="1"/>
  <c r="AK197" i="64"/>
  <c r="AK228" i="64"/>
  <c r="AF45" i="75" s="1"/>
  <c r="AC197" i="64"/>
  <c r="AC228" i="64"/>
  <c r="AF44" i="75" s="1"/>
  <c r="U197" i="64"/>
  <c r="U231" i="64"/>
  <c r="AF43" i="75" s="1"/>
  <c r="BI186" i="64"/>
  <c r="BA186" i="64"/>
  <c r="AK186" i="64"/>
  <c r="BI183" i="64"/>
  <c r="AS183" i="64"/>
  <c r="AS186" i="64"/>
  <c r="L40" i="75" s="1"/>
  <c r="AK183" i="64"/>
  <c r="BI180" i="64"/>
  <c r="BA180" i="64"/>
  <c r="AS180" i="64"/>
  <c r="AK180" i="64"/>
  <c r="U180" i="64"/>
  <c r="BI177" i="64"/>
  <c r="BA177" i="64"/>
  <c r="AS177" i="64"/>
  <c r="AK177" i="64"/>
  <c r="AC177" i="64"/>
  <c r="U177" i="64"/>
  <c r="U183" i="64"/>
  <c r="L37" i="75" s="1"/>
  <c r="BI174" i="64"/>
  <c r="BA174" i="64"/>
  <c r="AS174" i="64"/>
  <c r="AK174" i="64"/>
  <c r="AC174" i="64"/>
  <c r="AC180" i="64"/>
  <c r="L38" i="75" s="1"/>
  <c r="U174" i="64"/>
  <c r="BI171" i="64"/>
  <c r="BA171" i="64"/>
  <c r="AS171" i="64"/>
  <c r="AK171" i="64"/>
  <c r="AC171" i="64"/>
  <c r="U171" i="64"/>
  <c r="BI168" i="64"/>
  <c r="BA168" i="64"/>
  <c r="AS168" i="64"/>
  <c r="AK168" i="64"/>
  <c r="AC168" i="64"/>
  <c r="U168" i="64"/>
  <c r="BI165" i="64"/>
  <c r="BA165" i="64"/>
  <c r="AS165" i="64"/>
  <c r="AK165" i="64"/>
  <c r="AC165" i="64"/>
  <c r="U165" i="64"/>
  <c r="BI162" i="64"/>
  <c r="BA162" i="64"/>
  <c r="AS162" i="64"/>
  <c r="AK162" i="64"/>
  <c r="AC162" i="64"/>
  <c r="U162" i="64"/>
  <c r="BI159" i="64"/>
  <c r="BA159" i="64"/>
  <c r="AS159" i="64"/>
  <c r="AK159" i="64"/>
  <c r="AC159" i="64"/>
  <c r="AC182" i="64"/>
  <c r="AH38" i="75" s="1"/>
  <c r="U159" i="64"/>
  <c r="BI156" i="64"/>
  <c r="BA156" i="64"/>
  <c r="AS156" i="64"/>
  <c r="AK156" i="64"/>
  <c r="AC156" i="64"/>
  <c r="U156" i="64"/>
  <c r="BI153" i="64"/>
  <c r="BA153" i="64"/>
  <c r="AS153" i="64"/>
  <c r="AK153" i="64"/>
  <c r="AC153" i="64"/>
  <c r="U153" i="64"/>
  <c r="BI150" i="64"/>
  <c r="BA150" i="64"/>
  <c r="AS150" i="64"/>
  <c r="AK150" i="64"/>
  <c r="AC150" i="64"/>
  <c r="U150" i="64"/>
  <c r="BI147" i="64"/>
  <c r="BA147" i="64"/>
  <c r="AS147" i="64"/>
  <c r="AS187" i="64"/>
  <c r="AF40" i="75" s="1"/>
  <c r="AK147" i="64"/>
  <c r="AC147" i="64"/>
  <c r="U147" i="64"/>
  <c r="U184" i="64"/>
  <c r="AF37" i="75" s="1"/>
  <c r="BI5" i="55"/>
  <c r="BE5" i="55"/>
  <c r="BA5" i="55"/>
  <c r="AK330" i="69"/>
  <c r="AF67" i="79" s="1"/>
  <c r="AK331" i="69"/>
  <c r="AH67" i="79" s="1"/>
  <c r="AC334" i="69"/>
  <c r="AH66" i="79" s="1"/>
  <c r="U333" i="69"/>
  <c r="AF65" i="79" s="1"/>
  <c r="BI287" i="69"/>
  <c r="AH64" i="79" s="1"/>
  <c r="BA287" i="69"/>
  <c r="AH63" i="79" s="1"/>
  <c r="BI237" i="69"/>
  <c r="AH58" i="79" s="1"/>
  <c r="AK237" i="69"/>
  <c r="AH55" i="79" s="1"/>
  <c r="U231" i="69"/>
  <c r="AH53" i="79" s="1"/>
  <c r="AS248" i="68"/>
  <c r="AH49" i="78" s="1"/>
  <c r="AS247" i="68"/>
  <c r="AF49" i="78" s="1"/>
  <c r="AK236" i="68"/>
  <c r="AH48" i="78" s="1"/>
  <c r="AC239" i="68"/>
  <c r="AH47" i="78" s="1"/>
  <c r="AC238" i="68"/>
  <c r="AF47" i="78" s="1"/>
  <c r="U238" i="68"/>
  <c r="AF46" i="78" s="1"/>
  <c r="U239" i="68"/>
  <c r="AH46" i="78" s="1"/>
  <c r="BI192" i="68"/>
  <c r="AH45" i="78" s="1"/>
  <c r="U183" i="68"/>
  <c r="AH40" i="78" s="1"/>
  <c r="BI142" i="68"/>
  <c r="AH39" i="78" s="1"/>
  <c r="AS139" i="68"/>
  <c r="AH37" i="78" s="1"/>
  <c r="AC133" i="68"/>
  <c r="AH35" i="78" s="1"/>
  <c r="U136" i="68"/>
  <c r="AH34" i="78" s="1"/>
  <c r="AS248" i="67"/>
  <c r="AH46" i="77" s="1"/>
  <c r="AK236" i="67"/>
  <c r="AH45" i="77" s="1"/>
  <c r="AC239" i="67"/>
  <c r="AH44" i="77" s="1"/>
  <c r="AC238" i="67"/>
  <c r="AF44" i="77" s="1"/>
  <c r="U239" i="67"/>
  <c r="BI192" i="67"/>
  <c r="AH42" i="77" s="1"/>
  <c r="AS177" i="67"/>
  <c r="AH40" i="77" s="1"/>
  <c r="AK180" i="67"/>
  <c r="AH39" i="77" s="1"/>
  <c r="AC180" i="67"/>
  <c r="AH38" i="77" s="1"/>
  <c r="BA142" i="67"/>
  <c r="AH35" i="77" s="1"/>
  <c r="AK142" i="67"/>
  <c r="AH33" i="77" s="1"/>
  <c r="AC133" i="67"/>
  <c r="AH32" i="77" s="1"/>
  <c r="AS248" i="66"/>
  <c r="AH46" i="76" s="1"/>
  <c r="U239" i="66"/>
  <c r="AH43" i="76" s="1"/>
  <c r="BI192" i="66"/>
  <c r="AH42" i="76" s="1"/>
  <c r="U183" i="66"/>
  <c r="AH37" i="76" s="1"/>
  <c r="BA142" i="66"/>
  <c r="AH35" i="76" s="1"/>
  <c r="AC133" i="66"/>
  <c r="AH32" i="76" s="1"/>
  <c r="AS342" i="69"/>
  <c r="AF68" i="79" s="1"/>
  <c r="AS343" i="69"/>
  <c r="AH68" i="79" s="1"/>
  <c r="AS297" i="64"/>
  <c r="AH52" i="75" s="1"/>
  <c r="AC229" i="64"/>
  <c r="AH44" i="75" s="1"/>
  <c r="U232" i="64"/>
  <c r="AH43" i="75" s="1"/>
  <c r="U185" i="64"/>
  <c r="AH37" i="75" s="1"/>
  <c r="BA192" i="66"/>
  <c r="AH41" i="76" s="1"/>
  <c r="BA192" i="67"/>
  <c r="AH41" i="77" s="1"/>
  <c r="BA241" i="64"/>
  <c r="AH47" i="75" s="1"/>
  <c r="AC181" i="64"/>
  <c r="AF38" i="75" s="1"/>
  <c r="EM48" i="83"/>
  <c r="EN48" i="83"/>
  <c r="AF48" i="83"/>
  <c r="AF47" i="83"/>
  <c r="H13" i="83"/>
  <c r="H16" i="83"/>
  <c r="H19" i="83"/>
  <c r="H22" i="83"/>
  <c r="H25" i="83"/>
  <c r="H28" i="83"/>
  <c r="EV13" i="83"/>
  <c r="EV16" i="83"/>
  <c r="EV19" i="83"/>
  <c r="EV22" i="83"/>
  <c r="EV25" i="83"/>
  <c r="EV28" i="83"/>
  <c r="EV31" i="83"/>
  <c r="EV34" i="83"/>
  <c r="EV37" i="83"/>
  <c r="EV40" i="83"/>
  <c r="EV43" i="83"/>
  <c r="EV46" i="83"/>
  <c r="EV49" i="83"/>
  <c r="EV52" i="83"/>
  <c r="EV55" i="83"/>
  <c r="EV10" i="83"/>
  <c r="EN13" i="83"/>
  <c r="EN16" i="83"/>
  <c r="EN19" i="83"/>
  <c r="EN22" i="83"/>
  <c r="EN25" i="83"/>
  <c r="EN28" i="83"/>
  <c r="EN31" i="83"/>
  <c r="EN34" i="83"/>
  <c r="EN37" i="83"/>
  <c r="EN40" i="83"/>
  <c r="EN43" i="83"/>
  <c r="EN10" i="83"/>
  <c r="EF13" i="83"/>
  <c r="EF16" i="83"/>
  <c r="EF19" i="83"/>
  <c r="EF22" i="83"/>
  <c r="EF25" i="83"/>
  <c r="EF28" i="83"/>
  <c r="EF31" i="83"/>
  <c r="EF34" i="83"/>
  <c r="EF37" i="83"/>
  <c r="EF40" i="83"/>
  <c r="EF43" i="83"/>
  <c r="EF46" i="83"/>
  <c r="EF10" i="83"/>
  <c r="DX13" i="83"/>
  <c r="DX16" i="83"/>
  <c r="DX19" i="83"/>
  <c r="DX22" i="83"/>
  <c r="DX25" i="83"/>
  <c r="DX28" i="83"/>
  <c r="DX31" i="83"/>
  <c r="DX34" i="83"/>
  <c r="DX37" i="83"/>
  <c r="DX40" i="83"/>
  <c r="DX43" i="83"/>
  <c r="DX46" i="83"/>
  <c r="DX10" i="83"/>
  <c r="DP13" i="83"/>
  <c r="DP16" i="83"/>
  <c r="DP19" i="83"/>
  <c r="DP22" i="83"/>
  <c r="DP25" i="83"/>
  <c r="DP28" i="83"/>
  <c r="DP31" i="83"/>
  <c r="DP34" i="83"/>
  <c r="DP37" i="83"/>
  <c r="DP40" i="83"/>
  <c r="DP43" i="83"/>
  <c r="DP46" i="83"/>
  <c r="DP49" i="83"/>
  <c r="DP10" i="83"/>
  <c r="DH13" i="83"/>
  <c r="DH16" i="83"/>
  <c r="DH19" i="83"/>
  <c r="DH22" i="83"/>
  <c r="DH25" i="83"/>
  <c r="DH28" i="83"/>
  <c r="DH31" i="83"/>
  <c r="DH34" i="83"/>
  <c r="DH37" i="83"/>
  <c r="DH40" i="83"/>
  <c r="DH43" i="83"/>
  <c r="DH46" i="83"/>
  <c r="DH49" i="83"/>
  <c r="CZ13" i="83"/>
  <c r="CZ16" i="83"/>
  <c r="CZ19" i="83"/>
  <c r="CZ22" i="83"/>
  <c r="CZ25" i="83"/>
  <c r="CZ28" i="83"/>
  <c r="CZ31" i="83"/>
  <c r="CZ34" i="83"/>
  <c r="CZ10" i="83"/>
  <c r="CR13" i="83"/>
  <c r="CR16" i="83"/>
  <c r="CR19" i="83"/>
  <c r="CR22" i="83"/>
  <c r="CR25" i="83"/>
  <c r="CR28" i="83"/>
  <c r="CR31" i="83"/>
  <c r="CR34" i="83"/>
  <c r="CR37" i="83"/>
  <c r="CR10" i="83"/>
  <c r="CJ13" i="83"/>
  <c r="CJ16" i="83"/>
  <c r="CJ19" i="83"/>
  <c r="CJ22" i="83"/>
  <c r="CJ25" i="83"/>
  <c r="CJ28" i="83"/>
  <c r="CJ31" i="83"/>
  <c r="CJ34" i="83"/>
  <c r="CJ37" i="83"/>
  <c r="CJ10" i="83"/>
  <c r="CB13" i="83"/>
  <c r="CB16" i="83"/>
  <c r="CB19" i="83"/>
  <c r="CB22" i="83"/>
  <c r="CB25" i="83"/>
  <c r="CB28" i="83"/>
  <c r="CB31" i="83"/>
  <c r="CB34" i="83"/>
  <c r="CB37" i="83"/>
  <c r="CB40" i="83"/>
  <c r="CB10" i="83"/>
  <c r="BT13" i="83"/>
  <c r="BT16" i="83"/>
  <c r="BT19" i="83"/>
  <c r="BT22" i="83"/>
  <c r="BT25" i="83"/>
  <c r="BT28" i="83"/>
  <c r="BT31" i="83"/>
  <c r="BT34" i="83"/>
  <c r="BT37" i="83"/>
  <c r="BT40" i="83"/>
  <c r="BT43" i="83"/>
  <c r="BT46" i="83"/>
  <c r="BT49" i="83"/>
  <c r="BT10" i="83"/>
  <c r="BL13" i="83"/>
  <c r="BL16" i="83"/>
  <c r="BL19" i="83"/>
  <c r="BL22" i="83"/>
  <c r="BL25" i="83"/>
  <c r="BL28" i="83"/>
  <c r="BL31" i="83"/>
  <c r="BL34" i="83"/>
  <c r="BL37" i="83"/>
  <c r="BL40" i="83"/>
  <c r="BL43" i="83"/>
  <c r="BL46" i="83"/>
  <c r="BL49" i="83"/>
  <c r="BL10" i="83"/>
  <c r="BD13" i="83"/>
  <c r="BD16" i="83"/>
  <c r="BD19" i="83"/>
  <c r="BD22" i="83"/>
  <c r="BD25" i="83"/>
  <c r="BD28" i="83"/>
  <c r="BD31" i="83"/>
  <c r="BD34" i="83"/>
  <c r="BD37" i="83"/>
  <c r="BD40" i="83"/>
  <c r="BD43" i="83"/>
  <c r="BD46" i="83"/>
  <c r="BD10" i="83"/>
  <c r="AV13" i="83"/>
  <c r="AV16" i="83"/>
  <c r="AV19" i="83"/>
  <c r="AV22" i="83"/>
  <c r="AV25" i="83"/>
  <c r="AV28" i="83"/>
  <c r="AV31" i="83"/>
  <c r="AV34" i="83"/>
  <c r="AV37" i="83"/>
  <c r="AV40" i="83"/>
  <c r="AV43" i="83"/>
  <c r="AV46" i="83"/>
  <c r="AV49" i="83"/>
  <c r="AV10" i="83"/>
  <c r="BI3" i="83"/>
  <c r="BE3" i="83"/>
  <c r="BA3" i="83"/>
  <c r="AW3" i="83"/>
  <c r="AS3" i="83"/>
  <c r="AO3" i="83"/>
  <c r="AK3" i="83"/>
  <c r="AG3" i="83"/>
  <c r="AC3" i="83"/>
  <c r="Y3" i="83"/>
  <c r="U3" i="83"/>
  <c r="Q3" i="83"/>
  <c r="M3" i="83"/>
  <c r="I3" i="83"/>
  <c r="H45" i="26"/>
  <c r="K127" i="26"/>
  <c r="K126" i="26"/>
  <c r="K125" i="26"/>
  <c r="K124" i="26"/>
  <c r="K123" i="26"/>
  <c r="K122" i="26"/>
  <c r="K121" i="26"/>
  <c r="K120" i="26"/>
  <c r="K119" i="26"/>
  <c r="K118" i="26"/>
  <c r="K117" i="26"/>
  <c r="K116" i="26"/>
  <c r="K115" i="26"/>
  <c r="K114" i="26"/>
  <c r="K113" i="26"/>
  <c r="K112" i="26"/>
  <c r="A35" i="36"/>
  <c r="M97" i="26"/>
  <c r="A33" i="36"/>
  <c r="A30" i="1" s="1"/>
  <c r="A31" i="36"/>
  <c r="A80" i="81" s="1"/>
  <c r="A29" i="36"/>
  <c r="A76" i="81" s="1"/>
  <c r="A26" i="36"/>
  <c r="I96" i="26"/>
  <c r="A24" i="36"/>
  <c r="I73" i="26" s="1"/>
  <c r="A22" i="36"/>
  <c r="I90" i="26" s="1"/>
  <c r="A19" i="36"/>
  <c r="E79" i="26" s="1"/>
  <c r="A17" i="36"/>
  <c r="E75" i="26" s="1"/>
  <c r="A15" i="36"/>
  <c r="E73" i="26" s="1"/>
  <c r="A13" i="36"/>
  <c r="E71" i="26" s="1"/>
  <c r="A10" i="36"/>
  <c r="A11" i="1" s="1"/>
  <c r="A8" i="36"/>
  <c r="A13" i="35" s="1"/>
  <c r="A6" i="36"/>
  <c r="A9" i="1" s="1"/>
  <c r="A4" i="36"/>
  <c r="A73" i="26" s="1"/>
  <c r="A2" i="36"/>
  <c r="A71" i="26" s="1"/>
  <c r="A28" i="36"/>
  <c r="M89" i="26" s="1"/>
  <c r="A21" i="36"/>
  <c r="A21" i="1" s="1"/>
  <c r="A12" i="36"/>
  <c r="N3" i="80" s="1"/>
  <c r="A1" i="36"/>
  <c r="A70" i="26" s="1"/>
  <c r="B124" i="26"/>
  <c r="B125" i="26"/>
  <c r="B126" i="26"/>
  <c r="B127" i="26"/>
  <c r="B123" i="26"/>
  <c r="B122" i="26"/>
  <c r="B121" i="26"/>
  <c r="B120" i="26"/>
  <c r="B119" i="26"/>
  <c r="B118" i="26"/>
  <c r="B117" i="26"/>
  <c r="B116" i="26"/>
  <c r="B115" i="26"/>
  <c r="B114" i="26"/>
  <c r="B113" i="26"/>
  <c r="M75" i="26"/>
  <c r="I77" i="26"/>
  <c r="M78" i="26"/>
  <c r="A77" i="26"/>
  <c r="Z21" i="26"/>
  <c r="AL26" i="26"/>
  <c r="BK1" i="83"/>
  <c r="W32" i="83"/>
  <c r="W33" i="83"/>
  <c r="W34" i="83"/>
  <c r="W31" i="83"/>
  <c r="V32" i="83"/>
  <c r="V33" i="83"/>
  <c r="V34" i="83"/>
  <c r="V31" i="83"/>
  <c r="U32" i="83"/>
  <c r="U33" i="83"/>
  <c r="U34" i="83"/>
  <c r="U31" i="83"/>
  <c r="BT53" i="83"/>
  <c r="BT54" i="83"/>
  <c r="BT52" i="83"/>
  <c r="BS53" i="83"/>
  <c r="BS54" i="83"/>
  <c r="BK53" i="83"/>
  <c r="BK54" i="83"/>
  <c r="BK52" i="83"/>
  <c r="BS52" i="83"/>
  <c r="BL53" i="83"/>
  <c r="BL54" i="83"/>
  <c r="BL52" i="83"/>
  <c r="BD50" i="83"/>
  <c r="BD51" i="83"/>
  <c r="BD49" i="83"/>
  <c r="BC50" i="83"/>
  <c r="BC51" i="83"/>
  <c r="BC49" i="83"/>
  <c r="T13" i="83"/>
  <c r="T34" i="83"/>
  <c r="U13" i="83"/>
  <c r="V13" i="83"/>
  <c r="W13" i="83"/>
  <c r="T16" i="83"/>
  <c r="U16" i="83"/>
  <c r="V16" i="83"/>
  <c r="W16" i="83"/>
  <c r="T19" i="83"/>
  <c r="U19" i="83"/>
  <c r="V19" i="83"/>
  <c r="W19" i="83"/>
  <c r="T22" i="83"/>
  <c r="U22" i="83"/>
  <c r="V22" i="83"/>
  <c r="W22" i="83"/>
  <c r="T25" i="83"/>
  <c r="T32" i="83"/>
  <c r="U25" i="83"/>
  <c r="V25" i="83"/>
  <c r="W25" i="83"/>
  <c r="T28" i="83"/>
  <c r="T33" i="83"/>
  <c r="U28" i="83"/>
  <c r="V28" i="83"/>
  <c r="W28" i="83"/>
  <c r="W10" i="83"/>
  <c r="V10" i="83"/>
  <c r="U10" i="83"/>
  <c r="EU60" i="83"/>
  <c r="EU59" i="83"/>
  <c r="EU58" i="83"/>
  <c r="EV58" i="83"/>
  <c r="T10" i="83"/>
  <c r="T31" i="83"/>
  <c r="DP54" i="83"/>
  <c r="DO54" i="83"/>
  <c r="DH54" i="83"/>
  <c r="DG54" i="83"/>
  <c r="AV54" i="83"/>
  <c r="AU54" i="83"/>
  <c r="DP53" i="83"/>
  <c r="DO53" i="83"/>
  <c r="DH53" i="83"/>
  <c r="DG53" i="83"/>
  <c r="AV53" i="83"/>
  <c r="AU53" i="83"/>
  <c r="EF51" i="83"/>
  <c r="EE51" i="83"/>
  <c r="DX51" i="83"/>
  <c r="DW51" i="83"/>
  <c r="EF50" i="83"/>
  <c r="EE50" i="83"/>
  <c r="DX50" i="83"/>
  <c r="DW50" i="83"/>
  <c r="DP52" i="83"/>
  <c r="DO52" i="83"/>
  <c r="DH52" i="83"/>
  <c r="DG52" i="83"/>
  <c r="AV52" i="83"/>
  <c r="AU52" i="83"/>
  <c r="EN47" i="83"/>
  <c r="EM47" i="83"/>
  <c r="EF49" i="83"/>
  <c r="EE49" i="83"/>
  <c r="DX49" i="83"/>
  <c r="DW49" i="83"/>
  <c r="EN46" i="83"/>
  <c r="EM46" i="83"/>
  <c r="S34" i="83"/>
  <c r="R34" i="83"/>
  <c r="Q34" i="83"/>
  <c r="P34" i="83"/>
  <c r="O34" i="83"/>
  <c r="N34" i="83"/>
  <c r="S33" i="83"/>
  <c r="R33" i="83"/>
  <c r="Q33" i="83"/>
  <c r="P33" i="83"/>
  <c r="O33" i="83"/>
  <c r="N33" i="83"/>
  <c r="S32" i="83"/>
  <c r="R32" i="83"/>
  <c r="Q32" i="83"/>
  <c r="P32" i="83"/>
  <c r="O32" i="83"/>
  <c r="N32" i="83"/>
  <c r="S31" i="83"/>
  <c r="R31" i="83"/>
  <c r="Q31" i="83"/>
  <c r="P31" i="83"/>
  <c r="O31" i="83"/>
  <c r="N31" i="83"/>
  <c r="S28" i="83"/>
  <c r="R28" i="83"/>
  <c r="Q28" i="83"/>
  <c r="P28" i="83"/>
  <c r="O28" i="83"/>
  <c r="N28" i="83"/>
  <c r="S25" i="83"/>
  <c r="R25" i="83"/>
  <c r="Q25" i="83"/>
  <c r="P25" i="83"/>
  <c r="O25" i="83"/>
  <c r="N25" i="83"/>
  <c r="S22" i="83"/>
  <c r="R22" i="83"/>
  <c r="Q22" i="83"/>
  <c r="P22" i="83"/>
  <c r="O22" i="83"/>
  <c r="N22" i="83"/>
  <c r="S19" i="83"/>
  <c r="R19" i="83"/>
  <c r="Q19" i="83"/>
  <c r="P19" i="83"/>
  <c r="O19" i="83"/>
  <c r="N19" i="83"/>
  <c r="S16" i="83"/>
  <c r="R16" i="83"/>
  <c r="Q16" i="83"/>
  <c r="P16" i="83"/>
  <c r="O16" i="83"/>
  <c r="N16" i="83"/>
  <c r="S13" i="83"/>
  <c r="R13" i="83"/>
  <c r="Q13" i="83"/>
  <c r="P13" i="83"/>
  <c r="O13" i="83"/>
  <c r="N13" i="83"/>
  <c r="DH10" i="83"/>
  <c r="S10" i="83"/>
  <c r="R10" i="83"/>
  <c r="Q10" i="83"/>
  <c r="P10" i="83"/>
  <c r="O10" i="83"/>
  <c r="N10" i="83"/>
  <c r="AE48" i="83"/>
  <c r="AE47" i="83"/>
  <c r="CB45" i="83"/>
  <c r="CA45" i="83"/>
  <c r="CB44" i="83"/>
  <c r="CA44" i="83"/>
  <c r="AN45" i="83"/>
  <c r="AM45" i="83"/>
  <c r="AE46" i="83"/>
  <c r="AN44" i="83"/>
  <c r="AM44" i="83"/>
  <c r="CR42" i="83"/>
  <c r="CQ42" i="83"/>
  <c r="CJ42" i="83"/>
  <c r="CI42" i="83"/>
  <c r="CB43" i="83"/>
  <c r="CA43" i="83"/>
  <c r="AN43" i="83"/>
  <c r="AM43" i="83"/>
  <c r="AF43" i="83"/>
  <c r="CR41" i="83"/>
  <c r="CQ41" i="83"/>
  <c r="CJ41" i="83"/>
  <c r="CI41" i="83"/>
  <c r="CZ39" i="83"/>
  <c r="CY39" i="83"/>
  <c r="CR40" i="83"/>
  <c r="CQ40" i="83"/>
  <c r="CJ40" i="83"/>
  <c r="CI40" i="83"/>
  <c r="AN40" i="83"/>
  <c r="AF40" i="83"/>
  <c r="AF46" i="83"/>
  <c r="CZ38" i="83"/>
  <c r="CY38" i="83"/>
  <c r="CZ37" i="83"/>
  <c r="CY37" i="83"/>
  <c r="AN37" i="83"/>
  <c r="AF37" i="83"/>
  <c r="AN34" i="83"/>
  <c r="AF34" i="83"/>
  <c r="M34" i="83"/>
  <c r="L34" i="83"/>
  <c r="K34" i="83"/>
  <c r="J34" i="83"/>
  <c r="I34" i="83"/>
  <c r="G34" i="83"/>
  <c r="M33" i="83"/>
  <c r="L33" i="83"/>
  <c r="K33" i="83"/>
  <c r="J33" i="83"/>
  <c r="I33" i="83"/>
  <c r="G33" i="83"/>
  <c r="M32" i="83"/>
  <c r="L32" i="83"/>
  <c r="K32" i="83"/>
  <c r="J32" i="83"/>
  <c r="I32" i="83"/>
  <c r="G32" i="83"/>
  <c r="AN31" i="83"/>
  <c r="AF31" i="83"/>
  <c r="M31" i="83"/>
  <c r="L31" i="83"/>
  <c r="K31" i="83"/>
  <c r="J31" i="83"/>
  <c r="I31" i="83"/>
  <c r="G31" i="83"/>
  <c r="AN28" i="83"/>
  <c r="AF28" i="83"/>
  <c r="M28" i="83"/>
  <c r="L28" i="83"/>
  <c r="K28" i="83"/>
  <c r="J28" i="83"/>
  <c r="I28" i="83"/>
  <c r="AN25" i="83"/>
  <c r="AF25" i="83"/>
  <c r="M25" i="83"/>
  <c r="L25" i="83"/>
  <c r="K25" i="83"/>
  <c r="J25" i="83"/>
  <c r="I25" i="83"/>
  <c r="H32" i="83"/>
  <c r="AN22" i="83"/>
  <c r="AF22" i="83"/>
  <c r="M22" i="83"/>
  <c r="L22" i="83"/>
  <c r="K22" i="83"/>
  <c r="J22" i="83"/>
  <c r="I22" i="83"/>
  <c r="AN19" i="83"/>
  <c r="AF19" i="83"/>
  <c r="M19" i="83"/>
  <c r="L19" i="83"/>
  <c r="K19" i="83"/>
  <c r="J19" i="83"/>
  <c r="I19" i="83"/>
  <c r="AN16" i="83"/>
  <c r="AF16" i="83"/>
  <c r="M16" i="83"/>
  <c r="L16" i="83"/>
  <c r="K16" i="83"/>
  <c r="J16" i="83"/>
  <c r="I16" i="83"/>
  <c r="AN13" i="83"/>
  <c r="AF13" i="83"/>
  <c r="M13" i="83"/>
  <c r="L13" i="83"/>
  <c r="K13" i="83"/>
  <c r="J13" i="83"/>
  <c r="I13" i="83"/>
  <c r="H34" i="83"/>
  <c r="AN10" i="83"/>
  <c r="AF10" i="83"/>
  <c r="M10" i="83"/>
  <c r="L10" i="83"/>
  <c r="K10" i="83"/>
  <c r="J10" i="83"/>
  <c r="I10" i="83"/>
  <c r="H10" i="83"/>
  <c r="BO1" i="83"/>
  <c r="BN1" i="83"/>
  <c r="E3" i="83"/>
  <c r="A3" i="83"/>
  <c r="AX2" i="83"/>
  <c r="AA2" i="83"/>
  <c r="A2" i="83"/>
  <c r="AR1" i="83"/>
  <c r="AA1" i="83"/>
  <c r="A1" i="83"/>
  <c r="EV59" i="83"/>
  <c r="EV60" i="83"/>
  <c r="G14" i="79"/>
  <c r="I14" i="79"/>
  <c r="K14" i="79"/>
  <c r="T32" i="69"/>
  <c r="L5" i="79" s="1"/>
  <c r="AD41" i="69"/>
  <c r="L6" i="79" s="1"/>
  <c r="AN29" i="69"/>
  <c r="L7" i="79" s="1"/>
  <c r="I33" i="69"/>
  <c r="L8" i="79" s="1"/>
  <c r="J33" i="69"/>
  <c r="L9" i="79" s="1"/>
  <c r="K33" i="69"/>
  <c r="L10" i="79" s="1"/>
  <c r="U56" i="69"/>
  <c r="U65" i="69"/>
  <c r="L15" i="79" s="1"/>
  <c r="AC89" i="69"/>
  <c r="L16" i="79" s="1"/>
  <c r="AC113" i="69"/>
  <c r="L29" i="79" s="1"/>
  <c r="M14" i="79"/>
  <c r="I34" i="69"/>
  <c r="N8" i="79" s="1"/>
  <c r="J34" i="69"/>
  <c r="N9" i="79" s="1"/>
  <c r="K34" i="69"/>
  <c r="N10" i="79" s="1"/>
  <c r="U62" i="69"/>
  <c r="U66" i="69"/>
  <c r="N15" i="79" s="1"/>
  <c r="AC114" i="69"/>
  <c r="N29" i="79" s="1"/>
  <c r="O14" i="79"/>
  <c r="Q14" i="79"/>
  <c r="S14" i="79"/>
  <c r="AD42" i="69"/>
  <c r="T6" i="79" s="1"/>
  <c r="I35" i="69"/>
  <c r="T8" i="79" s="1"/>
  <c r="J35" i="69"/>
  <c r="T9" i="79" s="1"/>
  <c r="K35" i="69"/>
  <c r="T10" i="79" s="1"/>
  <c r="AC90" i="69"/>
  <c r="T16" i="79" s="1"/>
  <c r="AS71" i="69"/>
  <c r="T18" i="79" s="1"/>
  <c r="U128" i="69"/>
  <c r="T28" i="79" s="1"/>
  <c r="AK125" i="69"/>
  <c r="T30" i="79" s="1"/>
  <c r="AS125" i="69"/>
  <c r="T31" i="79" s="1"/>
  <c r="BA125" i="69"/>
  <c r="T32" i="79" s="1"/>
  <c r="BI122" i="69"/>
  <c r="T33" i="79" s="1"/>
  <c r="U166" i="69"/>
  <c r="T34" i="79" s="1"/>
  <c r="AC175" i="69"/>
  <c r="T35" i="79" s="1"/>
  <c r="U14" i="79"/>
  <c r="I42" i="69"/>
  <c r="V11" i="79" s="1"/>
  <c r="J42" i="69"/>
  <c r="V12" i="79" s="1"/>
  <c r="K42" i="69"/>
  <c r="V13" i="79" s="1"/>
  <c r="W14" i="79"/>
  <c r="Y14" i="79"/>
  <c r="AA14" i="79"/>
  <c r="AC14" i="79"/>
  <c r="AE14" i="79"/>
  <c r="T33" i="69"/>
  <c r="AF5" i="79" s="1"/>
  <c r="AD43" i="69"/>
  <c r="AF6" i="79" s="1"/>
  <c r="AN30" i="69"/>
  <c r="AF7" i="79" s="1"/>
  <c r="U59" i="69"/>
  <c r="U67" i="69"/>
  <c r="AF15" i="79" s="1"/>
  <c r="AC91" i="69"/>
  <c r="AF16" i="79" s="1"/>
  <c r="AS72" i="69"/>
  <c r="AF18" i="79" s="1"/>
  <c r="U129" i="69"/>
  <c r="AF28" i="79" s="1"/>
  <c r="AC115" i="69"/>
  <c r="AF29" i="79" s="1"/>
  <c r="AK126" i="69"/>
  <c r="AF30" i="79" s="1"/>
  <c r="AS126" i="69"/>
  <c r="AF31" i="79" s="1"/>
  <c r="BA126" i="69"/>
  <c r="AF32" i="79" s="1"/>
  <c r="BI123" i="69"/>
  <c r="AF33" i="79" s="1"/>
  <c r="U167" i="69"/>
  <c r="AF34" i="79" s="1"/>
  <c r="AC176" i="69"/>
  <c r="AF35" i="79" s="1"/>
  <c r="AG14" i="79"/>
  <c r="T34" i="69"/>
  <c r="AH5" i="79" s="1"/>
  <c r="AD44" i="69"/>
  <c r="AH6" i="79" s="1"/>
  <c r="AN31" i="69"/>
  <c r="AH7" i="79" s="1"/>
  <c r="U50" i="69"/>
  <c r="U53" i="69"/>
  <c r="U68" i="69"/>
  <c r="AH15" i="79" s="1"/>
  <c r="AC92" i="69"/>
  <c r="AH16" i="79" s="1"/>
  <c r="AS73" i="69"/>
  <c r="AH18" i="79" s="1"/>
  <c r="U130" i="69"/>
  <c r="AH28" i="79" s="1"/>
  <c r="AC116" i="69"/>
  <c r="AH29" i="79" s="1"/>
  <c r="AK127" i="69"/>
  <c r="AH30" i="79" s="1"/>
  <c r="AS127" i="69"/>
  <c r="AH31" i="79" s="1"/>
  <c r="BA127" i="69"/>
  <c r="AH32" i="79" s="1"/>
  <c r="BI124" i="69"/>
  <c r="AH33" i="79" s="1"/>
  <c r="U168" i="69"/>
  <c r="AH34" i="79" s="1"/>
  <c r="AC177" i="69"/>
  <c r="AH35" i="79" s="1"/>
  <c r="AI14" i="79"/>
  <c r="I32" i="69"/>
  <c r="D8" i="79" s="1"/>
  <c r="J32" i="69"/>
  <c r="D9" i="79" s="1"/>
  <c r="K32" i="69"/>
  <c r="D10" i="79" s="1"/>
  <c r="E14" i="79"/>
  <c r="T32" i="68"/>
  <c r="L5" i="78" s="1"/>
  <c r="AD41" i="68"/>
  <c r="L6" i="78" s="1"/>
  <c r="AN29" i="68"/>
  <c r="L7" i="78" s="1"/>
  <c r="I33" i="68"/>
  <c r="L8" i="78" s="1"/>
  <c r="J33" i="68"/>
  <c r="L9" i="78" s="1"/>
  <c r="K33" i="68"/>
  <c r="L10" i="78" s="1"/>
  <c r="U65" i="68"/>
  <c r="L15" i="78" s="1"/>
  <c r="I34" i="68"/>
  <c r="N8" i="78" s="1"/>
  <c r="J34" i="68"/>
  <c r="N9" i="78" s="1"/>
  <c r="K34" i="68"/>
  <c r="N10" i="78" s="1"/>
  <c r="U66" i="68"/>
  <c r="N15" i="78" s="1"/>
  <c r="AD42" i="68"/>
  <c r="T6" i="78" s="1"/>
  <c r="I35" i="68"/>
  <c r="T8" i="78" s="1"/>
  <c r="J35" i="68"/>
  <c r="T9" i="78" s="1"/>
  <c r="K35" i="68"/>
  <c r="T10" i="78" s="1"/>
  <c r="AK77" i="68"/>
  <c r="T17" i="78" s="1"/>
  <c r="AS77" i="68"/>
  <c r="T18" i="78" s="1"/>
  <c r="BA74" i="68"/>
  <c r="T19" i="78" s="1"/>
  <c r="BI71" i="68"/>
  <c r="T20" i="78" s="1"/>
  <c r="I42" i="68"/>
  <c r="V11" i="78" s="1"/>
  <c r="J42" i="68"/>
  <c r="V12" i="78" s="1"/>
  <c r="K42" i="68"/>
  <c r="V13" i="78" s="1"/>
  <c r="T33" i="68"/>
  <c r="AF5" i="78" s="1"/>
  <c r="AD43" i="68"/>
  <c r="AF6" i="78" s="1"/>
  <c r="AN30" i="68"/>
  <c r="AF7" i="78" s="1"/>
  <c r="U67" i="68"/>
  <c r="AF15" i="78" s="1"/>
  <c r="AK78" i="68"/>
  <c r="AF17" i="78" s="1"/>
  <c r="AS78" i="68"/>
  <c r="AF18" i="78" s="1"/>
  <c r="BA75" i="68"/>
  <c r="AF19" i="78" s="1"/>
  <c r="BI72" i="68"/>
  <c r="AF20" i="78" s="1"/>
  <c r="T34" i="68"/>
  <c r="AH5" i="78" s="1"/>
  <c r="AD44" i="68"/>
  <c r="AH6" i="78" s="1"/>
  <c r="AN31" i="68"/>
  <c r="AH7" i="78" s="1"/>
  <c r="U68" i="68"/>
  <c r="AH15" i="78" s="1"/>
  <c r="AK79" i="68"/>
  <c r="AH17" i="78" s="1"/>
  <c r="AS79" i="68"/>
  <c r="AH18" i="78" s="1"/>
  <c r="BA76" i="68"/>
  <c r="AH19" i="78" s="1"/>
  <c r="BI73" i="68"/>
  <c r="AH20" i="78" s="1"/>
  <c r="I32" i="68"/>
  <c r="D8" i="78" s="1"/>
  <c r="J32" i="68"/>
  <c r="D9" i="78" s="1"/>
  <c r="K32" i="68"/>
  <c r="D10" i="78" s="1"/>
  <c r="T32" i="67"/>
  <c r="L5" i="77" s="1"/>
  <c r="AD41" i="67"/>
  <c r="L6" i="77" s="1"/>
  <c r="I33" i="67"/>
  <c r="L7" i="77" s="1"/>
  <c r="J33" i="67"/>
  <c r="L8" i="77" s="1"/>
  <c r="U65" i="67"/>
  <c r="L12" i="77" s="1"/>
  <c r="I34" i="67"/>
  <c r="N7" i="77" s="1"/>
  <c r="J34" i="67"/>
  <c r="N8" i="77" s="1"/>
  <c r="U66" i="67"/>
  <c r="N12" i="77" s="1"/>
  <c r="AD42" i="67"/>
  <c r="T6" i="77" s="1"/>
  <c r="I35" i="67"/>
  <c r="T7" i="77" s="1"/>
  <c r="J35" i="67"/>
  <c r="T8" i="77" s="1"/>
  <c r="AC65" i="67"/>
  <c r="T13" i="77" s="1"/>
  <c r="AK77" i="67"/>
  <c r="T14" i="77" s="1"/>
  <c r="AS77" i="67"/>
  <c r="T15" i="77" s="1"/>
  <c r="BA74" i="67"/>
  <c r="T16" i="77" s="1"/>
  <c r="BI71" i="67"/>
  <c r="T17" i="77" s="1"/>
  <c r="I42" i="67"/>
  <c r="V9" i="77" s="1"/>
  <c r="V80" i="77" s="1"/>
  <c r="V79" i="77" s="1"/>
  <c r="J42" i="67"/>
  <c r="V10" i="77" s="1"/>
  <c r="T33" i="67"/>
  <c r="AF5" i="77" s="1"/>
  <c r="AD43" i="67"/>
  <c r="AF6" i="77" s="1"/>
  <c r="U67" i="67"/>
  <c r="AF12" i="77" s="1"/>
  <c r="AC66" i="67"/>
  <c r="AF13" i="77" s="1"/>
  <c r="AK78" i="67"/>
  <c r="AF14" i="77" s="1"/>
  <c r="AS78" i="67"/>
  <c r="AF15" i="77" s="1"/>
  <c r="BA75" i="67"/>
  <c r="AF16" i="77" s="1"/>
  <c r="BI72" i="67"/>
  <c r="AF17" i="77" s="1"/>
  <c r="T34" i="67"/>
  <c r="AH5" i="77" s="1"/>
  <c r="AD44" i="67"/>
  <c r="AH6" i="77" s="1"/>
  <c r="U68" i="67"/>
  <c r="AH12" i="77" s="1"/>
  <c r="AC67" i="67"/>
  <c r="AH13" i="77" s="1"/>
  <c r="AK79" i="67"/>
  <c r="AH14" i="77" s="1"/>
  <c r="AS79" i="67"/>
  <c r="AH15" i="77" s="1"/>
  <c r="BA76" i="67"/>
  <c r="AH16" i="77" s="1"/>
  <c r="BI73" i="67"/>
  <c r="AH17" i="77" s="1"/>
  <c r="I32" i="67"/>
  <c r="D7" i="77" s="1"/>
  <c r="D80" i="77" s="1"/>
  <c r="D79" i="77" s="1"/>
  <c r="J32" i="67"/>
  <c r="D8" i="77" s="1"/>
  <c r="T32" i="66"/>
  <c r="L5" i="76" s="1"/>
  <c r="AD41" i="66"/>
  <c r="L6" i="76" s="1"/>
  <c r="I33" i="66"/>
  <c r="L7" i="76" s="1"/>
  <c r="J33" i="66"/>
  <c r="L8" i="76" s="1"/>
  <c r="U65" i="66"/>
  <c r="L12" i="76" s="1"/>
  <c r="I34" i="66"/>
  <c r="N7" i="76" s="1"/>
  <c r="J34" i="66"/>
  <c r="N8" i="76" s="1"/>
  <c r="U66" i="66"/>
  <c r="N12" i="76" s="1"/>
  <c r="AD42" i="66"/>
  <c r="T6" i="76" s="1"/>
  <c r="I35" i="66"/>
  <c r="T7" i="76" s="1"/>
  <c r="J35" i="66"/>
  <c r="T8" i="76" s="1"/>
  <c r="AC83" i="66"/>
  <c r="T13" i="76" s="1"/>
  <c r="AS74" i="66"/>
  <c r="T15" i="76" s="1"/>
  <c r="BA71" i="66"/>
  <c r="T16" i="76" s="1"/>
  <c r="BI80" i="66"/>
  <c r="T17" i="76" s="1"/>
  <c r="I42" i="66"/>
  <c r="J42" i="66"/>
  <c r="T33" i="66"/>
  <c r="AF5" i="76" s="1"/>
  <c r="AD43" i="66"/>
  <c r="AF6" i="76" s="1"/>
  <c r="U67" i="66"/>
  <c r="AF12" i="76" s="1"/>
  <c r="AC84" i="66"/>
  <c r="AF13" i="76" s="1"/>
  <c r="AS75" i="66"/>
  <c r="AF15" i="76" s="1"/>
  <c r="BA72" i="66"/>
  <c r="AF16" i="76" s="1"/>
  <c r="BI81" i="66"/>
  <c r="AF17" i="76" s="1"/>
  <c r="T34" i="66"/>
  <c r="AH5" i="76" s="1"/>
  <c r="AD44" i="66"/>
  <c r="AH6" i="76" s="1"/>
  <c r="U68" i="66"/>
  <c r="AH12" i="76" s="1"/>
  <c r="AC85" i="66"/>
  <c r="AH13" i="76" s="1"/>
  <c r="AS76" i="66"/>
  <c r="AH15" i="76" s="1"/>
  <c r="BA73" i="66"/>
  <c r="AH16" i="76" s="1"/>
  <c r="BI82" i="66"/>
  <c r="AH17" i="76" s="1"/>
  <c r="I32" i="66"/>
  <c r="D7" i="76" s="1"/>
  <c r="J32" i="66"/>
  <c r="D8" i="76" s="1"/>
  <c r="AK66" i="64"/>
  <c r="L14" i="75" s="1"/>
  <c r="AK67" i="64"/>
  <c r="N14" i="75" s="1"/>
  <c r="U57" i="64"/>
  <c r="U66" i="64"/>
  <c r="U75" i="64"/>
  <c r="T12" i="75" s="1"/>
  <c r="BA78" i="64"/>
  <c r="T16" i="75" s="1"/>
  <c r="BI75" i="64"/>
  <c r="T17" i="75" s="1"/>
  <c r="U120" i="64"/>
  <c r="T18" i="75" s="1"/>
  <c r="AC129" i="64"/>
  <c r="T19" i="75" s="1"/>
  <c r="U63" i="64"/>
  <c r="U76" i="64"/>
  <c r="AF12" i="75" s="1"/>
  <c r="AK68" i="64"/>
  <c r="AF14" i="75" s="1"/>
  <c r="BA79" i="64"/>
  <c r="AF16" i="75" s="1"/>
  <c r="AC130" i="64"/>
  <c r="AF19" i="75" s="1"/>
  <c r="U51" i="64"/>
  <c r="U54" i="64"/>
  <c r="U60" i="64"/>
  <c r="U69" i="64"/>
  <c r="U72" i="64"/>
  <c r="U77" i="64"/>
  <c r="AH12" i="75" s="1"/>
  <c r="AK69" i="64"/>
  <c r="AH14" i="75" s="1"/>
  <c r="BA80" i="64"/>
  <c r="AH16" i="75" s="1"/>
  <c r="BI76" i="64"/>
  <c r="AH17" i="75" s="1"/>
  <c r="U121" i="64"/>
  <c r="AH18" i="75" s="1"/>
  <c r="AC131" i="64"/>
  <c r="AH19" i="75" s="1"/>
  <c r="BL8" i="35"/>
  <c r="BK8" i="35"/>
  <c r="BH28" i="1"/>
  <c r="BI28" i="1" s="1"/>
  <c r="BI32" i="1" s="1"/>
  <c r="AI105" i="61"/>
  <c r="AI108" i="61"/>
  <c r="AI111" i="61"/>
  <c r="N10" i="1"/>
  <c r="K10" i="1"/>
  <c r="H10" i="1"/>
  <c r="S26" i="26"/>
  <c r="S27" i="26"/>
  <c r="S28" i="26"/>
  <c r="S29" i="26"/>
  <c r="S30" i="26"/>
  <c r="S31" i="26"/>
  <c r="S32" i="26"/>
  <c r="AV11" i="1"/>
  <c r="AW11" i="1" s="1"/>
  <c r="AV18" i="1"/>
  <c r="AW18" i="1" s="1"/>
  <c r="AV17" i="1"/>
  <c r="AW17" i="1" s="1"/>
  <c r="AV16" i="1"/>
  <c r="AW16" i="1" s="1"/>
  <c r="AV31" i="1"/>
  <c r="AW31" i="1"/>
  <c r="AV30" i="1"/>
  <c r="AW30" i="1"/>
  <c r="AV28" i="1"/>
  <c r="AW28" i="1" s="1"/>
  <c r="AP31" i="1"/>
  <c r="AQ31" i="1"/>
  <c r="AP30" i="1"/>
  <c r="AQ30" i="1" s="1"/>
  <c r="AP28" i="1"/>
  <c r="AQ28" i="1" s="1"/>
  <c r="AJ31" i="1"/>
  <c r="AK31" i="1" s="1"/>
  <c r="AJ30" i="1"/>
  <c r="AK30" i="1"/>
  <c r="AJ29" i="1"/>
  <c r="AK29" i="1"/>
  <c r="AJ28" i="1"/>
  <c r="AD31" i="1"/>
  <c r="AE31" i="1" s="1"/>
  <c r="AD30" i="1"/>
  <c r="AE30" i="1" s="1"/>
  <c r="AD29" i="1"/>
  <c r="AE29" i="1" s="1"/>
  <c r="AD28" i="1"/>
  <c r="AE28" i="1"/>
  <c r="X31" i="1"/>
  <c r="Y31" i="1" s="1"/>
  <c r="X30" i="1"/>
  <c r="Y30" i="1" s="1"/>
  <c r="X29" i="1"/>
  <c r="Y29" i="1" s="1"/>
  <c r="X28" i="1"/>
  <c r="Y28" i="1" s="1"/>
  <c r="AV24" i="1"/>
  <c r="AW24" i="1"/>
  <c r="AV23" i="1"/>
  <c r="AW23" i="1" s="1"/>
  <c r="AV22" i="1"/>
  <c r="AW22" i="1"/>
  <c r="AP24" i="1"/>
  <c r="AQ24" i="1"/>
  <c r="AP23" i="1"/>
  <c r="AQ23" i="1" s="1"/>
  <c r="AP22" i="1"/>
  <c r="AQ22" i="1"/>
  <c r="AJ24" i="1"/>
  <c r="AK24" i="1"/>
  <c r="AJ22" i="1"/>
  <c r="AK22" i="1"/>
  <c r="AD24" i="1"/>
  <c r="AE24" i="1"/>
  <c r="AD22" i="1"/>
  <c r="AE22" i="1"/>
  <c r="X24" i="1"/>
  <c r="Y24" i="1"/>
  <c r="X23" i="1"/>
  <c r="Y23" i="1" s="1"/>
  <c r="X22" i="1"/>
  <c r="Y22" i="1"/>
  <c r="D5" i="80"/>
  <c r="D6" i="80"/>
  <c r="I32" i="63"/>
  <c r="D7" i="80" s="1"/>
  <c r="J32" i="63"/>
  <c r="D8" i="80"/>
  <c r="D9" i="80"/>
  <c r="D10" i="80"/>
  <c r="D52" i="80" s="1"/>
  <c r="D12" i="80"/>
  <c r="D13" i="80"/>
  <c r="D14" i="80"/>
  <c r="D15" i="80"/>
  <c r="D16" i="80"/>
  <c r="D17" i="80"/>
  <c r="D18" i="80"/>
  <c r="D19" i="80"/>
  <c r="D20" i="80"/>
  <c r="D21" i="80"/>
  <c r="D22" i="80"/>
  <c r="D23" i="80"/>
  <c r="D24" i="80"/>
  <c r="H71" i="63"/>
  <c r="D25" i="80" s="1"/>
  <c r="I71" i="63"/>
  <c r="D26" i="80" s="1"/>
  <c r="J71" i="63"/>
  <c r="D27" i="80" s="1"/>
  <c r="K71" i="63"/>
  <c r="D28" i="80" s="1"/>
  <c r="L71" i="63"/>
  <c r="D29" i="80" s="1"/>
  <c r="M71" i="63"/>
  <c r="D30" i="80" s="1"/>
  <c r="H116" i="63"/>
  <c r="D31" i="80" s="1"/>
  <c r="I116" i="63"/>
  <c r="D32" i="80" s="1"/>
  <c r="J116" i="63"/>
  <c r="D33" i="80" s="1"/>
  <c r="K116" i="63"/>
  <c r="D34" i="80" s="1"/>
  <c r="L116" i="63"/>
  <c r="D35" i="80" s="1"/>
  <c r="M116" i="63"/>
  <c r="D36" i="80" s="1"/>
  <c r="H167" i="63"/>
  <c r="D37" i="80" s="1"/>
  <c r="D38" i="80"/>
  <c r="D39" i="80"/>
  <c r="D40" i="80"/>
  <c r="D41" i="80"/>
  <c r="D42" i="80"/>
  <c r="D43" i="80"/>
  <c r="D44" i="80"/>
  <c r="D45" i="80"/>
  <c r="D46" i="80"/>
  <c r="D47" i="80"/>
  <c r="D48" i="80"/>
  <c r="D49" i="80"/>
  <c r="D50" i="80"/>
  <c r="T32" i="63"/>
  <c r="L5" i="80"/>
  <c r="AD38" i="63"/>
  <c r="L6" i="80"/>
  <c r="I33" i="63"/>
  <c r="L7" i="80" s="1"/>
  <c r="L51" i="80" s="1"/>
  <c r="O11" i="1" s="1"/>
  <c r="J33" i="63"/>
  <c r="L8" i="80"/>
  <c r="L9" i="80"/>
  <c r="L10" i="80"/>
  <c r="L52" i="80" s="1"/>
  <c r="U86" i="63"/>
  <c r="L12" i="80"/>
  <c r="AC83" i="63"/>
  <c r="L13" i="80" s="1"/>
  <c r="AK83" i="63"/>
  <c r="L14" i="80"/>
  <c r="AS80" i="63"/>
  <c r="L15" i="80"/>
  <c r="BA80" i="63"/>
  <c r="L16" i="80"/>
  <c r="BI77" i="63"/>
  <c r="L17" i="80" s="1"/>
  <c r="U137" i="63"/>
  <c r="L18" i="80"/>
  <c r="AC137" i="63"/>
  <c r="L19" i="80"/>
  <c r="AK137" i="63"/>
  <c r="L20" i="80"/>
  <c r="AS134" i="63"/>
  <c r="L21" i="80" s="1"/>
  <c r="BA134" i="63"/>
  <c r="L22" i="80"/>
  <c r="BI131" i="63"/>
  <c r="L23" i="80"/>
  <c r="U194" i="63"/>
  <c r="L24" i="80"/>
  <c r="H72" i="63"/>
  <c r="L25" i="80" s="1"/>
  <c r="I72" i="63"/>
  <c r="L26" i="80"/>
  <c r="J72" i="63"/>
  <c r="L27" i="80"/>
  <c r="K72" i="63"/>
  <c r="L28" i="80"/>
  <c r="L72" i="63"/>
  <c r="L29" i="80" s="1"/>
  <c r="M72" i="63"/>
  <c r="L30" i="80"/>
  <c r="H117" i="63"/>
  <c r="L31" i="80"/>
  <c r="I117" i="63"/>
  <c r="L32" i="80"/>
  <c r="J117" i="63"/>
  <c r="L33" i="80" s="1"/>
  <c r="K117" i="63"/>
  <c r="L34" i="80"/>
  <c r="L117" i="63"/>
  <c r="L35" i="80"/>
  <c r="M117" i="63"/>
  <c r="L36" i="80"/>
  <c r="H168" i="63"/>
  <c r="L37" i="80" s="1"/>
  <c r="L38" i="80"/>
  <c r="L39" i="80"/>
  <c r="L40" i="80"/>
  <c r="L41" i="80"/>
  <c r="L42" i="80"/>
  <c r="L43" i="80"/>
  <c r="L44" i="80"/>
  <c r="L45" i="80"/>
  <c r="L46" i="80"/>
  <c r="L47" i="80"/>
  <c r="L48" i="80"/>
  <c r="L49" i="80"/>
  <c r="L50" i="80"/>
  <c r="E7" i="1"/>
  <c r="E8" i="1"/>
  <c r="E9" i="1"/>
  <c r="E10" i="1"/>
  <c r="E11" i="1"/>
  <c r="F11" i="1" s="1"/>
  <c r="B8" i="1"/>
  <c r="B9" i="1"/>
  <c r="C9" i="1" s="1"/>
  <c r="B10" i="1"/>
  <c r="C10" i="1" s="1"/>
  <c r="B11" i="1"/>
  <c r="B7" i="1"/>
  <c r="B15" i="1"/>
  <c r="B19" i="1" s="1"/>
  <c r="B16" i="1"/>
  <c r="B17" i="1"/>
  <c r="B18" i="1"/>
  <c r="B22" i="1"/>
  <c r="C22" i="1" s="1"/>
  <c r="B23" i="1"/>
  <c r="C23" i="1" s="1"/>
  <c r="B24" i="1"/>
  <c r="C24" i="1" s="1"/>
  <c r="B28" i="1"/>
  <c r="C28" i="1" s="1"/>
  <c r="C32" i="1" s="1"/>
  <c r="B29" i="1"/>
  <c r="B30" i="1"/>
  <c r="B32" i="1" s="1"/>
  <c r="B31" i="1"/>
  <c r="U69" i="82"/>
  <c r="U70" i="82"/>
  <c r="U68" i="82"/>
  <c r="M3" i="26"/>
  <c r="M2" i="26"/>
  <c r="M1" i="26"/>
  <c r="F3" i="26"/>
  <c r="F2" i="26"/>
  <c r="F1" i="26"/>
  <c r="L4" i="82"/>
  <c r="E10" i="14"/>
  <c r="E11" i="14"/>
  <c r="G10" i="14"/>
  <c r="G9" i="14"/>
  <c r="J39" i="68"/>
  <c r="A5" i="55"/>
  <c r="L2" i="30"/>
  <c r="L1" i="30"/>
  <c r="C2" i="30"/>
  <c r="C1" i="30"/>
  <c r="G2" i="14"/>
  <c r="G1" i="14"/>
  <c r="B2" i="14"/>
  <c r="B1" i="14"/>
  <c r="K10" i="26"/>
  <c r="L10" i="26"/>
  <c r="BH7" i="1"/>
  <c r="BI7" i="1" s="1"/>
  <c r="AH50" i="80"/>
  <c r="AH49" i="80"/>
  <c r="AH48" i="80"/>
  <c r="AH47" i="80"/>
  <c r="AH46" i="80"/>
  <c r="AH45" i="80"/>
  <c r="AH44" i="80"/>
  <c r="AH43" i="80"/>
  <c r="AH42" i="80"/>
  <c r="AH41" i="80"/>
  <c r="AH40" i="80"/>
  <c r="AH39" i="80"/>
  <c r="AH38" i="80"/>
  <c r="AH37" i="80"/>
  <c r="AH36" i="80"/>
  <c r="AH35" i="80"/>
  <c r="AH34" i="80"/>
  <c r="AH33" i="80"/>
  <c r="AH32" i="80"/>
  <c r="AH31" i="80"/>
  <c r="AH30" i="80"/>
  <c r="AH29" i="80"/>
  <c r="AH28" i="80"/>
  <c r="AH27" i="80"/>
  <c r="AH26" i="80"/>
  <c r="AH25" i="80"/>
  <c r="AH10" i="80"/>
  <c r="AH9" i="80"/>
  <c r="AH8" i="80"/>
  <c r="AH7" i="80"/>
  <c r="AF50" i="80"/>
  <c r="AF49" i="80"/>
  <c r="AF48" i="80"/>
  <c r="AF47" i="80"/>
  <c r="AF46" i="80"/>
  <c r="AF45" i="80"/>
  <c r="AF44" i="80"/>
  <c r="AF43" i="80"/>
  <c r="AF42" i="80"/>
  <c r="AF41" i="80"/>
  <c r="AF40" i="80"/>
  <c r="AF39" i="80"/>
  <c r="AF38" i="80"/>
  <c r="AF37" i="80"/>
  <c r="AF36" i="80"/>
  <c r="AF35" i="80"/>
  <c r="AF34" i="80"/>
  <c r="AF33" i="80"/>
  <c r="AF32" i="80"/>
  <c r="AF31" i="80"/>
  <c r="AF30" i="80"/>
  <c r="AF29" i="80"/>
  <c r="AF28" i="80"/>
  <c r="AF27" i="80"/>
  <c r="AF26" i="80"/>
  <c r="AF25" i="80"/>
  <c r="AF10" i="80"/>
  <c r="AF9" i="80"/>
  <c r="AF8" i="80"/>
  <c r="AF7" i="80"/>
  <c r="AF6" i="80"/>
  <c r="V37" i="80"/>
  <c r="V36" i="80"/>
  <c r="V35" i="80"/>
  <c r="V34" i="80"/>
  <c r="V33" i="80"/>
  <c r="V32" i="80"/>
  <c r="V31" i="80"/>
  <c r="V30" i="80"/>
  <c r="V29" i="80"/>
  <c r="V28" i="80"/>
  <c r="V27" i="80"/>
  <c r="V26" i="80"/>
  <c r="V25" i="80"/>
  <c r="V24" i="80"/>
  <c r="V23" i="80"/>
  <c r="V22" i="80"/>
  <c r="V21" i="80"/>
  <c r="V20" i="80"/>
  <c r="V19" i="80"/>
  <c r="V18" i="80"/>
  <c r="V17" i="80"/>
  <c r="V16" i="80"/>
  <c r="V15" i="80"/>
  <c r="V14" i="80"/>
  <c r="V13" i="80"/>
  <c r="V12" i="80"/>
  <c r="V8" i="80"/>
  <c r="V7" i="80"/>
  <c r="V6" i="80"/>
  <c r="V5" i="80"/>
  <c r="T50" i="80"/>
  <c r="T49" i="80"/>
  <c r="T48" i="80"/>
  <c r="T47" i="80"/>
  <c r="T46" i="80"/>
  <c r="T45" i="80"/>
  <c r="T44" i="80"/>
  <c r="T43" i="80"/>
  <c r="T42" i="80"/>
  <c r="T41" i="80"/>
  <c r="T40" i="80"/>
  <c r="T39" i="80"/>
  <c r="T38" i="80"/>
  <c r="T16" i="80"/>
  <c r="T15" i="80"/>
  <c r="T10" i="80"/>
  <c r="T9" i="80"/>
  <c r="T5" i="80"/>
  <c r="P50" i="80"/>
  <c r="P49" i="80"/>
  <c r="P48" i="80"/>
  <c r="P47" i="80"/>
  <c r="P46" i="80"/>
  <c r="P45" i="80"/>
  <c r="P44" i="80"/>
  <c r="P43" i="80"/>
  <c r="P42" i="80"/>
  <c r="P41" i="80"/>
  <c r="P40" i="80"/>
  <c r="P39" i="80"/>
  <c r="P38" i="80"/>
  <c r="P37" i="80"/>
  <c r="P36" i="80"/>
  <c r="P35" i="80"/>
  <c r="P34" i="80"/>
  <c r="P33" i="80"/>
  <c r="P32" i="80"/>
  <c r="P31" i="80"/>
  <c r="P30" i="80"/>
  <c r="P29" i="80"/>
  <c r="P28" i="80"/>
  <c r="P27" i="80"/>
  <c r="P26" i="80"/>
  <c r="P25" i="80"/>
  <c r="P17" i="80"/>
  <c r="P13" i="80"/>
  <c r="P10" i="80"/>
  <c r="P9" i="80"/>
  <c r="P8" i="80"/>
  <c r="P7" i="80"/>
  <c r="P6" i="80"/>
  <c r="P5" i="80"/>
  <c r="N50" i="80"/>
  <c r="N49" i="80"/>
  <c r="N48" i="80"/>
  <c r="N47" i="80"/>
  <c r="N46" i="80"/>
  <c r="N45" i="80"/>
  <c r="N44" i="80"/>
  <c r="N43" i="80"/>
  <c r="N42" i="80"/>
  <c r="N41" i="80"/>
  <c r="N40" i="80"/>
  <c r="N39" i="80"/>
  <c r="N38" i="80"/>
  <c r="N24" i="80"/>
  <c r="N23" i="80"/>
  <c r="N22" i="80"/>
  <c r="N21" i="80"/>
  <c r="N20" i="80"/>
  <c r="N19" i="80"/>
  <c r="N18" i="80"/>
  <c r="N17" i="80"/>
  <c r="N16" i="80"/>
  <c r="N15" i="80"/>
  <c r="N14" i="80"/>
  <c r="N13" i="80"/>
  <c r="N12" i="80"/>
  <c r="N10" i="80"/>
  <c r="N9" i="80"/>
  <c r="N6" i="80"/>
  <c r="N5" i="80"/>
  <c r="K56" i="63"/>
  <c r="I23" i="63"/>
  <c r="M59" i="63"/>
  <c r="BI62" i="63"/>
  <c r="M1" i="1"/>
  <c r="C2" i="1"/>
  <c r="C1" i="1"/>
  <c r="M2" i="1"/>
  <c r="BH54" i="1"/>
  <c r="BH53" i="1"/>
  <c r="BH52" i="1"/>
  <c r="BH51" i="1"/>
  <c r="BH50" i="1"/>
  <c r="BH49" i="1"/>
  <c r="BH48" i="1"/>
  <c r="BH47" i="1"/>
  <c r="BH46" i="1"/>
  <c r="BE54" i="1"/>
  <c r="BE53" i="1"/>
  <c r="BE52" i="1"/>
  <c r="BE51" i="1"/>
  <c r="BE50" i="1"/>
  <c r="BE49" i="1"/>
  <c r="BE48" i="1"/>
  <c r="BE47" i="1"/>
  <c r="BE46" i="1"/>
  <c r="BB54" i="1"/>
  <c r="BB53" i="1"/>
  <c r="BB52" i="1"/>
  <c r="BB51" i="1"/>
  <c r="BB50" i="1"/>
  <c r="BB49" i="1"/>
  <c r="BB48" i="1"/>
  <c r="BB47" i="1"/>
  <c r="BB46" i="1"/>
  <c r="AV54" i="1"/>
  <c r="AV53" i="1"/>
  <c r="AV52" i="1"/>
  <c r="AV51" i="1"/>
  <c r="AV50" i="1"/>
  <c r="AV49" i="1"/>
  <c r="AV48" i="1"/>
  <c r="AV47" i="1"/>
  <c r="AV46" i="1"/>
  <c r="AP54" i="1"/>
  <c r="AP53" i="1"/>
  <c r="AP52" i="1"/>
  <c r="AP51" i="1"/>
  <c r="AP50" i="1"/>
  <c r="AP49" i="1"/>
  <c r="AP48" i="1"/>
  <c r="AP47" i="1"/>
  <c r="AP46" i="1"/>
  <c r="AJ54" i="1"/>
  <c r="AJ53" i="1"/>
  <c r="AJ52" i="1"/>
  <c r="AJ51" i="1"/>
  <c r="AJ50" i="1"/>
  <c r="AJ49" i="1"/>
  <c r="AJ48" i="1"/>
  <c r="AJ47" i="1"/>
  <c r="AJ46" i="1"/>
  <c r="AD54" i="1"/>
  <c r="AD53" i="1"/>
  <c r="AD52" i="1"/>
  <c r="AD51" i="1"/>
  <c r="AD50" i="1"/>
  <c r="AD49" i="1"/>
  <c r="AD48" i="1"/>
  <c r="AD47" i="1"/>
  <c r="AD46" i="1"/>
  <c r="X54" i="1"/>
  <c r="X53" i="1"/>
  <c r="X52" i="1"/>
  <c r="X51" i="1"/>
  <c r="X50" i="1"/>
  <c r="X49" i="1"/>
  <c r="X48" i="1"/>
  <c r="X47" i="1"/>
  <c r="X46" i="1"/>
  <c r="R54" i="1"/>
  <c r="R53" i="1"/>
  <c r="R52" i="1"/>
  <c r="R51" i="1"/>
  <c r="R50" i="1"/>
  <c r="R49" i="1"/>
  <c r="R48" i="1"/>
  <c r="R47" i="1"/>
  <c r="R46" i="1"/>
  <c r="N54" i="1"/>
  <c r="N53" i="1"/>
  <c r="N52" i="1"/>
  <c r="N51" i="1"/>
  <c r="N50" i="1"/>
  <c r="N49" i="1"/>
  <c r="N48" i="1"/>
  <c r="N47" i="1"/>
  <c r="N46" i="1"/>
  <c r="K54" i="1"/>
  <c r="K53" i="1"/>
  <c r="K52" i="1"/>
  <c r="K51" i="1"/>
  <c r="K50" i="1"/>
  <c r="K49" i="1"/>
  <c r="K48" i="1"/>
  <c r="K47" i="1"/>
  <c r="K46" i="1"/>
  <c r="H54" i="1"/>
  <c r="H53" i="1"/>
  <c r="H52" i="1"/>
  <c r="H51" i="1"/>
  <c r="H50" i="1"/>
  <c r="H49" i="1"/>
  <c r="H48" i="1"/>
  <c r="H47" i="1"/>
  <c r="H46" i="1"/>
  <c r="E54" i="1"/>
  <c r="E53" i="1"/>
  <c r="E52" i="1"/>
  <c r="E51" i="1"/>
  <c r="E50" i="1"/>
  <c r="E49" i="1"/>
  <c r="E48" i="1"/>
  <c r="E47" i="1"/>
  <c r="E46" i="1"/>
  <c r="B54" i="1"/>
  <c r="B53" i="1"/>
  <c r="B52" i="1"/>
  <c r="B51" i="1"/>
  <c r="B50" i="1"/>
  <c r="B49" i="1"/>
  <c r="B48" i="1"/>
  <c r="B47" i="1"/>
  <c r="B46" i="1"/>
  <c r="AT93" i="81"/>
  <c r="AE93" i="81"/>
  <c r="P93" i="81"/>
  <c r="A93" i="81"/>
  <c r="AT33" i="81"/>
  <c r="AT74" i="81"/>
  <c r="AT56" i="81"/>
  <c r="AE74" i="81"/>
  <c r="P74" i="81"/>
  <c r="A74" i="81"/>
  <c r="AE56" i="81"/>
  <c r="P56" i="81"/>
  <c r="A56" i="81"/>
  <c r="AE33" i="81"/>
  <c r="A33" i="81"/>
  <c r="P33" i="81"/>
  <c r="A88" i="81"/>
  <c r="A75" i="81"/>
  <c r="A68" i="81"/>
  <c r="A26" i="35"/>
  <c r="A50" i="81" s="1"/>
  <c r="A24" i="35"/>
  <c r="A45" i="81" s="1"/>
  <c r="A22" i="35"/>
  <c r="A40" i="81" s="1"/>
  <c r="A20" i="35"/>
  <c r="A35" i="81"/>
  <c r="A22" i="81"/>
  <c r="A12" i="81"/>
  <c r="AV7" i="1"/>
  <c r="AW7" i="1" s="1"/>
  <c r="AJ16" i="1"/>
  <c r="AK16" i="1" s="1"/>
  <c r="AJ17" i="1"/>
  <c r="AK17" i="1" s="1"/>
  <c r="AJ18" i="1"/>
  <c r="AK18" i="1"/>
  <c r="AD16" i="1"/>
  <c r="AE16" i="1"/>
  <c r="AD17" i="1"/>
  <c r="AD18" i="1"/>
  <c r="AE18" i="1" s="1"/>
  <c r="AJ15" i="1"/>
  <c r="AD15" i="1"/>
  <c r="AE15" i="1"/>
  <c r="AD8" i="1"/>
  <c r="AD9" i="1"/>
  <c r="AD10" i="1"/>
  <c r="AD7" i="1"/>
  <c r="AE7" i="1" s="1"/>
  <c r="AD11" i="1"/>
  <c r="AE11" i="1" s="1"/>
  <c r="AJ8" i="1"/>
  <c r="AK8" i="1" s="1"/>
  <c r="AJ9" i="1"/>
  <c r="AJ10" i="1"/>
  <c r="AK10" i="1" s="1"/>
  <c r="AJ11" i="1"/>
  <c r="AK11" i="1"/>
  <c r="AJ7" i="1"/>
  <c r="AK7" i="1" s="1"/>
  <c r="BI19" i="1"/>
  <c r="BF19" i="1"/>
  <c r="BC19" i="1"/>
  <c r="F19" i="1"/>
  <c r="C19" i="1"/>
  <c r="AE17" i="1"/>
  <c r="AE8" i="1"/>
  <c r="AE10" i="1"/>
  <c r="AE9" i="1"/>
  <c r="BH29" i="1"/>
  <c r="BH30" i="1"/>
  <c r="BH31" i="1"/>
  <c r="BE29" i="1"/>
  <c r="BE30" i="1"/>
  <c r="BE31" i="1"/>
  <c r="BE28" i="1"/>
  <c r="BF28" i="1"/>
  <c r="BB29" i="1"/>
  <c r="BB30" i="1"/>
  <c r="BB31" i="1"/>
  <c r="BB28" i="1"/>
  <c r="BC28" i="1" s="1"/>
  <c r="H29" i="1"/>
  <c r="I29" i="1" s="1"/>
  <c r="H30" i="1"/>
  <c r="I30" i="1" s="1"/>
  <c r="H31" i="1"/>
  <c r="I31" i="1" s="1"/>
  <c r="H28" i="1"/>
  <c r="I28" i="1" s="1"/>
  <c r="E29" i="1"/>
  <c r="E32" i="1" s="1"/>
  <c r="E30" i="1"/>
  <c r="E31" i="1"/>
  <c r="E28" i="1"/>
  <c r="F28" i="1"/>
  <c r="F32" i="1" s="1"/>
  <c r="BH23" i="1"/>
  <c r="BI23" i="1"/>
  <c r="BH24" i="1"/>
  <c r="BI24" i="1"/>
  <c r="BH22" i="1"/>
  <c r="BH25" i="1" s="1"/>
  <c r="BI22" i="1"/>
  <c r="BE23" i="1"/>
  <c r="BF23" i="1" s="1"/>
  <c r="BE24" i="1"/>
  <c r="BF24" i="1"/>
  <c r="BF22" i="1"/>
  <c r="BB23" i="1"/>
  <c r="BC23" i="1"/>
  <c r="BB24" i="1"/>
  <c r="BC24" i="1" s="1"/>
  <c r="BB22" i="1"/>
  <c r="BC22" i="1"/>
  <c r="H23" i="1"/>
  <c r="I23" i="1" s="1"/>
  <c r="H22" i="1"/>
  <c r="H24" i="1"/>
  <c r="I24" i="1"/>
  <c r="E23" i="1"/>
  <c r="F23" i="1" s="1"/>
  <c r="E24" i="1"/>
  <c r="F24" i="1" s="1"/>
  <c r="BH16" i="1"/>
  <c r="BH17" i="1"/>
  <c r="BH18" i="1"/>
  <c r="BH19" i="1" s="1"/>
  <c r="BH15" i="1"/>
  <c r="BE16" i="1"/>
  <c r="BE19" i="1" s="1"/>
  <c r="BE17" i="1"/>
  <c r="BE18" i="1"/>
  <c r="BE15" i="1"/>
  <c r="BB16" i="1"/>
  <c r="BB17" i="1"/>
  <c r="BB18" i="1"/>
  <c r="BB15" i="1"/>
  <c r="X16" i="1"/>
  <c r="Y16" i="1" s="1"/>
  <c r="X18" i="1"/>
  <c r="Y18" i="1"/>
  <c r="X15" i="1"/>
  <c r="Y15" i="1"/>
  <c r="K16" i="1"/>
  <c r="K18" i="1"/>
  <c r="H16" i="1"/>
  <c r="H17" i="1"/>
  <c r="I17" i="1"/>
  <c r="H18" i="1"/>
  <c r="H15" i="1"/>
  <c r="I15" i="1" s="1"/>
  <c r="E16" i="1"/>
  <c r="E17" i="1"/>
  <c r="E18" i="1"/>
  <c r="E15" i="1"/>
  <c r="BH8" i="1"/>
  <c r="BI8" i="1" s="1"/>
  <c r="BH9" i="1"/>
  <c r="BI9" i="1" s="1"/>
  <c r="BH10" i="1"/>
  <c r="BI10" i="1" s="1"/>
  <c r="BH11" i="1"/>
  <c r="BI11" i="1" s="1"/>
  <c r="BE8" i="1"/>
  <c r="BF8" i="1" s="1"/>
  <c r="BE9" i="1"/>
  <c r="BF9" i="1" s="1"/>
  <c r="BE10" i="1"/>
  <c r="BF10" i="1" s="1"/>
  <c r="BE11" i="1"/>
  <c r="BF11" i="1" s="1"/>
  <c r="BE7" i="1"/>
  <c r="BF7" i="1" s="1"/>
  <c r="BB8" i="1"/>
  <c r="BC8" i="1" s="1"/>
  <c r="BB9" i="1"/>
  <c r="BC9" i="1"/>
  <c r="BB10" i="1"/>
  <c r="BC10" i="1" s="1"/>
  <c r="BB11" i="1"/>
  <c r="BB7" i="1"/>
  <c r="BC7" i="1"/>
  <c r="AP7" i="1"/>
  <c r="AQ7" i="1"/>
  <c r="X8" i="1"/>
  <c r="Y8" i="1" s="1"/>
  <c r="X9" i="1"/>
  <c r="X10" i="1"/>
  <c r="X11" i="1"/>
  <c r="Y11" i="1" s="1"/>
  <c r="X7" i="1"/>
  <c r="X12" i="1"/>
  <c r="Y7" i="1"/>
  <c r="H11" i="1"/>
  <c r="I11" i="1" s="1"/>
  <c r="F10" i="1"/>
  <c r="F9" i="1"/>
  <c r="F8" i="1"/>
  <c r="F7" i="1"/>
  <c r="C11" i="1"/>
  <c r="C8" i="1"/>
  <c r="Y17" i="1"/>
  <c r="Y10" i="1"/>
  <c r="Y9" i="1"/>
  <c r="X25" i="1"/>
  <c r="AD12" i="1"/>
  <c r="BH12" i="1"/>
  <c r="E19" i="1"/>
  <c r="X19" i="1"/>
  <c r="BB32" i="1"/>
  <c r="BE32" i="1"/>
  <c r="A5" i="36"/>
  <c r="A10" i="35" s="1"/>
  <c r="AE18" i="80"/>
  <c r="AE19" i="80"/>
  <c r="AE20" i="80"/>
  <c r="AE21" i="80"/>
  <c r="AE22" i="80"/>
  <c r="AE23" i="80"/>
  <c r="AE24" i="80"/>
  <c r="AE25" i="80"/>
  <c r="AE26" i="80"/>
  <c r="AE27" i="80"/>
  <c r="AE28" i="80"/>
  <c r="AE29" i="80"/>
  <c r="AE30" i="80"/>
  <c r="AE31" i="80"/>
  <c r="AE32" i="80"/>
  <c r="AE33" i="80"/>
  <c r="AE34" i="80"/>
  <c r="AE35" i="80"/>
  <c r="AE36" i="80"/>
  <c r="AE37" i="80"/>
  <c r="AE38" i="80"/>
  <c r="AE39" i="80"/>
  <c r="AE40" i="80"/>
  <c r="AE41" i="80"/>
  <c r="AE42" i="80"/>
  <c r="AE43" i="80"/>
  <c r="AE44" i="80"/>
  <c r="AE45" i="80"/>
  <c r="AE46" i="80"/>
  <c r="AE47" i="80"/>
  <c r="AE48" i="80"/>
  <c r="AE49" i="80"/>
  <c r="AE50" i="80"/>
  <c r="AC18" i="80"/>
  <c r="AC19" i="80"/>
  <c r="AC20" i="80"/>
  <c r="AC21" i="80"/>
  <c r="AC22" i="80"/>
  <c r="AC23" i="80"/>
  <c r="AC24" i="80"/>
  <c r="AC25" i="80"/>
  <c r="AC26" i="80"/>
  <c r="AC27" i="80"/>
  <c r="AC28" i="80"/>
  <c r="AC29" i="80"/>
  <c r="AC30" i="80"/>
  <c r="AC31" i="80"/>
  <c r="AC32" i="80"/>
  <c r="AC33" i="80"/>
  <c r="AC34" i="80"/>
  <c r="AC35" i="80"/>
  <c r="AC36" i="80"/>
  <c r="AC37" i="80"/>
  <c r="AC38" i="80"/>
  <c r="AC39" i="80"/>
  <c r="AC40" i="80"/>
  <c r="AC41" i="80"/>
  <c r="AC42" i="80"/>
  <c r="AC43" i="80"/>
  <c r="AC44" i="80"/>
  <c r="AC45" i="80"/>
  <c r="AC46" i="80"/>
  <c r="AC47" i="80"/>
  <c r="AC48" i="80"/>
  <c r="AC49" i="80"/>
  <c r="AC50" i="80"/>
  <c r="AE17" i="80"/>
  <c r="AE16" i="80"/>
  <c r="AE15" i="80"/>
  <c r="AE14" i="80"/>
  <c r="AE13" i="80"/>
  <c r="AE12" i="80"/>
  <c r="AC17" i="80"/>
  <c r="AC16" i="80"/>
  <c r="AC15" i="80"/>
  <c r="AC14" i="80"/>
  <c r="AC13" i="80"/>
  <c r="AC12" i="80"/>
  <c r="AE10" i="80"/>
  <c r="AE9" i="80"/>
  <c r="AE8" i="80"/>
  <c r="AE7" i="80"/>
  <c r="AE6" i="80"/>
  <c r="AE5" i="80"/>
  <c r="AC6" i="80"/>
  <c r="AC7" i="80"/>
  <c r="AC8" i="80"/>
  <c r="AC9" i="80"/>
  <c r="AC10" i="80"/>
  <c r="AC5" i="80"/>
  <c r="AA50" i="80"/>
  <c r="AA49" i="80"/>
  <c r="AA48" i="80"/>
  <c r="AA47" i="80"/>
  <c r="AA46" i="80"/>
  <c r="AA45" i="80"/>
  <c r="AA44" i="80"/>
  <c r="AA43" i="80"/>
  <c r="AA42" i="80"/>
  <c r="AA41" i="80"/>
  <c r="AA40" i="80"/>
  <c r="AA39" i="80"/>
  <c r="AA38" i="80"/>
  <c r="AA37" i="80"/>
  <c r="AA36" i="80"/>
  <c r="AA35" i="80"/>
  <c r="AA34" i="80"/>
  <c r="AA33" i="80"/>
  <c r="AA32" i="80"/>
  <c r="AA31" i="80"/>
  <c r="AA30" i="80"/>
  <c r="AA29" i="80"/>
  <c r="AA28" i="80"/>
  <c r="AA27" i="80"/>
  <c r="AA26" i="80"/>
  <c r="AA25" i="80"/>
  <c r="AA24" i="80"/>
  <c r="AA23" i="80"/>
  <c r="AA22" i="80"/>
  <c r="AA21" i="80"/>
  <c r="AA20" i="80"/>
  <c r="AA19" i="80"/>
  <c r="AA18" i="80"/>
  <c r="AA17" i="80"/>
  <c r="AA16" i="80"/>
  <c r="AA15" i="80"/>
  <c r="AA14" i="80"/>
  <c r="AA13" i="80"/>
  <c r="AA12" i="80"/>
  <c r="AA10" i="80"/>
  <c r="AA9" i="80"/>
  <c r="AA8" i="80"/>
  <c r="AA7" i="80"/>
  <c r="AA6" i="80"/>
  <c r="AA5" i="80"/>
  <c r="Y13" i="80"/>
  <c r="Y14" i="80"/>
  <c r="Y15" i="80"/>
  <c r="Y16" i="80"/>
  <c r="Y17" i="80"/>
  <c r="Y18" i="80"/>
  <c r="Y19" i="80"/>
  <c r="Y20" i="80"/>
  <c r="Y21" i="80"/>
  <c r="Y22" i="80"/>
  <c r="Y23" i="80"/>
  <c r="Y24" i="80"/>
  <c r="Y25" i="80"/>
  <c r="Y26" i="80"/>
  <c r="Y27" i="80"/>
  <c r="Y28" i="80"/>
  <c r="Y29" i="80"/>
  <c r="Y30" i="80"/>
  <c r="Y31" i="80"/>
  <c r="Y32" i="80"/>
  <c r="Y33" i="80"/>
  <c r="Y34" i="80"/>
  <c r="Y35" i="80"/>
  <c r="Y36" i="80"/>
  <c r="Y37" i="80"/>
  <c r="Y38" i="80"/>
  <c r="Y39" i="80"/>
  <c r="Y40" i="80"/>
  <c r="Y41" i="80"/>
  <c r="Y42" i="80"/>
  <c r="Y43" i="80"/>
  <c r="Y44" i="80"/>
  <c r="Y45" i="80"/>
  <c r="Y46" i="80"/>
  <c r="Y47" i="80"/>
  <c r="Y48" i="80"/>
  <c r="Y49" i="80"/>
  <c r="Y50" i="80"/>
  <c r="Y12" i="80"/>
  <c r="Y6" i="80"/>
  <c r="Y7" i="80"/>
  <c r="Y8" i="80"/>
  <c r="Y9" i="80"/>
  <c r="Y10" i="80"/>
  <c r="Y5" i="80"/>
  <c r="S13" i="80"/>
  <c r="S14" i="80"/>
  <c r="S15" i="80"/>
  <c r="S16" i="80"/>
  <c r="S17" i="80"/>
  <c r="S18" i="80"/>
  <c r="S19" i="80"/>
  <c r="S20" i="80"/>
  <c r="S21" i="80"/>
  <c r="S22" i="80"/>
  <c r="S23" i="80"/>
  <c r="S24" i="80"/>
  <c r="S25" i="80"/>
  <c r="S26" i="80"/>
  <c r="S27" i="80"/>
  <c r="S28" i="80"/>
  <c r="S29" i="80"/>
  <c r="S30" i="80"/>
  <c r="S31" i="80"/>
  <c r="S32" i="80"/>
  <c r="S33" i="80"/>
  <c r="S34" i="80"/>
  <c r="S35" i="80"/>
  <c r="S36" i="80"/>
  <c r="S37" i="80"/>
  <c r="S38" i="80"/>
  <c r="S39" i="80"/>
  <c r="S40" i="80"/>
  <c r="S41" i="80"/>
  <c r="S42" i="80"/>
  <c r="S43" i="80"/>
  <c r="S44" i="80"/>
  <c r="S45" i="80"/>
  <c r="S46" i="80"/>
  <c r="S47" i="80"/>
  <c r="S48" i="80"/>
  <c r="S49" i="80"/>
  <c r="S50" i="80"/>
  <c r="S12" i="80"/>
  <c r="S6" i="80"/>
  <c r="S7" i="80"/>
  <c r="S8" i="80"/>
  <c r="S9" i="80"/>
  <c r="S10" i="80"/>
  <c r="S5" i="80"/>
  <c r="R5" i="80"/>
  <c r="K50" i="80"/>
  <c r="K49" i="80"/>
  <c r="K48" i="80"/>
  <c r="K47" i="80"/>
  <c r="K46" i="80"/>
  <c r="K45" i="80"/>
  <c r="K44" i="80"/>
  <c r="K43" i="80"/>
  <c r="K42" i="80"/>
  <c r="K41" i="80"/>
  <c r="K40" i="80"/>
  <c r="K39" i="80"/>
  <c r="K38" i="80"/>
  <c r="K37" i="80"/>
  <c r="K36" i="80"/>
  <c r="K35" i="80"/>
  <c r="K34" i="80"/>
  <c r="K33" i="80"/>
  <c r="K32" i="80"/>
  <c r="K31" i="80"/>
  <c r="K30" i="80"/>
  <c r="K29" i="80"/>
  <c r="K28" i="80"/>
  <c r="K27" i="80"/>
  <c r="K26" i="80"/>
  <c r="K25" i="80"/>
  <c r="K24" i="80"/>
  <c r="K23" i="80"/>
  <c r="K22" i="80"/>
  <c r="K21" i="80"/>
  <c r="K20" i="80"/>
  <c r="K19" i="80"/>
  <c r="K18" i="80"/>
  <c r="K17" i="80"/>
  <c r="K16" i="80"/>
  <c r="K15" i="80"/>
  <c r="K14" i="80"/>
  <c r="K13" i="80"/>
  <c r="K12" i="80"/>
  <c r="K10" i="80"/>
  <c r="K9" i="80"/>
  <c r="K8" i="80"/>
  <c r="K7" i="80"/>
  <c r="K6" i="80"/>
  <c r="K5" i="80"/>
  <c r="I50" i="80"/>
  <c r="I49" i="80"/>
  <c r="I48" i="80"/>
  <c r="I47" i="80"/>
  <c r="I46" i="80"/>
  <c r="I45" i="80"/>
  <c r="I44" i="80"/>
  <c r="I43" i="80"/>
  <c r="I42" i="80"/>
  <c r="I41" i="80"/>
  <c r="I40" i="80"/>
  <c r="I39" i="80"/>
  <c r="I38" i="80"/>
  <c r="I37" i="80"/>
  <c r="I36" i="80"/>
  <c r="I35" i="80"/>
  <c r="I34" i="80"/>
  <c r="I33" i="80"/>
  <c r="I32" i="80"/>
  <c r="I31" i="80"/>
  <c r="I30" i="80"/>
  <c r="I29" i="80"/>
  <c r="I28" i="80"/>
  <c r="I27" i="80"/>
  <c r="I26" i="80"/>
  <c r="I25" i="80"/>
  <c r="I24" i="80"/>
  <c r="I23" i="80"/>
  <c r="I22" i="80"/>
  <c r="I21" i="80"/>
  <c r="I20" i="80"/>
  <c r="I19" i="80"/>
  <c r="I18" i="80"/>
  <c r="I17" i="80"/>
  <c r="I16" i="80"/>
  <c r="I15" i="80"/>
  <c r="I14" i="80"/>
  <c r="I13" i="80"/>
  <c r="I12" i="80"/>
  <c r="I10" i="80"/>
  <c r="I9" i="80"/>
  <c r="I8" i="80"/>
  <c r="I7" i="80"/>
  <c r="I6" i="80"/>
  <c r="I5" i="80"/>
  <c r="G13" i="80"/>
  <c r="G14" i="80"/>
  <c r="G15" i="80"/>
  <c r="G16" i="80"/>
  <c r="G17" i="80"/>
  <c r="G18" i="80"/>
  <c r="G19" i="80"/>
  <c r="G20" i="80"/>
  <c r="G21" i="80"/>
  <c r="G22" i="80"/>
  <c r="G23" i="80"/>
  <c r="G24" i="80"/>
  <c r="G25" i="80"/>
  <c r="G26" i="80"/>
  <c r="G27" i="80"/>
  <c r="G28" i="80"/>
  <c r="G29" i="80"/>
  <c r="G30" i="80"/>
  <c r="G31" i="80"/>
  <c r="G32" i="80"/>
  <c r="G33" i="80"/>
  <c r="G34" i="80"/>
  <c r="G35" i="80"/>
  <c r="G36" i="80"/>
  <c r="G37" i="80"/>
  <c r="G38" i="80"/>
  <c r="G39" i="80"/>
  <c r="G40" i="80"/>
  <c r="G41" i="80"/>
  <c r="G42" i="80"/>
  <c r="G43" i="80"/>
  <c r="G44" i="80"/>
  <c r="G45" i="80"/>
  <c r="G46" i="80"/>
  <c r="G47" i="80"/>
  <c r="G48" i="80"/>
  <c r="G49" i="80"/>
  <c r="G50" i="80"/>
  <c r="G12" i="80"/>
  <c r="G6" i="80"/>
  <c r="G7" i="80"/>
  <c r="G8" i="80"/>
  <c r="G9" i="80"/>
  <c r="G10" i="80"/>
  <c r="G5" i="80"/>
  <c r="C76" i="74"/>
  <c r="C85" i="75"/>
  <c r="C79" i="77"/>
  <c r="C82" i="78"/>
  <c r="AI50" i="80"/>
  <c r="AI49" i="80"/>
  <c r="AI48" i="80"/>
  <c r="AI47" i="80"/>
  <c r="AI46" i="80"/>
  <c r="AI45" i="80"/>
  <c r="AI44" i="80"/>
  <c r="AI43" i="80"/>
  <c r="AI42" i="80"/>
  <c r="AI41" i="80"/>
  <c r="AI40" i="80"/>
  <c r="AI39" i="80"/>
  <c r="AI38" i="80"/>
  <c r="AI37" i="80"/>
  <c r="AI36" i="80"/>
  <c r="AI35" i="80"/>
  <c r="AI34" i="80"/>
  <c r="AI33" i="80"/>
  <c r="AI32" i="80"/>
  <c r="AI31" i="80"/>
  <c r="AI30" i="80"/>
  <c r="AI29" i="80"/>
  <c r="AI28" i="80"/>
  <c r="AI27" i="80"/>
  <c r="AI26" i="80"/>
  <c r="AI25" i="80"/>
  <c r="AI10" i="80"/>
  <c r="AI9" i="80"/>
  <c r="AI8" i="80"/>
  <c r="AI7" i="80"/>
  <c r="AG50" i="80"/>
  <c r="AG49" i="80"/>
  <c r="AG48" i="80"/>
  <c r="AG47" i="80"/>
  <c r="AG46" i="80"/>
  <c r="AG45" i="80"/>
  <c r="AG44" i="80"/>
  <c r="AG43" i="80"/>
  <c r="AG42" i="80"/>
  <c r="AG41" i="80"/>
  <c r="AG40" i="80"/>
  <c r="AG39" i="80"/>
  <c r="AG38" i="80"/>
  <c r="AG37" i="80"/>
  <c r="AG36" i="80"/>
  <c r="AG35" i="80"/>
  <c r="AG34" i="80"/>
  <c r="AG33" i="80"/>
  <c r="AG32" i="80"/>
  <c r="AG31" i="80"/>
  <c r="AG30" i="80"/>
  <c r="AG29" i="80"/>
  <c r="AG28" i="80"/>
  <c r="AG27" i="80"/>
  <c r="AG26" i="80"/>
  <c r="AG25" i="80"/>
  <c r="AG10" i="80"/>
  <c r="AG9" i="80"/>
  <c r="AG8" i="80"/>
  <c r="AG7" i="80"/>
  <c r="AG6" i="80"/>
  <c r="W37" i="80"/>
  <c r="W36" i="80"/>
  <c r="W35" i="80"/>
  <c r="W34" i="80"/>
  <c r="W33" i="80"/>
  <c r="W32" i="80"/>
  <c r="W31" i="80"/>
  <c r="W30" i="80"/>
  <c r="W29" i="80"/>
  <c r="W28" i="80"/>
  <c r="W27" i="80"/>
  <c r="W26" i="80"/>
  <c r="W25" i="80"/>
  <c r="W24" i="80"/>
  <c r="W23" i="80"/>
  <c r="W22" i="80"/>
  <c r="W21" i="80"/>
  <c r="W20" i="80"/>
  <c r="W19" i="80"/>
  <c r="W18" i="80"/>
  <c r="W17" i="80"/>
  <c r="W16" i="80"/>
  <c r="W15" i="80"/>
  <c r="W14" i="80"/>
  <c r="W13" i="80"/>
  <c r="W12" i="80"/>
  <c r="W8" i="80"/>
  <c r="W7" i="80"/>
  <c r="W6" i="80"/>
  <c r="W5" i="80"/>
  <c r="U50" i="80"/>
  <c r="U49" i="80"/>
  <c r="U48" i="80"/>
  <c r="U47" i="80"/>
  <c r="U46" i="80"/>
  <c r="U45" i="80"/>
  <c r="U44" i="80"/>
  <c r="U43" i="80"/>
  <c r="U42" i="80"/>
  <c r="U41" i="80"/>
  <c r="U40" i="80"/>
  <c r="U39" i="80"/>
  <c r="U38" i="80"/>
  <c r="U16" i="80"/>
  <c r="U15" i="80"/>
  <c r="U10" i="80"/>
  <c r="U9" i="80"/>
  <c r="U5"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17" i="80"/>
  <c r="Q13" i="80"/>
  <c r="Q10" i="80"/>
  <c r="Q9" i="80"/>
  <c r="Q8" i="80"/>
  <c r="Q7" i="80"/>
  <c r="Q6" i="80"/>
  <c r="Q5" i="80"/>
  <c r="O50" i="80"/>
  <c r="O49" i="80"/>
  <c r="O48" i="80"/>
  <c r="O47" i="80"/>
  <c r="O46" i="80"/>
  <c r="O45" i="80"/>
  <c r="O44" i="80"/>
  <c r="O43" i="80"/>
  <c r="O42" i="80"/>
  <c r="O41" i="80"/>
  <c r="O40" i="80"/>
  <c r="O39" i="80"/>
  <c r="O38" i="80"/>
  <c r="O24" i="80"/>
  <c r="O23" i="80"/>
  <c r="O22" i="80"/>
  <c r="O21" i="80"/>
  <c r="O20" i="80"/>
  <c r="O19" i="80"/>
  <c r="O18" i="80"/>
  <c r="O17" i="80"/>
  <c r="O16" i="80"/>
  <c r="O15" i="80"/>
  <c r="O14" i="80"/>
  <c r="O13" i="80"/>
  <c r="O12" i="80"/>
  <c r="O10" i="80"/>
  <c r="O9" i="80"/>
  <c r="O6" i="80"/>
  <c r="O5" i="80"/>
  <c r="M50" i="80"/>
  <c r="M49" i="80"/>
  <c r="M48" i="80"/>
  <c r="M47" i="80"/>
  <c r="M46" i="80"/>
  <c r="M45" i="80"/>
  <c r="M44" i="80"/>
  <c r="M43" i="80"/>
  <c r="M42" i="80"/>
  <c r="M41" i="80"/>
  <c r="M40" i="80"/>
  <c r="M39" i="80"/>
  <c r="M38" i="80"/>
  <c r="M10" i="80"/>
  <c r="M9" i="80"/>
  <c r="E50" i="80"/>
  <c r="E49" i="80"/>
  <c r="E48" i="80"/>
  <c r="E47" i="80"/>
  <c r="E46" i="80"/>
  <c r="E45" i="80"/>
  <c r="E44" i="80"/>
  <c r="E43" i="80"/>
  <c r="E42" i="80"/>
  <c r="E41" i="80"/>
  <c r="E40" i="80"/>
  <c r="E39" i="80"/>
  <c r="E38" i="80"/>
  <c r="E24" i="80"/>
  <c r="E23" i="80"/>
  <c r="E22" i="80"/>
  <c r="E21" i="80"/>
  <c r="E20" i="80"/>
  <c r="E19" i="80"/>
  <c r="E18" i="80"/>
  <c r="E17" i="80"/>
  <c r="E16" i="80"/>
  <c r="E15" i="80"/>
  <c r="E14" i="80"/>
  <c r="E13" i="80"/>
  <c r="E12" i="80"/>
  <c r="E10" i="80"/>
  <c r="E9" i="80"/>
  <c r="E6" i="80"/>
  <c r="AD50" i="80"/>
  <c r="AD49" i="80"/>
  <c r="AD48" i="80"/>
  <c r="AD47" i="80"/>
  <c r="AD46" i="80"/>
  <c r="AD45" i="80"/>
  <c r="AD44" i="80"/>
  <c r="AD43" i="80"/>
  <c r="AD42" i="80"/>
  <c r="AD41" i="80"/>
  <c r="AD40" i="80"/>
  <c r="AD39" i="80"/>
  <c r="AD38" i="80"/>
  <c r="AD37" i="80"/>
  <c r="AD36" i="80"/>
  <c r="AD35" i="80"/>
  <c r="AD34" i="80"/>
  <c r="AD33" i="80"/>
  <c r="AD32" i="80"/>
  <c r="AD31" i="80"/>
  <c r="AD30" i="80"/>
  <c r="AD29" i="80"/>
  <c r="AD28" i="80"/>
  <c r="AD27" i="80"/>
  <c r="AD26" i="80"/>
  <c r="AD25" i="80"/>
  <c r="AD24" i="80"/>
  <c r="AD23" i="80"/>
  <c r="AD22" i="80"/>
  <c r="AD21" i="80"/>
  <c r="AD20" i="80"/>
  <c r="AD19" i="80"/>
  <c r="AD18" i="80"/>
  <c r="AD17" i="80"/>
  <c r="AD16" i="80"/>
  <c r="AD15" i="80"/>
  <c r="AD14" i="80"/>
  <c r="AD13" i="80"/>
  <c r="AD12" i="80"/>
  <c r="AD10" i="80"/>
  <c r="AD9" i="80"/>
  <c r="AD8" i="80"/>
  <c r="AD7" i="80"/>
  <c r="AD6" i="80"/>
  <c r="AD5" i="80"/>
  <c r="AD51" i="80" s="1"/>
  <c r="AB50" i="80"/>
  <c r="AB49" i="80"/>
  <c r="AB48" i="80"/>
  <c r="AB47" i="80"/>
  <c r="AB46" i="80"/>
  <c r="AB45" i="80"/>
  <c r="AB44" i="80"/>
  <c r="AB43" i="80"/>
  <c r="AB42" i="80"/>
  <c r="AB41" i="80"/>
  <c r="AB40" i="80"/>
  <c r="AB39" i="80"/>
  <c r="AB38" i="80"/>
  <c r="AB37" i="80"/>
  <c r="AB36" i="80"/>
  <c r="AB35" i="80"/>
  <c r="AB34" i="80"/>
  <c r="AB33" i="80"/>
  <c r="AB32" i="80"/>
  <c r="AB31" i="80"/>
  <c r="AB30" i="80"/>
  <c r="AB29" i="80"/>
  <c r="AB28" i="80"/>
  <c r="AB27" i="80"/>
  <c r="AB26" i="80"/>
  <c r="AB25" i="80"/>
  <c r="AB24" i="80"/>
  <c r="AB23" i="80"/>
  <c r="AB22" i="80"/>
  <c r="AB21" i="80"/>
  <c r="AB20" i="80"/>
  <c r="AB19" i="80"/>
  <c r="AB18" i="80"/>
  <c r="AB17" i="80"/>
  <c r="AB16" i="80"/>
  <c r="AB15" i="80"/>
  <c r="AB14" i="80"/>
  <c r="AB13" i="80"/>
  <c r="AB12" i="80"/>
  <c r="AB10" i="80"/>
  <c r="AB9" i="80"/>
  <c r="AB8" i="80"/>
  <c r="AB7" i="80"/>
  <c r="AB6" i="80"/>
  <c r="AB51" i="80" s="1"/>
  <c r="AB5" i="80"/>
  <c r="Z50" i="80"/>
  <c r="Z49" i="80"/>
  <c r="Z48" i="80"/>
  <c r="Z47" i="80"/>
  <c r="Z46" i="80"/>
  <c r="Z45" i="80"/>
  <c r="Z44" i="80"/>
  <c r="Z43" i="80"/>
  <c r="Z42" i="80"/>
  <c r="Z41" i="80"/>
  <c r="Z40" i="80"/>
  <c r="Z39" i="80"/>
  <c r="Z38" i="80"/>
  <c r="Z37" i="80"/>
  <c r="Z36" i="80"/>
  <c r="Z35" i="80"/>
  <c r="Z34" i="80"/>
  <c r="Z33" i="80"/>
  <c r="Z32" i="80"/>
  <c r="Z31" i="80"/>
  <c r="Z30" i="80"/>
  <c r="Z29" i="80"/>
  <c r="Z28" i="80"/>
  <c r="Z27" i="80"/>
  <c r="Z26" i="80"/>
  <c r="Z25" i="80"/>
  <c r="Z24" i="80"/>
  <c r="Z23" i="80"/>
  <c r="Z22" i="80"/>
  <c r="Z21" i="80"/>
  <c r="Z20" i="80"/>
  <c r="Z19" i="80"/>
  <c r="Z18" i="80"/>
  <c r="Z17" i="80"/>
  <c r="Z16" i="80"/>
  <c r="Z15" i="80"/>
  <c r="Z14" i="80"/>
  <c r="Z13" i="80"/>
  <c r="Z12" i="80"/>
  <c r="Z10" i="80"/>
  <c r="Z9" i="80"/>
  <c r="Z8" i="80"/>
  <c r="Z7" i="80"/>
  <c r="Z6" i="80"/>
  <c r="Z5" i="80"/>
  <c r="Z51" i="80" s="1"/>
  <c r="X50" i="80"/>
  <c r="X49" i="80"/>
  <c r="X48" i="80"/>
  <c r="X47" i="80"/>
  <c r="X46" i="80"/>
  <c r="X45" i="80"/>
  <c r="X44" i="80"/>
  <c r="X43" i="80"/>
  <c r="X42" i="80"/>
  <c r="X41" i="80"/>
  <c r="X40" i="80"/>
  <c r="X39" i="80"/>
  <c r="X38" i="80"/>
  <c r="X37" i="80"/>
  <c r="X36" i="80"/>
  <c r="X35" i="80"/>
  <c r="X34" i="80"/>
  <c r="X33" i="80"/>
  <c r="X32" i="80"/>
  <c r="X31" i="80"/>
  <c r="X30" i="80"/>
  <c r="X29" i="80"/>
  <c r="X28" i="80"/>
  <c r="X27" i="80"/>
  <c r="X26" i="80"/>
  <c r="X25" i="80"/>
  <c r="X24" i="80"/>
  <c r="X23" i="80"/>
  <c r="X22" i="80"/>
  <c r="X21" i="80"/>
  <c r="X20" i="80"/>
  <c r="X19" i="80"/>
  <c r="X18" i="80"/>
  <c r="X17" i="80"/>
  <c r="X16" i="80"/>
  <c r="X15" i="80"/>
  <c r="X14" i="80"/>
  <c r="X13" i="80"/>
  <c r="X12" i="80"/>
  <c r="X10" i="80"/>
  <c r="X9" i="80"/>
  <c r="X8" i="80"/>
  <c r="X51" i="80" s="1"/>
  <c r="X7" i="80"/>
  <c r="X6" i="80"/>
  <c r="X5" i="80"/>
  <c r="R50" i="80"/>
  <c r="R49" i="80"/>
  <c r="R48" i="80"/>
  <c r="R47"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R12" i="80"/>
  <c r="R10" i="80"/>
  <c r="R9" i="80"/>
  <c r="R8" i="80"/>
  <c r="R7" i="80"/>
  <c r="R6" i="80"/>
  <c r="R51" i="80" s="1"/>
  <c r="J50" i="80"/>
  <c r="J49" i="80"/>
  <c r="J48" i="80"/>
  <c r="J47" i="80"/>
  <c r="J46" i="80"/>
  <c r="J45" i="80"/>
  <c r="J44" i="80"/>
  <c r="J43" i="80"/>
  <c r="J42" i="80"/>
  <c r="J41" i="80"/>
  <c r="J40" i="80"/>
  <c r="J39" i="80"/>
  <c r="J38" i="80"/>
  <c r="J37" i="80"/>
  <c r="J36" i="80"/>
  <c r="J35" i="80"/>
  <c r="J34" i="80"/>
  <c r="J33" i="80"/>
  <c r="J32" i="80"/>
  <c r="J31" i="80"/>
  <c r="J30" i="80"/>
  <c r="J29" i="80"/>
  <c r="J28" i="80"/>
  <c r="J27" i="80"/>
  <c r="J26" i="80"/>
  <c r="J25" i="80"/>
  <c r="J24" i="80"/>
  <c r="J23" i="80"/>
  <c r="J22" i="80"/>
  <c r="J21" i="80"/>
  <c r="J20" i="80"/>
  <c r="J19" i="80"/>
  <c r="J18" i="80"/>
  <c r="J17" i="80"/>
  <c r="J16" i="80"/>
  <c r="J15" i="80"/>
  <c r="J14" i="80"/>
  <c r="J13" i="80"/>
  <c r="J12" i="80"/>
  <c r="J10" i="80"/>
  <c r="J9" i="80"/>
  <c r="J8" i="80"/>
  <c r="J7" i="80"/>
  <c r="J6" i="80"/>
  <c r="J5" i="80"/>
  <c r="H50" i="80"/>
  <c r="H49" i="80"/>
  <c r="H48" i="80"/>
  <c r="H47" i="80"/>
  <c r="H46" i="80"/>
  <c r="H45" i="80"/>
  <c r="H44" i="80"/>
  <c r="H43" i="80"/>
  <c r="H42" i="80"/>
  <c r="H41" i="80"/>
  <c r="H40" i="80"/>
  <c r="H39" i="80"/>
  <c r="H38" i="80"/>
  <c r="H37" i="80"/>
  <c r="H36" i="80"/>
  <c r="H35" i="80"/>
  <c r="H34" i="80"/>
  <c r="H33" i="80"/>
  <c r="H32" i="80"/>
  <c r="H31" i="80"/>
  <c r="H30" i="80"/>
  <c r="H29" i="80"/>
  <c r="H28" i="80"/>
  <c r="H27" i="80"/>
  <c r="H26" i="80"/>
  <c r="H25" i="80"/>
  <c r="H24" i="80"/>
  <c r="H23" i="80"/>
  <c r="H22" i="80"/>
  <c r="H21" i="80"/>
  <c r="H20" i="80"/>
  <c r="H19" i="80"/>
  <c r="H18" i="80"/>
  <c r="H17" i="80"/>
  <c r="H16" i="80"/>
  <c r="H15" i="80"/>
  <c r="H14" i="80"/>
  <c r="H13" i="80"/>
  <c r="H12" i="80"/>
  <c r="H10" i="80"/>
  <c r="H9" i="80"/>
  <c r="H8" i="80"/>
  <c r="H7" i="80"/>
  <c r="H6" i="80"/>
  <c r="H5" i="80"/>
  <c r="F50" i="80"/>
  <c r="F49" i="80"/>
  <c r="F48" i="80"/>
  <c r="F47" i="80"/>
  <c r="F46" i="80"/>
  <c r="F45" i="80"/>
  <c r="F44" i="80"/>
  <c r="F43" i="80"/>
  <c r="F42" i="80"/>
  <c r="F41" i="80"/>
  <c r="F40" i="80"/>
  <c r="F39" i="80"/>
  <c r="F38" i="80"/>
  <c r="F37" i="80"/>
  <c r="F36" i="80"/>
  <c r="F35" i="80"/>
  <c r="F34" i="80"/>
  <c r="F33" i="80"/>
  <c r="F32" i="80"/>
  <c r="F31" i="80"/>
  <c r="F30" i="80"/>
  <c r="F29" i="80"/>
  <c r="F28" i="80"/>
  <c r="F27" i="80"/>
  <c r="F26" i="80"/>
  <c r="F25" i="80"/>
  <c r="F24" i="80"/>
  <c r="F23" i="80"/>
  <c r="F22" i="80"/>
  <c r="F21" i="80"/>
  <c r="F20" i="80"/>
  <c r="F19" i="80"/>
  <c r="F18" i="80"/>
  <c r="F17" i="80"/>
  <c r="F16" i="80"/>
  <c r="F15" i="80"/>
  <c r="F14" i="80"/>
  <c r="F13" i="80"/>
  <c r="F52" i="80" s="1"/>
  <c r="F12" i="80"/>
  <c r="F10" i="80"/>
  <c r="F9" i="80"/>
  <c r="F8" i="80"/>
  <c r="F7" i="80"/>
  <c r="F51" i="80" s="1"/>
  <c r="F6" i="80"/>
  <c r="F5" i="80"/>
  <c r="AV10" i="1"/>
  <c r="AW10" i="1" s="1"/>
  <c r="R52" i="80"/>
  <c r="C101" i="79"/>
  <c r="AM30" i="68"/>
  <c r="AG7" i="78" s="1"/>
  <c r="AM31" i="68"/>
  <c r="AI7" i="78" s="1"/>
  <c r="AM29" i="68"/>
  <c r="M7" i="78" s="1"/>
  <c r="AN26" i="68"/>
  <c r="AN23" i="68"/>
  <c r="AN20" i="68"/>
  <c r="AN17" i="68"/>
  <c r="AN14" i="68"/>
  <c r="AN11" i="68"/>
  <c r="AM30" i="69"/>
  <c r="AG7" i="79" s="1"/>
  <c r="AM31" i="69"/>
  <c r="AI7" i="79" s="1"/>
  <c r="AM29" i="69"/>
  <c r="M7" i="79" s="1"/>
  <c r="AN14" i="69"/>
  <c r="AN17" i="69"/>
  <c r="AN20" i="69"/>
  <c r="AN23" i="69"/>
  <c r="AN26" i="69"/>
  <c r="AN11" i="69"/>
  <c r="K39" i="69"/>
  <c r="K29" i="69"/>
  <c r="K26" i="69"/>
  <c r="K23" i="69"/>
  <c r="K20" i="69"/>
  <c r="K17" i="69"/>
  <c r="K14" i="69"/>
  <c r="K11" i="69"/>
  <c r="K39" i="68"/>
  <c r="K14" i="68"/>
  <c r="K17" i="68"/>
  <c r="K20" i="68"/>
  <c r="K23" i="68"/>
  <c r="K26" i="68"/>
  <c r="K29" i="68"/>
  <c r="K11" i="68"/>
  <c r="M3" i="69"/>
  <c r="M3" i="68"/>
  <c r="M78" i="63"/>
  <c r="M81" i="63"/>
  <c r="V43" i="80"/>
  <c r="L78" i="63"/>
  <c r="K78" i="63"/>
  <c r="K81" i="63"/>
  <c r="V41" i="80"/>
  <c r="J78" i="63"/>
  <c r="J81" i="63"/>
  <c r="V40" i="80"/>
  <c r="I78" i="63"/>
  <c r="I81" i="63"/>
  <c r="V39" i="80" s="1"/>
  <c r="H78" i="63"/>
  <c r="M123" i="63"/>
  <c r="M126" i="63"/>
  <c r="V49" i="80" s="1"/>
  <c r="L123" i="63"/>
  <c r="K123" i="63"/>
  <c r="K126" i="63"/>
  <c r="V47" i="80"/>
  <c r="J123" i="63"/>
  <c r="I123" i="63"/>
  <c r="I126" i="63"/>
  <c r="V45" i="80" s="1"/>
  <c r="H123" i="63"/>
  <c r="H174" i="63"/>
  <c r="H177" i="63"/>
  <c r="V50" i="80"/>
  <c r="G177" i="63"/>
  <c r="L126" i="63"/>
  <c r="V48" i="80" s="1"/>
  <c r="J126" i="63"/>
  <c r="V46" i="80"/>
  <c r="H126" i="63"/>
  <c r="V44" i="80" s="1"/>
  <c r="G126" i="63"/>
  <c r="L81" i="63"/>
  <c r="V42" i="80" s="1"/>
  <c r="H81" i="63"/>
  <c r="V38" i="80" s="1"/>
  <c r="G81" i="63"/>
  <c r="BH81" i="66"/>
  <c r="AG17" i="76" s="1"/>
  <c r="BH82" i="66"/>
  <c r="AI17" i="76" s="1"/>
  <c r="AC44" i="69"/>
  <c r="AI6" i="79" s="1"/>
  <c r="AC43" i="69"/>
  <c r="AG6" i="79" s="1"/>
  <c r="AC42" i="69"/>
  <c r="U6" i="79" s="1"/>
  <c r="H42" i="69"/>
  <c r="AC41" i="69"/>
  <c r="M6" i="79" s="1"/>
  <c r="J39" i="69"/>
  <c r="I39" i="69"/>
  <c r="AD38" i="69"/>
  <c r="AD35" i="69"/>
  <c r="H35" i="69"/>
  <c r="S34" i="69"/>
  <c r="AI5" i="79" s="1"/>
  <c r="H34" i="69"/>
  <c r="S33" i="69"/>
  <c r="AG5" i="79" s="1"/>
  <c r="H33" i="69"/>
  <c r="AD32" i="69"/>
  <c r="S32" i="69"/>
  <c r="M5" i="79" s="1"/>
  <c r="H32" i="69"/>
  <c r="AD29" i="69"/>
  <c r="T29" i="69"/>
  <c r="J29" i="69"/>
  <c r="I29" i="69"/>
  <c r="AD26" i="69"/>
  <c r="T26" i="69"/>
  <c r="J26" i="69"/>
  <c r="I26" i="69"/>
  <c r="AD23" i="69"/>
  <c r="T23" i="69"/>
  <c r="J23" i="69"/>
  <c r="I23" i="69"/>
  <c r="AD20" i="69"/>
  <c r="T20" i="69"/>
  <c r="J20" i="69"/>
  <c r="I20" i="69"/>
  <c r="AD17" i="69"/>
  <c r="T17" i="69"/>
  <c r="J17" i="69"/>
  <c r="I17" i="69"/>
  <c r="AD14" i="69"/>
  <c r="T14" i="69"/>
  <c r="J14" i="69"/>
  <c r="I14" i="69"/>
  <c r="AD11" i="69"/>
  <c r="T11" i="69"/>
  <c r="J11" i="69"/>
  <c r="I11" i="69"/>
  <c r="AC44" i="68"/>
  <c r="AI6" i="78" s="1"/>
  <c r="AC43" i="68"/>
  <c r="AG6" i="78" s="1"/>
  <c r="AC42" i="68"/>
  <c r="U6" i="78" s="1"/>
  <c r="H42" i="68"/>
  <c r="AC41" i="68"/>
  <c r="M6" i="78" s="1"/>
  <c r="I39" i="68"/>
  <c r="AD38" i="68"/>
  <c r="AD35" i="68"/>
  <c r="H35" i="68"/>
  <c r="S34" i="68"/>
  <c r="AI5" i="78" s="1"/>
  <c r="H34" i="68"/>
  <c r="S33" i="68"/>
  <c r="AG5" i="78" s="1"/>
  <c r="H33" i="68"/>
  <c r="AD32" i="68"/>
  <c r="S32" i="68"/>
  <c r="M5" i="78" s="1"/>
  <c r="H32" i="68"/>
  <c r="AD29" i="68"/>
  <c r="T29" i="68"/>
  <c r="J29" i="68"/>
  <c r="I29" i="68"/>
  <c r="AD26" i="68"/>
  <c r="T26" i="68"/>
  <c r="J26" i="68"/>
  <c r="I26" i="68"/>
  <c r="AD23" i="68"/>
  <c r="T23" i="68"/>
  <c r="J23" i="68"/>
  <c r="I23" i="68"/>
  <c r="AD20" i="68"/>
  <c r="T20" i="68"/>
  <c r="J20" i="68"/>
  <c r="I20" i="68"/>
  <c r="AD17" i="68"/>
  <c r="T17" i="68"/>
  <c r="J17" i="68"/>
  <c r="I17" i="68"/>
  <c r="AD14" i="68"/>
  <c r="T14" i="68"/>
  <c r="J14" i="68"/>
  <c r="I14" i="68"/>
  <c r="AD11" i="68"/>
  <c r="T11" i="68"/>
  <c r="J11" i="68"/>
  <c r="I11" i="68"/>
  <c r="AC44" i="67"/>
  <c r="AI6" i="77" s="1"/>
  <c r="AC43" i="67"/>
  <c r="AG6" i="77" s="1"/>
  <c r="AC42" i="67"/>
  <c r="U6" i="77" s="1"/>
  <c r="H42" i="67"/>
  <c r="AC41" i="67"/>
  <c r="M6" i="77" s="1"/>
  <c r="J39" i="67"/>
  <c r="I39" i="67"/>
  <c r="AD38" i="67"/>
  <c r="AD35" i="67"/>
  <c r="H35" i="67"/>
  <c r="S34" i="67"/>
  <c r="AI5" i="77" s="1"/>
  <c r="H34" i="67"/>
  <c r="S33" i="67"/>
  <c r="AG5" i="77" s="1"/>
  <c r="H33" i="67"/>
  <c r="AD32" i="67"/>
  <c r="S32" i="67"/>
  <c r="M5" i="77" s="1"/>
  <c r="H32" i="67"/>
  <c r="AD29" i="67"/>
  <c r="T29" i="67"/>
  <c r="J29" i="67"/>
  <c r="I29" i="67"/>
  <c r="AD26" i="67"/>
  <c r="T26" i="67"/>
  <c r="J26" i="67"/>
  <c r="I26" i="67"/>
  <c r="AD23" i="67"/>
  <c r="T23" i="67"/>
  <c r="J23" i="67"/>
  <c r="I23" i="67"/>
  <c r="AD20" i="67"/>
  <c r="T20" i="67"/>
  <c r="J20" i="67"/>
  <c r="I20" i="67"/>
  <c r="AD17" i="67"/>
  <c r="T17" i="67"/>
  <c r="J17" i="67"/>
  <c r="I17" i="67"/>
  <c r="AD14" i="67"/>
  <c r="T14" i="67"/>
  <c r="J14" i="67"/>
  <c r="I14" i="67"/>
  <c r="AD11" i="67"/>
  <c r="T11" i="67"/>
  <c r="J11" i="67"/>
  <c r="I11" i="67"/>
  <c r="AC44" i="66"/>
  <c r="AI6" i="76" s="1"/>
  <c r="AC43" i="66"/>
  <c r="AG6" i="76" s="1"/>
  <c r="AC42" i="66"/>
  <c r="U6" i="76" s="1"/>
  <c r="H42" i="66"/>
  <c r="AC41" i="66"/>
  <c r="M6" i="76" s="1"/>
  <c r="J39" i="66"/>
  <c r="I39" i="66"/>
  <c r="AD38" i="66"/>
  <c r="AD35" i="66"/>
  <c r="H35" i="66"/>
  <c r="S34" i="66"/>
  <c r="AI5" i="76" s="1"/>
  <c r="H34" i="66"/>
  <c r="S33" i="66"/>
  <c r="AG5" i="76" s="1"/>
  <c r="H33" i="66"/>
  <c r="AD32" i="66"/>
  <c r="S32" i="66"/>
  <c r="M5" i="76" s="1"/>
  <c r="H32" i="66"/>
  <c r="AD29" i="66"/>
  <c r="T29" i="66"/>
  <c r="J29" i="66"/>
  <c r="I29" i="66"/>
  <c r="AD26" i="66"/>
  <c r="T26" i="66"/>
  <c r="J26" i="66"/>
  <c r="I26" i="66"/>
  <c r="AD23" i="66"/>
  <c r="T23" i="66"/>
  <c r="J23" i="66"/>
  <c r="I23" i="66"/>
  <c r="AD20" i="66"/>
  <c r="T20" i="66"/>
  <c r="J20" i="66"/>
  <c r="I20" i="66"/>
  <c r="AD17" i="66"/>
  <c r="T17" i="66"/>
  <c r="J17" i="66"/>
  <c r="I17" i="66"/>
  <c r="AD14" i="66"/>
  <c r="T14" i="66"/>
  <c r="J14" i="66"/>
  <c r="I14" i="66"/>
  <c r="AD11" i="66"/>
  <c r="T11" i="66"/>
  <c r="J11" i="66"/>
  <c r="I11" i="66"/>
  <c r="AB130" i="64"/>
  <c r="AG19" i="75" s="1"/>
  <c r="AB131" i="64"/>
  <c r="AI19" i="75" s="1"/>
  <c r="AB129" i="64"/>
  <c r="U19" i="75" s="1"/>
  <c r="T121" i="64"/>
  <c r="AI18" i="75" s="1"/>
  <c r="T120" i="64"/>
  <c r="U18" i="75" s="1"/>
  <c r="AZ79" i="64"/>
  <c r="AG16" i="75" s="1"/>
  <c r="AZ80" i="64"/>
  <c r="AI16" i="75" s="1"/>
  <c r="AB70" i="64"/>
  <c r="AI13" i="75" s="1"/>
  <c r="AJ67" i="64"/>
  <c r="O14" i="75" s="1"/>
  <c r="AJ68" i="64"/>
  <c r="AG14" i="75" s="1"/>
  <c r="AJ69" i="64"/>
  <c r="AI14" i="75" s="1"/>
  <c r="T76" i="64"/>
  <c r="AG12" i="75" s="1"/>
  <c r="T77" i="64"/>
  <c r="AI12" i="75" s="1"/>
  <c r="BH76" i="64"/>
  <c r="AI17" i="75" s="1"/>
  <c r="AC45" i="64"/>
  <c r="AI6" i="75" s="1"/>
  <c r="AC44" i="64"/>
  <c r="AG6" i="75" s="1"/>
  <c r="AC43" i="64"/>
  <c r="U6" i="75" s="1"/>
  <c r="H43" i="64"/>
  <c r="AC42" i="64"/>
  <c r="M6" i="75" s="1"/>
  <c r="H36" i="64"/>
  <c r="S35" i="64"/>
  <c r="AI5" i="75" s="1"/>
  <c r="H35" i="64"/>
  <c r="S34" i="64"/>
  <c r="AG5" i="75" s="1"/>
  <c r="H34" i="64"/>
  <c r="S33" i="64"/>
  <c r="M5" i="75" s="1"/>
  <c r="H33" i="64"/>
  <c r="E5" i="55"/>
  <c r="I5" i="55"/>
  <c r="M5" i="55"/>
  <c r="Q5" i="55"/>
  <c r="U5" i="55"/>
  <c r="Y5" i="55"/>
  <c r="AZ74" i="55"/>
  <c r="AI16" i="74" s="1"/>
  <c r="AJ80" i="55"/>
  <c r="AG14" i="74" s="1"/>
  <c r="AJ81" i="55"/>
  <c r="AI14" i="74" s="1"/>
  <c r="T68" i="55"/>
  <c r="O12" i="74" s="1"/>
  <c r="T69" i="55"/>
  <c r="AG12" i="74" s="1"/>
  <c r="T70" i="55"/>
  <c r="AI12" i="74" s="1"/>
  <c r="AC45" i="55"/>
  <c r="AI6" i="74" s="1"/>
  <c r="AC44" i="55"/>
  <c r="AG6" i="74" s="1"/>
  <c r="AC43" i="55"/>
  <c r="U6" i="74" s="1"/>
  <c r="AC42" i="55"/>
  <c r="M6" i="74" s="1"/>
  <c r="H33" i="63"/>
  <c r="H34" i="63"/>
  <c r="H35" i="63"/>
  <c r="H32" i="63"/>
  <c r="AC39" i="63"/>
  <c r="AC40" i="63"/>
  <c r="AC38" i="63"/>
  <c r="S33" i="63"/>
  <c r="S34" i="63"/>
  <c r="S32" i="63"/>
  <c r="AC172" i="69"/>
  <c r="AB176" i="69"/>
  <c r="AG35" i="79" s="1"/>
  <c r="AB177" i="69"/>
  <c r="AI35" i="79" s="1"/>
  <c r="AB175" i="69"/>
  <c r="U35" i="79" s="1"/>
  <c r="T167" i="69"/>
  <c r="AG34" i="79" s="1"/>
  <c r="T168" i="69"/>
  <c r="AI34" i="79" s="1"/>
  <c r="T166" i="69"/>
  <c r="U34" i="79" s="1"/>
  <c r="AC148" i="69"/>
  <c r="AC151" i="69"/>
  <c r="AC154" i="69"/>
  <c r="AC157" i="69"/>
  <c r="AC160" i="69"/>
  <c r="AC163" i="69"/>
  <c r="AC166" i="69"/>
  <c r="AC169" i="69"/>
  <c r="U148" i="69"/>
  <c r="U151" i="69"/>
  <c r="U154" i="69"/>
  <c r="U157" i="69"/>
  <c r="U160" i="69"/>
  <c r="U163" i="69"/>
  <c r="AC145" i="69"/>
  <c r="U145" i="69"/>
  <c r="BH123" i="69"/>
  <c r="AG33" i="79" s="1"/>
  <c r="BH124" i="69"/>
  <c r="AI33" i="79" s="1"/>
  <c r="BH122" i="69"/>
  <c r="U33" i="79" s="1"/>
  <c r="AZ126" i="69"/>
  <c r="AG32" i="79" s="1"/>
  <c r="AZ127" i="69"/>
  <c r="AI32" i="79" s="1"/>
  <c r="AZ125" i="69"/>
  <c r="U32" i="79" s="1"/>
  <c r="AR126" i="69"/>
  <c r="AG31" i="79" s="1"/>
  <c r="AR127" i="69"/>
  <c r="AI31" i="79" s="1"/>
  <c r="AR125" i="69"/>
  <c r="U31" i="79" s="1"/>
  <c r="AJ126" i="69"/>
  <c r="AG30" i="79" s="1"/>
  <c r="AJ127" i="69"/>
  <c r="AI30" i="79" s="1"/>
  <c r="AJ125" i="69"/>
  <c r="U30" i="79" s="1"/>
  <c r="AB114" i="69"/>
  <c r="O29" i="79" s="1"/>
  <c r="AB115" i="69"/>
  <c r="AG29" i="79" s="1"/>
  <c r="AB116" i="69"/>
  <c r="AI29" i="79" s="1"/>
  <c r="AB113" i="69"/>
  <c r="M29" i="79" s="1"/>
  <c r="T129" i="69"/>
  <c r="AG28" i="79" s="1"/>
  <c r="T130" i="69"/>
  <c r="AI28" i="79" s="1"/>
  <c r="T128" i="69"/>
  <c r="U28" i="79" s="1"/>
  <c r="BI101" i="69"/>
  <c r="BI104" i="69"/>
  <c r="BI107" i="69"/>
  <c r="BI110" i="69"/>
  <c r="BI113" i="69"/>
  <c r="BI116" i="69"/>
  <c r="BI119" i="69"/>
  <c r="BI98" i="69"/>
  <c r="BA101" i="69"/>
  <c r="BA104" i="69"/>
  <c r="BA107" i="69"/>
  <c r="BA110" i="69"/>
  <c r="BA113" i="69"/>
  <c r="BA116" i="69"/>
  <c r="BA119" i="69"/>
  <c r="BA122" i="69"/>
  <c r="BA98" i="69"/>
  <c r="AS101" i="69"/>
  <c r="AS104" i="69"/>
  <c r="AS107" i="69"/>
  <c r="AS110" i="69"/>
  <c r="AS113" i="69"/>
  <c r="AS116" i="69"/>
  <c r="AS119" i="69"/>
  <c r="AS122" i="69"/>
  <c r="AS98" i="69"/>
  <c r="AK101" i="69"/>
  <c r="AK104" i="69"/>
  <c r="AK107" i="69"/>
  <c r="AK110" i="69"/>
  <c r="AK113" i="69"/>
  <c r="AK116" i="69"/>
  <c r="AK119" i="69"/>
  <c r="AK122" i="69"/>
  <c r="AK98" i="69"/>
  <c r="AC101" i="69"/>
  <c r="AC104" i="69"/>
  <c r="AC107" i="69"/>
  <c r="AC110" i="69"/>
  <c r="AC98" i="69"/>
  <c r="U101" i="69"/>
  <c r="U104" i="69"/>
  <c r="U107" i="69"/>
  <c r="U110" i="69"/>
  <c r="U113" i="69"/>
  <c r="U116" i="69"/>
  <c r="U119" i="69"/>
  <c r="U122" i="69"/>
  <c r="U125" i="69"/>
  <c r="U98" i="69"/>
  <c r="AS53" i="69"/>
  <c r="AS56" i="69"/>
  <c r="AS59" i="69"/>
  <c r="AS62" i="69"/>
  <c r="AS65" i="69"/>
  <c r="AS68" i="69"/>
  <c r="AK53" i="69"/>
  <c r="AK78" i="69"/>
  <c r="AF17" i="79" s="1"/>
  <c r="AK56" i="69"/>
  <c r="AK77" i="69"/>
  <c r="T17" i="79" s="1"/>
  <c r="AK59" i="69"/>
  <c r="AK62" i="69"/>
  <c r="AK65" i="69"/>
  <c r="AK68" i="69"/>
  <c r="AK71" i="69"/>
  <c r="AK74" i="69"/>
  <c r="AS50" i="69"/>
  <c r="AK50" i="69"/>
  <c r="AK79" i="69"/>
  <c r="AH17" i="79" s="1"/>
  <c r="AK3" i="69"/>
  <c r="AB90" i="69"/>
  <c r="U16" i="79" s="1"/>
  <c r="AB91" i="69"/>
  <c r="AG16" i="79" s="1"/>
  <c r="AB92" i="69"/>
  <c r="AI16" i="79" s="1"/>
  <c r="AB89" i="69"/>
  <c r="M16" i="79" s="1"/>
  <c r="AC68" i="69"/>
  <c r="AC71" i="69"/>
  <c r="AC74" i="69"/>
  <c r="AC77" i="69"/>
  <c r="AC80" i="69"/>
  <c r="AC83" i="69"/>
  <c r="AC86" i="69"/>
  <c r="AR73" i="69"/>
  <c r="AI18" i="79" s="1"/>
  <c r="AJ79" i="69"/>
  <c r="AI17" i="79" s="1"/>
  <c r="AR72" i="69"/>
  <c r="AG18" i="79" s="1"/>
  <c r="AJ78" i="69"/>
  <c r="AG17" i="79" s="1"/>
  <c r="AR71" i="69"/>
  <c r="U18" i="79" s="1"/>
  <c r="AJ77" i="69"/>
  <c r="U17" i="79" s="1"/>
  <c r="T68" i="69"/>
  <c r="AI15" i="79" s="1"/>
  <c r="T67" i="69"/>
  <c r="AG15" i="79" s="1"/>
  <c r="T66" i="69"/>
  <c r="O15" i="79" s="1"/>
  <c r="AC65" i="69"/>
  <c r="T65" i="69"/>
  <c r="M15" i="79" s="1"/>
  <c r="AC62" i="69"/>
  <c r="AC59" i="69"/>
  <c r="AC56" i="69"/>
  <c r="AC53" i="69"/>
  <c r="AC50" i="69"/>
  <c r="BO1" i="69"/>
  <c r="BN1" i="69"/>
  <c r="BK1" i="69"/>
  <c r="AC3" i="69"/>
  <c r="Y3" i="69"/>
  <c r="U3" i="69"/>
  <c r="Q3" i="69"/>
  <c r="I3" i="69"/>
  <c r="E3" i="69"/>
  <c r="AX2" i="69"/>
  <c r="AA2" i="69"/>
  <c r="A2" i="69"/>
  <c r="AR1" i="69"/>
  <c r="AA1" i="69"/>
  <c r="A1" i="69"/>
  <c r="AB66" i="67"/>
  <c r="AG13" i="77" s="1"/>
  <c r="AB67" i="67"/>
  <c r="AI13" i="77" s="1"/>
  <c r="AB65" i="67"/>
  <c r="U13" i="77" s="1"/>
  <c r="AB69" i="68"/>
  <c r="AG16" i="78" s="1"/>
  <c r="AB70" i="68"/>
  <c r="AI16" i="78" s="1"/>
  <c r="AB68" i="68"/>
  <c r="U16" i="78" s="1"/>
  <c r="AC65" i="68"/>
  <c r="AR79" i="68"/>
  <c r="AI18" i="78" s="1"/>
  <c r="AJ79" i="68"/>
  <c r="AI17" i="78" s="1"/>
  <c r="AR78" i="68"/>
  <c r="AG18" i="78" s="1"/>
  <c r="AJ78" i="68"/>
  <c r="AG17" i="78" s="1"/>
  <c r="AR77" i="68"/>
  <c r="U18" i="78" s="1"/>
  <c r="AJ77" i="68"/>
  <c r="U17" i="78" s="1"/>
  <c r="AZ76" i="68"/>
  <c r="AI19" i="78" s="1"/>
  <c r="AZ75" i="68"/>
  <c r="AG19" i="78" s="1"/>
  <c r="AZ74" i="68"/>
  <c r="U19" i="78" s="1"/>
  <c r="AS74" i="68"/>
  <c r="AK74" i="68"/>
  <c r="BH73" i="68"/>
  <c r="AI20" i="78" s="1"/>
  <c r="BH72" i="68"/>
  <c r="AG20" i="78" s="1"/>
  <c r="BH71" i="68"/>
  <c r="U20" i="78" s="1"/>
  <c r="BA71" i="68"/>
  <c r="AS71" i="68"/>
  <c r="AK71" i="68"/>
  <c r="BI68" i="68"/>
  <c r="BA68" i="68"/>
  <c r="AS68" i="68"/>
  <c r="AK68" i="68"/>
  <c r="T68" i="68"/>
  <c r="AI15" i="78" s="1"/>
  <c r="T67" i="68"/>
  <c r="AG15" i="78" s="1"/>
  <c r="T66" i="68"/>
  <c r="O15" i="78" s="1"/>
  <c r="BI65" i="68"/>
  <c r="BA65" i="68"/>
  <c r="AS65" i="68"/>
  <c r="AK65" i="68"/>
  <c r="T65" i="68"/>
  <c r="M15" i="78" s="1"/>
  <c r="BI62" i="68"/>
  <c r="BA62" i="68"/>
  <c r="AS62" i="68"/>
  <c r="AK62" i="68"/>
  <c r="AC62" i="68"/>
  <c r="U62" i="68"/>
  <c r="BI59" i="68"/>
  <c r="BA59" i="68"/>
  <c r="AS59" i="68"/>
  <c r="AK59" i="68"/>
  <c r="AC59" i="68"/>
  <c r="U59" i="68"/>
  <c r="BI56" i="68"/>
  <c r="BA56" i="68"/>
  <c r="AS56" i="68"/>
  <c r="AK56" i="68"/>
  <c r="AC56" i="68"/>
  <c r="AC68" i="68"/>
  <c r="T16" i="78" s="1"/>
  <c r="U56" i="68"/>
  <c r="BI53" i="68"/>
  <c r="BA53" i="68"/>
  <c r="AS53" i="68"/>
  <c r="AK53" i="68"/>
  <c r="AC53" i="68"/>
  <c r="AC69" i="68"/>
  <c r="AF16" i="78" s="1"/>
  <c r="U53" i="68"/>
  <c r="BI50" i="68"/>
  <c r="BA50" i="68"/>
  <c r="AS50" i="68"/>
  <c r="AK50" i="68"/>
  <c r="AC50" i="68"/>
  <c r="AC70" i="68"/>
  <c r="AH16" i="78" s="1"/>
  <c r="U50" i="68"/>
  <c r="BO1" i="68"/>
  <c r="BN1" i="68"/>
  <c r="BK1" i="68"/>
  <c r="AK3" i="68"/>
  <c r="AG3" i="68"/>
  <c r="AC3" i="68"/>
  <c r="Y3" i="68"/>
  <c r="U3" i="68"/>
  <c r="Q3" i="68"/>
  <c r="I3" i="68"/>
  <c r="E3" i="68"/>
  <c r="AX2" i="68"/>
  <c r="AA2" i="68"/>
  <c r="A2" i="68"/>
  <c r="AR1" i="68"/>
  <c r="AA1" i="68"/>
  <c r="A1" i="68"/>
  <c r="BH72" i="67"/>
  <c r="AG17" i="77" s="1"/>
  <c r="BH73" i="67"/>
  <c r="AI17" i="77" s="1"/>
  <c r="BH71" i="67"/>
  <c r="U17" i="77" s="1"/>
  <c r="AZ75" i="67"/>
  <c r="AG16" i="77" s="1"/>
  <c r="AZ76" i="67"/>
  <c r="AI16" i="77" s="1"/>
  <c r="AZ74" i="67"/>
  <c r="U16" i="77" s="1"/>
  <c r="BA71" i="67"/>
  <c r="AR79" i="67"/>
  <c r="AI15" i="77" s="1"/>
  <c r="AR78" i="67"/>
  <c r="AG15" i="77" s="1"/>
  <c r="AR77" i="67"/>
  <c r="U15" i="77" s="1"/>
  <c r="AS74" i="67"/>
  <c r="AJ79" i="67"/>
  <c r="AI14" i="77" s="1"/>
  <c r="AJ78" i="67"/>
  <c r="AG14" i="77" s="1"/>
  <c r="AJ77" i="67"/>
  <c r="U14" i="77" s="1"/>
  <c r="AK74" i="67"/>
  <c r="AS71" i="67"/>
  <c r="AK71" i="67"/>
  <c r="BI68" i="67"/>
  <c r="BA68" i="67"/>
  <c r="AS68" i="67"/>
  <c r="AK68" i="67"/>
  <c r="T68" i="67"/>
  <c r="AI12" i="77" s="1"/>
  <c r="T67" i="67"/>
  <c r="AG12" i="77" s="1"/>
  <c r="T66" i="67"/>
  <c r="O12" i="77" s="1"/>
  <c r="BI65" i="67"/>
  <c r="BA65" i="67"/>
  <c r="AS65" i="67"/>
  <c r="AK65" i="67"/>
  <c r="T65" i="67"/>
  <c r="M12" i="77" s="1"/>
  <c r="BI62" i="67"/>
  <c r="BA62" i="67"/>
  <c r="AS62" i="67"/>
  <c r="AK62" i="67"/>
  <c r="AC62" i="67"/>
  <c r="U62" i="67"/>
  <c r="BI59" i="67"/>
  <c r="BA59" i="67"/>
  <c r="AS59" i="67"/>
  <c r="AK59" i="67"/>
  <c r="AC59" i="67"/>
  <c r="U59" i="67"/>
  <c r="BI56" i="67"/>
  <c r="BA56" i="67"/>
  <c r="AS56" i="67"/>
  <c r="AK56" i="67"/>
  <c r="AC56" i="67"/>
  <c r="U56" i="67"/>
  <c r="BI53" i="67"/>
  <c r="BA53" i="67"/>
  <c r="AS53" i="67"/>
  <c r="AK53" i="67"/>
  <c r="AC53" i="67"/>
  <c r="U53" i="67"/>
  <c r="BI50" i="67"/>
  <c r="BA50" i="67"/>
  <c r="AS50" i="67"/>
  <c r="AK50" i="67"/>
  <c r="AC50" i="67"/>
  <c r="U50" i="67"/>
  <c r="BO1" i="67"/>
  <c r="BN1" i="67"/>
  <c r="BK1" i="67"/>
  <c r="AG3" i="67"/>
  <c r="AC3" i="67"/>
  <c r="Y3" i="67"/>
  <c r="U3" i="67"/>
  <c r="Q3" i="67"/>
  <c r="M3" i="67"/>
  <c r="I3" i="67"/>
  <c r="E3" i="67"/>
  <c r="AX2" i="67"/>
  <c r="AA2" i="67"/>
  <c r="A2" i="67"/>
  <c r="AR1" i="67"/>
  <c r="AA1" i="67"/>
  <c r="A1" i="67"/>
  <c r="BH80" i="66"/>
  <c r="U17" i="76" s="1"/>
  <c r="AZ72" i="66"/>
  <c r="AG16" i="76" s="1"/>
  <c r="AZ73" i="66"/>
  <c r="AI16" i="76" s="1"/>
  <c r="AZ71" i="66"/>
  <c r="U16" i="76" s="1"/>
  <c r="AR75" i="66"/>
  <c r="AG15" i="76" s="1"/>
  <c r="AR76" i="66"/>
  <c r="AI15" i="76" s="1"/>
  <c r="AR74" i="66"/>
  <c r="U15" i="76" s="1"/>
  <c r="AJ78" i="66"/>
  <c r="AG14" i="76" s="1"/>
  <c r="AJ79" i="66"/>
  <c r="AI14" i="76" s="1"/>
  <c r="AJ77" i="66"/>
  <c r="U14" i="76" s="1"/>
  <c r="AC80" i="66"/>
  <c r="BI53" i="66"/>
  <c r="BI56" i="66"/>
  <c r="BI59" i="66"/>
  <c r="BI62" i="66"/>
  <c r="BI65" i="66"/>
  <c r="BI68" i="66"/>
  <c r="BI71" i="66"/>
  <c r="BI74" i="66"/>
  <c r="BI77" i="66"/>
  <c r="BI50" i="66"/>
  <c r="BA53" i="66"/>
  <c r="BA56" i="66"/>
  <c r="BA59" i="66"/>
  <c r="BA62" i="66"/>
  <c r="BA65" i="66"/>
  <c r="BA68" i="66"/>
  <c r="BA50" i="66"/>
  <c r="AS53" i="66"/>
  <c r="AS56" i="66"/>
  <c r="AS59" i="66"/>
  <c r="AS62" i="66"/>
  <c r="AS65" i="66"/>
  <c r="AS68" i="66"/>
  <c r="AS71" i="66"/>
  <c r="AS50" i="66"/>
  <c r="AK53" i="66"/>
  <c r="AK56" i="66"/>
  <c r="AK78" i="66"/>
  <c r="AF14" i="76" s="1"/>
  <c r="AK59" i="66"/>
  <c r="AK62" i="66"/>
  <c r="AK65" i="66"/>
  <c r="AK77" i="66"/>
  <c r="T14" i="76" s="1"/>
  <c r="AK68" i="66"/>
  <c r="AK71" i="66"/>
  <c r="AK74" i="66"/>
  <c r="AK50" i="66"/>
  <c r="AK79" i="66"/>
  <c r="AH14" i="76" s="1"/>
  <c r="AC53" i="66"/>
  <c r="AC56" i="66"/>
  <c r="AC59" i="66"/>
  <c r="AC62" i="66"/>
  <c r="AC65" i="66"/>
  <c r="AC68" i="66"/>
  <c r="AC71" i="66"/>
  <c r="AC74" i="66"/>
  <c r="AC77" i="66"/>
  <c r="AC50" i="66"/>
  <c r="U53" i="66"/>
  <c r="U56" i="66"/>
  <c r="U59" i="66"/>
  <c r="U62" i="66"/>
  <c r="U50" i="66"/>
  <c r="AB84" i="66"/>
  <c r="AG13" i="76" s="1"/>
  <c r="AB85" i="66"/>
  <c r="AI13" i="76" s="1"/>
  <c r="AB83" i="66"/>
  <c r="U13" i="76" s="1"/>
  <c r="T66" i="66"/>
  <c r="O12" i="76" s="1"/>
  <c r="T67" i="66"/>
  <c r="AG12" i="76" s="1"/>
  <c r="T68" i="66"/>
  <c r="AI12" i="76" s="1"/>
  <c r="T65" i="66"/>
  <c r="M12" i="76" s="1"/>
  <c r="M3" i="66"/>
  <c r="BO1" i="66"/>
  <c r="BN1" i="66"/>
  <c r="BK1" i="66"/>
  <c r="AG3" i="66"/>
  <c r="AC3" i="66"/>
  <c r="Y3" i="66"/>
  <c r="U3" i="66"/>
  <c r="Q3" i="66"/>
  <c r="I3" i="66"/>
  <c r="E3" i="66"/>
  <c r="AX2" i="66"/>
  <c r="AA2" i="66"/>
  <c r="A2" i="66"/>
  <c r="AR1" i="66"/>
  <c r="AA1" i="66"/>
  <c r="A1" i="66"/>
  <c r="BH78" i="63"/>
  <c r="BH79" i="63"/>
  <c r="BH80" i="63"/>
  <c r="BH77" i="63"/>
  <c r="AZ81" i="63"/>
  <c r="AZ82" i="63"/>
  <c r="AZ83" i="63"/>
  <c r="AZ80" i="63"/>
  <c r="AR81" i="63"/>
  <c r="AR82" i="63"/>
  <c r="AR83" i="63"/>
  <c r="AR80" i="63"/>
  <c r="AJ84" i="63"/>
  <c r="AJ85" i="63"/>
  <c r="AJ86" i="63"/>
  <c r="AJ87" i="63"/>
  <c r="AJ83" i="63"/>
  <c r="AB84" i="63"/>
  <c r="AB85" i="63"/>
  <c r="AB86" i="63"/>
  <c r="AB83" i="63"/>
  <c r="G167" i="63"/>
  <c r="G117" i="63"/>
  <c r="G116" i="63"/>
  <c r="G72" i="63"/>
  <c r="G71" i="63"/>
  <c r="H42" i="63"/>
  <c r="BH75" i="64"/>
  <c r="U17" i="75" s="1"/>
  <c r="AZ78" i="64"/>
  <c r="U16" i="75" s="1"/>
  <c r="AJ66" i="64"/>
  <c r="M14" i="75" s="1"/>
  <c r="AB69" i="64"/>
  <c r="U13" i="75" s="1"/>
  <c r="T75" i="64"/>
  <c r="U12" i="75" s="1"/>
  <c r="AC102" i="64"/>
  <c r="AC105" i="64"/>
  <c r="AC108" i="64"/>
  <c r="AC111" i="64"/>
  <c r="AC114" i="64"/>
  <c r="AC117" i="64"/>
  <c r="AC120" i="64"/>
  <c r="AC123" i="64"/>
  <c r="AC126" i="64"/>
  <c r="U102" i="64"/>
  <c r="U105" i="64"/>
  <c r="U108" i="64"/>
  <c r="U111" i="64"/>
  <c r="U114" i="64"/>
  <c r="U117" i="64"/>
  <c r="AC99" i="64"/>
  <c r="U99" i="64"/>
  <c r="BI54" i="64"/>
  <c r="BI57" i="64"/>
  <c r="BI60" i="64"/>
  <c r="BI63" i="64"/>
  <c r="BI66" i="64"/>
  <c r="BI69" i="64"/>
  <c r="BI72" i="64"/>
  <c r="BA54" i="64"/>
  <c r="BA57" i="64"/>
  <c r="BA60" i="64"/>
  <c r="BA63" i="64"/>
  <c r="BA66" i="64"/>
  <c r="BA69" i="64"/>
  <c r="BA72" i="64"/>
  <c r="BA75" i="64"/>
  <c r="AS54" i="64"/>
  <c r="AS57" i="64"/>
  <c r="AS60" i="64"/>
  <c r="AS63" i="64"/>
  <c r="AS66" i="64"/>
  <c r="AS69" i="64"/>
  <c r="AS72" i="64"/>
  <c r="AK54" i="64"/>
  <c r="AK57" i="64"/>
  <c r="AK60" i="64"/>
  <c r="AK63" i="64"/>
  <c r="AC54" i="64"/>
  <c r="AC57" i="64"/>
  <c r="AC69" i="64"/>
  <c r="T13" i="75" s="1"/>
  <c r="AC60" i="64"/>
  <c r="AC63" i="64"/>
  <c r="AC66" i="64"/>
  <c r="BI51" i="64"/>
  <c r="BA51" i="64"/>
  <c r="AS51" i="64"/>
  <c r="AK51" i="64"/>
  <c r="AC51" i="64"/>
  <c r="AC70" i="64"/>
  <c r="AH13" i="75" s="1"/>
  <c r="BQ1" i="64"/>
  <c r="BP1" i="64"/>
  <c r="BM1" i="64"/>
  <c r="AC3" i="64"/>
  <c r="Y3" i="64"/>
  <c r="U3" i="64"/>
  <c r="Q3" i="64"/>
  <c r="M3" i="64"/>
  <c r="I3" i="64"/>
  <c r="E3" i="64"/>
  <c r="AX2" i="64"/>
  <c r="AA2" i="64"/>
  <c r="A2" i="64"/>
  <c r="AR1" i="64"/>
  <c r="AA1" i="64"/>
  <c r="A1" i="64"/>
  <c r="AZ73" i="55"/>
  <c r="U16" i="74" s="1"/>
  <c r="AR77" i="55"/>
  <c r="AI15" i="74" s="1"/>
  <c r="AR76" i="55"/>
  <c r="U15" i="74" s="1"/>
  <c r="AJ79" i="55"/>
  <c r="U14" i="74" s="1"/>
  <c r="AB77" i="55"/>
  <c r="AG13" i="74" s="1"/>
  <c r="AB76" i="55"/>
  <c r="U13" i="74" s="1"/>
  <c r="G82" i="55"/>
  <c r="G81" i="55"/>
  <c r="G79" i="55"/>
  <c r="AB78" i="55"/>
  <c r="AI13" i="74" s="1"/>
  <c r="T67" i="55"/>
  <c r="M12" i="74" s="1"/>
  <c r="AC3" i="55"/>
  <c r="Y3" i="55"/>
  <c r="U3" i="55"/>
  <c r="Q3" i="55"/>
  <c r="M3" i="55"/>
  <c r="I3" i="55"/>
  <c r="E3" i="55"/>
  <c r="T198" i="63"/>
  <c r="T197" i="63"/>
  <c r="T196" i="63"/>
  <c r="T195" i="63"/>
  <c r="T194" i="63"/>
  <c r="U191" i="63"/>
  <c r="U188" i="63"/>
  <c r="U185" i="63"/>
  <c r="U182" i="63"/>
  <c r="U179" i="63"/>
  <c r="U176" i="63"/>
  <c r="U173" i="63"/>
  <c r="U170" i="63"/>
  <c r="G170" i="63"/>
  <c r="G169" i="63"/>
  <c r="G168" i="63"/>
  <c r="U167" i="63"/>
  <c r="U164" i="63"/>
  <c r="H164" i="63"/>
  <c r="U161" i="63"/>
  <c r="H161" i="63"/>
  <c r="U158" i="63"/>
  <c r="H158" i="63"/>
  <c r="U155" i="63"/>
  <c r="H155" i="63"/>
  <c r="U152" i="63"/>
  <c r="H152" i="63"/>
  <c r="U149" i="63"/>
  <c r="H149" i="63"/>
  <c r="H170" i="63"/>
  <c r="T37" i="80"/>
  <c r="U146" i="63"/>
  <c r="H146" i="63"/>
  <c r="AJ141" i="63"/>
  <c r="AB141" i="63"/>
  <c r="T141" i="63"/>
  <c r="AJ140" i="63"/>
  <c r="AB140" i="63"/>
  <c r="T140" i="63"/>
  <c r="AJ139" i="63"/>
  <c r="AB139" i="63"/>
  <c r="T139" i="63"/>
  <c r="AZ138" i="63"/>
  <c r="AR138" i="63"/>
  <c r="AJ138" i="63"/>
  <c r="AB138" i="63"/>
  <c r="T138" i="63"/>
  <c r="AZ137" i="63"/>
  <c r="AR137" i="63"/>
  <c r="AJ137" i="63"/>
  <c r="AB137" i="63"/>
  <c r="T137" i="63"/>
  <c r="AZ136" i="63"/>
  <c r="AR136" i="63"/>
  <c r="BH135" i="63"/>
  <c r="AZ135" i="63"/>
  <c r="AR135" i="63"/>
  <c r="BH134" i="63"/>
  <c r="AZ134" i="63"/>
  <c r="AR134" i="63"/>
  <c r="AK134" i="63"/>
  <c r="AC134" i="63"/>
  <c r="U134" i="63"/>
  <c r="BH133" i="63"/>
  <c r="BH132" i="63"/>
  <c r="BH131" i="63"/>
  <c r="BA131" i="63"/>
  <c r="AS131" i="63"/>
  <c r="AK131" i="63"/>
  <c r="AC131" i="63"/>
  <c r="U131" i="63"/>
  <c r="BI128" i="63"/>
  <c r="BA128" i="63"/>
  <c r="AS128" i="63"/>
  <c r="AK128" i="63"/>
  <c r="AC128" i="63"/>
  <c r="U128" i="63"/>
  <c r="BI125" i="63"/>
  <c r="BA125" i="63"/>
  <c r="AS125" i="63"/>
  <c r="AK125" i="63"/>
  <c r="AC125" i="63"/>
  <c r="U125" i="63"/>
  <c r="BI122" i="63"/>
  <c r="BA122" i="63"/>
  <c r="AS122" i="63"/>
  <c r="AK122" i="63"/>
  <c r="AK139" i="63"/>
  <c r="T20" i="80" s="1"/>
  <c r="AC122" i="63"/>
  <c r="AC139" i="63"/>
  <c r="T19" i="80" s="1"/>
  <c r="U122" i="63"/>
  <c r="BI119" i="63"/>
  <c r="BA119" i="63"/>
  <c r="BA136" i="63"/>
  <c r="T22" i="80" s="1"/>
  <c r="AS119" i="63"/>
  <c r="AS136" i="63"/>
  <c r="T21" i="80" s="1"/>
  <c r="AK119" i="63"/>
  <c r="AC119" i="63"/>
  <c r="U119" i="63"/>
  <c r="G119" i="63"/>
  <c r="G118" i="63"/>
  <c r="BI116" i="63"/>
  <c r="BA116" i="63"/>
  <c r="AS116" i="63"/>
  <c r="AK116" i="63"/>
  <c r="AC116" i="63"/>
  <c r="U116" i="63"/>
  <c r="BI113" i="63"/>
  <c r="BA113" i="63"/>
  <c r="AS113" i="63"/>
  <c r="AK113" i="63"/>
  <c r="AC113" i="63"/>
  <c r="U113" i="63"/>
  <c r="U138" i="63"/>
  <c r="P18" i="80"/>
  <c r="M113" i="63"/>
  <c r="L113" i="63"/>
  <c r="K113" i="63"/>
  <c r="J113" i="63"/>
  <c r="I113" i="63"/>
  <c r="H113" i="63"/>
  <c r="BI110" i="63"/>
  <c r="BA110" i="63"/>
  <c r="AS110" i="63"/>
  <c r="AK110" i="63"/>
  <c r="AC110" i="63"/>
  <c r="U110" i="63"/>
  <c r="M110" i="63"/>
  <c r="L110" i="63"/>
  <c r="K110" i="63"/>
  <c r="J110" i="63"/>
  <c r="I110" i="63"/>
  <c r="H110" i="63"/>
  <c r="BI107" i="63"/>
  <c r="BI132" i="63"/>
  <c r="P23" i="80" s="1"/>
  <c r="BA107" i="63"/>
  <c r="BA135" i="63"/>
  <c r="P22" i="80"/>
  <c r="AS107" i="63"/>
  <c r="AS135" i="63"/>
  <c r="P21" i="80" s="1"/>
  <c r="AK107" i="63"/>
  <c r="AK138" i="63"/>
  <c r="P20" i="80"/>
  <c r="AC107" i="63"/>
  <c r="AC138" i="63"/>
  <c r="P19" i="80"/>
  <c r="U107" i="63"/>
  <c r="M107" i="63"/>
  <c r="L107" i="63"/>
  <c r="K107" i="63"/>
  <c r="J107" i="63"/>
  <c r="I107" i="63"/>
  <c r="H107" i="63"/>
  <c r="BI104" i="63"/>
  <c r="BA104" i="63"/>
  <c r="AS104" i="63"/>
  <c r="AK104" i="63"/>
  <c r="AC104" i="63"/>
  <c r="U104" i="63"/>
  <c r="M104" i="63"/>
  <c r="M118" i="63"/>
  <c r="N36" i="80"/>
  <c r="L104" i="63"/>
  <c r="L118" i="63"/>
  <c r="N35" i="80"/>
  <c r="K104" i="63"/>
  <c r="K118" i="63"/>
  <c r="N34" i="80" s="1"/>
  <c r="J104" i="63"/>
  <c r="J118" i="63"/>
  <c r="N33" i="80" s="1"/>
  <c r="I104" i="63"/>
  <c r="I118" i="63"/>
  <c r="N32" i="80" s="1"/>
  <c r="H104" i="63"/>
  <c r="H118" i="63"/>
  <c r="N31" i="80"/>
  <c r="BI101" i="63"/>
  <c r="BA101" i="63"/>
  <c r="AS101" i="63"/>
  <c r="AK101" i="63"/>
  <c r="AC101" i="63"/>
  <c r="U101" i="63"/>
  <c r="M101" i="63"/>
  <c r="L101" i="63"/>
  <c r="K101" i="63"/>
  <c r="J101" i="63"/>
  <c r="I101" i="63"/>
  <c r="H101" i="63"/>
  <c r="BI98" i="63"/>
  <c r="BA98" i="63"/>
  <c r="AS98" i="63"/>
  <c r="AK98" i="63"/>
  <c r="AC98" i="63"/>
  <c r="U98" i="63"/>
  <c r="M98" i="63"/>
  <c r="M119" i="63"/>
  <c r="T36" i="80" s="1"/>
  <c r="L98" i="63"/>
  <c r="L119" i="63"/>
  <c r="T35" i="80"/>
  <c r="K98" i="63"/>
  <c r="K119" i="63"/>
  <c r="T34" i="80" s="1"/>
  <c r="J98" i="63"/>
  <c r="J119" i="63"/>
  <c r="T33" i="80"/>
  <c r="I98" i="63"/>
  <c r="I119" i="63"/>
  <c r="T32" i="80"/>
  <c r="H98" i="63"/>
  <c r="H119" i="63"/>
  <c r="T31" i="80"/>
  <c r="BI95" i="63"/>
  <c r="BI134" i="63"/>
  <c r="AF23" i="80" s="1"/>
  <c r="BA95" i="63"/>
  <c r="BA137" i="63"/>
  <c r="AF22" i="80" s="1"/>
  <c r="AS95" i="63"/>
  <c r="AS137" i="63"/>
  <c r="AF21" i="80" s="1"/>
  <c r="AK95" i="63"/>
  <c r="AK140" i="63"/>
  <c r="AF20" i="80"/>
  <c r="AC95" i="63"/>
  <c r="AC140" i="63"/>
  <c r="AF19" i="80" s="1"/>
  <c r="U95" i="63"/>
  <c r="U140" i="63"/>
  <c r="AF18" i="80"/>
  <c r="M95" i="63"/>
  <c r="L95" i="63"/>
  <c r="K95" i="63"/>
  <c r="J95" i="63"/>
  <c r="I95" i="63"/>
  <c r="H95" i="63"/>
  <c r="T90" i="63"/>
  <c r="T89" i="63"/>
  <c r="T88" i="63"/>
  <c r="T87" i="63"/>
  <c r="T86" i="63"/>
  <c r="U83" i="63"/>
  <c r="AK80" i="63"/>
  <c r="AC80" i="63"/>
  <c r="U80" i="63"/>
  <c r="BA77" i="63"/>
  <c r="AS77" i="63"/>
  <c r="AK77" i="63"/>
  <c r="AC77" i="63"/>
  <c r="U77" i="63"/>
  <c r="BI74" i="63"/>
  <c r="BA74" i="63"/>
  <c r="AS74" i="63"/>
  <c r="AK74" i="63"/>
  <c r="AC74" i="63"/>
  <c r="U74" i="63"/>
  <c r="G74" i="63"/>
  <c r="G73" i="63"/>
  <c r="BI71" i="63"/>
  <c r="BA71" i="63"/>
  <c r="AS71" i="63"/>
  <c r="AK71" i="63"/>
  <c r="AC71" i="63"/>
  <c r="U71" i="63"/>
  <c r="BI68" i="63"/>
  <c r="BA68" i="63"/>
  <c r="AS68" i="63"/>
  <c r="AK68" i="63"/>
  <c r="AC68" i="63"/>
  <c r="U68" i="63"/>
  <c r="M68" i="63"/>
  <c r="L68" i="63"/>
  <c r="K68" i="63"/>
  <c r="J68" i="63"/>
  <c r="I68" i="63"/>
  <c r="H68" i="63"/>
  <c r="BI65" i="63"/>
  <c r="BA65" i="63"/>
  <c r="AS65" i="63"/>
  <c r="AK65" i="63"/>
  <c r="AC65" i="63"/>
  <c r="U65" i="63"/>
  <c r="U87" i="63"/>
  <c r="P12" i="80"/>
  <c r="M65" i="63"/>
  <c r="L65" i="63"/>
  <c r="K65" i="63"/>
  <c r="J65" i="63"/>
  <c r="I65" i="63"/>
  <c r="H65" i="63"/>
  <c r="BI78" i="63"/>
  <c r="T17" i="80"/>
  <c r="BA62" i="63"/>
  <c r="AS62" i="63"/>
  <c r="AK62" i="63"/>
  <c r="AK84" i="63"/>
  <c r="P14" i="80"/>
  <c r="AC62" i="63"/>
  <c r="U62" i="63"/>
  <c r="M62" i="63"/>
  <c r="L62" i="63"/>
  <c r="K62" i="63"/>
  <c r="J62" i="63"/>
  <c r="I62" i="63"/>
  <c r="H62" i="63"/>
  <c r="BI59" i="63"/>
  <c r="BA59" i="63"/>
  <c r="AS59" i="63"/>
  <c r="AS83" i="63"/>
  <c r="AH15" i="80"/>
  <c r="AK59" i="63"/>
  <c r="AC59" i="63"/>
  <c r="U59" i="63"/>
  <c r="M73" i="63"/>
  <c r="N30" i="80" s="1"/>
  <c r="L59" i="63"/>
  <c r="L73" i="63"/>
  <c r="N29" i="80"/>
  <c r="K59" i="63"/>
  <c r="K73" i="63"/>
  <c r="N28" i="80"/>
  <c r="J59" i="63"/>
  <c r="J73" i="63"/>
  <c r="N27" i="80"/>
  <c r="I59" i="63"/>
  <c r="I73" i="63"/>
  <c r="N26" i="80" s="1"/>
  <c r="H59" i="63"/>
  <c r="H73" i="63"/>
  <c r="N25" i="80" s="1"/>
  <c r="BI56" i="63"/>
  <c r="BA56" i="63"/>
  <c r="AS56" i="63"/>
  <c r="AK56" i="63"/>
  <c r="AC56" i="63"/>
  <c r="U56" i="63"/>
  <c r="M56" i="63"/>
  <c r="L56" i="63"/>
  <c r="J56" i="63"/>
  <c r="I56" i="63"/>
  <c r="H56" i="63"/>
  <c r="BI53" i="63"/>
  <c r="BA53" i="63"/>
  <c r="BA81" i="63"/>
  <c r="P16" i="80"/>
  <c r="AS53" i="63"/>
  <c r="AK53" i="63"/>
  <c r="AC53" i="63"/>
  <c r="U53" i="63"/>
  <c r="M53" i="63"/>
  <c r="M74" i="63"/>
  <c r="T30" i="80"/>
  <c r="L53" i="63"/>
  <c r="L74" i="63"/>
  <c r="T29" i="80" s="1"/>
  <c r="K53" i="63"/>
  <c r="K74" i="63"/>
  <c r="T28" i="80"/>
  <c r="J53" i="63"/>
  <c r="J74" i="63"/>
  <c r="T27" i="80"/>
  <c r="I53" i="63"/>
  <c r="I74" i="63"/>
  <c r="T26" i="80"/>
  <c r="H53" i="63"/>
  <c r="H74" i="63"/>
  <c r="T25" i="80" s="1"/>
  <c r="BI50" i="63"/>
  <c r="BA50" i="63"/>
  <c r="BA82" i="63"/>
  <c r="AF16" i="80" s="1"/>
  <c r="AS50" i="63"/>
  <c r="AK50" i="63"/>
  <c r="AC50" i="63"/>
  <c r="U50" i="63"/>
  <c r="M50" i="63"/>
  <c r="L50" i="63"/>
  <c r="K50" i="63"/>
  <c r="J50" i="63"/>
  <c r="I50" i="63"/>
  <c r="H50" i="63"/>
  <c r="J39" i="63"/>
  <c r="J42" i="63"/>
  <c r="V10" i="80"/>
  <c r="I39" i="63"/>
  <c r="I42" i="63"/>
  <c r="V9" i="80" s="1"/>
  <c r="AD35" i="63"/>
  <c r="AD32" i="63"/>
  <c r="AD29" i="63"/>
  <c r="T29" i="63"/>
  <c r="J29" i="63"/>
  <c r="I29" i="63"/>
  <c r="AD26" i="63"/>
  <c r="T26" i="63"/>
  <c r="J26" i="63"/>
  <c r="I26" i="63"/>
  <c r="AD23" i="63"/>
  <c r="T23" i="63"/>
  <c r="J23" i="63"/>
  <c r="J34" i="63"/>
  <c r="N8" i="80" s="1"/>
  <c r="I34" i="63"/>
  <c r="N7" i="80"/>
  <c r="N52" i="80" s="1"/>
  <c r="AD20" i="63"/>
  <c r="T20" i="63"/>
  <c r="J20" i="63"/>
  <c r="I20" i="63"/>
  <c r="AD17" i="63"/>
  <c r="T17" i="63"/>
  <c r="J17" i="63"/>
  <c r="J35" i="63"/>
  <c r="T8" i="80" s="1"/>
  <c r="I17" i="63"/>
  <c r="I35" i="63"/>
  <c r="T7" i="80"/>
  <c r="AD14" i="63"/>
  <c r="T14" i="63"/>
  <c r="J14" i="63"/>
  <c r="I14" i="63"/>
  <c r="AD11" i="63"/>
  <c r="AD40" i="63"/>
  <c r="AH6" i="80" s="1"/>
  <c r="T11" i="63"/>
  <c r="J11" i="63"/>
  <c r="I11" i="63"/>
  <c r="BG5" i="63"/>
  <c r="BF5" i="63"/>
  <c r="BC5" i="63"/>
  <c r="AW5" i="63"/>
  <c r="AS5" i="63"/>
  <c r="AO5" i="63"/>
  <c r="AK5" i="63"/>
  <c r="AG5" i="63"/>
  <c r="AC5" i="63"/>
  <c r="Y5" i="63"/>
  <c r="U5" i="63"/>
  <c r="Q5" i="63"/>
  <c r="M5" i="63"/>
  <c r="I5" i="63"/>
  <c r="E5" i="63"/>
  <c r="A5" i="63"/>
  <c r="I3" i="63"/>
  <c r="E3" i="63"/>
  <c r="AX2" i="63"/>
  <c r="AA2" i="63"/>
  <c r="A2" i="63"/>
  <c r="AR1" i="63"/>
  <c r="AA1" i="63"/>
  <c r="A1" i="63"/>
  <c r="AX2" i="55"/>
  <c r="U196" i="63"/>
  <c r="T24" i="80" s="1"/>
  <c r="AC141" i="63"/>
  <c r="AH19" i="80" s="1"/>
  <c r="U89" i="63"/>
  <c r="AF12" i="80"/>
  <c r="BI135" i="63"/>
  <c r="AH23" i="80" s="1"/>
  <c r="AC85" i="63"/>
  <c r="AF13" i="80"/>
  <c r="BI79" i="63"/>
  <c r="AF17" i="80" s="1"/>
  <c r="AK86" i="63"/>
  <c r="AF14" i="80" s="1"/>
  <c r="AS82" i="63"/>
  <c r="AF15" i="80" s="1"/>
  <c r="BI133" i="63"/>
  <c r="T23" i="80"/>
  <c r="BA83" i="63"/>
  <c r="AH16" i="80" s="1"/>
  <c r="AS81" i="63"/>
  <c r="P15" i="80" s="1"/>
  <c r="AD39" i="63"/>
  <c r="T6" i="80" s="1"/>
  <c r="AC84" i="63"/>
  <c r="T13" i="80"/>
  <c r="AC86" i="63"/>
  <c r="AH13" i="80" s="1"/>
  <c r="AK87" i="63"/>
  <c r="AH14" i="80" s="1"/>
  <c r="H169" i="63"/>
  <c r="N37" i="80" s="1"/>
  <c r="U139" i="63"/>
  <c r="T18" i="80" s="1"/>
  <c r="U141" i="63"/>
  <c r="AH18" i="80" s="1"/>
  <c r="U198" i="63"/>
  <c r="AH24" i="80" s="1"/>
  <c r="U197" i="63"/>
  <c r="AF24" i="80"/>
  <c r="U195" i="63"/>
  <c r="P24" i="80" s="1"/>
  <c r="BA138" i="63"/>
  <c r="AH22" i="80" s="1"/>
  <c r="AS138" i="63"/>
  <c r="AH21" i="80" s="1"/>
  <c r="AK141" i="63"/>
  <c r="AH20" i="80"/>
  <c r="BI80" i="63"/>
  <c r="AH17" i="80" s="1"/>
  <c r="AK85" i="63"/>
  <c r="T14" i="80" s="1"/>
  <c r="U88" i="63"/>
  <c r="T12" i="80" s="1"/>
  <c r="U90" i="63"/>
  <c r="AH12" i="80"/>
  <c r="T34" i="63"/>
  <c r="AH5" i="80" s="1"/>
  <c r="T33" i="63"/>
  <c r="AF5" i="80" s="1"/>
  <c r="A15" i="35"/>
  <c r="W91" i="61"/>
  <c r="A31" i="1"/>
  <c r="A29" i="1"/>
  <c r="A22" i="1"/>
  <c r="D11" i="36"/>
  <c r="AN16" i="35" s="1"/>
  <c r="C11" i="36"/>
  <c r="AA16" i="35" s="1"/>
  <c r="B11" i="36"/>
  <c r="N16" i="35" s="1"/>
  <c r="A11" i="36"/>
  <c r="A16" i="35" s="1"/>
  <c r="D9" i="36"/>
  <c r="AN14" i="35" s="1"/>
  <c r="C9" i="36"/>
  <c r="AA14" i="35" s="1"/>
  <c r="B9" i="36"/>
  <c r="N14" i="35" s="1"/>
  <c r="A9" i="36"/>
  <c r="A14" i="35" s="1"/>
  <c r="A10" i="1"/>
  <c r="N3" i="78"/>
  <c r="N3" i="79"/>
  <c r="V3" i="78"/>
  <c r="A27" i="1"/>
  <c r="AB3" i="80"/>
  <c r="AB3" i="78"/>
  <c r="AB3" i="79"/>
  <c r="AB3" i="77"/>
  <c r="AB3" i="76"/>
  <c r="AB3" i="75"/>
  <c r="AB3" i="74"/>
  <c r="E70" i="26"/>
  <c r="A17" i="1"/>
  <c r="A23" i="1"/>
  <c r="A24" i="1"/>
  <c r="M70" i="26"/>
  <c r="K80" i="61"/>
  <c r="K59" i="61"/>
  <c r="K62" i="61"/>
  <c r="K68" i="61"/>
  <c r="K71" i="61"/>
  <c r="K74" i="61"/>
  <c r="K77" i="61"/>
  <c r="K83" i="61"/>
  <c r="K88" i="61"/>
  <c r="L88" i="61"/>
  <c r="K91" i="61"/>
  <c r="L91" i="61"/>
  <c r="K94" i="61"/>
  <c r="L94" i="61"/>
  <c r="K97" i="61"/>
  <c r="L97" i="61"/>
  <c r="K100" i="61"/>
  <c r="L100" i="61"/>
  <c r="K105" i="61"/>
  <c r="L105" i="61"/>
  <c r="K108" i="61"/>
  <c r="L108" i="61"/>
  <c r="K111" i="61"/>
  <c r="L111" i="61"/>
  <c r="W105" i="61"/>
  <c r="X105" i="61"/>
  <c r="W108" i="61"/>
  <c r="X108" i="61"/>
  <c r="W111" i="61"/>
  <c r="X111" i="61"/>
  <c r="AJ105" i="61"/>
  <c r="AJ108" i="61"/>
  <c r="AJ111" i="61"/>
  <c r="AU105" i="61"/>
  <c r="AV105" i="61"/>
  <c r="AU108" i="61"/>
  <c r="AV108" i="61"/>
  <c r="AU111" i="61"/>
  <c r="AV111" i="61"/>
  <c r="BG105" i="61"/>
  <c r="BH105" i="61"/>
  <c r="W88" i="61"/>
  <c r="X88" i="61"/>
  <c r="X91" i="61"/>
  <c r="W94" i="61"/>
  <c r="X94" i="61"/>
  <c r="W97" i="61"/>
  <c r="X97" i="61"/>
  <c r="AJ88" i="61"/>
  <c r="AJ91" i="61"/>
  <c r="AJ94" i="61"/>
  <c r="AJ97" i="61"/>
  <c r="AU88" i="61"/>
  <c r="AV88" i="61"/>
  <c r="AU91" i="61"/>
  <c r="AV91" i="61"/>
  <c r="AU94" i="61"/>
  <c r="AV94" i="61"/>
  <c r="AU97" i="61"/>
  <c r="AV97" i="61"/>
  <c r="W59" i="61"/>
  <c r="X59" i="61"/>
  <c r="W62" i="61"/>
  <c r="X62" i="61"/>
  <c r="W68" i="61"/>
  <c r="X68" i="61"/>
  <c r="W71" i="61"/>
  <c r="X71" i="61"/>
  <c r="W74" i="61"/>
  <c r="X74" i="61"/>
  <c r="W77" i="61"/>
  <c r="X77" i="61"/>
  <c r="AJ59" i="61"/>
  <c r="AJ62" i="61"/>
  <c r="AJ65" i="61"/>
  <c r="AJ68" i="61"/>
  <c r="AJ71" i="61"/>
  <c r="AJ74" i="61"/>
  <c r="AJ77" i="61"/>
  <c r="AV59" i="61"/>
  <c r="AV62" i="61"/>
  <c r="AV65" i="61"/>
  <c r="AV68" i="61"/>
  <c r="AV71" i="61"/>
  <c r="AV74" i="61"/>
  <c r="BG59" i="61"/>
  <c r="BH59" i="61"/>
  <c r="BG62" i="61"/>
  <c r="BH62" i="61"/>
  <c r="BG65" i="61"/>
  <c r="BH65" i="61"/>
  <c r="BG68" i="61"/>
  <c r="BH68" i="61"/>
  <c r="BG71" i="61"/>
  <c r="BH71" i="61"/>
  <c r="BG74" i="61"/>
  <c r="BH74" i="61"/>
  <c r="BO1" i="55"/>
  <c r="BN1" i="55"/>
  <c r="BK1" i="55"/>
  <c r="H5" i="35"/>
  <c r="H4" i="35"/>
  <c r="H3" i="35"/>
  <c r="AR2" i="61"/>
  <c r="AA2" i="61"/>
  <c r="A2" i="61"/>
  <c r="AR1" i="61"/>
  <c r="AA1" i="61"/>
  <c r="A1" i="61"/>
  <c r="AW5" i="55"/>
  <c r="AS5" i="55"/>
  <c r="AO5" i="55"/>
  <c r="AK5" i="55"/>
  <c r="AG5" i="55"/>
  <c r="AC5" i="55"/>
  <c r="AA2" i="55"/>
  <c r="A2" i="55"/>
  <c r="AR1" i="55"/>
  <c r="AA1" i="55"/>
  <c r="A1" i="55"/>
  <c r="E6" i="14"/>
  <c r="K7" i="1"/>
  <c r="L7" i="1" s="1"/>
  <c r="H7" i="1"/>
  <c r="I7" i="1"/>
  <c r="H2" i="35"/>
  <c r="H1" i="35"/>
  <c r="AA1" i="35"/>
  <c r="AA2" i="35"/>
  <c r="N31" i="1"/>
  <c r="P31" i="1" s="1"/>
  <c r="N30" i="1"/>
  <c r="P30" i="1"/>
  <c r="K28" i="1"/>
  <c r="L28" i="1"/>
  <c r="BC32" i="1"/>
  <c r="BF32" i="1"/>
  <c r="I10" i="1"/>
  <c r="H9" i="1"/>
  <c r="I9" i="1" s="1"/>
  <c r="K9" i="1"/>
  <c r="L9" i="1" s="1"/>
  <c r="N9" i="1"/>
  <c r="P9" i="1" s="1"/>
  <c r="H8" i="1"/>
  <c r="I8" i="1"/>
  <c r="K8" i="1"/>
  <c r="L8" i="1" s="1"/>
  <c r="N8" i="1"/>
  <c r="P8" i="1" s="1"/>
  <c r="N7" i="1"/>
  <c r="N17" i="1"/>
  <c r="P17" i="1"/>
  <c r="N15" i="1"/>
  <c r="A42" i="35"/>
  <c r="C34" i="36"/>
  <c r="AA45" i="35" s="1"/>
  <c r="B16" i="36"/>
  <c r="N23" i="35" s="1"/>
  <c r="B14" i="36"/>
  <c r="N21" i="35" s="1"/>
  <c r="A46" i="35"/>
  <c r="A44" i="35"/>
  <c r="A40" i="35"/>
  <c r="A35" i="35"/>
  <c r="A33" i="35"/>
  <c r="A31" i="35"/>
  <c r="A39" i="35"/>
  <c r="A16" i="36"/>
  <c r="A23" i="35" s="1"/>
  <c r="C18" i="36"/>
  <c r="AA25" i="35" s="1"/>
  <c r="B20" i="36"/>
  <c r="N27" i="35" s="1"/>
  <c r="C20" i="36"/>
  <c r="AA27" i="35" s="1"/>
  <c r="D20" i="36"/>
  <c r="AN27" i="35" s="1"/>
  <c r="B18" i="36"/>
  <c r="N25" i="35" s="1"/>
  <c r="D18" i="36"/>
  <c r="AN25" i="35" s="1"/>
  <c r="B36" i="36"/>
  <c r="N47" i="35" s="1"/>
  <c r="C36" i="36"/>
  <c r="AA47" i="35" s="1"/>
  <c r="D36" i="36"/>
  <c r="B34" i="36"/>
  <c r="N45" i="35" s="1"/>
  <c r="D34" i="36"/>
  <c r="B32" i="36"/>
  <c r="N43" i="35" s="1"/>
  <c r="C32" i="36"/>
  <c r="AA43" i="35" s="1"/>
  <c r="D32" i="36"/>
  <c r="B30" i="36"/>
  <c r="N41" i="35" s="1"/>
  <c r="C30" i="36"/>
  <c r="D30" i="36"/>
  <c r="B7" i="36"/>
  <c r="C7" i="36"/>
  <c r="D7" i="36"/>
  <c r="AN12" i="35" s="1"/>
  <c r="B5" i="36"/>
  <c r="N10" i="35" s="1"/>
  <c r="C5" i="36"/>
  <c r="AA10" i="35" s="1"/>
  <c r="D5" i="36"/>
  <c r="AN10" i="35" s="1"/>
  <c r="B3" i="36"/>
  <c r="N8" i="35" s="1"/>
  <c r="C3" i="36"/>
  <c r="AA8" i="35" s="1"/>
  <c r="D3" i="36"/>
  <c r="AN8" i="35" s="1"/>
  <c r="B27" i="36"/>
  <c r="N36" i="35" s="1"/>
  <c r="C27" i="36"/>
  <c r="D27" i="36"/>
  <c r="AN36" i="35" s="1"/>
  <c r="B25" i="36"/>
  <c r="N34" i="35" s="1"/>
  <c r="C25" i="36"/>
  <c r="D25" i="36"/>
  <c r="AN34" i="35" s="1"/>
  <c r="B23" i="36"/>
  <c r="N32" i="35"/>
  <c r="C23" i="36"/>
  <c r="D23" i="36"/>
  <c r="AN32" i="35" s="1"/>
  <c r="A36" i="36"/>
  <c r="A47" i="35" s="1"/>
  <c r="A34" i="36"/>
  <c r="A45" i="35" s="1"/>
  <c r="A32" i="36"/>
  <c r="A43" i="35" s="1"/>
  <c r="A30" i="36"/>
  <c r="A41" i="35" s="1"/>
  <c r="A7" i="36"/>
  <c r="A12" i="35" s="1"/>
  <c r="A3" i="36"/>
  <c r="A8" i="35"/>
  <c r="A27" i="36"/>
  <c r="A36" i="35" s="1"/>
  <c r="A25" i="36"/>
  <c r="A34" i="35" s="1"/>
  <c r="A23" i="36"/>
  <c r="A32" i="35" s="1"/>
  <c r="A20" i="36"/>
  <c r="A27" i="35" s="1"/>
  <c r="A18" i="36"/>
  <c r="A25" i="35" s="1"/>
  <c r="C14" i="36"/>
  <c r="AA21" i="35" s="1"/>
  <c r="D14" i="36"/>
  <c r="AN21" i="35" s="1"/>
  <c r="A14" i="36"/>
  <c r="A21" i="35" s="1"/>
  <c r="C16" i="36"/>
  <c r="AA23" i="35" s="1"/>
  <c r="D16" i="36"/>
  <c r="AN23" i="35" s="1"/>
  <c r="AH118" i="32"/>
  <c r="AH119" i="32"/>
  <c r="E214" i="32" s="1"/>
  <c r="AH107" i="32"/>
  <c r="AH108" i="32"/>
  <c r="E207" i="32" s="1"/>
  <c r="AH94" i="32"/>
  <c r="AH95" i="32"/>
  <c r="E198" i="32" s="1"/>
  <c r="AH79" i="32"/>
  <c r="AH80" i="32" s="1"/>
  <c r="E191" i="32" s="1"/>
  <c r="AH62" i="32"/>
  <c r="AH63" i="32" s="1"/>
  <c r="E184" i="32" s="1"/>
  <c r="AH45" i="32"/>
  <c r="AH46" i="32" s="1"/>
  <c r="E177" i="32" s="1"/>
  <c r="A176" i="32"/>
  <c r="L177" i="32"/>
  <c r="V177" i="32"/>
  <c r="AF177" i="32"/>
  <c r="AP177" i="32"/>
  <c r="E179" i="32"/>
  <c r="A183" i="32"/>
  <c r="L183" i="32"/>
  <c r="V183" i="32"/>
  <c r="AF183" i="32"/>
  <c r="AP183" i="32"/>
  <c r="L184" i="32"/>
  <c r="S184" i="32"/>
  <c r="V184" i="32"/>
  <c r="AD184" i="32"/>
  <c r="AF184" i="32"/>
  <c r="AO184" i="32"/>
  <c r="AP184" i="32"/>
  <c r="E186" i="32"/>
  <c r="A190" i="32"/>
  <c r="L191" i="32"/>
  <c r="S191" i="32"/>
  <c r="V191" i="32"/>
  <c r="AD191" i="32"/>
  <c r="AF191" i="32"/>
  <c r="AO191" i="32"/>
  <c r="AP191" i="32"/>
  <c r="E193" i="32"/>
  <c r="A197" i="32"/>
  <c r="L197" i="32"/>
  <c r="V197" i="32"/>
  <c r="AF197" i="32"/>
  <c r="AP197" i="32"/>
  <c r="AZ197" i="32"/>
  <c r="L198" i="32"/>
  <c r="V198" i="32"/>
  <c r="AF198" i="32"/>
  <c r="AP198" i="32"/>
  <c r="AZ198" i="32"/>
  <c r="E200" i="32"/>
  <c r="L2" i="32"/>
  <c r="E209" i="32"/>
  <c r="E216" i="32"/>
  <c r="E223" i="32"/>
  <c r="E221" i="32"/>
  <c r="E220" i="32"/>
  <c r="A220" i="32"/>
  <c r="A213" i="32"/>
  <c r="A206" i="32"/>
  <c r="L175" i="32"/>
  <c r="AR173" i="32"/>
  <c r="AR174" i="32"/>
  <c r="L173" i="32"/>
  <c r="A42" i="26"/>
  <c r="L174" i="32"/>
  <c r="AR172" i="32"/>
  <c r="L172" i="32"/>
  <c r="A108" i="32"/>
  <c r="A107" i="32"/>
  <c r="A95" i="32"/>
  <c r="A94" i="32"/>
  <c r="A80" i="32"/>
  <c r="A79" i="32"/>
  <c r="A46" i="32"/>
  <c r="A45" i="32"/>
  <c r="A63" i="32"/>
  <c r="A62" i="32"/>
  <c r="X22" i="26"/>
  <c r="W23" i="26" s="1"/>
  <c r="A62" i="26"/>
  <c r="K47" i="26"/>
  <c r="AR2" i="32"/>
  <c r="L4" i="32"/>
  <c r="E7" i="14"/>
  <c r="I14" i="26" s="1"/>
  <c r="E8" i="14"/>
  <c r="K14" i="26" s="1"/>
  <c r="E9" i="14"/>
  <c r="N14" i="26" s="1"/>
  <c r="AA13" i="26"/>
  <c r="H57" i="26"/>
  <c r="F51" i="26"/>
  <c r="AE13" i="26"/>
  <c r="AG13" i="26"/>
  <c r="AL37" i="26"/>
  <c r="A51" i="26"/>
  <c r="A54" i="26" s="1"/>
  <c r="Y13" i="26"/>
  <c r="X2" i="26"/>
  <c r="H48" i="26"/>
  <c r="AH13" i="26"/>
  <c r="B112" i="26"/>
  <c r="B128" i="26"/>
  <c r="B131" i="26"/>
  <c r="B132" i="26" s="1"/>
  <c r="AJ26" i="26" s="1"/>
  <c r="K128" i="26"/>
  <c r="AH65" i="26"/>
  <c r="W13" i="26"/>
  <c r="X13" i="26"/>
  <c r="F50" i="26"/>
  <c r="S25" i="26"/>
  <c r="M73" i="26"/>
  <c r="N12" i="26"/>
  <c r="A48" i="26"/>
  <c r="L10" i="1"/>
  <c r="P10" i="1"/>
  <c r="K11" i="1"/>
  <c r="L11" i="1"/>
  <c r="K31" i="1"/>
  <c r="K29" i="1"/>
  <c r="L29" i="1" s="1"/>
  <c r="K30" i="1"/>
  <c r="K17" i="1"/>
  <c r="L17" i="1" s="1"/>
  <c r="K24" i="1"/>
  <c r="L24" i="1"/>
  <c r="K22" i="1"/>
  <c r="L22" i="1"/>
  <c r="K23" i="1"/>
  <c r="L23" i="1" s="1"/>
  <c r="K15" i="1"/>
  <c r="L15" i="1"/>
  <c r="L30" i="1"/>
  <c r="N12" i="35"/>
  <c r="AP16" i="1"/>
  <c r="AQ16" i="1" s="1"/>
  <c r="AP17" i="1"/>
  <c r="AP15" i="1"/>
  <c r="AP18" i="1"/>
  <c r="AV8" i="1"/>
  <c r="AW8" i="1" s="1"/>
  <c r="AP8" i="1"/>
  <c r="AP12" i="1" s="1"/>
  <c r="AV9" i="1"/>
  <c r="AP9" i="1"/>
  <c r="AQ9" i="1"/>
  <c r="AP11" i="1"/>
  <c r="N28" i="1"/>
  <c r="P28" i="1" s="1"/>
  <c r="N29" i="1"/>
  <c r="P29" i="1" s="1"/>
  <c r="N18" i="1"/>
  <c r="P18" i="1"/>
  <c r="N22" i="1"/>
  <c r="P22" i="1"/>
  <c r="N23" i="1"/>
  <c r="P23" i="1" s="1"/>
  <c r="P25" i="1" s="1"/>
  <c r="N24" i="1"/>
  <c r="P24" i="1" s="1"/>
  <c r="N16" i="1"/>
  <c r="P16" i="1"/>
  <c r="N11" i="1"/>
  <c r="P11" i="1"/>
  <c r="A45" i="26"/>
  <c r="X69" i="26"/>
  <c r="K45" i="26"/>
  <c r="A88" i="26"/>
  <c r="A69" i="26"/>
  <c r="A28" i="32"/>
  <c r="A21" i="32"/>
  <c r="A15" i="32"/>
  <c r="X66" i="26"/>
  <c r="A14" i="32"/>
  <c r="X68" i="26"/>
  <c r="H19" i="1"/>
  <c r="A67" i="26"/>
  <c r="AO13" i="26"/>
  <c r="AN13" i="26"/>
  <c r="AL13" i="26"/>
  <c r="X23" i="26"/>
  <c r="L128" i="26" a="1"/>
  <c r="L128" i="26" s="1"/>
  <c r="L120" i="26" a="1"/>
  <c r="L120" i="26" s="1"/>
  <c r="A139" i="32"/>
  <c r="L125" i="26" a="1"/>
  <c r="L125" i="26" s="1"/>
  <c r="C122" i="26" a="1"/>
  <c r="C122" i="26" s="1"/>
  <c r="L113" i="26" a="1"/>
  <c r="L113" i="26" s="1"/>
  <c r="L122" i="26" a="1"/>
  <c r="L122" i="26" s="1"/>
  <c r="L121" i="26" a="1"/>
  <c r="L121" i="26" s="1"/>
  <c r="C120" i="26" a="1"/>
  <c r="C120" i="26" s="1"/>
  <c r="C116" i="26" a="1"/>
  <c r="C116" i="26" s="1"/>
  <c r="C123" i="26" a="1"/>
  <c r="C123" i="26" s="1"/>
  <c r="L116" i="26" a="1"/>
  <c r="L116" i="26"/>
  <c r="L115" i="26" a="1"/>
  <c r="L115" i="26" s="1"/>
  <c r="C113" i="26" a="1"/>
  <c r="C113" i="26" s="1"/>
  <c r="C121" i="26" a="1"/>
  <c r="C121" i="26" s="1"/>
  <c r="C126" i="26" a="1"/>
  <c r="C126" i="26" s="1"/>
  <c r="C117" i="26" a="1"/>
  <c r="C117" i="26"/>
  <c r="C119" i="26" a="1"/>
  <c r="C119" i="26" s="1"/>
  <c r="L123" i="26" a="1"/>
  <c r="L123" i="26" s="1"/>
  <c r="L126" i="26" a="1"/>
  <c r="L126" i="26" s="1"/>
  <c r="L124" i="26" a="1"/>
  <c r="L124" i="26" s="1"/>
  <c r="J67" i="26"/>
  <c r="C115" i="26" a="1"/>
  <c r="C115" i="26" s="1"/>
  <c r="A13" i="32"/>
  <c r="A86" i="26"/>
  <c r="X67" i="26"/>
  <c r="A138" i="32"/>
  <c r="L117" i="26" a="1"/>
  <c r="L117" i="26"/>
  <c r="L119" i="26" a="1"/>
  <c r="L119" i="26" s="1"/>
  <c r="C124" i="26" a="1"/>
  <c r="C124" i="26" s="1"/>
  <c r="L114" i="26" a="1"/>
  <c r="L114" i="26" s="1"/>
  <c r="L112" i="26" a="1"/>
  <c r="L112" i="26"/>
  <c r="L127" i="26" a="1"/>
  <c r="L127" i="26" s="1"/>
  <c r="L118" i="26" a="1"/>
  <c r="L118" i="26"/>
  <c r="C128" i="26" a="1"/>
  <c r="C128" i="26" s="1"/>
  <c r="C125" i="26" a="1"/>
  <c r="C125" i="26" s="1"/>
  <c r="C118" i="26" a="1"/>
  <c r="C118" i="26"/>
  <c r="C114" i="26" a="1"/>
  <c r="C114" i="26" s="1"/>
  <c r="C112" i="26" a="1"/>
  <c r="C112" i="26" s="1"/>
  <c r="C127" i="26" a="1"/>
  <c r="C127" i="26" s="1"/>
  <c r="AQ18" i="1"/>
  <c r="AQ15" i="1"/>
  <c r="AQ17" i="1"/>
  <c r="K25" i="1"/>
  <c r="I19" i="1"/>
  <c r="I6" i="14"/>
  <c r="L31" i="1"/>
  <c r="N32" i="1"/>
  <c r="I32" i="1"/>
  <c r="X32" i="1"/>
  <c r="AD32" i="1"/>
  <c r="BH32" i="1"/>
  <c r="BC25" i="1"/>
  <c r="E25" i="1"/>
  <c r="BB25" i="1"/>
  <c r="BF25" i="1"/>
  <c r="C25" i="1"/>
  <c r="X34" i="1"/>
  <c r="AP25" i="1"/>
  <c r="BH34" i="1"/>
  <c r="BB34" i="1"/>
  <c r="F25" i="1"/>
  <c r="BI25" i="1"/>
  <c r="AV25" i="1"/>
  <c r="N25" i="1"/>
  <c r="B25" i="1"/>
  <c r="BE34" i="1"/>
  <c r="BE25" i="1"/>
  <c r="AV19" i="1"/>
  <c r="K19" i="1"/>
  <c r="AD19" i="1"/>
  <c r="K34" i="1"/>
  <c r="N19" i="1"/>
  <c r="AJ19" i="1"/>
  <c r="AP19" i="1"/>
  <c r="P15" i="1"/>
  <c r="P19" i="1"/>
  <c r="AK15" i="1"/>
  <c r="BI12" i="1"/>
  <c r="H34" i="1"/>
  <c r="AQ11" i="1"/>
  <c r="BC11" i="1"/>
  <c r="BC12" i="1" s="1"/>
  <c r="BF12" i="1"/>
  <c r="N12" i="1"/>
  <c r="K12" i="1"/>
  <c r="BE12" i="1"/>
  <c r="E34" i="1"/>
  <c r="BE42" i="1"/>
  <c r="N16" i="26" s="1"/>
  <c r="BH42" i="1"/>
  <c r="BL3" i="35" s="1"/>
  <c r="AK9" i="1"/>
  <c r="AW9" i="1"/>
  <c r="AV12" i="1"/>
  <c r="X37" i="1"/>
  <c r="BB42" i="1"/>
  <c r="BJ3" i="35" s="1"/>
  <c r="B12" i="1"/>
  <c r="N34" i="1"/>
  <c r="N37" i="1" s="1"/>
  <c r="H12" i="1"/>
  <c r="P7" i="1"/>
  <c r="AJ12" i="1"/>
  <c r="B34" i="1"/>
  <c r="C7" i="1"/>
  <c r="B42" i="1" s="1"/>
  <c r="R32" i="1"/>
  <c r="R25" i="1"/>
  <c r="R19" i="1"/>
  <c r="R34" i="1"/>
  <c r="R12" i="1"/>
  <c r="AS16" i="1"/>
  <c r="AX16" i="1"/>
  <c r="AZ16" i="1" s="1"/>
  <c r="AM22" i="1"/>
  <c r="AM16" i="1"/>
  <c r="AL16" i="1"/>
  <c r="AN16" i="1" s="1"/>
  <c r="AG16" i="1"/>
  <c r="AF16" i="1"/>
  <c r="AH16" i="1"/>
  <c r="AA16" i="1"/>
  <c r="U16" i="1"/>
  <c r="H33" i="83"/>
  <c r="H31" i="83"/>
  <c r="BK3" i="35"/>
  <c r="O16" i="26"/>
  <c r="C12" i="1"/>
  <c r="D86" i="77"/>
  <c r="AL22" i="1"/>
  <c r="AN22" i="1" s="1"/>
  <c r="AR16" i="1"/>
  <c r="AT16" i="1" s="1"/>
  <c r="AY16" i="1"/>
  <c r="AM7" i="1"/>
  <c r="AL7" i="1"/>
  <c r="AN7" i="1" s="1"/>
  <c r="Z16" i="1"/>
  <c r="AB16" i="1" s="1"/>
  <c r="T16" i="1"/>
  <c r="V16" i="1"/>
  <c r="I12" i="1" l="1"/>
  <c r="AH51" i="80"/>
  <c r="O31" i="1" s="1"/>
  <c r="AH52" i="80"/>
  <c r="L19" i="1"/>
  <c r="N42" i="1"/>
  <c r="P12" i="1"/>
  <c r="F12" i="1"/>
  <c r="E42" i="1"/>
  <c r="V51" i="80"/>
  <c r="O22" i="1" s="1"/>
  <c r="V52" i="80"/>
  <c r="BK16" i="1"/>
  <c r="L32" i="1"/>
  <c r="P51" i="80"/>
  <c r="O16" i="1" s="1"/>
  <c r="N51" i="80"/>
  <c r="O15" i="1" s="1"/>
  <c r="T52" i="80"/>
  <c r="T51" i="80"/>
  <c r="O18" i="1" s="1"/>
  <c r="P32" i="1"/>
  <c r="L25" i="1"/>
  <c r="BA3" i="35"/>
  <c r="D16" i="26"/>
  <c r="L12" i="1"/>
  <c r="K42" i="1"/>
  <c r="AF52" i="80"/>
  <c r="AF51" i="80"/>
  <c r="O30" i="1" s="1"/>
  <c r="M8" i="75"/>
  <c r="M7" i="75"/>
  <c r="U7" i="77"/>
  <c r="U8" i="77"/>
  <c r="V77" i="74"/>
  <c r="V76" i="74" s="1"/>
  <c r="E17" i="74"/>
  <c r="E19" i="74"/>
  <c r="E21" i="74"/>
  <c r="E18" i="74"/>
  <c r="E20" i="74"/>
  <c r="O7" i="76"/>
  <c r="O8" i="76"/>
  <c r="E8" i="77"/>
  <c r="E7" i="77"/>
  <c r="M8" i="78"/>
  <c r="M9" i="78"/>
  <c r="M10" i="78"/>
  <c r="U10" i="79"/>
  <c r="U8" i="79"/>
  <c r="U9" i="79"/>
  <c r="X52" i="80"/>
  <c r="H32" i="1"/>
  <c r="O18" i="74"/>
  <c r="O20" i="74"/>
  <c r="O19" i="74"/>
  <c r="O21" i="74"/>
  <c r="O17" i="74"/>
  <c r="O8" i="75"/>
  <c r="O7" i="75"/>
  <c r="W12" i="78"/>
  <c r="W13" i="78"/>
  <c r="W11" i="78"/>
  <c r="E8" i="79"/>
  <c r="E9" i="79"/>
  <c r="E10" i="79"/>
  <c r="Z52" i="80"/>
  <c r="BB12" i="1"/>
  <c r="BB19" i="1"/>
  <c r="M16" i="26"/>
  <c r="X24" i="26"/>
  <c r="P52" i="80"/>
  <c r="U17" i="74"/>
  <c r="U18" i="74"/>
  <c r="U20" i="74"/>
  <c r="U19" i="74"/>
  <c r="U21" i="74"/>
  <c r="U8" i="76"/>
  <c r="U7" i="76"/>
  <c r="O10" i="78"/>
  <c r="O8" i="78"/>
  <c r="O9" i="78"/>
  <c r="AB52" i="80"/>
  <c r="J52" i="80"/>
  <c r="J51" i="80"/>
  <c r="E12" i="1"/>
  <c r="AH80" i="76"/>
  <c r="AH79" i="76" s="1"/>
  <c r="T80" i="76"/>
  <c r="T79" i="76" s="1"/>
  <c r="L80" i="76"/>
  <c r="L79" i="76" s="1"/>
  <c r="T102" i="79"/>
  <c r="T101" i="79" s="1"/>
  <c r="N77" i="74"/>
  <c r="N76" i="74" s="1"/>
  <c r="AQ8" i="1"/>
  <c r="K32" i="1"/>
  <c r="U8" i="75"/>
  <c r="U7" i="75"/>
  <c r="E8" i="76"/>
  <c r="E7" i="76"/>
  <c r="M7" i="77"/>
  <c r="M8" i="77"/>
  <c r="AD52" i="80"/>
  <c r="BL16" i="1"/>
  <c r="BN16" i="1" s="1"/>
  <c r="U8" i="78"/>
  <c r="U10" i="78"/>
  <c r="U9" i="78"/>
  <c r="D51" i="80"/>
  <c r="AJ32" i="1"/>
  <c r="AK28" i="1"/>
  <c r="E8" i="75"/>
  <c r="E7" i="75"/>
  <c r="W10" i="75"/>
  <c r="W9" i="75"/>
  <c r="H52" i="80"/>
  <c r="A52" i="80" s="1"/>
  <c r="H51" i="80"/>
  <c r="R37" i="1"/>
  <c r="M7" i="76"/>
  <c r="M8" i="76"/>
  <c r="O10" i="79"/>
  <c r="O9" i="79"/>
  <c r="O8" i="79"/>
  <c r="W12" i="79"/>
  <c r="W11" i="79"/>
  <c r="W13" i="79"/>
  <c r="I22" i="1"/>
  <c r="H42" i="1" s="1"/>
  <c r="H25" i="1"/>
  <c r="AJ23" i="1"/>
  <c r="AD23" i="1"/>
  <c r="AV29" i="1"/>
  <c r="AP29" i="1"/>
  <c r="AH80" i="77"/>
  <c r="AH79" i="77" s="1"/>
  <c r="AF80" i="77"/>
  <c r="AF79" i="77" s="1"/>
  <c r="V83" i="78"/>
  <c r="V82" i="78" s="1"/>
  <c r="T83" i="78"/>
  <c r="T82" i="78" s="1"/>
  <c r="AH102" i="79"/>
  <c r="AH101" i="79" s="1"/>
  <c r="AF102" i="79"/>
  <c r="AF101" i="79" s="1"/>
  <c r="V102" i="79"/>
  <c r="V101" i="79" s="1"/>
  <c r="T77" i="74"/>
  <c r="T76" i="74" s="1"/>
  <c r="E23" i="75"/>
  <c r="E22" i="75"/>
  <c r="E24" i="75"/>
  <c r="E25" i="75"/>
  <c r="E20" i="75"/>
  <c r="E21" i="75"/>
  <c r="W34" i="75"/>
  <c r="W35" i="75"/>
  <c r="O64" i="75"/>
  <c r="O59" i="75"/>
  <c r="O60" i="75"/>
  <c r="O61" i="75"/>
  <c r="O63" i="75"/>
  <c r="O62" i="75"/>
  <c r="W81" i="75"/>
  <c r="W82" i="75"/>
  <c r="W83" i="75"/>
  <c r="W84" i="75"/>
  <c r="U51" i="76"/>
  <c r="U49" i="76"/>
  <c r="U52" i="76"/>
  <c r="U50" i="76"/>
  <c r="U47" i="76"/>
  <c r="U48" i="76"/>
  <c r="W68" i="76"/>
  <c r="W63" i="76"/>
  <c r="W65" i="76"/>
  <c r="W67" i="76"/>
  <c r="W66" i="76"/>
  <c r="W64" i="76"/>
  <c r="O57" i="76"/>
  <c r="O55" i="76"/>
  <c r="O56" i="76"/>
  <c r="O53" i="76"/>
  <c r="O54" i="76"/>
  <c r="O58" i="76"/>
  <c r="O26" i="75"/>
  <c r="O27" i="75"/>
  <c r="K78" i="76"/>
  <c r="K75" i="76"/>
  <c r="K76" i="76"/>
  <c r="K77" i="76"/>
  <c r="U52" i="77"/>
  <c r="U50" i="77"/>
  <c r="U48" i="77"/>
  <c r="U49" i="77"/>
  <c r="U51" i="77"/>
  <c r="U47" i="77"/>
  <c r="U62" i="77"/>
  <c r="U59" i="77"/>
  <c r="U61" i="77"/>
  <c r="U60" i="77"/>
  <c r="M60" i="78"/>
  <c r="M57" i="78"/>
  <c r="M61" i="78"/>
  <c r="M59" i="78"/>
  <c r="M58" i="78"/>
  <c r="M56" i="78"/>
  <c r="K77" i="78"/>
  <c r="K75" i="78"/>
  <c r="K72" i="78"/>
  <c r="K74" i="78"/>
  <c r="K76" i="78"/>
  <c r="K73" i="78"/>
  <c r="M65" i="78"/>
  <c r="M62" i="78"/>
  <c r="M64" i="78"/>
  <c r="M63" i="78"/>
  <c r="O20" i="79"/>
  <c r="O19" i="79"/>
  <c r="O21" i="79"/>
  <c r="O22" i="79"/>
  <c r="U84" i="79"/>
  <c r="U81" i="79"/>
  <c r="U83" i="79"/>
  <c r="U82" i="79"/>
  <c r="D77" i="74"/>
  <c r="M18" i="74"/>
  <c r="W22" i="74"/>
  <c r="M45" i="74"/>
  <c r="E47" i="74"/>
  <c r="E50" i="74"/>
  <c r="O53" i="74"/>
  <c r="M55" i="74"/>
  <c r="O58" i="74"/>
  <c r="W64" i="74"/>
  <c r="W67" i="74"/>
  <c r="B58" i="74"/>
  <c r="B49" i="74"/>
  <c r="B69" i="75"/>
  <c r="B76" i="75"/>
  <c r="U24" i="1"/>
  <c r="T24" i="1"/>
  <c r="V24" i="1" s="1"/>
  <c r="BK24" i="1" s="1"/>
  <c r="M10" i="79"/>
  <c r="M8" i="79"/>
  <c r="M9" i="79"/>
  <c r="M27" i="26"/>
  <c r="N80" i="76"/>
  <c r="N79" i="76" s="1"/>
  <c r="U22" i="75"/>
  <c r="U23" i="75"/>
  <c r="U24" i="75"/>
  <c r="U25" i="75"/>
  <c r="U20" i="75"/>
  <c r="U21" i="75"/>
  <c r="E56" i="75"/>
  <c r="E57" i="75"/>
  <c r="E58" i="75"/>
  <c r="E53" i="75"/>
  <c r="E54" i="75"/>
  <c r="E55" i="75"/>
  <c r="M59" i="75"/>
  <c r="M60" i="75"/>
  <c r="M61" i="75"/>
  <c r="M62" i="75"/>
  <c r="M63" i="75"/>
  <c r="M64" i="75"/>
  <c r="K81" i="75"/>
  <c r="K82" i="75"/>
  <c r="K83" i="75"/>
  <c r="K84" i="75"/>
  <c r="J80" i="76"/>
  <c r="J79" i="76" s="1"/>
  <c r="M57" i="76"/>
  <c r="M55" i="76"/>
  <c r="M54" i="76"/>
  <c r="M58" i="76"/>
  <c r="M56" i="76"/>
  <c r="M53" i="76"/>
  <c r="O61" i="76"/>
  <c r="O59" i="76"/>
  <c r="O62" i="76"/>
  <c r="O60" i="76"/>
  <c r="O47" i="77"/>
  <c r="O52" i="77"/>
  <c r="O51" i="77"/>
  <c r="O48" i="77"/>
  <c r="O50" i="77"/>
  <c r="O49" i="77"/>
  <c r="E62" i="77"/>
  <c r="E61" i="77"/>
  <c r="E59" i="77"/>
  <c r="E60" i="77"/>
  <c r="E60" i="78"/>
  <c r="E57" i="78"/>
  <c r="E56" i="78"/>
  <c r="E61" i="78"/>
  <c r="E59" i="78"/>
  <c r="E58" i="78"/>
  <c r="W77" i="78"/>
  <c r="W75" i="78"/>
  <c r="W74" i="78"/>
  <c r="W72" i="78"/>
  <c r="W76" i="78"/>
  <c r="W73" i="78"/>
  <c r="E21" i="78"/>
  <c r="E23" i="78"/>
  <c r="E24" i="78"/>
  <c r="E25" i="78"/>
  <c r="E26" i="78"/>
  <c r="E22" i="78"/>
  <c r="M20" i="79"/>
  <c r="M21" i="79"/>
  <c r="M22" i="79"/>
  <c r="M19" i="79"/>
  <c r="E74" i="79"/>
  <c r="E72" i="79"/>
  <c r="E71" i="79"/>
  <c r="E69" i="79"/>
  <c r="E73" i="79"/>
  <c r="E70" i="79"/>
  <c r="W87" i="79"/>
  <c r="W89" i="79"/>
  <c r="W86" i="79"/>
  <c r="W90" i="79"/>
  <c r="W88" i="79"/>
  <c r="W85" i="79"/>
  <c r="E80" i="79"/>
  <c r="E78" i="79"/>
  <c r="E77" i="79"/>
  <c r="E79" i="79"/>
  <c r="E76" i="79"/>
  <c r="E75" i="79"/>
  <c r="O84" i="79"/>
  <c r="O83" i="79"/>
  <c r="O82" i="79"/>
  <c r="O81" i="79"/>
  <c r="W23" i="74"/>
  <c r="E45" i="74"/>
  <c r="U48" i="74"/>
  <c r="O51" i="74"/>
  <c r="M53" i="74"/>
  <c r="E55" i="74"/>
  <c r="M58" i="74"/>
  <c r="W60" i="74"/>
  <c r="K65" i="74"/>
  <c r="K68" i="74"/>
  <c r="K73" i="74"/>
  <c r="B57" i="74"/>
  <c r="O7" i="77"/>
  <c r="O8" i="77"/>
  <c r="W9" i="77"/>
  <c r="W10" i="77"/>
  <c r="E8" i="78"/>
  <c r="E9" i="78"/>
  <c r="E10" i="78"/>
  <c r="T80" i="77"/>
  <c r="T79" i="77" s="1"/>
  <c r="L80" i="77"/>
  <c r="L102" i="79"/>
  <c r="L101" i="79" s="1"/>
  <c r="O23" i="75"/>
  <c r="O24" i="75"/>
  <c r="O25" i="75"/>
  <c r="O20" i="75"/>
  <c r="O21" i="75"/>
  <c r="O22" i="75"/>
  <c r="U55" i="75"/>
  <c r="U56" i="75"/>
  <c r="U57" i="75"/>
  <c r="U58" i="75"/>
  <c r="U54" i="75"/>
  <c r="U53" i="75"/>
  <c r="W79" i="75"/>
  <c r="W80" i="75"/>
  <c r="W75" i="75"/>
  <c r="W76" i="75"/>
  <c r="W77" i="75"/>
  <c r="W78" i="75"/>
  <c r="U59" i="74"/>
  <c r="U57" i="74"/>
  <c r="U56" i="74"/>
  <c r="E22" i="76"/>
  <c r="E20" i="76"/>
  <c r="E18" i="76"/>
  <c r="E21" i="76"/>
  <c r="E23" i="76"/>
  <c r="E19" i="76"/>
  <c r="W27" i="76"/>
  <c r="W26" i="76"/>
  <c r="W29" i="76"/>
  <c r="W28" i="76"/>
  <c r="W25" i="76"/>
  <c r="W24" i="76"/>
  <c r="W69" i="76"/>
  <c r="W74" i="76"/>
  <c r="W71" i="76"/>
  <c r="W73" i="76"/>
  <c r="W72" i="76"/>
  <c r="W70" i="76"/>
  <c r="M26" i="75"/>
  <c r="M27" i="75"/>
  <c r="M47" i="77"/>
  <c r="M52" i="77"/>
  <c r="M51" i="77"/>
  <c r="M48" i="77"/>
  <c r="M50" i="77"/>
  <c r="M49" i="77"/>
  <c r="K65" i="77"/>
  <c r="K68" i="77"/>
  <c r="K64" i="77"/>
  <c r="K67" i="77"/>
  <c r="K66" i="77"/>
  <c r="K63" i="77"/>
  <c r="K77" i="77"/>
  <c r="K76" i="77"/>
  <c r="K75" i="77"/>
  <c r="K78" i="77"/>
  <c r="U55" i="78"/>
  <c r="U53" i="78"/>
  <c r="U52" i="78"/>
  <c r="U54" i="78"/>
  <c r="U51" i="78"/>
  <c r="U50" i="78"/>
  <c r="U63" i="78"/>
  <c r="U65" i="78"/>
  <c r="U62" i="78"/>
  <c r="U64" i="78"/>
  <c r="M23" i="78"/>
  <c r="M25" i="78"/>
  <c r="M26" i="78"/>
  <c r="M24" i="78"/>
  <c r="M21" i="78"/>
  <c r="M22" i="78"/>
  <c r="U20" i="79"/>
  <c r="U21" i="79"/>
  <c r="U19" i="79"/>
  <c r="U22" i="79"/>
  <c r="U73" i="79"/>
  <c r="U70" i="79"/>
  <c r="U69" i="79"/>
  <c r="U74" i="79"/>
  <c r="U72" i="79"/>
  <c r="U71" i="79"/>
  <c r="K87" i="79"/>
  <c r="K89" i="79"/>
  <c r="K86" i="79"/>
  <c r="K90" i="79"/>
  <c r="K85" i="79"/>
  <c r="K88" i="79"/>
  <c r="U75" i="79"/>
  <c r="U80" i="79"/>
  <c r="U78" i="79"/>
  <c r="U77" i="79"/>
  <c r="U79" i="79"/>
  <c r="U76" i="79"/>
  <c r="M83" i="79"/>
  <c r="M82" i="79"/>
  <c r="M81" i="79"/>
  <c r="M84" i="79"/>
  <c r="L77" i="74"/>
  <c r="L76" i="74" s="1"/>
  <c r="AF77" i="74"/>
  <c r="AF76" i="74" s="1"/>
  <c r="K24" i="74"/>
  <c r="O48" i="74"/>
  <c r="M51" i="74"/>
  <c r="E53" i="74"/>
  <c r="O56" i="74"/>
  <c r="E58" i="74"/>
  <c r="K61" i="74"/>
  <c r="W65" i="74"/>
  <c r="W68" i="74"/>
  <c r="W73" i="74"/>
  <c r="AH86" i="75"/>
  <c r="AH85" i="75" s="1"/>
  <c r="V86" i="75"/>
  <c r="V85" i="75" s="1"/>
  <c r="L83" i="78"/>
  <c r="L82" i="78" s="1"/>
  <c r="M20" i="75"/>
  <c r="M21" i="75"/>
  <c r="M22" i="75"/>
  <c r="M23" i="75"/>
  <c r="M24" i="75"/>
  <c r="M25" i="75"/>
  <c r="O56" i="75"/>
  <c r="O57" i="75"/>
  <c r="O58" i="75"/>
  <c r="O53" i="75"/>
  <c r="O54" i="75"/>
  <c r="O55" i="75"/>
  <c r="K79" i="75"/>
  <c r="K80" i="75"/>
  <c r="K75" i="75"/>
  <c r="K76" i="75"/>
  <c r="K77" i="75"/>
  <c r="K78" i="75"/>
  <c r="U22" i="76"/>
  <c r="U20" i="76"/>
  <c r="U18" i="76"/>
  <c r="U21" i="76"/>
  <c r="U23" i="76"/>
  <c r="U19" i="76"/>
  <c r="K27" i="76"/>
  <c r="K26" i="76"/>
  <c r="K29" i="76"/>
  <c r="K24" i="76"/>
  <c r="K28" i="76"/>
  <c r="K25" i="76"/>
  <c r="E59" i="76"/>
  <c r="E61" i="76"/>
  <c r="E60" i="76"/>
  <c r="E62" i="76"/>
  <c r="E52" i="77"/>
  <c r="E51" i="77"/>
  <c r="E48" i="77"/>
  <c r="E50" i="77"/>
  <c r="E47" i="77"/>
  <c r="E49" i="77"/>
  <c r="W65" i="77"/>
  <c r="W68" i="77"/>
  <c r="W64" i="77"/>
  <c r="W67" i="77"/>
  <c r="W66" i="77"/>
  <c r="W63" i="77"/>
  <c r="O61" i="77"/>
  <c r="O59" i="77"/>
  <c r="O62" i="77"/>
  <c r="O60" i="77"/>
  <c r="O55" i="78"/>
  <c r="O53" i="78"/>
  <c r="O50" i="78"/>
  <c r="O52" i="78"/>
  <c r="O54" i="78"/>
  <c r="O51" i="78"/>
  <c r="E65" i="78"/>
  <c r="E64" i="78"/>
  <c r="E63" i="78"/>
  <c r="E62" i="78"/>
  <c r="O21" i="78"/>
  <c r="O22" i="78"/>
  <c r="O23" i="78"/>
  <c r="O24" i="78"/>
  <c r="O26" i="78"/>
  <c r="O25" i="78"/>
  <c r="W24" i="79"/>
  <c r="W25" i="79"/>
  <c r="W23" i="79"/>
  <c r="W26" i="79"/>
  <c r="E41" i="79"/>
  <c r="E37" i="79"/>
  <c r="E38" i="79"/>
  <c r="E39" i="79"/>
  <c r="E36" i="79"/>
  <c r="E40" i="79"/>
  <c r="W47" i="79"/>
  <c r="W48" i="79"/>
  <c r="W49" i="79"/>
  <c r="W45" i="79"/>
  <c r="W46" i="79"/>
  <c r="W44" i="79"/>
  <c r="E43" i="79"/>
  <c r="E42" i="79"/>
  <c r="W51" i="79"/>
  <c r="W50" i="79"/>
  <c r="O73" i="79"/>
  <c r="O70" i="79"/>
  <c r="O69" i="79"/>
  <c r="O74" i="79"/>
  <c r="O72" i="79"/>
  <c r="O71" i="79"/>
  <c r="O80" i="79"/>
  <c r="O78" i="79"/>
  <c r="O75" i="79"/>
  <c r="O77" i="79"/>
  <c r="O79" i="79"/>
  <c r="O76" i="79"/>
  <c r="W97" i="79"/>
  <c r="W100" i="79"/>
  <c r="W99" i="79"/>
  <c r="W98" i="79"/>
  <c r="J77" i="74"/>
  <c r="J76" i="74" s="1"/>
  <c r="W24" i="74"/>
  <c r="B72" i="74"/>
  <c r="B56" i="74"/>
  <c r="B64" i="74"/>
  <c r="B48" i="74"/>
  <c r="O44" i="74"/>
  <c r="M44" i="74"/>
  <c r="O46" i="74"/>
  <c r="M48" i="74"/>
  <c r="O50" i="74"/>
  <c r="E51" i="74"/>
  <c r="E56" i="74"/>
  <c r="O59" i="74"/>
  <c r="K60" i="74"/>
  <c r="W61" i="74"/>
  <c r="K69" i="74"/>
  <c r="K72" i="74"/>
  <c r="W74" i="74"/>
  <c r="B59" i="75"/>
  <c r="U17" i="1"/>
  <c r="T17" i="1"/>
  <c r="V17" i="1" s="1"/>
  <c r="BK17" i="1" s="1"/>
  <c r="N83" i="78"/>
  <c r="N82" i="78" s="1"/>
  <c r="I71" i="26"/>
  <c r="E94" i="26"/>
  <c r="K30" i="75"/>
  <c r="K31" i="75"/>
  <c r="K32" i="75"/>
  <c r="K33" i="75"/>
  <c r="K29" i="75"/>
  <c r="K28" i="75"/>
  <c r="M53" i="75"/>
  <c r="M54" i="75"/>
  <c r="M55" i="75"/>
  <c r="M56" i="75"/>
  <c r="M58" i="75"/>
  <c r="M57" i="75"/>
  <c r="E66" i="75"/>
  <c r="E67" i="75"/>
  <c r="E68" i="75"/>
  <c r="E65" i="75"/>
  <c r="U55" i="74"/>
  <c r="U53" i="74"/>
  <c r="U51" i="74"/>
  <c r="O22" i="76"/>
  <c r="O20" i="76"/>
  <c r="O21" i="76"/>
  <c r="O23" i="76"/>
  <c r="O19" i="76"/>
  <c r="O18" i="76"/>
  <c r="E51" i="76"/>
  <c r="E49" i="76"/>
  <c r="E47" i="76"/>
  <c r="E52" i="76"/>
  <c r="E50" i="76"/>
  <c r="E48" i="76"/>
  <c r="U62" i="76"/>
  <c r="U61" i="76"/>
  <c r="U59" i="76"/>
  <c r="U60" i="76"/>
  <c r="U23" i="77"/>
  <c r="U18" i="77"/>
  <c r="U19" i="77"/>
  <c r="U20" i="77"/>
  <c r="U21" i="77"/>
  <c r="U22" i="77"/>
  <c r="U57" i="77"/>
  <c r="U54" i="77"/>
  <c r="U53" i="77"/>
  <c r="U56" i="77"/>
  <c r="U55" i="77"/>
  <c r="U58" i="77"/>
  <c r="M52" i="78"/>
  <c r="M54" i="78"/>
  <c r="M51" i="78"/>
  <c r="M55" i="78"/>
  <c r="M53" i="78"/>
  <c r="M50" i="78"/>
  <c r="K71" i="78"/>
  <c r="K69" i="78"/>
  <c r="K66" i="78"/>
  <c r="K68" i="78"/>
  <c r="K70" i="78"/>
  <c r="K67" i="78"/>
  <c r="K80" i="78"/>
  <c r="K78" i="78"/>
  <c r="K79" i="78"/>
  <c r="K81" i="78"/>
  <c r="U21" i="78"/>
  <c r="U23" i="78"/>
  <c r="U24" i="78"/>
  <c r="U25" i="78"/>
  <c r="U26" i="78"/>
  <c r="U22" i="78"/>
  <c r="K31" i="78"/>
  <c r="K27" i="78"/>
  <c r="K28" i="78"/>
  <c r="K29" i="78"/>
  <c r="K30" i="78"/>
  <c r="K32" i="78"/>
  <c r="K26" i="79"/>
  <c r="K23" i="79"/>
  <c r="K24" i="79"/>
  <c r="K25" i="79"/>
  <c r="U39" i="79"/>
  <c r="U40" i="79"/>
  <c r="U36" i="79"/>
  <c r="U41" i="79"/>
  <c r="U37" i="79"/>
  <c r="U38" i="79"/>
  <c r="K46" i="79"/>
  <c r="K47" i="79"/>
  <c r="K48" i="79"/>
  <c r="K49" i="79"/>
  <c r="K44" i="79"/>
  <c r="K45" i="79"/>
  <c r="U43" i="79"/>
  <c r="U42" i="79"/>
  <c r="K50" i="79"/>
  <c r="K51" i="79"/>
  <c r="M74" i="79"/>
  <c r="M72" i="79"/>
  <c r="M69" i="79"/>
  <c r="M71" i="79"/>
  <c r="M73" i="79"/>
  <c r="M70" i="79"/>
  <c r="M80" i="79"/>
  <c r="M78" i="79"/>
  <c r="M77" i="79"/>
  <c r="M75" i="79"/>
  <c r="M79" i="79"/>
  <c r="M76" i="79"/>
  <c r="K100" i="79"/>
  <c r="K99" i="79"/>
  <c r="K97" i="79"/>
  <c r="K98" i="79"/>
  <c r="K25" i="74"/>
  <c r="M46" i="74"/>
  <c r="E48" i="74"/>
  <c r="U52" i="74"/>
  <c r="O54" i="74"/>
  <c r="M59" i="74"/>
  <c r="K62" i="74"/>
  <c r="W69" i="74"/>
  <c r="K75" i="74"/>
  <c r="L86" i="75"/>
  <c r="L85" i="75" s="1"/>
  <c r="AG23" i="1"/>
  <c r="AF23" i="1"/>
  <c r="AF80" i="76"/>
  <c r="AF79" i="76" s="1"/>
  <c r="N80" i="77"/>
  <c r="N79" i="77" s="1"/>
  <c r="D83" i="78"/>
  <c r="AH83" i="78"/>
  <c r="AH82" i="78" s="1"/>
  <c r="AF83" i="78"/>
  <c r="AF82" i="78" s="1"/>
  <c r="W30" i="75"/>
  <c r="W31" i="75"/>
  <c r="W32" i="75"/>
  <c r="W33" i="75"/>
  <c r="W28" i="75"/>
  <c r="W29" i="75"/>
  <c r="W71" i="75"/>
  <c r="W72" i="75"/>
  <c r="W73" i="75"/>
  <c r="W74" i="75"/>
  <c r="W69" i="75"/>
  <c r="W70" i="75"/>
  <c r="U65" i="75"/>
  <c r="U66" i="75"/>
  <c r="U67" i="75"/>
  <c r="U68" i="75"/>
  <c r="M22" i="76"/>
  <c r="M20" i="76"/>
  <c r="M21" i="76"/>
  <c r="M18" i="76"/>
  <c r="M23" i="76"/>
  <c r="M19" i="76"/>
  <c r="K67" i="76"/>
  <c r="K64" i="76"/>
  <c r="K65" i="76"/>
  <c r="K68" i="76"/>
  <c r="K66" i="76"/>
  <c r="K63" i="76"/>
  <c r="O18" i="77"/>
  <c r="O19" i="77"/>
  <c r="O20" i="77"/>
  <c r="O21" i="77"/>
  <c r="O22" i="77"/>
  <c r="O23" i="77"/>
  <c r="O58" i="77"/>
  <c r="O56" i="77"/>
  <c r="O53" i="77"/>
  <c r="O55" i="77"/>
  <c r="O57" i="77"/>
  <c r="O54" i="77"/>
  <c r="W76" i="77"/>
  <c r="W75" i="77"/>
  <c r="W77" i="77"/>
  <c r="W78" i="77"/>
  <c r="E52" i="78"/>
  <c r="E54" i="78"/>
  <c r="E51" i="78"/>
  <c r="E50" i="78"/>
  <c r="E55" i="78"/>
  <c r="E53" i="78"/>
  <c r="W71" i="78"/>
  <c r="W69" i="78"/>
  <c r="W68" i="78"/>
  <c r="W66" i="78"/>
  <c r="W70" i="78"/>
  <c r="W67" i="78"/>
  <c r="O63" i="78"/>
  <c r="O62" i="78"/>
  <c r="O65" i="78"/>
  <c r="O64" i="78"/>
  <c r="W27" i="78"/>
  <c r="W28" i="78"/>
  <c r="W29" i="78"/>
  <c r="W30" i="78"/>
  <c r="W31" i="78"/>
  <c r="W32" i="78"/>
  <c r="J83" i="78"/>
  <c r="J82" i="78" s="1"/>
  <c r="O40" i="79"/>
  <c r="O41" i="79"/>
  <c r="O37" i="79"/>
  <c r="O36" i="79"/>
  <c r="O38" i="79"/>
  <c r="O39" i="79"/>
  <c r="O43" i="79"/>
  <c r="O42" i="79"/>
  <c r="W95" i="79"/>
  <c r="W92" i="79"/>
  <c r="W96" i="79"/>
  <c r="W94" i="79"/>
  <c r="W91" i="79"/>
  <c r="W93" i="79"/>
  <c r="E7" i="74"/>
  <c r="U7" i="74"/>
  <c r="K22" i="74"/>
  <c r="W25" i="74"/>
  <c r="E46" i="74"/>
  <c r="O49" i="74"/>
  <c r="U50" i="74"/>
  <c r="O52" i="74"/>
  <c r="M54" i="74"/>
  <c r="M57" i="74"/>
  <c r="E59" i="74"/>
  <c r="W62" i="74"/>
  <c r="W66" i="74"/>
  <c r="W70" i="74"/>
  <c r="W75" i="74"/>
  <c r="B75" i="74"/>
  <c r="B66" i="74"/>
  <c r="B56" i="75"/>
  <c r="M21" i="74"/>
  <c r="M19" i="74"/>
  <c r="J86" i="75"/>
  <c r="J85" i="75" s="1"/>
  <c r="E26" i="75"/>
  <c r="E27" i="75"/>
  <c r="E64" i="75"/>
  <c r="E59" i="75"/>
  <c r="E60" i="75"/>
  <c r="E61" i="75"/>
  <c r="E62" i="75"/>
  <c r="E63" i="75"/>
  <c r="O65" i="75"/>
  <c r="O66" i="75"/>
  <c r="O67" i="75"/>
  <c r="O68" i="75"/>
  <c r="U49" i="74"/>
  <c r="U47" i="74"/>
  <c r="U45" i="74"/>
  <c r="U44" i="74"/>
  <c r="V80" i="76"/>
  <c r="V79" i="76" s="1"/>
  <c r="M51" i="76"/>
  <c r="M49" i="76"/>
  <c r="M50" i="76"/>
  <c r="M47" i="76"/>
  <c r="M48" i="76"/>
  <c r="M52" i="76"/>
  <c r="E57" i="76"/>
  <c r="E55" i="76"/>
  <c r="E53" i="76"/>
  <c r="E58" i="76"/>
  <c r="E56" i="76"/>
  <c r="E54" i="76"/>
  <c r="U26" i="75"/>
  <c r="U27" i="75"/>
  <c r="M61" i="76"/>
  <c r="M62" i="76"/>
  <c r="M60" i="76"/>
  <c r="M59" i="76"/>
  <c r="M21" i="77"/>
  <c r="M22" i="77"/>
  <c r="M23" i="77"/>
  <c r="M18" i="77"/>
  <c r="M19" i="77"/>
  <c r="M20" i="77"/>
  <c r="K27" i="77"/>
  <c r="K28" i="77"/>
  <c r="K29" i="77"/>
  <c r="K24" i="77"/>
  <c r="K25" i="77"/>
  <c r="K26" i="77"/>
  <c r="M57" i="77"/>
  <c r="M55" i="77"/>
  <c r="M56" i="77"/>
  <c r="M58" i="77"/>
  <c r="M54" i="77"/>
  <c r="M53" i="77"/>
  <c r="K74" i="77"/>
  <c r="K72" i="77"/>
  <c r="K70" i="77"/>
  <c r="K69" i="77"/>
  <c r="K73" i="77"/>
  <c r="K71" i="77"/>
  <c r="M61" i="77"/>
  <c r="M62" i="77"/>
  <c r="M59" i="77"/>
  <c r="M60" i="77"/>
  <c r="U58" i="78"/>
  <c r="U60" i="78"/>
  <c r="U57" i="78"/>
  <c r="U56" i="78"/>
  <c r="U61" i="78"/>
  <c r="U59" i="78"/>
  <c r="M40" i="79"/>
  <c r="M41" i="79"/>
  <c r="M37" i="79"/>
  <c r="M38" i="79"/>
  <c r="M36" i="79"/>
  <c r="M39" i="79"/>
  <c r="M42" i="79"/>
  <c r="M43" i="79"/>
  <c r="K95" i="79"/>
  <c r="K92" i="79"/>
  <c r="K96" i="79"/>
  <c r="K94" i="79"/>
  <c r="K91" i="79"/>
  <c r="K93" i="79"/>
  <c r="W9" i="74"/>
  <c r="AH77" i="74"/>
  <c r="AH76" i="74" s="1"/>
  <c r="K26" i="74"/>
  <c r="E44" i="74"/>
  <c r="O47" i="74"/>
  <c r="M49" i="74"/>
  <c r="M52" i="74"/>
  <c r="E54" i="74"/>
  <c r="K63" i="74"/>
  <c r="K71" i="74"/>
  <c r="B55" i="75"/>
  <c r="K71" i="75"/>
  <c r="K72" i="75"/>
  <c r="K73" i="75"/>
  <c r="K74" i="75"/>
  <c r="K69" i="75"/>
  <c r="K70" i="75"/>
  <c r="D80" i="76"/>
  <c r="D102" i="79"/>
  <c r="N102" i="79"/>
  <c r="N101" i="79" s="1"/>
  <c r="A96" i="26"/>
  <c r="K34" i="75"/>
  <c r="K35" i="75"/>
  <c r="U63" i="75"/>
  <c r="U64" i="75"/>
  <c r="U59" i="75"/>
  <c r="U60" i="75"/>
  <c r="U61" i="75"/>
  <c r="U62" i="75"/>
  <c r="M67" i="75"/>
  <c r="M68" i="75"/>
  <c r="M65" i="75"/>
  <c r="M66" i="75"/>
  <c r="O51" i="76"/>
  <c r="O49" i="76"/>
  <c r="O50" i="76"/>
  <c r="O47" i="76"/>
  <c r="O48" i="76"/>
  <c r="O52" i="76"/>
  <c r="U57" i="76"/>
  <c r="U55" i="76"/>
  <c r="U56" i="76"/>
  <c r="U53" i="76"/>
  <c r="U54" i="76"/>
  <c r="U58" i="76"/>
  <c r="K73" i="76"/>
  <c r="K70" i="76"/>
  <c r="K71" i="76"/>
  <c r="K72" i="76"/>
  <c r="K74" i="76"/>
  <c r="K69" i="76"/>
  <c r="W76" i="76"/>
  <c r="W78" i="76"/>
  <c r="W75" i="76"/>
  <c r="W77" i="76"/>
  <c r="E23" i="77"/>
  <c r="E19" i="77"/>
  <c r="E21" i="77"/>
  <c r="E22" i="77"/>
  <c r="E18" i="77"/>
  <c r="E20" i="77"/>
  <c r="W27" i="77"/>
  <c r="W28" i="77"/>
  <c r="W29" i="77"/>
  <c r="W24" i="77"/>
  <c r="W25" i="77"/>
  <c r="W26" i="77"/>
  <c r="AL10" i="1"/>
  <c r="AN10" i="1" s="1"/>
  <c r="AM10" i="1"/>
  <c r="E56" i="77"/>
  <c r="E55" i="77"/>
  <c r="E58" i="77"/>
  <c r="E57" i="77"/>
  <c r="E54" i="77"/>
  <c r="E53" i="77"/>
  <c r="W73" i="77"/>
  <c r="W70" i="77"/>
  <c r="W69" i="77"/>
  <c r="W72" i="77"/>
  <c r="W74" i="77"/>
  <c r="W71" i="77"/>
  <c r="O58" i="78"/>
  <c r="O60" i="78"/>
  <c r="O57" i="78"/>
  <c r="O59" i="78"/>
  <c r="O56" i="78"/>
  <c r="O61" i="78"/>
  <c r="W80" i="78"/>
  <c r="W79" i="78"/>
  <c r="W78" i="78"/>
  <c r="W81" i="78"/>
  <c r="E21" i="79"/>
  <c r="E22" i="79"/>
  <c r="E20" i="79"/>
  <c r="E19" i="79"/>
  <c r="E83" i="79"/>
  <c r="E82" i="79"/>
  <c r="E81" i="79"/>
  <c r="E84" i="79"/>
  <c r="M20" i="74"/>
  <c r="U58" i="74"/>
  <c r="K66" i="74"/>
  <c r="K67" i="74"/>
  <c r="B63" i="75"/>
  <c r="B81" i="75"/>
  <c r="AF86" i="75"/>
  <c r="AF85" i="75" s="1"/>
  <c r="U28" i="1"/>
  <c r="T28" i="1"/>
  <c r="V28" i="1" s="1"/>
  <c r="T8" i="1"/>
  <c r="V8" i="1" s="1"/>
  <c r="BK8" i="1" s="1"/>
  <c r="U8" i="1"/>
  <c r="B70" i="76"/>
  <c r="AG17" i="1"/>
  <c r="AF17" i="1"/>
  <c r="AH17" i="1" s="1"/>
  <c r="B57" i="76"/>
  <c r="B49" i="76"/>
  <c r="B77" i="76"/>
  <c r="B69" i="76"/>
  <c r="U23" i="1"/>
  <c r="T23" i="1"/>
  <c r="V23" i="1" s="1"/>
  <c r="U9" i="1"/>
  <c r="T9" i="1"/>
  <c r="V9" i="1" s="1"/>
  <c r="BL9" i="1" s="1"/>
  <c r="BN9" i="1" s="1"/>
  <c r="AA29" i="1"/>
  <c r="Z29" i="1"/>
  <c r="AB29" i="1" s="1"/>
  <c r="U29" i="1"/>
  <c r="T29" i="1"/>
  <c r="V29" i="1" s="1"/>
  <c r="AA28" i="1"/>
  <c r="Z28" i="1"/>
  <c r="AB28" i="1" s="1"/>
  <c r="AA17" i="1"/>
  <c r="Z17" i="1"/>
  <c r="AB17" i="1" s="1"/>
  <c r="AF28" i="1"/>
  <c r="AH28" i="1" s="1"/>
  <c r="AG28" i="1"/>
  <c r="AG9" i="1"/>
  <c r="AF9" i="1"/>
  <c r="AH9" i="1" s="1"/>
  <c r="AA24" i="1"/>
  <c r="Z24" i="1"/>
  <c r="AB24" i="1" s="1"/>
  <c r="AG8" i="1"/>
  <c r="AF8" i="1"/>
  <c r="AH8" i="1" s="1"/>
  <c r="B47" i="76"/>
  <c r="AA23" i="1"/>
  <c r="Z23" i="1"/>
  <c r="AB23" i="1" s="1"/>
  <c r="AA9" i="1"/>
  <c r="Z9" i="1"/>
  <c r="AB9" i="1" s="1"/>
  <c r="AM9" i="1"/>
  <c r="AL9" i="1"/>
  <c r="AN9" i="1" s="1"/>
  <c r="AY29" i="1"/>
  <c r="AX29" i="1"/>
  <c r="AF29" i="1"/>
  <c r="AH29" i="1" s="1"/>
  <c r="AG29" i="1"/>
  <c r="AM28" i="1"/>
  <c r="AL28" i="1"/>
  <c r="AN28" i="1" s="1"/>
  <c r="D86" i="75"/>
  <c r="AA8" i="1"/>
  <c r="Z8" i="1"/>
  <c r="AB8" i="1" s="1"/>
  <c r="B67" i="77"/>
  <c r="B51" i="77"/>
  <c r="AM24" i="1"/>
  <c r="AL24" i="1"/>
  <c r="AN24" i="1" s="1"/>
  <c r="N86" i="75"/>
  <c r="B63" i="77"/>
  <c r="B47" i="77"/>
  <c r="B66" i="77"/>
  <c r="B50" i="77"/>
  <c r="AM23" i="1"/>
  <c r="AL23" i="1"/>
  <c r="AG24" i="1"/>
  <c r="AF24" i="1"/>
  <c r="AH24" i="1" s="1"/>
  <c r="B78" i="77"/>
  <c r="B62" i="77"/>
  <c r="B72" i="77"/>
  <c r="B56" i="77"/>
  <c r="AR23" i="1"/>
  <c r="AT23" i="1" s="1"/>
  <c r="AS23" i="1"/>
  <c r="B71" i="77"/>
  <c r="B55" i="77"/>
  <c r="B62" i="78"/>
  <c r="B78" i="78"/>
  <c r="AM29" i="1"/>
  <c r="AL29" i="1"/>
  <c r="AN29" i="1" s="1"/>
  <c r="AM17" i="1"/>
  <c r="AL17" i="1"/>
  <c r="AN17" i="1" s="1"/>
  <c r="AM8" i="1"/>
  <c r="AL8" i="1"/>
  <c r="AN8" i="1" s="1"/>
  <c r="B85" i="79"/>
  <c r="AS29" i="1"/>
  <c r="AR29" i="1"/>
  <c r="AY24" i="1"/>
  <c r="AX24" i="1"/>
  <c r="AZ24" i="1" s="1"/>
  <c r="AS28" i="1"/>
  <c r="AR28" i="1"/>
  <c r="AT28" i="1" s="1"/>
  <c r="AR9" i="1"/>
  <c r="AT9" i="1" s="1"/>
  <c r="AS9" i="1"/>
  <c r="AY23" i="1"/>
  <c r="AX23" i="1"/>
  <c r="AZ23" i="1" s="1"/>
  <c r="AX8" i="1"/>
  <c r="AZ8" i="1" s="1"/>
  <c r="AY8" i="1"/>
  <c r="AY28" i="1"/>
  <c r="AX28" i="1"/>
  <c r="AZ28" i="1" s="1"/>
  <c r="AR24" i="1"/>
  <c r="AT24" i="1" s="1"/>
  <c r="AS24" i="1"/>
  <c r="AS17" i="1"/>
  <c r="AR17" i="1"/>
  <c r="AT17" i="1" s="1"/>
  <c r="J102" i="79"/>
  <c r="J101" i="79" s="1"/>
  <c r="AX9" i="1"/>
  <c r="AZ9" i="1" s="1"/>
  <c r="AY9" i="1"/>
  <c r="AR8" i="1"/>
  <c r="AT8" i="1" s="1"/>
  <c r="AS8" i="1"/>
  <c r="AY17" i="1"/>
  <c r="AX17" i="1"/>
  <c r="AZ17" i="1" s="1"/>
  <c r="T86" i="75"/>
  <c r="T85" i="75" s="1"/>
  <c r="AA18" i="1" s="1"/>
  <c r="A19" i="35"/>
  <c r="N3" i="76"/>
  <c r="A14" i="1"/>
  <c r="F27" i="26"/>
  <c r="A34" i="81"/>
  <c r="N3" i="74"/>
  <c r="N3" i="77"/>
  <c r="A8" i="1"/>
  <c r="A28" i="1"/>
  <c r="A58" i="81"/>
  <c r="A79" i="26"/>
  <c r="M71" i="26"/>
  <c r="E89" i="26"/>
  <c r="E90" i="26"/>
  <c r="M92" i="26"/>
  <c r="AA34" i="35"/>
  <c r="A9" i="35"/>
  <c r="D3" i="76"/>
  <c r="N3" i="75"/>
  <c r="A15" i="1"/>
  <c r="A92" i="26"/>
  <c r="D3" i="77"/>
  <c r="V3" i="79"/>
  <c r="A6" i="81"/>
  <c r="A84" i="81"/>
  <c r="A18" i="1"/>
  <c r="V3" i="74"/>
  <c r="A7" i="81"/>
  <c r="A63" i="81"/>
  <c r="A27" i="81"/>
  <c r="A30" i="35"/>
  <c r="A6" i="35"/>
  <c r="D3" i="74"/>
  <c r="V3" i="75"/>
  <c r="A7" i="35"/>
  <c r="A89" i="26"/>
  <c r="I89" i="26"/>
  <c r="A90" i="26"/>
  <c r="A94" i="26"/>
  <c r="A98" i="26"/>
  <c r="E92" i="26"/>
  <c r="E98" i="26"/>
  <c r="I92" i="26"/>
  <c r="M90" i="26"/>
  <c r="K131" i="26" s="1"/>
  <c r="K132" i="26" s="1"/>
  <c r="AJ37" i="26" s="1"/>
  <c r="M94" i="26"/>
  <c r="I70" i="26"/>
  <c r="D3" i="79"/>
  <c r="D3" i="78"/>
  <c r="V3" i="76"/>
  <c r="V3" i="80"/>
  <c r="A16" i="1"/>
  <c r="J27" i="26"/>
  <c r="A17" i="81"/>
  <c r="A57" i="81"/>
  <c r="A75" i="26"/>
  <c r="AA12" i="35"/>
  <c r="AA32" i="35"/>
  <c r="AA36" i="35"/>
  <c r="A11" i="35"/>
  <c r="A7" i="1"/>
  <c r="D3" i="75"/>
  <c r="D3" i="80"/>
  <c r="V3" i="77"/>
  <c r="A6" i="1"/>
  <c r="AA41" i="35"/>
  <c r="D85" i="75"/>
  <c r="D92" i="75" s="1"/>
  <c r="G14" i="26"/>
  <c r="P13" i="26" s="1"/>
  <c r="E14" i="14"/>
  <c r="E16" i="14" s="1"/>
  <c r="AA11" i="1"/>
  <c r="Z11" i="1"/>
  <c r="AB11" i="1" s="1"/>
  <c r="Z18" i="1"/>
  <c r="AB18" i="1" s="1"/>
  <c r="B135" i="26"/>
  <c r="B136" i="26" s="1"/>
  <c r="AK26" i="26" s="1"/>
  <c r="K135" i="26"/>
  <c r="K136" i="26" s="1"/>
  <c r="AK37" i="26" s="1"/>
  <c r="N85" i="75"/>
  <c r="F16" i="26" l="1"/>
  <c r="BC3" i="35"/>
  <c r="B29" i="26"/>
  <c r="BM8" i="1"/>
  <c r="BJ12" i="81"/>
  <c r="BJ45" i="81"/>
  <c r="H29" i="26"/>
  <c r="BM17" i="1"/>
  <c r="BM24" i="1"/>
  <c r="BJ68" i="81"/>
  <c r="L29" i="26"/>
  <c r="A60" i="80"/>
  <c r="A59" i="80"/>
  <c r="A57" i="80"/>
  <c r="A58" i="80"/>
  <c r="A63" i="80"/>
  <c r="A62" i="80"/>
  <c r="A61" i="80"/>
  <c r="O35" i="1"/>
  <c r="AG15" i="1"/>
  <c r="AF15" i="1"/>
  <c r="AH15" i="1" s="1"/>
  <c r="AL30" i="1"/>
  <c r="AN30" i="1" s="1"/>
  <c r="AM30" i="1"/>
  <c r="AR11" i="1"/>
  <c r="AT11" i="1" s="1"/>
  <c r="AS11" i="1"/>
  <c r="AG10" i="1"/>
  <c r="AF10" i="1"/>
  <c r="AH10" i="1" s="1"/>
  <c r="AM31" i="1"/>
  <c r="AL31" i="1"/>
  <c r="AN31" i="1" s="1"/>
  <c r="BL8" i="1"/>
  <c r="BN8" i="1" s="1"/>
  <c r="AS30" i="1"/>
  <c r="AR30" i="1"/>
  <c r="AT30" i="1" s="1"/>
  <c r="U10" i="1"/>
  <c r="T10" i="1"/>
  <c r="V10" i="1" s="1"/>
  <c r="Z22" i="1"/>
  <c r="AB22" i="1" s="1"/>
  <c r="AB25" i="1" s="1"/>
  <c r="AA22" i="1"/>
  <c r="U18" i="1"/>
  <c r="T18" i="1"/>
  <c r="V18" i="1" s="1"/>
  <c r="AQ29" i="1"/>
  <c r="AP37" i="1" s="1"/>
  <c r="AP34" i="1"/>
  <c r="AP32" i="1"/>
  <c r="A51" i="80"/>
  <c r="O7" i="1"/>
  <c r="U15" i="1"/>
  <c r="T15" i="1"/>
  <c r="V15" i="1" s="1"/>
  <c r="V19" i="1" s="1"/>
  <c r="T22" i="1"/>
  <c r="V22" i="1" s="1"/>
  <c r="V25" i="1" s="1"/>
  <c r="U22" i="1"/>
  <c r="G16" i="26"/>
  <c r="BD3" i="35"/>
  <c r="O42" i="1"/>
  <c r="H16" i="26"/>
  <c r="BE3" i="35"/>
  <c r="AN32" i="1"/>
  <c r="AG22" i="1"/>
  <c r="AF22" i="1"/>
  <c r="AH22" i="1" s="1"/>
  <c r="AR31" i="1"/>
  <c r="AT31" i="1" s="1"/>
  <c r="AS31" i="1"/>
  <c r="Z31" i="1"/>
  <c r="AB31" i="1" s="1"/>
  <c r="AA31" i="1"/>
  <c r="AY11" i="1"/>
  <c r="AX11" i="1"/>
  <c r="AZ11" i="1" s="1"/>
  <c r="AX22" i="1"/>
  <c r="AZ22" i="1" s="1"/>
  <c r="AZ25" i="1" s="1"/>
  <c r="AY22" i="1"/>
  <c r="AW29" i="1"/>
  <c r="AV37" i="1" s="1"/>
  <c r="AV32" i="1"/>
  <c r="AV34" i="1"/>
  <c r="AX18" i="1"/>
  <c r="AZ18" i="1" s="1"/>
  <c r="AY18" i="1"/>
  <c r="G29" i="26"/>
  <c r="BJ40" i="81"/>
  <c r="BM16" i="1"/>
  <c r="BL17" i="1"/>
  <c r="BN17" i="1" s="1"/>
  <c r="AA10" i="1"/>
  <c r="Z10" i="1"/>
  <c r="AB10" i="1" s="1"/>
  <c r="D82" i="78"/>
  <c r="A83" i="78"/>
  <c r="D89" i="78"/>
  <c r="AR15" i="1"/>
  <c r="AT15" i="1" s="1"/>
  <c r="AS15" i="1"/>
  <c r="L79" i="77"/>
  <c r="A80" i="77"/>
  <c r="AY30" i="1"/>
  <c r="AX30" i="1"/>
  <c r="AZ30" i="1" s="1"/>
  <c r="AD25" i="1"/>
  <c r="AE23" i="1"/>
  <c r="AD37" i="1" s="1"/>
  <c r="AD34" i="1"/>
  <c r="AG11" i="1"/>
  <c r="AF11" i="1"/>
  <c r="AH11" i="1" s="1"/>
  <c r="BL24" i="1"/>
  <c r="BN24" i="1" s="1"/>
  <c r="BK9" i="1"/>
  <c r="AN23" i="1"/>
  <c r="AN25" i="1" s="1"/>
  <c r="AY15" i="1"/>
  <c r="AX15" i="1"/>
  <c r="AZ15" i="1" s="1"/>
  <c r="AZ19" i="1" s="1"/>
  <c r="AL15" i="1"/>
  <c r="AN15" i="1" s="1"/>
  <c r="AM15" i="1"/>
  <c r="AM18" i="1"/>
  <c r="AL18" i="1"/>
  <c r="AN18" i="1" s="1"/>
  <c r="D76" i="74"/>
  <c r="A77" i="74"/>
  <c r="AY31" i="1"/>
  <c r="AX31" i="1"/>
  <c r="AZ31" i="1" s="1"/>
  <c r="AK23" i="1"/>
  <c r="AJ37" i="1" s="1"/>
  <c r="AJ25" i="1"/>
  <c r="AJ34" i="1"/>
  <c r="AF18" i="1"/>
  <c r="AH18" i="1" s="1"/>
  <c r="AG18" i="1"/>
  <c r="BL28" i="1"/>
  <c r="BN28" i="1" s="1"/>
  <c r="D101" i="79"/>
  <c r="A102" i="79"/>
  <c r="AF30" i="1"/>
  <c r="AH30" i="1" s="1"/>
  <c r="AG30" i="1"/>
  <c r="U30" i="1"/>
  <c r="T30" i="1"/>
  <c r="V30" i="1" s="1"/>
  <c r="V32" i="1" s="1"/>
  <c r="AS18" i="1"/>
  <c r="AR18" i="1"/>
  <c r="AT18" i="1" s="1"/>
  <c r="BK18" i="1" s="1"/>
  <c r="AF31" i="1"/>
  <c r="AH31" i="1" s="1"/>
  <c r="AG31" i="1"/>
  <c r="A39" i="26"/>
  <c r="AD13" i="26"/>
  <c r="BK28" i="1"/>
  <c r="D58" i="80"/>
  <c r="A86" i="75"/>
  <c r="A92" i="75" s="1"/>
  <c r="AY10" i="1"/>
  <c r="AX10" i="1"/>
  <c r="AZ10" i="1" s="1"/>
  <c r="AH32" i="1"/>
  <c r="AA30" i="1"/>
  <c r="Z30" i="1"/>
  <c r="AB30" i="1" s="1"/>
  <c r="AB32" i="1" s="1"/>
  <c r="D79" i="76"/>
  <c r="A80" i="76"/>
  <c r="U31" i="1"/>
  <c r="T31" i="1"/>
  <c r="V31" i="1" s="1"/>
  <c r="AR10" i="1"/>
  <c r="AT10" i="1" s="1"/>
  <c r="AS10" i="1"/>
  <c r="T11" i="1"/>
  <c r="V11" i="1" s="1"/>
  <c r="BK11" i="1" s="1"/>
  <c r="U11" i="1"/>
  <c r="AS22" i="1"/>
  <c r="AR22" i="1"/>
  <c r="AT22" i="1" s="1"/>
  <c r="AT25" i="1" s="1"/>
  <c r="I25" i="1"/>
  <c r="BL22" i="1"/>
  <c r="BN22" i="1" s="1"/>
  <c r="BK22" i="1"/>
  <c r="BB3" i="35"/>
  <c r="E16" i="26"/>
  <c r="AA7" i="1"/>
  <c r="Z7" i="1"/>
  <c r="AB7" i="1" s="1"/>
  <c r="AB12" i="1" s="1"/>
  <c r="Z15" i="1"/>
  <c r="AB15" i="1" s="1"/>
  <c r="AA15" i="1"/>
  <c r="A85" i="75"/>
  <c r="A95" i="75"/>
  <c r="BL18" i="1"/>
  <c r="BN18" i="1" s="1"/>
  <c r="A94" i="75" l="1"/>
  <c r="AF7" i="1"/>
  <c r="AH7" i="1" s="1"/>
  <c r="AH12" i="1" s="1"/>
  <c r="AG7" i="1"/>
  <c r="A79" i="76"/>
  <c r="A88" i="74"/>
  <c r="A87" i="74"/>
  <c r="A85" i="74"/>
  <c r="A83" i="74"/>
  <c r="A82" i="74"/>
  <c r="A84" i="74"/>
  <c r="A86" i="74"/>
  <c r="T35" i="1"/>
  <c r="A89" i="78"/>
  <c r="A93" i="78"/>
  <c r="A91" i="78"/>
  <c r="A88" i="78"/>
  <c r="A90" i="78"/>
  <c r="A94" i="78"/>
  <c r="A92" i="78"/>
  <c r="AR35" i="1"/>
  <c r="U28" i="82"/>
  <c r="A44" i="81"/>
  <c r="A42" i="81"/>
  <c r="A41" i="81"/>
  <c r="A43" i="81"/>
  <c r="AH25" i="1"/>
  <c r="AT29" i="1"/>
  <c r="U30" i="82"/>
  <c r="A47" i="81"/>
  <c r="A49" i="81"/>
  <c r="A46" i="81"/>
  <c r="A48" i="81"/>
  <c r="AH23" i="1"/>
  <c r="BK23" i="1" s="1"/>
  <c r="BM28" i="1"/>
  <c r="M29" i="26"/>
  <c r="BJ76" i="81"/>
  <c r="BK30" i="1"/>
  <c r="BL30" i="1"/>
  <c r="BN30" i="1" s="1"/>
  <c r="A76" i="74"/>
  <c r="U7" i="1"/>
  <c r="T7" i="1"/>
  <c r="V7" i="1" s="1"/>
  <c r="V12" i="1" s="1"/>
  <c r="AR7" i="1"/>
  <c r="AT7" i="1" s="1"/>
  <c r="AT12" i="1" s="1"/>
  <c r="AS7" i="1"/>
  <c r="A82" i="78"/>
  <c r="A16" i="81"/>
  <c r="A13" i="81"/>
  <c r="U10" i="82"/>
  <c r="A14" i="81"/>
  <c r="A15" i="81"/>
  <c r="C29" i="26"/>
  <c r="BJ17" i="81"/>
  <c r="BM9" i="1"/>
  <c r="BL23" i="1"/>
  <c r="BN23" i="1" s="1"/>
  <c r="A91" i="75"/>
  <c r="A93" i="75"/>
  <c r="A90" i="77"/>
  <c r="A85" i="77"/>
  <c r="A91" i="77"/>
  <c r="A88" i="77"/>
  <c r="AL35" i="1"/>
  <c r="A89" i="77"/>
  <c r="A86" i="77"/>
  <c r="A87" i="77"/>
  <c r="A69" i="81"/>
  <c r="A70" i="81"/>
  <c r="A72" i="81"/>
  <c r="U45" i="82"/>
  <c r="A71" i="81"/>
  <c r="Z35" i="1"/>
  <c r="A96" i="75"/>
  <c r="BK31" i="1"/>
  <c r="BL31" i="1"/>
  <c r="BN31" i="1" s="1"/>
  <c r="AZ29" i="1"/>
  <c r="AL11" i="1"/>
  <c r="AN11" i="1" s="1"/>
  <c r="AM11" i="1"/>
  <c r="A79" i="77"/>
  <c r="A89" i="76"/>
  <c r="A88" i="76"/>
  <c r="A91" i="76"/>
  <c r="A90" i="76"/>
  <c r="A87" i="76"/>
  <c r="A85" i="76"/>
  <c r="AF35" i="1"/>
  <c r="A86" i="76"/>
  <c r="A97" i="75"/>
  <c r="A108" i="79"/>
  <c r="A113" i="79"/>
  <c r="A107" i="79"/>
  <c r="AX35" i="1"/>
  <c r="A110" i="79"/>
  <c r="A109" i="79"/>
  <c r="A112" i="79"/>
  <c r="A111" i="79"/>
  <c r="AN19" i="1"/>
  <c r="A54" i="80"/>
  <c r="O37" i="1" s="1"/>
  <c r="O34" i="1"/>
  <c r="BK10" i="1"/>
  <c r="BL10" i="1"/>
  <c r="BN10" i="1" s="1"/>
  <c r="AY7" i="1"/>
  <c r="AX7" i="1"/>
  <c r="AZ7" i="1" s="1"/>
  <c r="AZ12" i="1" s="1"/>
  <c r="A101" i="79"/>
  <c r="J29" i="26"/>
  <c r="BM22" i="1"/>
  <c r="BJ58" i="81"/>
  <c r="D86" i="76"/>
  <c r="D108" i="79"/>
  <c r="AT19" i="1"/>
  <c r="AH19" i="1"/>
  <c r="BL7" i="1"/>
  <c r="BN7" i="1" s="1"/>
  <c r="BM11" i="1"/>
  <c r="BJ27" i="81"/>
  <c r="E29" i="26"/>
  <c r="A88" i="75"/>
  <c r="Z37" i="1" s="1"/>
  <c r="X42" i="1" s="1"/>
  <c r="Z34" i="1"/>
  <c r="AB19" i="1"/>
  <c r="BK15" i="1"/>
  <c r="BL15" i="1"/>
  <c r="BN15" i="1" s="1"/>
  <c r="I29" i="26"/>
  <c r="BJ50" i="81"/>
  <c r="BM18" i="1"/>
  <c r="BM10" i="1" l="1"/>
  <c r="D29" i="26"/>
  <c r="K42" i="26" s="1"/>
  <c r="BJ22" i="81"/>
  <c r="V45" i="82"/>
  <c r="A45" i="82" s="1"/>
  <c r="V49" i="82"/>
  <c r="A49" i="82" s="1"/>
  <c r="A18" i="81"/>
  <c r="A19" i="81"/>
  <c r="A21" i="81"/>
  <c r="U12" i="82"/>
  <c r="A20" i="81"/>
  <c r="AR34" i="1"/>
  <c r="A85" i="78"/>
  <c r="AR37" i="1" s="1"/>
  <c r="AP42" i="1" s="1"/>
  <c r="U53" i="82"/>
  <c r="A78" i="81"/>
  <c r="A77" i="81"/>
  <c r="A79" i="81"/>
  <c r="V30" i="82"/>
  <c r="A30" i="82" s="1"/>
  <c r="V36" i="82"/>
  <c r="A36" i="82" s="1"/>
  <c r="AF34" i="1"/>
  <c r="A82" i="76"/>
  <c r="AF37" i="1" s="1"/>
  <c r="AD42" i="1" s="1"/>
  <c r="AT32" i="1"/>
  <c r="BK29" i="1"/>
  <c r="A60" i="81"/>
  <c r="U41" i="82"/>
  <c r="A59" i="81"/>
  <c r="A62" i="81"/>
  <c r="A61" i="81"/>
  <c r="BL29" i="1"/>
  <c r="BN29" i="1" s="1"/>
  <c r="AZ32" i="1"/>
  <c r="AL34" i="1"/>
  <c r="A82" i="77"/>
  <c r="AL37" i="1" s="1"/>
  <c r="AJ42" i="1" s="1"/>
  <c r="AL42" i="1" s="1"/>
  <c r="V28" i="82"/>
  <c r="A28" i="82" s="1"/>
  <c r="V35" i="82"/>
  <c r="A35" i="82" s="1"/>
  <c r="BJ63" i="81"/>
  <c r="BM23" i="1"/>
  <c r="K29" i="26"/>
  <c r="AN12" i="1"/>
  <c r="BL11" i="1"/>
  <c r="BN11" i="1" s="1"/>
  <c r="BK7" i="1"/>
  <c r="A29" i="26" s="1"/>
  <c r="AX34" i="1"/>
  <c r="A104" i="79"/>
  <c r="AX37" i="1" s="1"/>
  <c r="AV42" i="1" s="1"/>
  <c r="AX42" i="1" s="1"/>
  <c r="BM31" i="1"/>
  <c r="P29" i="26"/>
  <c r="BJ88" i="81"/>
  <c r="BJ84" i="81"/>
  <c r="O29" i="26"/>
  <c r="BM30" i="1"/>
  <c r="V19" i="82"/>
  <c r="A19" i="82" s="1"/>
  <c r="V10" i="82"/>
  <c r="A10" i="82" s="1"/>
  <c r="A79" i="74"/>
  <c r="T37" i="1" s="1"/>
  <c r="R42" i="1" s="1"/>
  <c r="T34" i="1"/>
  <c r="A31" i="81"/>
  <c r="U16" i="82"/>
  <c r="A29" i="81"/>
  <c r="A28" i="81"/>
  <c r="A30" i="81"/>
  <c r="BJ35" i="81"/>
  <c r="BM15" i="1"/>
  <c r="F29" i="26"/>
  <c r="U32" i="82"/>
  <c r="A53" i="81"/>
  <c r="A54" i="81"/>
  <c r="A51" i="81"/>
  <c r="A52" i="81"/>
  <c r="BG3" i="35"/>
  <c r="Z42" i="1"/>
  <c r="J11" i="26" s="1"/>
  <c r="I8" i="14" s="1"/>
  <c r="J16" i="26"/>
  <c r="BM29" i="1" l="1"/>
  <c r="BJ80" i="81"/>
  <c r="N29" i="26"/>
  <c r="BH3" i="35"/>
  <c r="K16" i="26"/>
  <c r="AF42" i="1"/>
  <c r="K11" i="26" s="1"/>
  <c r="I9" i="14" s="1"/>
  <c r="L16" i="26"/>
  <c r="AR42" i="1"/>
  <c r="L11" i="26" s="1"/>
  <c r="I10" i="14" s="1"/>
  <c r="BI3" i="35"/>
  <c r="V41" i="82"/>
  <c r="A41" i="82" s="1"/>
  <c r="V47" i="82"/>
  <c r="A47" i="82" s="1"/>
  <c r="BJ7" i="81"/>
  <c r="A25" i="81"/>
  <c r="A23" i="81"/>
  <c r="A24" i="81"/>
  <c r="A26" i="81"/>
  <c r="U14" i="82"/>
  <c r="U57" i="82"/>
  <c r="A86" i="81"/>
  <c r="A85" i="81"/>
  <c r="A87" i="81"/>
  <c r="V53" i="82"/>
  <c r="A53" i="82" s="1"/>
  <c r="V61" i="82"/>
  <c r="A61" i="82" s="1"/>
  <c r="A89" i="81"/>
  <c r="A90" i="81"/>
  <c r="A91" i="81"/>
  <c r="U59" i="82"/>
  <c r="BF3" i="35"/>
  <c r="I16" i="26"/>
  <c r="P16" i="26" s="1"/>
  <c r="T42" i="1"/>
  <c r="I11" i="26" s="1"/>
  <c r="A67" i="81"/>
  <c r="U43" i="82"/>
  <c r="A64" i="81"/>
  <c r="A65" i="81"/>
  <c r="A66" i="81"/>
  <c r="BM7" i="1"/>
  <c r="V12" i="82"/>
  <c r="A12" i="82" s="1"/>
  <c r="V20" i="82"/>
  <c r="A20" i="82" s="1"/>
  <c r="A10" i="81"/>
  <c r="A11" i="81"/>
  <c r="U8" i="82"/>
  <c r="A9" i="81"/>
  <c r="A8" i="81"/>
  <c r="V22" i="82"/>
  <c r="A22" i="82" s="1"/>
  <c r="V16" i="82"/>
  <c r="A16" i="82" s="1"/>
  <c r="V37" i="82"/>
  <c r="A37" i="82" s="1"/>
  <c r="V32" i="82"/>
  <c r="A32" i="82" s="1"/>
  <c r="A39" i="81"/>
  <c r="A37" i="81"/>
  <c r="A38" i="81"/>
  <c r="U26" i="82"/>
  <c r="A36" i="81"/>
  <c r="V48" i="82" l="1"/>
  <c r="A48" i="82" s="1"/>
  <c r="V43" i="82"/>
  <c r="A43" i="82" s="1"/>
  <c r="P10" i="26"/>
  <c r="P19" i="26" s="1"/>
  <c r="I7" i="14"/>
  <c r="I14" i="14" s="1"/>
  <c r="I16" i="14" s="1"/>
  <c r="V64" i="82"/>
  <c r="A64" i="82" s="1"/>
  <c r="V59" i="82"/>
  <c r="A59" i="82" s="1"/>
  <c r="V63" i="82"/>
  <c r="A63" i="82" s="1"/>
  <c r="V57" i="82"/>
  <c r="A57" i="82" s="1"/>
  <c r="U55" i="82"/>
  <c r="A82" i="81"/>
  <c r="A81" i="81"/>
  <c r="A83" i="81"/>
  <c r="V14" i="82"/>
  <c r="A14" i="82" s="1"/>
  <c r="V21" i="82"/>
  <c r="A21" i="82" s="1"/>
  <c r="V18" i="82"/>
  <c r="A18" i="82" s="1"/>
  <c r="V8" i="82"/>
  <c r="A8" i="82" s="1"/>
  <c r="V34" i="82"/>
  <c r="A34" i="82" s="1"/>
  <c r="V26" i="82"/>
  <c r="A26" i="82" s="1"/>
  <c r="K39" i="26" l="1"/>
  <c r="Z13" i="26"/>
  <c r="X3" i="26"/>
  <c r="AB13" i="26" s="1"/>
  <c r="G67" i="26"/>
  <c r="A64" i="26"/>
  <c r="V55" i="82"/>
  <c r="A55" i="82" s="1"/>
  <c r="V62" i="82"/>
  <c r="A62" i="82" s="1"/>
  <c r="AI13" i="26" l="1"/>
  <c r="AF13" i="26"/>
  <c r="O67" i="26"/>
  <c r="AJ13" i="26" s="1"/>
  <c r="AK13"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Benjamin Dixon - PUR</author>
    <author>Fletcher Fernandes</author>
  </authors>
  <commentList>
    <comment ref="H39" authorId="0" shapeId="0" xr:uid="{00000000-0006-0000-0400-000001000000}">
      <text>
        <r>
          <rPr>
            <b/>
            <sz val="9"/>
            <color indexed="81"/>
            <rFont val="Tahoma"/>
            <family val="2"/>
          </rPr>
          <t xml:space="preserve">Is the date incorrect?
</t>
        </r>
        <r>
          <rPr>
            <sz val="9"/>
            <color indexed="81"/>
            <rFont val="Tahoma"/>
            <family val="2"/>
          </rPr>
          <t xml:space="preserve">
If the learner is finishing with you and the end date shown here is incorrect, change the end of course date on the "Report" tab</t>
        </r>
      </text>
    </comment>
    <comment ref="H45" authorId="0" shapeId="0" xr:uid="{00000000-0006-0000-0400-000002000000}">
      <text>
        <r>
          <rPr>
            <b/>
            <sz val="9"/>
            <color indexed="81"/>
            <rFont val="Tahoma"/>
            <family val="2"/>
          </rPr>
          <t xml:space="preserve">If they are repeating, the "performance" option covers:
</t>
        </r>
        <r>
          <rPr>
            <sz val="9"/>
            <color indexed="81"/>
            <rFont val="Tahoma"/>
            <family val="2"/>
          </rPr>
          <t> Overall Summary below 90
 Behavioural concerns
 Competency concerns
 Not yet competent in knowledge 
   assessment resit</t>
        </r>
      </text>
    </comment>
    <comment ref="A51" authorId="0" shapeId="0" xr:uid="{00000000-0006-0000-0400-000003000000}">
      <text>
        <r>
          <rPr>
            <b/>
            <sz val="9"/>
            <color indexed="81"/>
            <rFont val="Tahoma"/>
            <family val="2"/>
          </rPr>
          <t xml:space="preserve">Repeating and from a merged batch?
</t>
        </r>
        <r>
          <rPr>
            <sz val="9"/>
            <color indexed="81"/>
            <rFont val="Tahoma"/>
            <family val="2"/>
          </rPr>
          <t xml:space="preserve">
If the learner was from a merged batch, put the number of the batch that was merged i.e. the learner's original batch.</t>
        </r>
      </text>
    </comment>
    <comment ref="O67" authorId="1" shapeId="0" xr:uid="{00000000-0006-0000-0400-000004000000}">
      <text>
        <r>
          <rPr>
            <sz val="9"/>
            <color indexed="81"/>
            <rFont val="Tahoma"/>
            <family val="2"/>
          </rPr>
          <t xml:space="preserve"> </t>
        </r>
        <r>
          <rPr>
            <b/>
            <sz val="9"/>
            <color indexed="81"/>
            <rFont val="Tahoma"/>
            <family val="2"/>
          </rPr>
          <t>Overall Summary</t>
        </r>
        <r>
          <rPr>
            <sz val="9"/>
            <color indexed="81"/>
            <rFont val="Tahoma"/>
            <family val="2"/>
          </rPr>
          <t xml:space="preserve">- The overall score is below 90, and the learner was/has not effectively displayed all skills for a specific KBI/Competency
 </t>
        </r>
        <r>
          <rPr>
            <b/>
            <sz val="9"/>
            <color indexed="81"/>
            <rFont val="Tahoma"/>
            <family val="2"/>
          </rPr>
          <t>Behaviour</t>
        </r>
        <r>
          <rPr>
            <sz val="9"/>
            <color indexed="81"/>
            <rFont val="Tahoma"/>
            <family val="2"/>
          </rPr>
          <t xml:space="preserve"> - There is a trend of behaviour concerns regarding the learner e.g. does not accept feedback, argumentative
 </t>
        </r>
        <r>
          <rPr>
            <b/>
            <sz val="9"/>
            <color indexed="81"/>
            <rFont val="Tahoma"/>
            <family val="2"/>
          </rPr>
          <t>Behaviour &amp; Competency</t>
        </r>
        <r>
          <rPr>
            <sz val="9"/>
            <color indexed="81"/>
            <rFont val="Tahoma"/>
            <family val="2"/>
          </rPr>
          <t xml:space="preserve"> - There is a trend of behaviour concerns regarding the learner e.g. does not accept feedback, argumentative. The learner was/has not effectively displayed all skills for a specific KBI/Competency
 </t>
        </r>
        <r>
          <rPr>
            <b/>
            <sz val="9"/>
            <color indexed="81"/>
            <rFont val="Tahoma"/>
            <family val="2"/>
          </rPr>
          <t>Competency</t>
        </r>
        <r>
          <rPr>
            <sz val="9"/>
            <color indexed="81"/>
            <rFont val="Tahoma"/>
            <family val="2"/>
          </rPr>
          <t xml:space="preserve"> - The learner was/has not effectively displayed all skills for a specific KBI/Competency
 </t>
        </r>
        <r>
          <rPr>
            <b/>
            <sz val="9"/>
            <color indexed="81"/>
            <rFont val="Tahoma"/>
            <family val="2"/>
          </rPr>
          <t xml:space="preserve">NYC in KA </t>
        </r>
        <r>
          <rPr>
            <sz val="9"/>
            <color indexed="81"/>
            <rFont val="Tahoma"/>
            <family val="2"/>
          </rPr>
          <t xml:space="preserve">- The learner was unsuccessful in one of the Knowledge Assessment Resits
 </t>
        </r>
        <r>
          <rPr>
            <b/>
            <sz val="9"/>
            <color indexed="81"/>
            <rFont val="Tahoma"/>
            <family val="2"/>
          </rPr>
          <t>Trainer Recommendation</t>
        </r>
        <r>
          <rPr>
            <sz val="9"/>
            <color indexed="81"/>
            <rFont val="Tahoma"/>
            <family val="2"/>
          </rPr>
          <t xml:space="preserve"> - Based on the overall observation of the trainers. This has been discussed with PMD Member and linked with specific KBIs/Competency
 </t>
        </r>
        <r>
          <rPr>
            <b/>
            <sz val="9"/>
            <color indexed="81"/>
            <rFont val="Tahoma"/>
            <family val="2"/>
          </rPr>
          <t>English Concerns</t>
        </r>
        <r>
          <rPr>
            <sz val="9"/>
            <color indexed="81"/>
            <rFont val="Tahoma"/>
            <family val="2"/>
          </rPr>
          <t xml:space="preserve"> - There are concerns with the learner's level of English</t>
        </r>
      </text>
    </comment>
  </commentList>
</comments>
</file>

<file path=xl/sharedStrings.xml><?xml version="1.0" encoding="utf-8"?>
<sst xmlns="http://schemas.openxmlformats.org/spreadsheetml/2006/main" count="4671" uniqueCount="1022">
  <si>
    <t>DAY 3</t>
  </si>
  <si>
    <t>DAY 4</t>
  </si>
  <si>
    <t>DAY 5</t>
  </si>
  <si>
    <t>DAY 6</t>
  </si>
  <si>
    <t>OVERALL SUMMARY</t>
  </si>
  <si>
    <t>Below Standard</t>
  </si>
  <si>
    <t>Maintain</t>
  </si>
  <si>
    <t>DAY 7</t>
  </si>
  <si>
    <t>DAY 8</t>
  </si>
  <si>
    <t>Competency</t>
  </si>
  <si>
    <t>N/A</t>
  </si>
  <si>
    <t>DAY 9</t>
  </si>
  <si>
    <t>DAY 10</t>
  </si>
  <si>
    <t>DAY 11</t>
  </si>
  <si>
    <t>KHI</t>
  </si>
  <si>
    <t>Welcome Services</t>
  </si>
  <si>
    <t>SPML</t>
  </si>
  <si>
    <t>Drinks</t>
  </si>
  <si>
    <t>Total</t>
  </si>
  <si>
    <t>Max Total</t>
  </si>
  <si>
    <t>DAY 12</t>
  </si>
  <si>
    <t>DAY 13</t>
  </si>
  <si>
    <t>DAY 14</t>
  </si>
  <si>
    <t>Score</t>
  </si>
  <si>
    <t>Average</t>
  </si>
  <si>
    <t>KA 1</t>
  </si>
  <si>
    <t>KA 2</t>
  </si>
  <si>
    <t>KA 3</t>
  </si>
  <si>
    <t>KA 4</t>
  </si>
  <si>
    <t>Resit</t>
  </si>
  <si>
    <t>Below 80</t>
  </si>
  <si>
    <t>Above 80</t>
  </si>
  <si>
    <t>Knowledge Assessments</t>
  </si>
  <si>
    <t>DEL</t>
  </si>
  <si>
    <t>Confidential Report</t>
  </si>
  <si>
    <t>Name:</t>
  </si>
  <si>
    <t>Staff No:</t>
  </si>
  <si>
    <t>Facilitators:</t>
  </si>
  <si>
    <t>Course No:</t>
  </si>
  <si>
    <t>%</t>
  </si>
  <si>
    <t>Ram Murthy</t>
  </si>
  <si>
    <t>YC CCM List</t>
  </si>
  <si>
    <t>Name</t>
  </si>
  <si>
    <t>:</t>
  </si>
  <si>
    <t>Staff No</t>
  </si>
  <si>
    <t>Facilitators</t>
  </si>
  <si>
    <t>Course No</t>
  </si>
  <si>
    <t>Cabin Crew Manager</t>
  </si>
  <si>
    <t>Judith Oliver</t>
  </si>
  <si>
    <t>Nina Smith</t>
  </si>
  <si>
    <t>Adenike Oyenuga</t>
  </si>
  <si>
    <t>Mohsena Mohammed</t>
  </si>
  <si>
    <t>Janine Gemmell</t>
  </si>
  <si>
    <t>Hiran Jaywardene</t>
  </si>
  <si>
    <t>Whitney Bourne</t>
  </si>
  <si>
    <t>Michelle Tucker</t>
  </si>
  <si>
    <t>Reem Al Hamed</t>
  </si>
  <si>
    <t>Judy Rebelo</t>
  </si>
  <si>
    <t>Loubna Ifnis</t>
  </si>
  <si>
    <t>Ahmed Al Jaflah</t>
  </si>
  <si>
    <t>Sarah Al Qassimi</t>
  </si>
  <si>
    <t>DAY 10
LHR</t>
  </si>
  <si>
    <t>KA1</t>
  </si>
  <si>
    <t>KA2</t>
  </si>
  <si>
    <t>KA3</t>
  </si>
  <si>
    <t>KA4</t>
  </si>
  <si>
    <t>Practical Weighted Score</t>
  </si>
  <si>
    <t>OVERALL ASSESSMENT SUMMARY</t>
  </si>
  <si>
    <t>Competency Average</t>
  </si>
  <si>
    <t>Hospitality &amp; Customer Care Assessments</t>
  </si>
  <si>
    <t>JFK!A1</t>
  </si>
  <si>
    <t>LHR!A1</t>
  </si>
  <si>
    <t>Roisin Vaughan</t>
  </si>
  <si>
    <t>Hakima Ghaith</t>
  </si>
  <si>
    <t>Mohammed Bin Hendi</t>
  </si>
  <si>
    <t>Maryam Alshaiba</t>
  </si>
  <si>
    <t>Alia Hussain Lootah</t>
  </si>
  <si>
    <t>J.P. Foiry</t>
  </si>
  <si>
    <t>Sarah Al Hammadi</t>
  </si>
  <si>
    <t>DAY 7
KHI</t>
  </si>
  <si>
    <t>DAY 8
DEL</t>
  </si>
  <si>
    <t>DEL!A1</t>
  </si>
  <si>
    <t>DAY 11
JFK</t>
  </si>
  <si>
    <t>YC CCM List (Probationary)</t>
  </si>
  <si>
    <t>Back</t>
  </si>
  <si>
    <t>Course Dates</t>
  </si>
  <si>
    <t>Name :</t>
  </si>
  <si>
    <t>Facilitators :</t>
  </si>
  <si>
    <t>Staff No :</t>
  </si>
  <si>
    <t>Course No :</t>
  </si>
  <si>
    <t>Course Dates :</t>
  </si>
  <si>
    <t>TW</t>
  </si>
  <si>
    <t>Service Review / Brand Ambassador</t>
  </si>
  <si>
    <t>Yes</t>
  </si>
  <si>
    <t>Competency Development</t>
  </si>
  <si>
    <t>Did learner repeat?</t>
  </si>
  <si>
    <t>Did not repeat</t>
  </si>
  <si>
    <t>Week 1</t>
  </si>
  <si>
    <t>Week 2</t>
  </si>
  <si>
    <t>Reason For Service Review?</t>
  </si>
  <si>
    <t>Behaviour</t>
  </si>
  <si>
    <t>Competencies</t>
  </si>
  <si>
    <t>D3 to D14'!A1</t>
  </si>
  <si>
    <t>Overall Assessment Summary</t>
  </si>
  <si>
    <t>Batch for completion</t>
  </si>
  <si>
    <t>First name:</t>
  </si>
  <si>
    <t>Service star</t>
  </si>
  <si>
    <t>Brand ambassador</t>
  </si>
  <si>
    <t>No</t>
  </si>
  <si>
    <t>Performance</t>
  </si>
  <si>
    <t>Sickness</t>
  </si>
  <si>
    <t>Place on service review?</t>
  </si>
  <si>
    <t>Yes/No</t>
  </si>
  <si>
    <t>Key/Scale</t>
  </si>
  <si>
    <t>Mandatory</t>
  </si>
  <si>
    <t>Reason for repeating</t>
  </si>
  <si>
    <t>Repeating Week</t>
  </si>
  <si>
    <t>Put forward for service Review</t>
  </si>
  <si>
    <t>Week repeated</t>
  </si>
  <si>
    <t>Repeating course</t>
  </si>
  <si>
    <t>Not on review</t>
  </si>
  <si>
    <t>Not yet competent in KA Resit</t>
  </si>
  <si>
    <t>Trainer recommendation</t>
  </si>
  <si>
    <t>Overall summary</t>
  </si>
  <si>
    <t>Emergency leave</t>
  </si>
  <si>
    <t>Comments for service review (only needed if information was not captured in the above sections)</t>
  </si>
  <si>
    <t>General comments (not related to service review)</t>
  </si>
  <si>
    <t>Reason for Service Review</t>
  </si>
  <si>
    <t>Competency Breakdown</t>
  </si>
  <si>
    <t>Name/Date</t>
  </si>
  <si>
    <t>End Date:</t>
  </si>
  <si>
    <t>CourseDates.Finishing</t>
  </si>
  <si>
    <t>Review.YesNo</t>
  </si>
  <si>
    <t>Group.Previous</t>
  </si>
  <si>
    <t>Review.Reason</t>
  </si>
  <si>
    <t>Review.Competencies</t>
  </si>
  <si>
    <t>Review.KBIs</t>
  </si>
  <si>
    <t>TrainerComments</t>
  </si>
  <si>
    <t>List.Brand</t>
  </si>
  <si>
    <t>List.ReviewYeSNo</t>
  </si>
  <si>
    <t>AB INITIO 
OVERALL % (From initial course)</t>
  </si>
  <si>
    <t>AB INITIO OVERALL % 
(From week repeated)</t>
  </si>
  <si>
    <t>Nominations</t>
  </si>
  <si>
    <t>AB INITIO 
LAST DATE OF TRAINING</t>
  </si>
  <si>
    <t>AB INITIO 
BATCH NO 
(Batch learner was in when leaving training)</t>
  </si>
  <si>
    <t>SERVICE REVIEW</t>
  </si>
  <si>
    <t>MOVED FROM BATCH</t>
  </si>
  <si>
    <t>REPEATED 
AB INITIO PROGRAMME</t>
  </si>
  <si>
    <t>REASON FOR SERVICE 
REVIEW RECOMMENDATION</t>
  </si>
  <si>
    <t>AB INITIO 
COMPETENCY DEVELOPMENT</t>
  </si>
  <si>
    <t>AB INITIO 
KBI DEVELOPMENT</t>
  </si>
  <si>
    <t>AB INITIO 
TRAINERS COMMENTS</t>
  </si>
  <si>
    <t>No - Resigned</t>
  </si>
  <si>
    <t>No - Suspended</t>
  </si>
  <si>
    <t>Original batch (if repeating)</t>
  </si>
  <si>
    <t>Reason Repeating</t>
  </si>
  <si>
    <t>Trainer Comments</t>
  </si>
  <si>
    <t>STAFF NO</t>
  </si>
  <si>
    <t>FIRST NAME | LAST NAME</t>
  </si>
  <si>
    <t>AB INITIO 
TRAINERS</t>
  </si>
  <si>
    <t>Cosmopolitan</t>
  </si>
  <si>
    <t>Thorough</t>
  </si>
  <si>
    <t>Service Style</t>
  </si>
  <si>
    <t>KBIs</t>
  </si>
  <si>
    <t>End of Course/Change of Batch Details</t>
  </si>
  <si>
    <t xml:space="preserve">Step 2 of 2:  </t>
  </si>
  <si>
    <t>New batch KBIs for Service Review</t>
  </si>
  <si>
    <t>Original batch KBIs for Service Review</t>
  </si>
  <si>
    <t>Selected KBIs</t>
  </si>
  <si>
    <t>Raw:</t>
  </si>
  <si>
    <t>Formatted:</t>
  </si>
  <si>
    <t>EndDate:</t>
  </si>
  <si>
    <t>Trainer Comments
(Review - First Batch)</t>
  </si>
  <si>
    <t>Trainer Comments
(Review - Second Batch)</t>
  </si>
  <si>
    <t>Review KBIs
(First Batch)</t>
  </si>
  <si>
    <t>Review KBIs
(Second Batch)</t>
  </si>
  <si>
    <t>Review Competencies
(First Batch)</t>
  </si>
  <si>
    <t>Review Competencies (Second Batch)</t>
  </si>
  <si>
    <t>Previous score</t>
  </si>
  <si>
    <t>The following questions must be answered for every learner's calculator in your batch by the end of Day 13. It must also be completed if they move from or leave your batch for any reason.</t>
  </si>
  <si>
    <t>OverallScore.Previous</t>
  </si>
  <si>
    <t>Group.Finishing</t>
  </si>
  <si>
    <t>RepeatedWeek</t>
  </si>
  <si>
    <t>OverallScore.Initial</t>
  </si>
  <si>
    <t>AB</t>
  </si>
  <si>
    <t>CalculatorType:</t>
  </si>
  <si>
    <t>Behaviour &amp; Competency</t>
  </si>
  <si>
    <t>Overall Summary</t>
  </si>
  <si>
    <t>NYC in KA</t>
  </si>
  <si>
    <t>Trainer Recommendation</t>
  </si>
  <si>
    <t>Select reason</t>
  </si>
  <si>
    <t>from week 1</t>
  </si>
  <si>
    <t>from week 2</t>
  </si>
  <si>
    <t>Select week</t>
  </si>
  <si>
    <t>What was his/her overall score from the original batch? (If overall score is unavailable, enter "U/A")</t>
  </si>
  <si>
    <t>Trainers of original batch</t>
  </si>
  <si>
    <t>Previous Score</t>
  </si>
  <si>
    <t>U/A</t>
  </si>
  <si>
    <t>IncludeWithFinishing:</t>
  </si>
  <si>
    <t>Service Star:</t>
  </si>
  <si>
    <t>BatchAtCreation:</t>
  </si>
  <si>
    <t>Service Review Details (if applicable)</t>
  </si>
  <si>
    <t>DAY 9
BKK</t>
  </si>
  <si>
    <t>BKK</t>
  </si>
  <si>
    <t>BKK Matrix</t>
  </si>
  <si>
    <t>Hala Mansour</t>
  </si>
  <si>
    <t>Review Date</t>
  </si>
  <si>
    <t>Review Month</t>
  </si>
  <si>
    <t>Training Specialist</t>
  </si>
  <si>
    <t>Overall Result</t>
  </si>
  <si>
    <t>Continue working towards preparation for 3 day assessment</t>
  </si>
  <si>
    <t>Service Training Part Two: Service Review Report</t>
  </si>
  <si>
    <t>English Concerns</t>
  </si>
  <si>
    <t>Repeating &amp; Mandatory</t>
  </si>
  <si>
    <t>Optional Review</t>
  </si>
  <si>
    <t>Repeated &amp; Finishing</t>
  </si>
  <si>
    <t>Overall Summary below</t>
  </si>
  <si>
    <t>English concerns</t>
  </si>
  <si>
    <t>SR - Overall Result</t>
  </si>
  <si>
    <t>Needs to contact CCM</t>
  </si>
  <si>
    <t>SR - Month</t>
  </si>
  <si>
    <t>Month 1</t>
  </si>
  <si>
    <t>Month 2</t>
  </si>
  <si>
    <t>Month 3</t>
  </si>
  <si>
    <t>Month 4</t>
  </si>
  <si>
    <t>12/12/16</t>
  </si>
  <si>
    <t>Status of the portfolio</t>
  </si>
  <si>
    <t>Timeline for collection of evidence:</t>
  </si>
  <si>
    <t>No evidence provided</t>
  </si>
  <si>
    <t>SR - Portfolio Status</t>
  </si>
  <si>
    <t>Completed</t>
  </si>
  <si>
    <t>In progress</t>
  </si>
  <si>
    <t>Not Completed (no evidence provided)</t>
  </si>
  <si>
    <t>Not Completed (due to roster constraints)</t>
  </si>
  <si>
    <t>Completed (additional)</t>
  </si>
  <si>
    <t>Partially completed</t>
  </si>
  <si>
    <t>Date</t>
  </si>
  <si>
    <t>Status</t>
  </si>
  <si>
    <t>Peer to Peer</t>
  </si>
  <si>
    <t xml:space="preserve"> Learning Portfolio</t>
  </si>
  <si>
    <t>Cabin Supervisor Feedback</t>
  </si>
  <si>
    <t>Action Plan</t>
  </si>
  <si>
    <t>SR - Action Plan</t>
  </si>
  <si>
    <t>Recommended completion prior to 3 day Service Assessment</t>
  </si>
  <si>
    <t>Must complete required tasks prior to 3 day Service Assessment</t>
  </si>
  <si>
    <t>Must document evidence</t>
  </si>
  <si>
    <t>Must provide more details to support task</t>
  </si>
  <si>
    <t>On track</t>
  </si>
  <si>
    <t>Encouraged to maintain a more efficient way of filing portfolio</t>
  </si>
  <si>
    <t>Self Reflection</t>
  </si>
  <si>
    <t>Additional Comments:</t>
  </si>
  <si>
    <t>Tasks</t>
  </si>
  <si>
    <t>Task Ideal Crew</t>
  </si>
  <si>
    <t>Service Training Webinar</t>
  </si>
  <si>
    <t>Introduction</t>
  </si>
  <si>
    <t>Quiz</t>
  </si>
  <si>
    <t>By referring to support material</t>
  </si>
  <si>
    <t>Based on own knowledge</t>
  </si>
  <si>
    <t>Based on own knowledge, used support material to reference</t>
  </si>
  <si>
    <t>SR - Action Plan for Quiz</t>
  </si>
  <si>
    <t>No. of questions answered incorrectly</t>
  </si>
  <si>
    <t>Answered all questions</t>
  </si>
  <si>
    <t>Topics to review to update knowledge</t>
  </si>
  <si>
    <t>Additional Comments</t>
  </si>
  <si>
    <t>Timeline for collection of evidence</t>
  </si>
  <si>
    <t>Punctuality</t>
  </si>
  <si>
    <t>Review Summary</t>
  </si>
  <si>
    <t>Rachel Young</t>
  </si>
  <si>
    <t>SR - Competency</t>
  </si>
  <si>
    <t>Month 0</t>
  </si>
  <si>
    <t>Month 6</t>
  </si>
  <si>
    <t>Month 8</t>
  </si>
  <si>
    <t>Month 16</t>
  </si>
  <si>
    <t>Month 24</t>
  </si>
  <si>
    <t>If required, insert comments here regarding areas of strength</t>
  </si>
  <si>
    <t>If required, insert comments here regarding the portfolio status</t>
  </si>
  <si>
    <t>If required, insert comments here regarding areas of development</t>
  </si>
  <si>
    <t>If required, insert comments her regarding Punctuality &amp; Professionalism</t>
  </si>
  <si>
    <t>SR - Yes / No</t>
  </si>
  <si>
    <t>Type your comments here</t>
  </si>
  <si>
    <t>SR - Punctuality</t>
  </si>
  <si>
    <t>Arrived on time</t>
  </si>
  <si>
    <t>Late</t>
  </si>
  <si>
    <t>Met I&amp;U Standards</t>
  </si>
  <si>
    <t>Did not meet I&amp;U Standards</t>
  </si>
  <si>
    <t>SR - Task Status</t>
  </si>
  <si>
    <t>SR - Numbers</t>
  </si>
  <si>
    <t>Nil</t>
  </si>
  <si>
    <t>Insert comments here regarding peer to peer documentation</t>
  </si>
  <si>
    <t>Evidence collected within a 4 week period</t>
  </si>
  <si>
    <t>Evidence collected across probationary period</t>
  </si>
  <si>
    <t xml:space="preserve">Tasks not started as on the date of Service Review </t>
  </si>
  <si>
    <t>SR - Timeline for collection of evidence</t>
  </si>
  <si>
    <t>Insert comments here regarding cabin supervisor feedback documentation</t>
  </si>
  <si>
    <t>Webinars viewed</t>
  </si>
  <si>
    <t>Galley Management</t>
  </si>
  <si>
    <t>Drop-in Workshop</t>
  </si>
  <si>
    <t>Juice order form, cart setup</t>
  </si>
  <si>
    <t>Insert comments here regarding webinars viewed and reflection notes</t>
  </si>
  <si>
    <t>Insert comments here regarding drop-in workshop and additional/adhoc workshops attended</t>
  </si>
  <si>
    <t>Insert comments here regarding tasks documentation</t>
  </si>
  <si>
    <t>Insert comments here regarding self reflection documentation</t>
  </si>
  <si>
    <t>Insert comments here regarding Quiz and Customer Scenariors Case Study documentation</t>
  </si>
  <si>
    <t>No. to be completed</t>
  </si>
  <si>
    <t>No. to view</t>
  </si>
  <si>
    <t>No. to attend</t>
  </si>
  <si>
    <t>Must complete required task prior to 3 day Service Assessment</t>
  </si>
  <si>
    <t>Please complete all outstanding requirements prior to your 3 day Service Assessment &amp; Refresher Course. Details are highlighted in column titled “No. to be completed” You must add this report to your portfolio.</t>
  </si>
  <si>
    <t>Minimum amount required during probationary period</t>
  </si>
  <si>
    <t>Please complete all outstanding requirements prior to your 3 day Service Assessment &amp; Refresher Course. Details are highlighted in column titled “No. to attend/view” You must add this report to your portfolio.</t>
  </si>
  <si>
    <t>No. of Service Training Webinar viewed</t>
  </si>
  <si>
    <t>No. of Service Training Webinar required to view prior to 3 day Service Assessment</t>
  </si>
  <si>
    <t>L</t>
  </si>
  <si>
    <t>Greeted, welcomed customer/introduced self</t>
  </si>
  <si>
    <t>Checked all required items were available</t>
  </si>
  <si>
    <t>Used a small lined silver tray</t>
  </si>
  <si>
    <t>Maintained eye contact, faced the customer</t>
  </si>
  <si>
    <t>Positioned bag across shoulders, in front of body</t>
  </si>
  <si>
    <t xml:space="preserve">Conducted service FWD to AFT </t>
  </si>
  <si>
    <t>Conducted service FWD to AFT</t>
  </si>
  <si>
    <t xml:space="preserve">Used polite/appropriate service phrases </t>
  </si>
  <si>
    <t>Served centre, aisle/window, centre, aisle; ladies first</t>
  </si>
  <si>
    <t>Approachable, polite, friendly, helpful and patient</t>
  </si>
  <si>
    <t>Presented menu cards</t>
  </si>
  <si>
    <t>Offered landing cards</t>
  </si>
  <si>
    <t>Smiled</t>
  </si>
  <si>
    <t>UM</t>
  </si>
  <si>
    <t>Informed UM of call bell, IFE system</t>
  </si>
  <si>
    <t xml:space="preserve">Was aware of services being offered </t>
  </si>
  <si>
    <t xml:space="preserve">Was aware of the distribution procedure </t>
  </si>
  <si>
    <t>Displayed appropriate body posture/gesture</t>
  </si>
  <si>
    <t>Product logos faced customer</t>
  </si>
  <si>
    <t>Parent</t>
  </si>
  <si>
    <t>Highlighted diapers, baby food, baby milk</t>
  </si>
  <si>
    <t>Held silver tray on the palm of hand</t>
  </si>
  <si>
    <t>Held silver tray on palm of hand</t>
  </si>
  <si>
    <t xml:space="preserve">Used observation skills </t>
  </si>
  <si>
    <t>Held silver tray in aisle</t>
  </si>
  <si>
    <t>Entered cabin together</t>
  </si>
  <si>
    <t>Prepared/placed SPML sticker with customer details</t>
  </si>
  <si>
    <t>Cart set up as per standard</t>
  </si>
  <si>
    <t>Used a lined presentation plate</t>
  </si>
  <si>
    <t>Used a small/large lined silver tray &amp; cabin tidy bag</t>
  </si>
  <si>
    <t xml:space="preserve">Added hot meal casserole to meal tray </t>
  </si>
  <si>
    <t>Milk jiggers &amp; sugar/sweetener placed in casserole dish</t>
  </si>
  <si>
    <t>Confirmed if customer ordered the specific meal type</t>
  </si>
  <si>
    <t xml:space="preserve">Positioned cart appropriately      </t>
  </si>
  <si>
    <t>Cleared aisle, centre/aisle, centre, window</t>
  </si>
  <si>
    <t>Highlighted meal type</t>
  </si>
  <si>
    <t>Placed glass bottles, glasses/melamine (with liquid) on silver tray</t>
  </si>
  <si>
    <t>Highlighted drinks will follow shortly</t>
  </si>
  <si>
    <t>Introduced meal service using correct menu terms</t>
  </si>
  <si>
    <t>Offered hot beverage</t>
  </si>
  <si>
    <t>Offered to remove meal tray</t>
  </si>
  <si>
    <t>Placed empty glasses/cans in cabin tidy bag</t>
  </si>
  <si>
    <t>Requested customer to place cup on presentation plate</t>
  </si>
  <si>
    <t>Placed glasses containing liquid into drawer</t>
  </si>
  <si>
    <t>Napkins were used to handle hot casserole</t>
  </si>
  <si>
    <t>Poured hot beverage in aisle</t>
  </si>
  <si>
    <t>Held glass by base</t>
  </si>
  <si>
    <t>Left with a positive phrase/checked on meal, drink satisfaction</t>
  </si>
  <si>
    <t xml:space="preserve">Placed hot casserole on meal tray prior to presenting </t>
  </si>
  <si>
    <t>If requested, offered additional milk jiggers &amp; sugar/sweetener</t>
  </si>
  <si>
    <t>Offered all items on presentation plate</t>
  </si>
  <si>
    <t>Offered choice of all beverages available on cart</t>
  </si>
  <si>
    <t>Requested customer to take cup from presentation plate</t>
  </si>
  <si>
    <t>Entered cabin together/ communicated with colleagues</t>
  </si>
  <si>
    <t>Positioned cart appropriately</t>
  </si>
  <si>
    <t>Service Standards/Skills</t>
  </si>
  <si>
    <t xml:space="preserve">Used the correct service order [FWD to AFT]      </t>
  </si>
  <si>
    <t xml:space="preserve">Used the correct service order  [FWD to AFT: Training/ 4 corner style: On-board]    </t>
  </si>
  <si>
    <t>Used the correct service order for the customers being served [centre, aisle/ window, centre, aisle; ladies first]</t>
  </si>
  <si>
    <t>Placed all drinks on napkin</t>
  </si>
  <si>
    <t>Product labels faced aft</t>
  </si>
  <si>
    <t>Prepared towels using jug</t>
  </si>
  <si>
    <t>Used lemon sachet</t>
  </si>
  <si>
    <t>Used a large unlined silver tray to offer towels</t>
  </si>
  <si>
    <t xml:space="preserve">Offered towels verbally </t>
  </si>
  <si>
    <t xml:space="preserve">Lifted towel upon customers' response </t>
  </si>
  <si>
    <t>Cleared towels using plastic tongs and cabin tidy bag</t>
  </si>
  <si>
    <t>Offered milk with hot beverages (Tea- if milk is declined, offered lemon)</t>
  </si>
  <si>
    <t>Offered sugar/sweetener</t>
  </si>
  <si>
    <t>Highlighted bar cart is following with a full selection</t>
  </si>
  <si>
    <t>Placed napkin on tray table</t>
  </si>
  <si>
    <t>Used appropriate number of glasses as applicable</t>
  </si>
  <si>
    <t>Placed cup and beverage pack on meal plate</t>
  </si>
  <si>
    <t>Left with a positive phrase</t>
  </si>
  <si>
    <t>Offered a choice of brand</t>
  </si>
  <si>
    <t>Correct pronunciation</t>
  </si>
  <si>
    <t>Provided accurate information on the brands available i.e. name, country of origin and grape variety</t>
  </si>
  <si>
    <t>Offered appropriate mixer</t>
  </si>
  <si>
    <t>Opened cans</t>
  </si>
  <si>
    <t xml:space="preserve">Offered a choice of brand, when taking the drinks order i.e. red wine, white wine   </t>
  </si>
  <si>
    <t>Used one glass</t>
  </si>
  <si>
    <t>Presented wine bottles with label facing customer on the presentation plate</t>
  </si>
  <si>
    <t>Placed glass on napkin/tray table as appropriate</t>
  </si>
  <si>
    <t>Opened all bottles/cans i.e. broke seal of lid and ensured it remained on the bottle/cans were fully opened</t>
  </si>
  <si>
    <t>Prepared/offered as per standard</t>
  </si>
  <si>
    <t>Highlighted brand</t>
  </si>
  <si>
    <t>Presented bottle on a presentation plate</t>
  </si>
  <si>
    <t>Highlighted price</t>
  </si>
  <si>
    <t>Advised change would be in AED, cash and credit cards accepted</t>
  </si>
  <si>
    <t>Offered champagne flute</t>
  </si>
  <si>
    <t>Offered to open bottle</t>
  </si>
  <si>
    <t>Offered a choice of red or white wine</t>
  </si>
  <si>
    <t>Presented bottles on a presentation plate</t>
  </si>
  <si>
    <t>Gave a brief description of wine</t>
  </si>
  <si>
    <t>Opened bottle</t>
  </si>
  <si>
    <t>Opened can</t>
  </si>
  <si>
    <t>Offered a choice of hot beverage</t>
  </si>
  <si>
    <t>Used a lined meal plate</t>
  </si>
  <si>
    <t>Placed beverage pack on lined meal plate</t>
  </si>
  <si>
    <t>Placed milk jigger (if requested) on lined meal plate OR placed lemon in cup</t>
  </si>
  <si>
    <t>Placed cup on lined meal plate</t>
  </si>
  <si>
    <t>Used lined silver tray to offer hot beverage</t>
  </si>
  <si>
    <t>Opened bottle/can</t>
  </si>
  <si>
    <t xml:space="preserve">Offered a choice of brand, when taking the drinks order i.e. liqueur selection   </t>
  </si>
  <si>
    <t>Added swizzle stick</t>
  </si>
  <si>
    <t>Used two glasses</t>
  </si>
  <si>
    <t>Placed ice, swizzle stick in one glass</t>
  </si>
  <si>
    <t>Placed juice in other glass</t>
  </si>
  <si>
    <t>Offered salt, pepper, Worcestershire sauce and tobasco sauce</t>
  </si>
  <si>
    <t>Placed ice, lemon, swizzle stick in one glass</t>
  </si>
  <si>
    <t>Described base, flavour accurately</t>
  </si>
  <si>
    <t>Practise &amp; KHI</t>
  </si>
  <si>
    <r>
      <t xml:space="preserve">Prepared/offered as per standard </t>
    </r>
    <r>
      <rPr>
        <sz val="8"/>
        <color indexed="23"/>
        <rFont val="Arial"/>
        <family val="2"/>
      </rPr>
      <t>i.e. tea bag removed</t>
    </r>
  </si>
  <si>
    <t>1. SPML</t>
  </si>
  <si>
    <t>2. Meal Cart</t>
  </si>
  <si>
    <t>3. Hot Beverage</t>
  </si>
  <si>
    <t>4. Clearance Cart</t>
  </si>
  <si>
    <t>5. Final Clearance</t>
  </si>
  <si>
    <t>6. Hot Towels - Pre Landing</t>
  </si>
  <si>
    <t>1. Champagne</t>
  </si>
  <si>
    <t>2. Wine</t>
  </si>
  <si>
    <t>3. Liqueur</t>
  </si>
  <si>
    <t>4. Shandy</t>
  </si>
  <si>
    <t>5. Hot Beverage - Tea</t>
  </si>
  <si>
    <t>6. Beer</t>
  </si>
  <si>
    <t>7. White Wine Spritzer</t>
  </si>
  <si>
    <t>8. Screwdriver</t>
  </si>
  <si>
    <t>10. Rum &amp; Coke</t>
  </si>
  <si>
    <t>11. Gin &amp; Tonic</t>
  </si>
  <si>
    <t>12. Whiskey &amp; Coke</t>
  </si>
  <si>
    <t>13. Bloody Mary</t>
  </si>
  <si>
    <t>2. Bar Cart</t>
  </si>
  <si>
    <t>3. Meal Cart</t>
  </si>
  <si>
    <t>5. Clearance Cart</t>
  </si>
  <si>
    <t>6. Final Clearance</t>
  </si>
  <si>
    <t>8. Hot Towels - Pre Landing</t>
  </si>
  <si>
    <t>7. Final Clearance</t>
  </si>
  <si>
    <t>5. Hot Beverage</t>
  </si>
  <si>
    <t>6. Clearance Cart</t>
  </si>
  <si>
    <t>4. Meal Cart</t>
  </si>
  <si>
    <t>Group
A &amp; B</t>
  </si>
  <si>
    <t>1. Bar Cart</t>
  </si>
  <si>
    <t>2. Bar Clearance</t>
  </si>
  <si>
    <t>3. SPML</t>
  </si>
  <si>
    <t>iO</t>
  </si>
  <si>
    <t>K</t>
  </si>
  <si>
    <t>D</t>
  </si>
  <si>
    <t>B</t>
  </si>
  <si>
    <t>J</t>
  </si>
  <si>
    <t>High Valued Customer</t>
  </si>
  <si>
    <t>Parent with Infant</t>
  </si>
  <si>
    <t>Others</t>
  </si>
  <si>
    <t>Addressed by name</t>
  </si>
  <si>
    <t>Boarding</t>
  </si>
  <si>
    <t>Escorted to seat</t>
  </si>
  <si>
    <t>Warmly welcomed customers</t>
  </si>
  <si>
    <t>Welcomed back</t>
  </si>
  <si>
    <t>Introduced self</t>
  </si>
  <si>
    <t>Stood in designated service area</t>
  </si>
  <si>
    <t>Offered baby bassinet</t>
  </si>
  <si>
    <t>Highlighted call bell, explained IFE</t>
  </si>
  <si>
    <t>Moved towards customers in aisle</t>
  </si>
  <si>
    <t>Offered preferred drink</t>
  </si>
  <si>
    <t>Offered BBML</t>
  </si>
  <si>
    <t>Regularly checked on wellbeing &amp; comfort</t>
  </si>
  <si>
    <t>Used names if possible</t>
  </si>
  <si>
    <t>Offered meal choice first</t>
  </si>
  <si>
    <t>Offered Fast Track card</t>
  </si>
  <si>
    <t>Offered to take photograph</t>
  </si>
  <si>
    <t>Guided customers to seats</t>
  </si>
  <si>
    <t>Noted down useful customer information</t>
  </si>
  <si>
    <t>Assisted with customers baggage</t>
  </si>
  <si>
    <t>Honeymoon Couple</t>
  </si>
  <si>
    <t>Unaccompanied Minor</t>
  </si>
  <si>
    <t>Customer
Visually Impaired</t>
  </si>
  <si>
    <t>We Care</t>
  </si>
  <si>
    <t xml:space="preserve">Cleanliness: Actively tidied all lavatories and cabin area </t>
  </si>
  <si>
    <t>Congratulated couple</t>
  </si>
  <si>
    <t>Provided safety brief</t>
  </si>
  <si>
    <t xml:space="preserve">Explained menu/meal tray setup </t>
  </si>
  <si>
    <t xml:space="preserve">Customer Care: Monitored cabin anticipating customer needs </t>
  </si>
  <si>
    <t>Offered surprising treat</t>
  </si>
  <si>
    <t>Highlighted disembarkation procedure</t>
  </si>
  <si>
    <t>Refreshments: Offered refreshments in the cabin</t>
  </si>
  <si>
    <t>Deportee</t>
  </si>
  <si>
    <t>Non English Speaker</t>
  </si>
  <si>
    <t>Customer on Wheelchair</t>
  </si>
  <si>
    <t>Communicated with a language speaker</t>
  </si>
  <si>
    <t>Reassured with regards to documents</t>
  </si>
  <si>
    <t>Used appropriate body language to explain</t>
  </si>
  <si>
    <t>Assisted to use lavatory</t>
  </si>
  <si>
    <t>Request for window seat</t>
  </si>
  <si>
    <t>Request to sit together</t>
  </si>
  <si>
    <t>Cabin bag does not fit in hatrack</t>
  </si>
  <si>
    <t>Consuming alcohol from own bottle</t>
  </si>
  <si>
    <t>Requested SPML declined by customer</t>
  </si>
  <si>
    <t>Foreign object in meal</t>
  </si>
  <si>
    <t>Positively acknowledged and informed customer that they would check for window seat</t>
  </si>
  <si>
    <t>Positively acknowledged and informed customer that they would check for vacant seats</t>
  </si>
  <si>
    <t>Looked to rearrange the hatrack if possible</t>
  </si>
  <si>
    <t>Politely discouraged customer from drinking from their own bottle</t>
  </si>
  <si>
    <t>Informed customer that they could offer the SPML tray now</t>
  </si>
  <si>
    <t>Apologised and immediately offered to remove entire meal tray</t>
  </si>
  <si>
    <t xml:space="preserve">Informed customer that it may take a few minutes due to boarding. </t>
  </si>
  <si>
    <t>Seats available: Moved customer</t>
  </si>
  <si>
    <t>If bags were stowed in a hat rack away from customer’s seat then kept them informed of its location</t>
  </si>
  <si>
    <t>Offered complimentary alternatives from bar</t>
  </si>
  <si>
    <t>Would check if there are additional meals available once all other customers are served</t>
  </si>
  <si>
    <t>Offered an alternative</t>
  </si>
  <si>
    <t>Arranged menus with titles facing in same direction</t>
  </si>
  <si>
    <t>Checked PIL/KIS (if available) for vacant window seat</t>
  </si>
  <si>
    <t>Full flight: Spoke to other customers (first choice-customers in vicinity) and requested them.</t>
  </si>
  <si>
    <t>If bags to be offloaded then highlighted to customer that they will be placed in the cargo</t>
  </si>
  <si>
    <t>Offered to chill the alcohol bottle in the galley</t>
  </si>
  <si>
    <t>Informed Cabin Supervisor</t>
  </si>
  <si>
    <t>Checked if customers had ordered for SPML</t>
  </si>
  <si>
    <t>Advised that this will be complimentary and customer will receive this with their checked in baggage</t>
  </si>
  <si>
    <t>Did not force customer to hand over the bottle</t>
  </si>
  <si>
    <t>Returned to customer with a response</t>
  </si>
  <si>
    <t>Thanked customer for feedback. Highlighted that information would be sent back to catering for review</t>
  </si>
  <si>
    <t>Full flight: Informed customer that they would try their best to look for customers willing to swap seats</t>
  </si>
  <si>
    <t>Reflected change on PIL</t>
  </si>
  <si>
    <t>Asked if they would like assistance in cancelling future SPML requests on EK flights</t>
  </si>
  <si>
    <t>Checked on customers comfort throughout the flight</t>
  </si>
  <si>
    <t>No window seat: Tried looking for an aisle seat/emergency exit row seat</t>
  </si>
  <si>
    <t>Asked customer to remove any valuables, documents, lithium battery and e-cigarette from their bag</t>
  </si>
  <si>
    <t>Monitored customer throughout the flight</t>
  </si>
  <si>
    <t>Informed Cabin Supervisor to cancel SPML booking for customer</t>
  </si>
  <si>
    <t>Got customers’ final destination so that bag is tagged correctly</t>
  </si>
  <si>
    <t>Seat reclined during meal service</t>
  </si>
  <si>
    <t>Request for nut free meal</t>
  </si>
  <si>
    <t>Request to pray</t>
  </si>
  <si>
    <t>Refuse to sit besides a male customer</t>
  </si>
  <si>
    <t>SPML requested during flight</t>
  </si>
  <si>
    <t>Baby stroller request</t>
  </si>
  <si>
    <t>Politely requested customer in front to put seat upright for them to enjoy the meal</t>
  </si>
  <si>
    <t>Positively acknowledged and informed customer that we are unable to cater SPMLs for customers with nut allergies</t>
  </si>
  <si>
    <t>Positively acknowledged customers' request</t>
  </si>
  <si>
    <t>Positively acknowledged and politely asked customer to wait while they found an alternative</t>
  </si>
  <si>
    <t>Apologised and checked meal choices to see if they were suitable for the type of SPML</t>
  </si>
  <si>
    <t>Acknowledged and informed them about baby stroller facility available while in transit in DXB</t>
  </si>
  <si>
    <t>Customer declined: Attempted to move customer at the back</t>
  </si>
  <si>
    <t>Asked customer what they could eat, highlighted available choices</t>
  </si>
  <si>
    <t>Directed customer to exit door during service and in the galley after service</t>
  </si>
  <si>
    <t>Changed customer's seat ensuring she is seated next to a female customer</t>
  </si>
  <si>
    <t>Informed customer that they would check other available options and return promptly</t>
  </si>
  <si>
    <t>Highlighted that strollers are available at the end of the aerobridge</t>
  </si>
  <si>
    <t>Full flight: Apologised sincerely and monitored customer</t>
  </si>
  <si>
    <t>Organised meal for customer based on their response</t>
  </si>
  <si>
    <t xml:space="preserve">Offered a new blanket </t>
  </si>
  <si>
    <t>Full flight: Politely requested a male customer sitting next to a female to swap seats</t>
  </si>
  <si>
    <t>Informed customer their baby stroller would be received on the baggage belt at final destination</t>
  </si>
  <si>
    <t>Requested customer to bring their own meals, which could be stored and heated in flight</t>
  </si>
  <si>
    <t>Request to visit flight deck</t>
  </si>
  <si>
    <t>Request for alcoholic beverage on ground</t>
  </si>
  <si>
    <t>Positively acknowledged and informed customer about the policy</t>
  </si>
  <si>
    <t>Positively acknowledged customer’s request</t>
  </si>
  <si>
    <t>Offered water cuplet as an alternative</t>
  </si>
  <si>
    <t>Highlighted that alcoholic drinks can be served after take-off</t>
  </si>
  <si>
    <t>After take-off, returned to customer to take order and deliver alcoholic drink</t>
  </si>
  <si>
    <t>Customer Scenariors</t>
  </si>
  <si>
    <t>Day 3</t>
  </si>
  <si>
    <t>Day 4</t>
  </si>
  <si>
    <t>Interacting with Arab Customers (Cabin Crew)</t>
  </si>
  <si>
    <t>Day 7</t>
  </si>
  <si>
    <t>Bar Paperwork: Economy Class</t>
  </si>
  <si>
    <t>Emirates Skywards - Driving Loyalty</t>
  </si>
  <si>
    <t>A Journey Through India</t>
  </si>
  <si>
    <t>Food Safety &amp; Hygiene</t>
  </si>
  <si>
    <t>Day 14</t>
  </si>
  <si>
    <t>Flight Time Limitations - Abinitio</t>
  </si>
  <si>
    <t>e-Learnings</t>
  </si>
  <si>
    <t>P</t>
  </si>
  <si>
    <t>2. My Customer Service</t>
  </si>
  <si>
    <t>2.2 Anticipating customer needs: Anticipates customers’ needs and uses their initiative to meet them</t>
  </si>
  <si>
    <t>2.1 Friendly and Caring: Builds relationships with customers and creates a welcoming and comfortable environment</t>
  </si>
  <si>
    <t>2.3 Responsive and Helpful: Provides a prompt and flexible approach to meeting customer needs and requests. Ability to handle customer complaints and concerns.</t>
  </si>
  <si>
    <t>2.4 Service Style: Fully reflected expectations for their cabin</t>
  </si>
  <si>
    <t>3. My Teamwork</t>
  </si>
  <si>
    <t>3.1 Relationship Builder: Develops good working relationship and promotes a positive work environment</t>
  </si>
  <si>
    <t>3.2 Team Player: Helps and supports others to achieve team goals. Understands how their work affects others</t>
  </si>
  <si>
    <t>1. My Professionalism</t>
  </si>
  <si>
    <t>1.1 Positive Approach: Shows drive, passion and energy</t>
  </si>
  <si>
    <t>1.2 Resilient: Is calm and controlled under pressure. Adjusts to changes and manages challenging situations effectively</t>
  </si>
  <si>
    <t>1.3 Cosmopolitan: Shows respect for other cultures and appreciates differences</t>
  </si>
  <si>
    <t>4. My Knowledge and Professional Image</t>
  </si>
  <si>
    <t>1. Did not meet expectations</t>
  </si>
  <si>
    <t>2. Did not consistently meet expectations</t>
  </si>
  <si>
    <t>3. Met expectations</t>
  </si>
  <si>
    <t>4. Met and exceeded expectations</t>
  </si>
  <si>
    <t>4.1 Image &amp; Uniform</t>
  </si>
  <si>
    <t>4.2  SEP/ SEC/ GMT</t>
  </si>
  <si>
    <t>4.3 Knowledge and promotion of Emirates products: Evaluation of crew in this category should take into account assigned cabin onboard</t>
  </si>
  <si>
    <t>4.4 Knowledge and delivery of service standards and procedures: Evaluation of crew in this category should take into account assigned cabin onboard</t>
  </si>
  <si>
    <t>SR - My Professionalism</t>
  </si>
  <si>
    <t>My Customer Service</t>
  </si>
  <si>
    <t>My Teamwork</t>
  </si>
  <si>
    <t>My Professionalism</t>
  </si>
  <si>
    <t>My Knowledge and Professional Image</t>
  </si>
  <si>
    <t>MKPI KBI Development</t>
  </si>
  <si>
    <t>MPROF KBI Development</t>
  </si>
  <si>
    <t>MTW KBI Development</t>
  </si>
  <si>
    <t>MCS KBI Development</t>
  </si>
  <si>
    <t>MSO</t>
  </si>
  <si>
    <t>MTW</t>
  </si>
  <si>
    <t>MPROF</t>
  </si>
  <si>
    <t>Task My Professionalism</t>
  </si>
  <si>
    <t>Task My Customer Service</t>
  </si>
  <si>
    <t>Task My Teamwork</t>
  </si>
  <si>
    <t>Task My Knowledge and Professional Image</t>
  </si>
  <si>
    <t>Did not meet expectations</t>
  </si>
  <si>
    <t>Did not consistently meet expectations</t>
  </si>
  <si>
    <t>Met and exceeded expectations</t>
  </si>
  <si>
    <t>Met expectations</t>
  </si>
  <si>
    <t>3.3 Effective Communicator: Communicates clearly and appropriately. Shares information to ensure the efficient and effective delivery of service. Used active listening skills</t>
  </si>
  <si>
    <t>Used a small lined silver tray (with Landing Card if applicable)</t>
  </si>
  <si>
    <t>Highlighted brand (both choices)</t>
  </si>
  <si>
    <t>1.4 Organised: Has an organised and structured approach to work</t>
  </si>
  <si>
    <t>1.5 Thorough: Demonstrates a strong attention to detail</t>
  </si>
  <si>
    <t>Asked customer if they wished to have ice</t>
  </si>
  <si>
    <t>Asked customer if they wished to have lemon</t>
  </si>
  <si>
    <t>9. Gin &amp; Orange Juice</t>
  </si>
  <si>
    <t>Met Expectations</t>
  </si>
  <si>
    <t>Offered kit bag with bookmark</t>
  </si>
  <si>
    <t>TOTAL</t>
  </si>
  <si>
    <t>2. Landing Cards</t>
  </si>
  <si>
    <t>Asked customer if they wished to have milk with hot beverage (Tea - If milk is declined, offered lemon)</t>
  </si>
  <si>
    <t>BKK Lunch</t>
  </si>
  <si>
    <t>LHR Lunch</t>
  </si>
  <si>
    <t xml:space="preserve">Prepared/placed SPML sticker with customer details </t>
  </si>
  <si>
    <t>LHR Afternoon Tea</t>
  </si>
  <si>
    <t>Described the product delivered i.e. offered a full selection of drinks [alcoholic &amp; non alcoholic] accurately</t>
  </si>
  <si>
    <t>JFK Lunch</t>
  </si>
  <si>
    <t>JFK Light Bites</t>
  </si>
  <si>
    <t>1. LB-SPML</t>
  </si>
  <si>
    <t>2. LB-Meal Cart</t>
  </si>
  <si>
    <t>Offered to remove items from tray table</t>
  </si>
  <si>
    <t>Placed pizza boxes, cups, meal plates in plastic drawer inside the cart</t>
  </si>
  <si>
    <t>Placed glasses, bottles in plastic drawer on top of the cart</t>
  </si>
  <si>
    <t>3. LB-Clearance
Cart</t>
  </si>
  <si>
    <t>JFK Breakfast</t>
  </si>
  <si>
    <t>1. BF-Hot Towels - Pre Service</t>
  </si>
  <si>
    <t>2. BF-SPML</t>
  </si>
  <si>
    <t>3. BF-Bar Beverage Cart</t>
  </si>
  <si>
    <t>4. BF-Meal Cart</t>
  </si>
  <si>
    <t>8. BF-Hot Towels - Pre Landing</t>
  </si>
  <si>
    <t>BreakFast</t>
  </si>
  <si>
    <t>6. BF-Clearance 
Cart</t>
  </si>
  <si>
    <t>7. BF-Final 
Clearance</t>
  </si>
  <si>
    <t>1. Children's Headsets
&amp; Toys/Baby Kits</t>
  </si>
  <si>
    <t>DEL Lunch (CAT 3)</t>
  </si>
  <si>
    <t>Professional</t>
  </si>
  <si>
    <t>Offical Color</t>
  </si>
  <si>
    <t>Primary</t>
  </si>
  <si>
    <t>Secondary</t>
  </si>
  <si>
    <t>KBI</t>
  </si>
  <si>
    <t>4. LB-Final 
Clearance</t>
  </si>
  <si>
    <t>LHR AT</t>
  </si>
  <si>
    <t>LHR LU</t>
  </si>
  <si>
    <t>JFK LU</t>
  </si>
  <si>
    <t>JFK LB | BF</t>
  </si>
  <si>
    <t>3. Hot Beverage - By Hand</t>
  </si>
  <si>
    <t>4. Hot Beverage - By Hand</t>
  </si>
  <si>
    <t>4. BF-Hot Beverage - By Hand</t>
  </si>
  <si>
    <t>2. Menu Card &amp; Landing Cards</t>
  </si>
  <si>
    <t>3. Kit Bags</t>
  </si>
  <si>
    <t>TW - SPML</t>
  </si>
  <si>
    <t>TW - Meal Cart</t>
  </si>
  <si>
    <t>TW - Clearance Cart</t>
  </si>
  <si>
    <t>TW - Final Clearance</t>
  </si>
  <si>
    <t>TW -  Champagne</t>
  </si>
  <si>
    <t>TW -  Wine</t>
  </si>
  <si>
    <t>TW -  Liqueur</t>
  </si>
  <si>
    <t>TW -  Shandy</t>
  </si>
  <si>
    <t>TW -  Hot Beverage - Tea</t>
  </si>
  <si>
    <t>TW -  Beer</t>
  </si>
  <si>
    <t>TW -  White Wine Spritzer</t>
  </si>
  <si>
    <t>TW -  Screwdriver</t>
  </si>
  <si>
    <t>TW -  Gin &amp; Orange Juice</t>
  </si>
  <si>
    <t>TW -  Rum &amp; Coke</t>
  </si>
  <si>
    <t>TW -  Gin &amp; Tonic</t>
  </si>
  <si>
    <t>TW -  Whiskey &amp; Coke</t>
  </si>
  <si>
    <t>TW -  Bloody Mary</t>
  </si>
  <si>
    <t/>
  </si>
  <si>
    <t>MCS - Children's Headsets &amp; Toys/Baby Kits</t>
  </si>
  <si>
    <t>MCS - Menu Card &amp; Landing Cards</t>
  </si>
  <si>
    <t>MCS - SPML</t>
  </si>
  <si>
    <t>MCS - Meal Cart</t>
  </si>
  <si>
    <t>MCS - Clearance Cart</t>
  </si>
  <si>
    <t>MCS - Final Clearance</t>
  </si>
  <si>
    <t>MCS -  Champagne</t>
  </si>
  <si>
    <t>MCS -  Wine</t>
  </si>
  <si>
    <t>MCS -  Liqueur</t>
  </si>
  <si>
    <t>MCS -  Shandy</t>
  </si>
  <si>
    <t>MCS -  Hot Beverage - Tea</t>
  </si>
  <si>
    <t>MCS -  Beer</t>
  </si>
  <si>
    <t>MCS -  White Wine Spritzer</t>
  </si>
  <si>
    <t>MCS -  Screwdriver</t>
  </si>
  <si>
    <t>MCS -  Gin &amp; Orange Juice</t>
  </si>
  <si>
    <t>MCS -  Rum &amp; Coke</t>
  </si>
  <si>
    <t>MCS -  Gin &amp; Tonic</t>
  </si>
  <si>
    <t>MCS -  Whiskey &amp; Coke</t>
  </si>
  <si>
    <t>MCS -  Bloody Mary</t>
  </si>
  <si>
    <t>TW - Children's Headsets &amp; Toys/Baby Kits</t>
  </si>
  <si>
    <t>TW - Menu Card &amp; Landing Cards</t>
  </si>
  <si>
    <t>DEL Lunch</t>
  </si>
  <si>
    <t>MCS - Bar Cart</t>
  </si>
  <si>
    <t>TW - Bar Cart</t>
  </si>
  <si>
    <t>MCS - Hot Towels - Pre Landing</t>
  </si>
  <si>
    <t>TW - Hot Towels - Pre Landing</t>
  </si>
  <si>
    <t>MCS - Hot Beverage - By Hand</t>
  </si>
  <si>
    <t>TW - Hot Beverage - By Hand</t>
  </si>
  <si>
    <t>TW- Kit Bags</t>
  </si>
  <si>
    <t>MCS - Kit Bags</t>
  </si>
  <si>
    <t>JFK LB|BF</t>
  </si>
  <si>
    <t>MCS - LB-SPML</t>
  </si>
  <si>
    <t>MCS - LB-Meal Cart</t>
  </si>
  <si>
    <t>MCS - LB-Clearance
Cart</t>
  </si>
  <si>
    <t>MCS - LB-Final 
Clearance</t>
  </si>
  <si>
    <t>TW - LB-SPML</t>
  </si>
  <si>
    <t>TW - LB-Meal Cart</t>
  </si>
  <si>
    <t>TW - LB-Clearance
Cart</t>
  </si>
  <si>
    <t>TW - LB-Final 
Clearance</t>
  </si>
  <si>
    <t>MCS - BF-Hot Towels - Pre Service</t>
  </si>
  <si>
    <t>MCS - BF-SPML</t>
  </si>
  <si>
    <t>MCS - BF-Bar Beverage Cart</t>
  </si>
  <si>
    <t>MCS - BF-Meal Cart</t>
  </si>
  <si>
    <t>MCS - BF-Hot Beverage - By Hand</t>
  </si>
  <si>
    <t>MCS - BF-Clearance 
Cart</t>
  </si>
  <si>
    <t>MCS - BF-Final 
Clearance</t>
  </si>
  <si>
    <t>MCS - BF-Hot Towels - Pre Landing</t>
  </si>
  <si>
    <t>TW - BF-Hot Towels - Pre Service</t>
  </si>
  <si>
    <t>TW - BF-SPML</t>
  </si>
  <si>
    <t>TW - BF-Bar Beverage Cart</t>
  </si>
  <si>
    <t>TW - BF-Meal Cart</t>
  </si>
  <si>
    <t>TW - BF-Hot Beverage - By Hand</t>
  </si>
  <si>
    <t>TW - BF-Clearance 
Cart</t>
  </si>
  <si>
    <t>TW - BF-Final 
Clearance</t>
  </si>
  <si>
    <t>TW - BF-Hot Towels - Pre Landing</t>
  </si>
  <si>
    <t>MCS - Landing Cards</t>
  </si>
  <si>
    <t>TW - Landing Cards</t>
  </si>
  <si>
    <t>MP</t>
  </si>
  <si>
    <t>MCS</t>
  </si>
  <si>
    <t>MKPI</t>
  </si>
  <si>
    <t>e-learnings</t>
  </si>
  <si>
    <t>DEL Score</t>
  </si>
  <si>
    <t>PRC |
 KHI</t>
  </si>
  <si>
    <t>PRC | KHI</t>
  </si>
  <si>
    <t>Comments</t>
  </si>
  <si>
    <t>Group A</t>
  </si>
  <si>
    <t>Group B</t>
  </si>
  <si>
    <t>1.2.1 Delivered an excellent service despite challenging circumstances. Was able to support others in difficult situations.</t>
  </si>
  <si>
    <t>1.1.1 Passionate and enthusiastic about their role and inspired and encouraged a positive approach in others.</t>
  </si>
  <si>
    <t>Course Dates : 02/03/17 to 19/03/17</t>
  </si>
  <si>
    <t>Abinitio No : AB 3349</t>
  </si>
  <si>
    <t>Name : Alexander Gonzalez Robles</t>
  </si>
  <si>
    <t>Staff No : 456652</t>
  </si>
  <si>
    <t>LHR-LU</t>
  </si>
  <si>
    <t>LHR-AT</t>
  </si>
  <si>
    <t>JFK-LU</t>
  </si>
  <si>
    <t>JFK-LB | BF</t>
  </si>
  <si>
    <t>1.1.4 Appeared to have a negative attitude to the job. Encouraged negative conversations. Displayed passive or aggressive body language, e.g. scowling, pointing or crossing arms.</t>
  </si>
  <si>
    <t>1.1.3 Could have demonstrated greater enthusiasm when interacting with colleagues and/or customers. Sometimes appeared disinterested.</t>
  </si>
  <si>
    <t>1.1.2 Had a consistently positive approach during sessions and throughout the course. Body language was open and friendly.</t>
  </si>
  <si>
    <t>1.2.4 Talks negatively about change. Appears agitated or distressed in challenging situations.</t>
  </si>
  <si>
    <t>1.2.3 Needs support to ensure composure and to develop resilience when faced with challenging situations.</t>
  </si>
  <si>
    <t>1.2.2 Calm and controlled under pressure. Showed flexibility and adapted to changes when needed.</t>
  </si>
  <si>
    <t>1.3.4 Talks about or behaves in a way which is disrespectful of others. Does not interact with colleagues of other cultures.</t>
  </si>
  <si>
    <t>1.3.3 Could demonstrate more awareness/consideration of cultural differences.</t>
  </si>
  <si>
    <t>1.3.2 Showed respect for other cultures and appreciated cultural differences amongst colleagues and customers.</t>
  </si>
  <si>
    <t>1.3.1 Proactively used knowledge of different cultures and language skills to enhance the customer experience.</t>
  </si>
  <si>
    <t>2.1.4 Dismissive, abrupt or insincere with customers. Creates a negative first impression.</t>
  </si>
  <si>
    <t>2.1.3 Needs to ensure customers feel welcome and comfortable by engaging in conversation with them and smiling.</t>
  </si>
  <si>
    <t>2.1.2 Greeted and welcomed customers on-board. Was friendly, smiling and initiated conversation with customers. Ensured customers were comfortable throughout their flight.</t>
  </si>
  <si>
    <t>2.1.1 Built strong rapport with customers. Made exceptional effort to engage with customers and inspired others in customer care.</t>
  </si>
  <si>
    <t>2.2.4 Avoids spending time in the cabin with customers. Appears indifferent to customer needs.</t>
  </si>
  <si>
    <t>2.2.3 Could be more attentive to customer needs e.g., those travelling with children; replenishing drinks; being more present in the cabin.</t>
  </si>
  <si>
    <t>2.2.2 Available and active in the cabin. Checked cabin and lavatories. Anticipated customer needs and was proactive in looking and finding ways to help them.</t>
  </si>
  <si>
    <t>2.2.1 Used their initiative and found ways and opportunities to really exceed customer expectations and enhance their overall experience.</t>
  </si>
  <si>
    <t>2.3.4 Did not identify or acknowledge customer requests.</t>
  </si>
  <si>
    <t>2.3.3 Not always responsive to call bells and/or customer requests. Had to be repeatedly reminded to assist customers.</t>
  </si>
  <si>
    <t>2.3.2 Helpful and prompt in response to customer requests. Flexible and offered alternatives when needs could not be met. Made effort to resolve customer concerns or complaints.</t>
  </si>
  <si>
    <t>2.3.1 Demonstrated exceptional effort in response to challenging customer needs or requests. Able to deal with difficult customer complaints; provided solutions and ensured follow up.</t>
  </si>
  <si>
    <t xml:space="preserve">2.4.4 Presented service awkwardly. Appears clumsy when handling service items. </t>
  </si>
  <si>
    <t>2.4.3 Needs to ensure service style and presentation is confident and professional. Had some shortfalls.</t>
  </si>
  <si>
    <t>2.4.2 Ensured service style was confident and professional. Used correct service phrases. Was aware of noise made in the galley and cabin and worked to minimise this.</t>
  </si>
  <si>
    <t>2.4.1 Demonstrated a detailed awareness of service and presentation. Was able to make personal recommendations. Delivered service with style and finesse.</t>
  </si>
  <si>
    <t>3.1.4 Does not interact or involve others in discussions.</t>
  </si>
  <si>
    <t>3.1.3 Needs to ensure builds good working relationships with colleagues. Be aware not to make others feel excluded.</t>
  </si>
  <si>
    <t>3.1.2 Showed consideration to colleagues.  Contributed to an enjoyable and effective working environment. Created a strong team spirit.</t>
  </si>
  <si>
    <t>3.1.1 Built strong relationships and/or engaged with wider teams e.g. ground staff. Provided encouragement to colleagues in challenging situations.</t>
  </si>
  <si>
    <t>3.2.4 Appears to avoid taking ownership or working with others. Does not assist colleagues or acknowledge ideas of others.</t>
  </si>
  <si>
    <t>3.2.3 Could have worked more closely with colleagues throughout the flight. Encouraged to offer assistance to colleagues in need.</t>
  </si>
  <si>
    <t>3.2.2 Accepted an equal workload and contributed to achieving team goals. Shared experience and knowledge with colleagues. Actively supported colleagues as needed.</t>
  </si>
  <si>
    <t>3.2.1 Actively encouraged team work. Offered solutions to help resolve team challenges. Exceptional support to colleagues through challenging situations.</t>
  </si>
  <si>
    <t>3.3.4 Interrupts others or does not listen to the full communication. Appears to dominate others or retain important information.</t>
  </si>
  <si>
    <t>3.3.3 Needs to ensure that communication is clear and appropriate.</t>
  </si>
  <si>
    <t>3.3.2 Communicated clearly, openly and appropriately with colleagues and customers. Sought clarification and guidance when unsure.</t>
  </si>
  <si>
    <t>3.3.1 Took a leading role in sharing and communicating with others. An inspirational communicator; able to capture and hold people’s attention.</t>
  </si>
  <si>
    <t>4.2.3 Did not meet knowledge standards in theory and/or practise. Gave incorrect or uncertain answers to safe talk questions. Did not adhere to SOPs during the flight.</t>
  </si>
  <si>
    <t>4.2.2 Managed scenario with guidance from trainers.</t>
  </si>
  <si>
    <t>4.2.1 Met knowledge standards – in theory and practise. Correctly answered SafeTalk.  Conducted thorough pre-flight security search. Consistently adhered to SOPs during normal situations. Regularly monitored cabin for safety/medical concerns.</t>
  </si>
  <si>
    <t>4.3.2 Terminology or pronunciation is inconsistent when introducing items to customers. Some items were not delivered to customers. Shared basic information of products. Response to queries at times incorrect.</t>
  </si>
  <si>
    <t>4.3.1 Good knowledge of menu and products, including terminology and pronunciation. Ensured that products were offered to customers. Was able to share information on EK services and products. Able to answer queries correctly.</t>
  </si>
  <si>
    <t>4.4.3 Unable to follow the correct service sequence or presentation. Lacked knowledge of service standards, procedures or knowledge not updated.</t>
  </si>
  <si>
    <t>4.4.2 Demonstrated basic awareness of service standards. Standards or procedures delivered out of correct sequence or service order.</t>
  </si>
  <si>
    <t>4.4.1 Knowledge was up to date. Followed service standards and procedures and applied correct service order or flow.</t>
  </si>
  <si>
    <t>General Comments</t>
  </si>
  <si>
    <t>Presented landing cards</t>
  </si>
  <si>
    <t>Offered kit bag</t>
  </si>
  <si>
    <t>JFK-LB|BF</t>
  </si>
  <si>
    <t>1.4.4 Reported late for duty or without required elements.</t>
  </si>
  <si>
    <t>1.4.1  Anticipated challenges and put plans in place to overcome them. Adjusted priorities and adapted quickly to changes when needed.</t>
  </si>
  <si>
    <t>1.4.3 Encouraged to show more initiative in performing various duties and to manage time more effectively.</t>
  </si>
  <si>
    <t>1.4.2 Planned, prioritised and managed workload effectively in the galley and/or the cabin. Was punctual throughout the course.</t>
  </si>
  <si>
    <t>1.5.1 Excellent attention to detail. Kept standard and quality of work high even when workload was heavy or complex.</t>
  </si>
  <si>
    <t>1.5.2 Ensured own work was complete and correct. Fixed any mistakes promptly. Demonstrated good attention to detail.</t>
  </si>
  <si>
    <t>1.5.3 Needs to ensure details are not missed or errors aren’t repeated. Attempted to correct highlighted shortfalls.</t>
  </si>
  <si>
    <t>1.5.4 Missed many details or often repeated errors. Didn’t attempt to correct shortfalls that were highlighted to them.</t>
  </si>
  <si>
    <t>5. BF-Hot Beverage - By Hand</t>
  </si>
  <si>
    <t>Practical Group</t>
  </si>
  <si>
    <t>Bar 2</t>
  </si>
  <si>
    <t>Bar 1</t>
  </si>
  <si>
    <t>Course No.</t>
  </si>
  <si>
    <t>Comments:</t>
  </si>
  <si>
    <t>4.1  Image and Uniform Standards</t>
  </si>
  <si>
    <t>4.3 Knowledge and promotion of Emirates Products</t>
  </si>
  <si>
    <t>4.4 Knowledge and delivery of service standards and procedures</t>
  </si>
  <si>
    <t>Performance Manager</t>
  </si>
  <si>
    <t>4.2 SEP / SEC / GMT</t>
  </si>
  <si>
    <t>4.1.1 Met Image and Uniform standards. Any Shortfalls they had were corrected promptly. Portrayed a professional Emirates image.</t>
  </si>
  <si>
    <t>4.1.2 Attempted to correct Image &amp; Uniform shortfalls</t>
  </si>
  <si>
    <t>4.1.3 Image and Uniform was not to standard and/or their shortfalls were not corrected.</t>
  </si>
  <si>
    <t>4.3.3 Did not use accurate terminology when offering or delivering products on-board. Oversimplified menu terminology. Needs to demonstrate knowledge of wider EK product e.g. Emirates Skywards.</t>
  </si>
  <si>
    <t>1.3 Cosmopolitan: Shows respect for other cultures and appreciates differences.</t>
  </si>
  <si>
    <t>1.4 Organised: Has an organised and structured approach to work.</t>
  </si>
  <si>
    <t>1.5 Thorough: Demonstrates a strong attention to detail.</t>
  </si>
  <si>
    <t>1.2 Resilient: Is calm and controlled under pressure. Adjusts to changes and manages challenging situations effectively.</t>
  </si>
  <si>
    <r>
      <rPr>
        <sz val="14"/>
        <color theme="1" tint="0.499984740745262"/>
        <rFont val="Arial"/>
        <family val="2"/>
      </rPr>
      <t>My Professionalism</t>
    </r>
    <r>
      <rPr>
        <b/>
        <sz val="11"/>
        <color theme="1" tint="0.499984740745262"/>
        <rFont val="Arial"/>
        <family val="2"/>
      </rPr>
      <t/>
    </r>
  </si>
  <si>
    <t>3.1  Relationship Builder: Develops good working relationship and promotes a positive work environment</t>
  </si>
  <si>
    <t xml:space="preserve">3.3 Effective Communicator: Communicates clearly and appropriately. Shares information to ensure the efficient and effective delivery of service. Used active listening skills  </t>
  </si>
  <si>
    <r>
      <t>2.1 Friendly and Caring:</t>
    </r>
    <r>
      <rPr>
        <b/>
        <sz val="9"/>
        <color theme="0"/>
        <rFont val="Arial"/>
        <family val="2"/>
      </rPr>
      <t xml:space="preserve"> </t>
    </r>
    <r>
      <rPr>
        <sz val="9"/>
        <color theme="0"/>
        <rFont val="Arial"/>
        <family val="2"/>
      </rPr>
      <t>Builds relationships with customers and creates a welcoming and comfortable environment</t>
    </r>
  </si>
  <si>
    <r>
      <t>2.2 Anticipating customer needs:</t>
    </r>
    <r>
      <rPr>
        <b/>
        <sz val="9"/>
        <color theme="0"/>
        <rFont val="Arial"/>
        <family val="2"/>
      </rPr>
      <t xml:space="preserve"> </t>
    </r>
    <r>
      <rPr>
        <sz val="9"/>
        <color theme="0"/>
        <rFont val="Arial"/>
        <family val="2"/>
      </rPr>
      <t>Anticipates customers’ needs and uses their initiative to meet them</t>
    </r>
    <r>
      <rPr>
        <b/>
        <u/>
        <sz val="9"/>
        <color theme="0"/>
        <rFont val="Arial"/>
        <family val="2"/>
      </rPr>
      <t xml:space="preserve">
</t>
    </r>
  </si>
  <si>
    <r>
      <t>2.3 Responsive and Helpful:</t>
    </r>
    <r>
      <rPr>
        <b/>
        <sz val="9"/>
        <color theme="0"/>
        <rFont val="Arial"/>
        <family val="2"/>
      </rPr>
      <t xml:space="preserve"> </t>
    </r>
    <r>
      <rPr>
        <sz val="9"/>
        <color theme="0"/>
        <rFont val="Arial"/>
        <family val="2"/>
      </rPr>
      <t>Provides a prompt and flexible approach to meeting customer needs and requests. Ability to
handle customer complaints and concerns.</t>
    </r>
    <r>
      <rPr>
        <b/>
        <u/>
        <sz val="9"/>
        <color theme="0"/>
        <rFont val="Arial"/>
        <family val="2"/>
      </rPr>
      <t xml:space="preserve">
</t>
    </r>
  </si>
  <si>
    <r>
      <t>2.4 Service Style:</t>
    </r>
    <r>
      <rPr>
        <b/>
        <sz val="9"/>
        <color theme="0"/>
        <rFont val="Arial"/>
        <family val="2"/>
      </rPr>
      <t xml:space="preserve"> </t>
    </r>
    <r>
      <rPr>
        <sz val="9"/>
        <color theme="0"/>
        <rFont val="Arial"/>
        <family val="2"/>
      </rPr>
      <t>Fully reflected expectations for their cabin</t>
    </r>
    <r>
      <rPr>
        <b/>
        <u/>
        <sz val="9"/>
        <color theme="0"/>
        <rFont val="Arial"/>
        <family val="2"/>
      </rPr>
      <t xml:space="preserve">
</t>
    </r>
  </si>
  <si>
    <t>My Knowledge &amp; Professional Image</t>
  </si>
  <si>
    <t xml:space="preserve">Ab intio Course Assessment Report </t>
  </si>
  <si>
    <t>Staff  No:</t>
  </si>
  <si>
    <t>Performance Manager :</t>
  </si>
  <si>
    <t xml:space="preserve"> is encouraged to maintain on line his/her positive approach towards his/her work. At the same time, he/she is advised to continue working on the above indicated areas of opportunity and focus in order to enhance the standard of service delivered to our Economy Class customers.</t>
  </si>
  <si>
    <t xml:space="preserve"> is encouraged to maintain on line his/her positive approach towards his/her work and the high standard of service that he/she has demonstrated throughout his/her Ab Initio course.</t>
  </si>
  <si>
    <t xml:space="preserve">Feedback: </t>
  </si>
  <si>
    <t xml:space="preserve"> has faced difficulties with many of the service key behavioural indicators. She/he is advised to continue working on the above indicated areas of opportunities and focus in order to develop them to a level that will enable her/him to offer the standard of service expected by our Economy Class customers.</t>
  </si>
  <si>
    <t>Marking</t>
  </si>
  <si>
    <t>Overall Comments:</t>
  </si>
  <si>
    <t>0. Did not meet expectations</t>
  </si>
  <si>
    <t>1. Did not consistently meet expectations</t>
  </si>
  <si>
    <t>2. Met expectations</t>
  </si>
  <si>
    <t>3. Met and exceeded expectations</t>
  </si>
  <si>
    <t>DRINKS</t>
  </si>
  <si>
    <t>Offered items as per standard i.e. Children's Headsets &amp; Toys/ Baby Kits</t>
  </si>
  <si>
    <t>Conducted Service - 4 corners</t>
  </si>
  <si>
    <t>Conducted Service - 4 corners ( FWD Aft in case of 2 bags)</t>
  </si>
  <si>
    <t>Used large lined silver tray with napkins</t>
  </si>
  <si>
    <t>Placed pizza from a presentation plate on side of napkin</t>
  </si>
  <si>
    <t>Offered all items on presentation plate / Silver tray</t>
  </si>
  <si>
    <t>Offered ice</t>
  </si>
  <si>
    <t>Used 2 glasses - 1 with 7up &amp; 1 empty glass</t>
  </si>
  <si>
    <t>2. Wine 
- Small Bottles</t>
  </si>
  <si>
    <t>Used one glass- if dry.
Used 2 glasses if sweet - 1 with 7up &amp; 1 empty glass</t>
  </si>
  <si>
    <t>Offered lemon</t>
  </si>
  <si>
    <t>Used 2 glasses - 1 with pepsi &amp; 1 with ice/slice</t>
  </si>
  <si>
    <t>Held glasses by base</t>
  </si>
  <si>
    <t>After pouring, slightly                                                                                                                                                                                                                                                             twisted to bottle to avoid dripping</t>
  </si>
  <si>
    <t>Replaced the cap on bottle</t>
  </si>
  <si>
    <t>Used 2 glasses - 1 with white wine and 1 empty</t>
  </si>
  <si>
    <t>Used one glass -
Mixed half white wine &amp; half 7up</t>
  </si>
  <si>
    <t>Poured into a plastic  glass on presentation plate (3/4th full).</t>
  </si>
  <si>
    <t>Presented bottle to customer by hand showed label &amp; held bottle from lower half, behind the label (if on cart)</t>
  </si>
  <si>
    <t>Opened bottle/can (if applicable)</t>
  </si>
  <si>
    <t>Customers Profiles</t>
  </si>
  <si>
    <t>NOT ENTERED</t>
  </si>
  <si>
    <t>Nickname</t>
  </si>
  <si>
    <t>Gender</t>
  </si>
  <si>
    <t>Image &amp; uniform</t>
  </si>
  <si>
    <t>Positive Approach</t>
  </si>
  <si>
    <t>Resilient</t>
  </si>
  <si>
    <t>Organised</t>
  </si>
  <si>
    <t>Friendly and Caring</t>
  </si>
  <si>
    <t>Anticipating customer needs</t>
  </si>
  <si>
    <t>Responsive and Helpful</t>
  </si>
  <si>
    <t>Relationship Builder</t>
  </si>
  <si>
    <t>Team Player</t>
  </si>
  <si>
    <t>Effective Communicator</t>
  </si>
  <si>
    <t>Knowledge and promotion of Emirates products</t>
  </si>
  <si>
    <t>Knowledge and delivery of service standards and procedures</t>
  </si>
  <si>
    <t>SEP/ SEC/ GMT</t>
  </si>
  <si>
    <t>Auto-tick</t>
  </si>
  <si>
    <t>3. White Wine Spritzer
- Small Bottles</t>
  </si>
  <si>
    <t>4. Wine
- Big Bottles</t>
  </si>
  <si>
    <t>5. Dry - White Wine Spritzer - Big Bottle of Wine</t>
  </si>
  <si>
    <t>6. Sweet - White Wine Spritzer- Big Bottle of Wine</t>
  </si>
  <si>
    <t>7. Liqueur</t>
  </si>
  <si>
    <t>8. Shandy</t>
  </si>
  <si>
    <t>9. Hot Beverage 
- Tea</t>
  </si>
  <si>
    <t>10. Beer</t>
  </si>
  <si>
    <t>11. Screwdriver</t>
  </si>
  <si>
    <t>12. Gin &amp; Orange Juice</t>
  </si>
  <si>
    <t>13. Rum &amp; Pepsi</t>
  </si>
  <si>
    <t>14. Gin &amp; Tonic</t>
  </si>
  <si>
    <t>15. Scotch &amp; Soda</t>
  </si>
  <si>
    <t>16. Bloody Mary</t>
  </si>
  <si>
    <t>Female</t>
  </si>
  <si>
    <t>1. Bar Snack Cart</t>
  </si>
  <si>
    <t>Placed snack / savoury biscuit neatly down on tray table next to the napkin</t>
  </si>
  <si>
    <t>Used a small / large silver tray along with a cabin tidy bag</t>
  </si>
  <si>
    <t>Cleared using same cut off points as bar delivery</t>
  </si>
  <si>
    <t>Placed empty cans/plastic miniatures/used plastic glasses into the cabin tidy bag</t>
  </si>
  <si>
    <t>Placed glass miniatures/bottles, plastic glasses containing liquid on the silver tray</t>
  </si>
  <si>
    <t>Placed SPML sticker on the meal items(not on basket)</t>
  </si>
  <si>
    <t>Added heated scone to basket</t>
  </si>
  <si>
    <t>Double ended cart &amp;
conducted service in four corner style</t>
  </si>
  <si>
    <t>Added scone to the basket  prior to  delivering</t>
  </si>
  <si>
    <t>Cleared/Collected items from customers tray table using polite service phrases</t>
  </si>
  <si>
    <t>Start Date:</t>
  </si>
  <si>
    <t>StartDate</t>
  </si>
  <si>
    <t>Smiled, Greeted, welcomed customer/ introduced self</t>
  </si>
  <si>
    <t>Displayed enthusiasm, energy and passion while interacting with customers</t>
  </si>
  <si>
    <t>Smiled &amp; Greeted customer</t>
  </si>
  <si>
    <t>Worked quietly in the galley to ensure customers were not disturbed</t>
  </si>
  <si>
    <t>Ensure galley was kept neat and tidy and all items properly stowed</t>
  </si>
  <si>
    <t>Missed Detais</t>
  </si>
  <si>
    <t>Day 3 (for Day 4)</t>
  </si>
  <si>
    <t xml:space="preserve">Onboard Products | Emirates Menu </t>
  </si>
  <si>
    <t>Ab initio Module book Day 3:</t>
  </si>
  <si>
    <r>
      <rPr>
        <sz val="7"/>
        <color rgb="FF7F7F7F"/>
        <rFont val="Times New Roman"/>
        <family val="1"/>
      </rPr>
      <t xml:space="preserve"> </t>
    </r>
    <r>
      <rPr>
        <sz val="9"/>
        <color rgb="FF7F7F7F"/>
        <rFont val="Arial"/>
        <family val="2"/>
      </rPr>
      <t>eLearning and Assessment Timeline</t>
    </r>
  </si>
  <si>
    <t>Onboard Products | Special Meals</t>
  </si>
  <si>
    <t>Customer Profiles</t>
  </si>
  <si>
    <t>To prepare for Day 4 read the following sections from the Ab initio Module book Day 4:</t>
  </si>
  <si>
    <t>Day 4 (for day 5)</t>
  </si>
  <si>
    <r>
      <rPr>
        <sz val="7"/>
        <color rgb="FF7F7F7F"/>
        <rFont val="Times New Roman"/>
        <family val="1"/>
      </rPr>
      <t xml:space="preserve"> </t>
    </r>
    <r>
      <rPr>
        <sz val="9"/>
        <color rgb="FF7F7F7F"/>
        <rFont val="Arial"/>
        <family val="2"/>
      </rPr>
      <t xml:space="preserve">Aircraft Familiarisation </t>
    </r>
  </si>
  <si>
    <r>
      <rPr>
        <sz val="7"/>
        <color rgb="FF7F7F7F"/>
        <rFont val="Times New Roman"/>
        <family val="1"/>
      </rPr>
      <t xml:space="preserve"> </t>
    </r>
    <r>
      <rPr>
        <sz val="9"/>
        <color rgb="FF7F7F7F"/>
        <rFont val="Arial"/>
        <family val="2"/>
      </rPr>
      <t xml:space="preserve">Equipment Familiarisation </t>
    </r>
  </si>
  <si>
    <t>Seat Pocket Contents</t>
  </si>
  <si>
    <r>
      <rPr>
        <sz val="7"/>
        <color rgb="FF7F7F7F"/>
        <rFont val="Times New Roman"/>
        <family val="1"/>
      </rPr>
      <t xml:space="preserve"> </t>
    </r>
    <r>
      <rPr>
        <sz val="9"/>
        <color rgb="FF7F7F7F"/>
        <rFont val="Arial"/>
        <family val="2"/>
      </rPr>
      <t xml:space="preserve">Aircraft Documentation </t>
    </r>
  </si>
  <si>
    <t xml:space="preserve">Special Meals </t>
  </si>
  <si>
    <t>Aircraft Documentation</t>
  </si>
  <si>
    <t>Welcome services</t>
  </si>
  <si>
    <t>Mapping My Progress</t>
  </si>
  <si>
    <t>Day 4 (for Day 5)</t>
  </si>
  <si>
    <t>On Board Products: Bar</t>
  </si>
  <si>
    <r>
      <rPr>
        <sz val="7"/>
        <color rgb="FF7F7F7F"/>
        <rFont val="Times New Roman"/>
        <family val="1"/>
      </rPr>
      <t xml:space="preserve"> </t>
    </r>
    <r>
      <rPr>
        <sz val="9"/>
        <color rgb="FF7F7F7F"/>
        <rFont val="Arial"/>
        <family val="2"/>
      </rPr>
      <t xml:space="preserve">Welcome Services </t>
    </r>
  </si>
  <si>
    <t xml:space="preserve">Public Announcements </t>
  </si>
  <si>
    <t>Day 5 (for Day 6)</t>
  </si>
  <si>
    <t xml:space="preserve">Farewell Services </t>
  </si>
  <si>
    <t>NIL</t>
  </si>
  <si>
    <t xml:space="preserve">Onboard Product | Bar </t>
  </si>
  <si>
    <r>
      <t xml:space="preserve">Watch the video Snack bar Service from Crew portal – </t>
    </r>
    <r>
      <rPr>
        <i/>
        <sz val="9"/>
        <color rgb="FF7F7F7F"/>
        <rFont val="Arial"/>
        <family val="2"/>
      </rPr>
      <t>Product and service – December 2018 OBU</t>
    </r>
  </si>
  <si>
    <t>Day 6 (for Day 7)</t>
  </si>
  <si>
    <t xml:space="preserve">Onboard Services – Introduction </t>
  </si>
  <si>
    <t xml:space="preserve">Full Meal </t>
  </si>
  <si>
    <t>Bar Paperwork: Exercise 1</t>
  </si>
  <si>
    <t>Full Breakfast</t>
  </si>
  <si>
    <t xml:space="preserve">Light Meal / Light Breakfast </t>
  </si>
  <si>
    <t>Day 7 (for Day 8)</t>
  </si>
  <si>
    <t xml:space="preserve">Short Haul Snack Service </t>
  </si>
  <si>
    <t>Short Haul Meal Service</t>
  </si>
  <si>
    <t>Customer Service</t>
  </si>
  <si>
    <t>Day 8 (for Day 9)</t>
  </si>
  <si>
    <t xml:space="preserve">Galley Management </t>
  </si>
  <si>
    <t>Watch the video Short haul snack service from Crew portal – Product and service – December 2018 OBU</t>
  </si>
  <si>
    <t>Day 9 (for Day 10)</t>
  </si>
  <si>
    <t>Bar paperwork</t>
  </si>
  <si>
    <t xml:space="preserve">Bar Paperwork - Exercise 1 </t>
  </si>
  <si>
    <t xml:space="preserve">We Care </t>
  </si>
  <si>
    <t xml:space="preserve">Short Haul Meal Service </t>
  </si>
  <si>
    <t xml:space="preserve">Bar Paperwork - Exercise 2 </t>
  </si>
  <si>
    <r>
      <rPr>
        <sz val="7"/>
        <color rgb="FF7F7F7F"/>
        <rFont val="Times New Roman"/>
        <family val="1"/>
      </rPr>
      <t xml:space="preserve"> </t>
    </r>
    <r>
      <rPr>
        <sz val="9"/>
        <color rgb="FF7F7F7F"/>
        <rFont val="Arial"/>
        <family val="2"/>
      </rPr>
      <t>Customer Service</t>
    </r>
  </si>
  <si>
    <t>Day 10 (for Day 11)</t>
  </si>
  <si>
    <r>
      <rPr>
        <sz val="7"/>
        <color rgb="FF7F7F7F"/>
        <rFont val="Times New Roman"/>
        <family val="1"/>
      </rPr>
      <t xml:space="preserve"> </t>
    </r>
    <r>
      <rPr>
        <sz val="9"/>
        <color rgb="FF7F7F7F"/>
        <rFont val="Arial"/>
        <family val="2"/>
      </rPr>
      <t xml:space="preserve">Light Meal </t>
    </r>
  </si>
  <si>
    <t>Emirates Skywards</t>
  </si>
  <si>
    <t xml:space="preserve">Light Bites Services  </t>
  </si>
  <si>
    <t>Day 11 (for Day 12)</t>
  </si>
  <si>
    <t>Watch the video for Light Bites services on Crew portal – Product and service – December 2018 OBU</t>
  </si>
  <si>
    <t>Cabin Systems</t>
  </si>
  <si>
    <t xml:space="preserve">Selling Techniques </t>
  </si>
  <si>
    <t>Full Meal – LU | DN</t>
  </si>
  <si>
    <t xml:space="preserve">Continental </t>
  </si>
  <si>
    <t>Day 12 (for Day 13)</t>
  </si>
  <si>
    <t>Bar Paperwork | Exercise One</t>
  </si>
  <si>
    <t xml:space="preserve">Customer Service </t>
  </si>
  <si>
    <t xml:space="preserve">Emirates Skywards </t>
  </si>
  <si>
    <t>Bar Paperwork | Exercise Two</t>
  </si>
  <si>
    <t>Crew Journey Briefing</t>
  </si>
  <si>
    <t>Day 13 (for Day 14)</t>
  </si>
  <si>
    <t>Full Meal  (HB)</t>
  </si>
  <si>
    <t xml:space="preserve">Light Bites </t>
  </si>
  <si>
    <t xml:space="preserve">Cabin Systems </t>
  </si>
  <si>
    <t xml:space="preserve">Aircraft Documentation </t>
  </si>
  <si>
    <t xml:space="preserve">Our Stakeholders </t>
  </si>
  <si>
    <t xml:space="preserve">Bar Paperwork </t>
  </si>
  <si>
    <t xml:space="preserve">Seat Operation </t>
  </si>
  <si>
    <t xml:space="preserve">Crew Journey Briefing </t>
  </si>
  <si>
    <r>
      <t xml:space="preserve">Mapping my progress:  </t>
    </r>
    <r>
      <rPr>
        <b/>
        <sz val="9"/>
        <rFont val="Arial"/>
        <family val="2"/>
      </rPr>
      <t>Post KHI Self Reflection</t>
    </r>
  </si>
  <si>
    <t xml:space="preserve">Route Specific Variances </t>
  </si>
  <si>
    <t>Home Studies</t>
  </si>
  <si>
    <r>
      <t xml:space="preserve">Home Studies to be completed:
</t>
    </r>
    <r>
      <rPr>
        <b/>
        <sz val="8"/>
        <rFont val="Arial"/>
        <family val="2"/>
      </rPr>
      <t>Score Allocation: 
2 = Completed
1 = Partially Completed
0 = Not Completed/Books Left At Home</t>
    </r>
  </si>
  <si>
    <t>Required Reading:
(Not Calculated)</t>
  </si>
  <si>
    <t xml:space="preserve">Knowledge Assessment &amp; Homestudies Average </t>
  </si>
  <si>
    <r>
      <t xml:space="preserve">Mapping my progress:  </t>
    </r>
    <r>
      <rPr>
        <b/>
        <sz val="9"/>
        <rFont val="Arial"/>
        <family val="2"/>
      </rPr>
      <t>Post JFK Self Reflection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</si>
</sst>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409]d\ mmmm\ yyyy;@"/>
    <numFmt numFmtId="165" formatCode="dd/mm/yyyy;@"/>
    <numFmt numFmtId="166" formatCode="0.0"/>
    <numFmt numFmtId="167" formatCode="0.000"/>
  </numFmts>
  <fonts count="177">
    <font>
      <sz val="11"/>
      <color theme="1"/>
      <name val="Calibri"/>
      <family val="2"/>
      <scheme val="minor"/>
    </font>
    <font>
      <sz val="10"/>
      <name val="Arial"/>
      <family val="2"/>
    </font>
    <font>
      <sz val="11"/>
      <color theme="1"/>
      <name val="Arial"/>
      <family val="2"/>
    </font>
    <font>
      <sz val="10"/>
      <color theme="1"/>
      <name val="Arial"/>
      <family val="2"/>
    </font>
    <font>
      <sz val="12"/>
      <color theme="1"/>
      <name val="Arial"/>
      <family val="2"/>
    </font>
    <font>
      <b/>
      <sz val="11"/>
      <name val="Arial"/>
      <family val="2"/>
    </font>
    <font>
      <sz val="11"/>
      <name val="Arial"/>
      <family val="2"/>
    </font>
    <font>
      <b/>
      <sz val="12"/>
      <color theme="1"/>
      <name val="Arial"/>
      <family val="2"/>
    </font>
    <font>
      <b/>
      <sz val="11"/>
      <color theme="1"/>
      <name val="Arial"/>
      <family val="2"/>
    </font>
    <font>
      <sz val="10"/>
      <color theme="1"/>
      <name val="Calibri"/>
      <family val="2"/>
      <scheme val="minor"/>
    </font>
    <font>
      <b/>
      <sz val="10"/>
      <color theme="7"/>
      <name val="Arial"/>
      <family val="2"/>
    </font>
    <font>
      <b/>
      <sz val="10"/>
      <color theme="6"/>
      <name val="Arial"/>
      <family val="2"/>
    </font>
    <font>
      <sz val="10"/>
      <color theme="0"/>
      <name val="Arial"/>
      <family val="2"/>
    </font>
    <font>
      <sz val="16"/>
      <color theme="5"/>
      <name val="EK03Plain-M01"/>
    </font>
    <font>
      <sz val="12"/>
      <color theme="0"/>
      <name val="EK03Plain-M01"/>
    </font>
    <font>
      <sz val="9"/>
      <color theme="1" tint="0.499984740745262"/>
      <name val="Arial"/>
      <family val="2"/>
    </font>
    <font>
      <sz val="12"/>
      <name val="EK03Plain-M01"/>
    </font>
    <font>
      <sz val="16"/>
      <color theme="7"/>
      <name val="EK03Plain-M01"/>
    </font>
    <font>
      <sz val="16"/>
      <color theme="8"/>
      <name val="EK03Plain-M01"/>
    </font>
    <font>
      <sz val="16"/>
      <color theme="6"/>
      <name val="EK03Plain-M01"/>
    </font>
    <font>
      <sz val="16"/>
      <color rgb="FF00B050"/>
      <name val="EK03Plain-M01"/>
    </font>
    <font>
      <sz val="14"/>
      <color theme="0" tint="-0.499984740745262"/>
      <name val="EK03Plain-M01"/>
    </font>
    <font>
      <sz val="9"/>
      <name val="Verdana"/>
      <family val="2"/>
    </font>
    <font>
      <sz val="12"/>
      <color rgb="FF00B050"/>
      <name val="EK03Plain-M01"/>
    </font>
    <font>
      <sz val="9"/>
      <name val="Arial"/>
      <family val="2"/>
    </font>
    <font>
      <sz val="10"/>
      <color theme="1" tint="0.499984740745262"/>
      <name val="Arial"/>
      <family val="2"/>
    </font>
    <font>
      <sz val="8"/>
      <color theme="1"/>
      <name val="Arial"/>
      <family val="2"/>
    </font>
    <font>
      <b/>
      <sz val="10"/>
      <color theme="1"/>
      <name val="Arial"/>
      <family val="2"/>
    </font>
    <font>
      <sz val="12"/>
      <color theme="1"/>
      <name val="Calibri"/>
      <family val="2"/>
      <scheme val="minor"/>
    </font>
    <font>
      <sz val="12"/>
      <color theme="1" tint="0.499984740745262"/>
      <name val="EK03Plain-M01"/>
    </font>
    <font>
      <u/>
      <sz val="11"/>
      <color theme="10"/>
      <name val="Calibri"/>
      <family val="2"/>
      <scheme val="minor"/>
    </font>
    <font>
      <u/>
      <sz val="11"/>
      <color rgb="FF39D7B2"/>
      <name val="Calibri"/>
      <family val="2"/>
      <scheme val="minor"/>
    </font>
    <font>
      <u/>
      <sz val="11"/>
      <color rgb="FF66FFFF"/>
      <name val="Calibri"/>
      <family val="2"/>
      <scheme val="minor"/>
    </font>
    <font>
      <sz val="11"/>
      <color theme="0"/>
      <name val="Arial"/>
      <family val="2"/>
    </font>
    <font>
      <u/>
      <sz val="11"/>
      <color theme="0"/>
      <name val="Calibri"/>
      <family val="2"/>
      <scheme val="minor"/>
    </font>
    <font>
      <sz val="11"/>
      <color theme="1" tint="0.499984740745262"/>
      <name val="Arial"/>
      <family val="2"/>
    </font>
    <font>
      <b/>
      <sz val="11"/>
      <name val="Calibri"/>
      <family val="2"/>
      <scheme val="minor"/>
    </font>
    <font>
      <sz val="12"/>
      <color theme="1" tint="0.499984740745262"/>
      <name val="Arial"/>
      <family val="2"/>
    </font>
    <font>
      <u/>
      <sz val="11"/>
      <color rgb="FFF8B400"/>
      <name val="Arial"/>
      <family val="2"/>
    </font>
    <font>
      <u/>
      <sz val="11"/>
      <color rgb="FFFE44A2"/>
      <name val="Arial"/>
      <family val="2"/>
    </font>
    <font>
      <sz val="11"/>
      <color theme="1"/>
      <name val="EK03Plain-M01"/>
    </font>
    <font>
      <sz val="11"/>
      <color theme="1" tint="0.499984740745262"/>
      <name val="EK03Plain-M01"/>
    </font>
    <font>
      <sz val="10"/>
      <name val="EK03Plain-M01"/>
    </font>
    <font>
      <sz val="10"/>
      <color theme="1"/>
      <name val="EK03Plain-M01"/>
    </font>
    <font>
      <sz val="11"/>
      <color theme="1"/>
      <name val="EK03Plain-B01"/>
    </font>
    <font>
      <sz val="10"/>
      <color theme="1"/>
      <name val="EK03Plain-B01"/>
    </font>
    <font>
      <sz val="8"/>
      <color theme="1"/>
      <name val="EK03Plain-B01"/>
    </font>
    <font>
      <sz val="22"/>
      <color theme="1"/>
      <name val="EK03Plain-M01"/>
    </font>
    <font>
      <sz val="11"/>
      <color theme="0"/>
      <name val="EK03Plain-M01"/>
    </font>
    <font>
      <sz val="11"/>
      <color theme="1" tint="0.249977111117893"/>
      <name val="EK03Plain-M01"/>
    </font>
    <font>
      <sz val="11"/>
      <color theme="6"/>
      <name val="EK03Plain-M01"/>
    </font>
    <font>
      <sz val="11"/>
      <color theme="7"/>
      <name val="EK03Plain-M01"/>
    </font>
    <font>
      <sz val="11"/>
      <color theme="0" tint="-4.9989318521683403E-2"/>
      <name val="Arial"/>
      <family val="2"/>
    </font>
    <font>
      <sz val="10"/>
      <color rgb="FF00B050"/>
      <name val="Arial"/>
      <family val="2"/>
    </font>
    <font>
      <b/>
      <sz val="10"/>
      <color theme="0"/>
      <name val="Arial"/>
      <family val="2"/>
    </font>
    <font>
      <sz val="11"/>
      <color theme="0" tint="-0.249977111117893"/>
      <name val="Arial"/>
      <family val="2"/>
    </font>
    <font>
      <sz val="11"/>
      <color theme="1" tint="0.34998626667073579"/>
      <name val="Arial"/>
      <family val="2"/>
    </font>
    <font>
      <sz val="10"/>
      <name val="Calibri"/>
      <family val="2"/>
      <scheme val="minor"/>
    </font>
    <font>
      <b/>
      <sz val="8"/>
      <name val="Calibri"/>
      <family val="2"/>
      <scheme val="minor"/>
    </font>
    <font>
      <sz val="9"/>
      <color theme="1"/>
      <name val="Arial"/>
      <family val="2"/>
    </font>
    <font>
      <b/>
      <sz val="10"/>
      <name val="Calibri"/>
      <family val="2"/>
      <scheme val="minor"/>
    </font>
    <font>
      <sz val="20"/>
      <color theme="1"/>
      <name val="EK03Plain-M01"/>
    </font>
    <font>
      <sz val="11"/>
      <color theme="5"/>
      <name val="EK03Plain-M01"/>
    </font>
    <font>
      <sz val="20"/>
      <name val="EK03Plain-M01"/>
    </font>
    <font>
      <sz val="14"/>
      <color theme="1"/>
      <name val="Arial"/>
      <family val="2"/>
    </font>
    <font>
      <sz val="11"/>
      <color theme="1" tint="0.249977111117893"/>
      <name val="Arial"/>
      <family val="2"/>
    </font>
    <font>
      <sz val="11"/>
      <color theme="6"/>
      <name val="Arial"/>
      <family val="2"/>
    </font>
    <font>
      <sz val="10"/>
      <color theme="8"/>
      <name val="Arial"/>
      <family val="2"/>
    </font>
    <font>
      <sz val="11"/>
      <color theme="1" tint="0.249977111117893"/>
      <name val="Arial"/>
      <family val="2"/>
    </font>
    <font>
      <sz val="9"/>
      <color indexed="81"/>
      <name val="Tahoma"/>
      <family val="2"/>
    </font>
    <font>
      <b/>
      <sz val="9"/>
      <color indexed="81"/>
      <name val="Tahoma"/>
      <family val="2"/>
    </font>
    <font>
      <sz val="14"/>
      <color theme="1"/>
      <name val="EK03Plain-B01"/>
    </font>
    <font>
      <sz val="11"/>
      <name val="EK03Plain-M01"/>
    </font>
    <font>
      <sz val="10"/>
      <color theme="1" tint="0.249977111117893"/>
      <name val="Arial"/>
      <family val="2"/>
    </font>
    <font>
      <sz val="11"/>
      <name val="Calibri"/>
      <family val="2"/>
      <scheme val="minor"/>
    </font>
    <font>
      <sz val="10"/>
      <color theme="1" tint="0.499984740745262"/>
      <name val="EK03Plain-M01"/>
    </font>
    <font>
      <sz val="11"/>
      <color theme="1"/>
      <name val="EK03Plain-L01"/>
    </font>
    <font>
      <sz val="8"/>
      <color theme="1" tint="0.499984740745262"/>
      <name val="EK03Plain-M01"/>
    </font>
    <font>
      <b/>
      <sz val="16"/>
      <color theme="1" tint="0.499984740745262"/>
      <name val="Arial"/>
      <family val="2"/>
    </font>
    <font>
      <sz val="8"/>
      <color theme="1" tint="0.499984740745262"/>
      <name val="Arial"/>
      <family val="2"/>
    </font>
    <font>
      <sz val="8"/>
      <name val="Arial"/>
      <family val="2"/>
    </font>
    <font>
      <i/>
      <sz val="11"/>
      <color theme="1"/>
      <name val="Calibri"/>
      <family val="2"/>
      <scheme val="minor"/>
    </font>
    <font>
      <b/>
      <sz val="8"/>
      <color theme="1" tint="0.499984740745262"/>
      <name val="Arial"/>
      <family val="2"/>
    </font>
    <font>
      <sz val="9"/>
      <color theme="1" tint="0.499984740745262"/>
      <name val="Calibri"/>
      <family val="2"/>
      <scheme val="minor"/>
    </font>
    <font>
      <sz val="22"/>
      <color rgb="FFFFFFFF"/>
      <name val="EK03Plain-M01"/>
    </font>
    <font>
      <sz val="8"/>
      <color theme="0"/>
      <name val="Arial"/>
      <family val="2"/>
    </font>
    <font>
      <b/>
      <sz val="8"/>
      <name val="Arial"/>
      <family val="2"/>
    </font>
    <font>
      <sz val="6"/>
      <name val="Arial"/>
      <family val="2"/>
    </font>
    <font>
      <b/>
      <sz val="10"/>
      <color theme="1" tint="0.499984740745262"/>
      <name val="Arial"/>
      <family val="2"/>
    </font>
    <font>
      <sz val="10"/>
      <color rgb="FFCA7DFF"/>
      <name val="Arial"/>
      <family val="2"/>
    </font>
    <font>
      <sz val="10"/>
      <color rgb="FFFFFFFF"/>
      <name val="Arial"/>
      <family val="2"/>
    </font>
    <font>
      <sz val="10"/>
      <color rgb="FFFF0F00"/>
      <name val="Arial"/>
      <family val="2"/>
    </font>
    <font>
      <sz val="10"/>
      <color rgb="FF00B0F0"/>
      <name val="Arial"/>
      <family val="2"/>
    </font>
    <font>
      <sz val="10"/>
      <color rgb="FFF87508"/>
      <name val="Arial"/>
      <family val="2"/>
    </font>
    <font>
      <sz val="10"/>
      <color rgb="FF666DFE"/>
      <name val="Arial"/>
      <family val="2"/>
    </font>
    <font>
      <sz val="10"/>
      <color rgb="FFFE44A2"/>
      <name val="Arial"/>
      <family val="2"/>
    </font>
    <font>
      <sz val="10"/>
      <color rgb="FF39D7B2"/>
      <name val="Arial"/>
      <family val="2"/>
    </font>
    <font>
      <sz val="6"/>
      <color theme="1"/>
      <name val="Arial"/>
      <family val="2"/>
    </font>
    <font>
      <b/>
      <sz val="9"/>
      <color rgb="FFEA0000"/>
      <name val="Arial"/>
      <family val="2"/>
    </font>
    <font>
      <sz val="10"/>
      <color rgb="FFF8B400"/>
      <name val="Arial"/>
      <family val="2"/>
    </font>
    <font>
      <sz val="10"/>
      <color rgb="FF92D050"/>
      <name val="Arial"/>
      <family val="2"/>
    </font>
    <font>
      <sz val="10"/>
      <color rgb="FF0099CC"/>
      <name val="Arial"/>
      <family val="2"/>
    </font>
    <font>
      <sz val="8"/>
      <color indexed="23"/>
      <name val="Arial"/>
      <family val="2"/>
    </font>
    <font>
      <sz val="14"/>
      <color theme="1" tint="0.499984740745262"/>
      <name val="Emirates Medium"/>
    </font>
    <font>
      <sz val="6"/>
      <color theme="7"/>
      <name val="Arial"/>
      <family val="2"/>
    </font>
    <font>
      <sz val="16"/>
      <color theme="5"/>
      <name val="Emirates Medium"/>
    </font>
    <font>
      <sz val="12"/>
      <color theme="1"/>
      <name val="EK03Plain-M01"/>
    </font>
    <font>
      <sz val="8"/>
      <name val="Verdana"/>
      <family val="2"/>
    </font>
    <font>
      <sz val="12"/>
      <name val="Wingdings 2"/>
      <family val="1"/>
      <charset val="2"/>
    </font>
    <font>
      <sz val="16"/>
      <color theme="1" tint="0.499984740745262"/>
      <name val="Emirates Medium"/>
    </font>
    <font>
      <sz val="9"/>
      <name val="Calibri"/>
      <family val="2"/>
      <scheme val="minor"/>
    </font>
    <font>
      <sz val="11"/>
      <color theme="1" tint="0.499984740745262"/>
      <name val="Calibri"/>
      <family val="2"/>
      <scheme val="minor"/>
    </font>
    <font>
      <sz val="9"/>
      <color theme="9" tint="-0.249977111117893"/>
      <name val="Arial"/>
      <family val="2"/>
    </font>
    <font>
      <sz val="11"/>
      <color rgb="FF4BACC6"/>
      <name val="Arial"/>
      <family val="2"/>
    </font>
    <font>
      <sz val="11"/>
      <color rgb="FFC0504D"/>
      <name val="Arial"/>
      <family val="2"/>
    </font>
    <font>
      <sz val="11"/>
      <color rgb="FF8064A2"/>
      <name val="Arial"/>
      <family val="2"/>
    </font>
    <font>
      <sz val="7"/>
      <color theme="1" tint="0.499984740745262"/>
      <name val="Arial"/>
      <family val="2"/>
    </font>
    <font>
      <sz val="14"/>
      <color theme="1" tint="0.499984740745262"/>
      <name val="EK03Plain-M01"/>
    </font>
    <font>
      <b/>
      <sz val="8"/>
      <name val="Verdana"/>
      <family val="2"/>
    </font>
    <font>
      <b/>
      <sz val="10"/>
      <color theme="0" tint="-0.499984740745262"/>
      <name val="Arial"/>
      <family val="2"/>
    </font>
    <font>
      <sz val="9"/>
      <color rgb="FFCA7DFF"/>
      <name val="Arial"/>
      <family val="2"/>
    </font>
    <font>
      <sz val="16"/>
      <color theme="0"/>
      <name val="Emirates Bold"/>
    </font>
    <font>
      <b/>
      <sz val="16"/>
      <color theme="0"/>
      <name val="Emirates Bold"/>
    </font>
    <font>
      <sz val="10"/>
      <color rgb="FFBF2025"/>
      <name val="Arial"/>
      <family val="2"/>
    </font>
    <font>
      <sz val="10"/>
      <color rgb="FF6F3995"/>
      <name val="Arial"/>
      <family val="2"/>
    </font>
    <font>
      <sz val="10"/>
      <color rgb="FFFF0000"/>
      <name val="Arial"/>
      <family val="2"/>
    </font>
    <font>
      <b/>
      <sz val="9"/>
      <color theme="1"/>
      <name val="Arial"/>
      <family val="2"/>
    </font>
    <font>
      <sz val="10"/>
      <color theme="1" tint="0.34998626667073579"/>
      <name val="Arial"/>
      <family val="2"/>
    </font>
    <font>
      <sz val="8"/>
      <color theme="1" tint="0.34998626667073579"/>
      <name val="Arial"/>
      <family val="2"/>
    </font>
    <font>
      <sz val="16"/>
      <color theme="0"/>
      <name val="Emirates Medium"/>
    </font>
    <font>
      <b/>
      <sz val="12"/>
      <color theme="1" tint="0.34998626667073579"/>
      <name val="Wingdings 2"/>
      <family val="1"/>
      <charset val="2"/>
    </font>
    <font>
      <b/>
      <sz val="12"/>
      <color theme="0"/>
      <name val="Emirates Bold"/>
    </font>
    <font>
      <sz val="11"/>
      <color theme="0"/>
      <name val="Emirates Bold"/>
    </font>
    <font>
      <b/>
      <sz val="10"/>
      <color theme="0"/>
      <name val="Emirates Bold"/>
    </font>
    <font>
      <sz val="10"/>
      <color theme="0"/>
      <name val="Emirates Bold"/>
    </font>
    <font>
      <b/>
      <sz val="9"/>
      <color theme="1" tint="0.499984740745262"/>
      <name val="Arial"/>
      <family val="2"/>
    </font>
    <font>
      <sz val="10"/>
      <color theme="0"/>
      <name val="EK03Plain-M01"/>
    </font>
    <font>
      <sz val="11"/>
      <color theme="1" tint="0.34998626667073579"/>
      <name val="EK03Plain-M01"/>
    </font>
    <font>
      <b/>
      <sz val="10"/>
      <color rgb="FF4E81BD"/>
      <name val="Arial"/>
      <family val="2"/>
    </font>
    <font>
      <b/>
      <sz val="10"/>
      <color rgb="FFBF2025"/>
      <name val="Arial"/>
      <family val="2"/>
    </font>
    <font>
      <b/>
      <sz val="10"/>
      <color rgb="FF6F3995"/>
      <name val="Arial"/>
      <family val="2"/>
    </font>
    <font>
      <b/>
      <sz val="10"/>
      <color rgb="FF00B04F"/>
      <name val="Arial"/>
      <family val="2"/>
    </font>
    <font>
      <b/>
      <sz val="9"/>
      <name val="Arial"/>
      <family val="2"/>
    </font>
    <font>
      <sz val="9"/>
      <color theme="1" tint="0.34998626667073579"/>
      <name val="Arial"/>
      <family val="2"/>
    </font>
    <font>
      <sz val="9"/>
      <color theme="1" tint="0.249977111117893"/>
      <name val="Arial"/>
      <family val="2"/>
    </font>
    <font>
      <sz val="8"/>
      <color rgb="FF666DFE"/>
      <name val="Arial"/>
      <family val="2"/>
    </font>
    <font>
      <b/>
      <sz val="12"/>
      <color theme="1" tint="0.499984740745262"/>
      <name val="Emirates Bold"/>
    </font>
    <font>
      <b/>
      <sz val="18"/>
      <color theme="1" tint="0.499984740745262"/>
      <name val="Emirates Bold"/>
    </font>
    <font>
      <b/>
      <sz val="11"/>
      <color theme="1" tint="0.499984740745262"/>
      <name val="Arial"/>
      <family val="2"/>
    </font>
    <font>
      <sz val="14"/>
      <color theme="1" tint="0.499984740745262"/>
      <name val="Arial"/>
      <family val="2"/>
    </font>
    <font>
      <sz val="9"/>
      <color theme="0"/>
      <name val="Arial"/>
      <family val="2"/>
    </font>
    <font>
      <b/>
      <sz val="9"/>
      <color theme="0"/>
      <name val="Arial"/>
      <family val="2"/>
    </font>
    <font>
      <b/>
      <u/>
      <sz val="9"/>
      <color theme="0"/>
      <name val="Arial"/>
      <family val="2"/>
    </font>
    <font>
      <sz val="11"/>
      <color theme="0"/>
      <name val="Calibri"/>
      <family val="2"/>
      <scheme val="minor"/>
    </font>
    <font>
      <sz val="12"/>
      <color rgb="FF000000"/>
      <name val="Arial"/>
      <family val="2"/>
    </font>
    <font>
      <sz val="11"/>
      <color rgb="FF000000"/>
      <name val="Arial"/>
      <family val="2"/>
    </font>
    <font>
      <sz val="10"/>
      <color rgb="FF7030A0"/>
      <name val="Arial"/>
      <family val="2"/>
    </font>
    <font>
      <sz val="10"/>
      <color theme="9" tint="-0.249977111117893"/>
      <name val="Arial"/>
      <family val="2"/>
    </font>
    <font>
      <sz val="10"/>
      <color theme="8" tint="-0.249977111117893"/>
      <name val="Arial"/>
      <family val="2"/>
    </font>
    <font>
      <sz val="10"/>
      <color theme="0"/>
      <name val="EK03Plain-B01"/>
    </font>
    <font>
      <sz val="8"/>
      <color theme="1" tint="0.34998626667073579"/>
      <name val="EK03Plain-M01"/>
    </font>
    <font>
      <sz val="11"/>
      <color theme="4"/>
      <name val="EK03Plain-M01"/>
    </font>
    <font>
      <sz val="11"/>
      <color rgb="FF00B050"/>
      <name val="EK03Plain-M01"/>
    </font>
    <font>
      <b/>
      <sz val="11"/>
      <color theme="0" tint="-0.249977111117893"/>
      <name val="Arial"/>
      <family val="2"/>
    </font>
    <font>
      <sz val="8"/>
      <color theme="0" tint="-0.249977111117893"/>
      <name val="Arial"/>
      <family val="2"/>
    </font>
    <font>
      <i/>
      <sz val="10"/>
      <color theme="0" tint="-0.34998626667073579"/>
      <name val="Arial"/>
      <family val="2"/>
    </font>
    <font>
      <sz val="11"/>
      <color rgb="FFFF0000"/>
      <name val="Arial"/>
      <family val="2"/>
    </font>
    <font>
      <sz val="7.5"/>
      <color theme="1" tint="0.499984740745262"/>
      <name val="Arial"/>
      <family val="2"/>
    </font>
    <font>
      <sz val="9"/>
      <color theme="1"/>
      <name val="Calibri"/>
      <family val="2"/>
      <scheme val="minor"/>
    </font>
    <font>
      <sz val="9"/>
      <color rgb="FF7F7F7F"/>
      <name val="Arial"/>
      <family val="2"/>
    </font>
    <font>
      <b/>
      <sz val="9"/>
      <color rgb="FF7F7F7F"/>
      <name val="Arial"/>
      <family val="2"/>
    </font>
    <font>
      <sz val="9"/>
      <color rgb="FF7F7F7F"/>
      <name val="Symbol"/>
      <family val="1"/>
      <charset val="2"/>
    </font>
    <font>
      <sz val="7"/>
      <color rgb="FF7F7F7F"/>
      <name val="Times New Roman"/>
      <family val="1"/>
    </font>
    <font>
      <i/>
      <sz val="9"/>
      <color rgb="FF7F7F7F"/>
      <name val="Arial"/>
      <family val="2"/>
    </font>
    <font>
      <b/>
      <sz val="9"/>
      <color rgb="FFC00000"/>
      <name val="Arial"/>
      <family val="2"/>
    </font>
    <font>
      <b/>
      <sz val="12"/>
      <name val="Arial"/>
      <family val="2"/>
    </font>
    <font>
      <b/>
      <sz val="12"/>
      <name val="Calibri"/>
      <family val="2"/>
      <scheme val="minor"/>
    </font>
  </fonts>
  <fills count="88">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
      <patternFill patternType="solid">
        <fgColor indexed="10"/>
        <bgColor indexed="64"/>
      </patternFill>
    </fill>
    <fill>
      <patternFill patternType="solid">
        <fgColor rgb="FFFF9900"/>
        <bgColor indexed="64"/>
      </patternFill>
    </fill>
    <fill>
      <patternFill patternType="solid">
        <fgColor indexed="13"/>
        <bgColor indexed="64"/>
      </patternFill>
    </fill>
    <fill>
      <patternFill patternType="solid">
        <fgColor indexed="1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5" tint="-0.249977111117893"/>
        <bgColor indexed="64"/>
      </patternFill>
    </fill>
    <fill>
      <patternFill patternType="solid">
        <fgColor theme="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A7DFF"/>
        <bgColor indexed="64"/>
      </patternFill>
    </fill>
    <fill>
      <patternFill patternType="solid">
        <fgColor rgb="FF92D050"/>
        <bgColor indexed="64"/>
      </patternFill>
    </fill>
    <fill>
      <patternFill patternType="solid">
        <fgColor rgb="FF666DFE"/>
        <bgColor indexed="64"/>
      </patternFill>
    </fill>
    <fill>
      <patternFill patternType="solid">
        <fgColor rgb="FFFF0F00"/>
        <bgColor indexed="64"/>
      </patternFill>
    </fill>
    <fill>
      <patternFill patternType="solid">
        <fgColor rgb="FF66FFFF"/>
        <bgColor indexed="64"/>
      </patternFill>
    </fill>
    <fill>
      <patternFill patternType="solid">
        <fgColor rgb="FFFE44A2"/>
        <bgColor indexed="64"/>
      </patternFill>
    </fill>
    <fill>
      <patternFill patternType="solid">
        <fgColor rgb="FFF8B400"/>
        <bgColor indexed="64"/>
      </patternFill>
    </fill>
    <fill>
      <patternFill patternType="solid">
        <fgColor rgb="FF39D7B2"/>
        <bgColor indexed="64"/>
      </patternFill>
    </fill>
    <fill>
      <patternFill patternType="solid">
        <fgColor rgb="FFF87508"/>
        <bgColor indexed="64"/>
      </patternFill>
    </fill>
    <fill>
      <patternFill patternType="solid">
        <fgColor rgb="FF990099"/>
        <bgColor indexed="64"/>
      </patternFill>
    </fill>
    <fill>
      <patternFill patternType="solid">
        <fgColor rgb="FF0099CC"/>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9E49FF"/>
        <bgColor indexed="64"/>
      </patternFill>
    </fill>
    <fill>
      <patternFill patternType="solid">
        <fgColor theme="5"/>
        <bgColor indexed="64"/>
      </patternFill>
    </fill>
    <fill>
      <patternFill patternType="solid">
        <fgColor theme="0"/>
        <bgColor theme="0" tint="-0.14996795556505021"/>
      </patternFill>
    </fill>
    <fill>
      <patternFill patternType="solid">
        <fgColor indexed="65"/>
        <bgColor indexed="64"/>
      </patternFill>
    </fill>
    <fill>
      <patternFill patternType="lightDown">
        <fgColor theme="0" tint="-0.14996795556505021"/>
        <bgColor theme="0" tint="-4.9989318521683403E-2"/>
      </patternFill>
    </fill>
    <fill>
      <patternFill patternType="lightDown">
        <fgColor theme="0" tint="-4.9989318521683403E-2"/>
        <bgColor theme="0"/>
      </patternFill>
    </fill>
    <fill>
      <patternFill patternType="solid">
        <fgColor rgb="FFEA0000"/>
        <bgColor indexed="64"/>
      </patternFill>
    </fill>
    <fill>
      <patternFill patternType="solid">
        <fgColor rgb="FFFFFF00"/>
        <bgColor indexed="64"/>
      </patternFill>
    </fill>
    <fill>
      <patternFill patternType="solid">
        <fgColor rgb="FF00B050"/>
        <bgColor indexed="64"/>
      </patternFill>
    </fill>
    <fill>
      <patternFill patternType="solid">
        <fgColor rgb="FF7030A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1"/>
        <bgColor indexed="64"/>
      </patternFill>
    </fill>
    <fill>
      <patternFill patternType="solid">
        <fgColor rgb="FF4F81BD"/>
        <bgColor indexed="64"/>
      </patternFill>
    </fill>
    <fill>
      <patternFill patternType="solid">
        <fgColor rgb="FFC00000"/>
        <bgColor indexed="64"/>
      </patternFill>
    </fill>
    <fill>
      <patternFill patternType="solid">
        <fgColor rgb="FFFFC000"/>
        <bgColor indexed="64"/>
      </patternFill>
    </fill>
    <fill>
      <patternFill patternType="solid">
        <fgColor rgb="FF4E81BD"/>
        <bgColor indexed="64"/>
      </patternFill>
    </fill>
    <fill>
      <patternFill patternType="solid">
        <fgColor rgb="FFB8CBE2"/>
        <bgColor indexed="64"/>
      </patternFill>
    </fill>
    <fill>
      <patternFill patternType="solid">
        <fgColor rgb="FF234771"/>
        <bgColor indexed="64"/>
      </patternFill>
    </fill>
    <fill>
      <patternFill patternType="solid">
        <fgColor rgb="FF7093C8"/>
        <bgColor indexed="64"/>
      </patternFill>
    </fill>
    <fill>
      <patternFill patternType="solid">
        <fgColor rgb="FF8FA9D4"/>
        <bgColor indexed="64"/>
      </patternFill>
    </fill>
    <fill>
      <patternFill patternType="solid">
        <fgColor rgb="FFB1C1E0"/>
        <bgColor indexed="64"/>
      </patternFill>
    </fill>
    <fill>
      <patternFill patternType="solid">
        <fgColor rgb="FFD5DCEE"/>
        <bgColor indexed="64"/>
      </patternFill>
    </fill>
    <fill>
      <patternFill patternType="solid">
        <fgColor rgb="FFBF2025"/>
        <bgColor indexed="64"/>
      </patternFill>
    </fill>
    <fill>
      <patternFill patternType="solid">
        <fgColor rgb="FFD89494"/>
        <bgColor indexed="64"/>
      </patternFill>
    </fill>
    <fill>
      <patternFill patternType="solid">
        <fgColor rgb="FF720F11"/>
        <bgColor indexed="64"/>
      </patternFill>
    </fill>
    <fill>
      <patternFill patternType="solid">
        <fgColor rgb="FFC9523E"/>
        <bgColor indexed="64"/>
      </patternFill>
    </fill>
    <fill>
      <patternFill patternType="solid">
        <fgColor rgb="FFD37961"/>
        <bgColor indexed="64"/>
      </patternFill>
    </fill>
    <fill>
      <patternFill patternType="solid">
        <fgColor rgb="FFDF9F8A"/>
        <bgColor indexed="64"/>
      </patternFill>
    </fill>
    <fill>
      <patternFill patternType="solid">
        <fgColor rgb="FFECCABC"/>
        <bgColor indexed="64"/>
      </patternFill>
    </fill>
    <fill>
      <patternFill patternType="solid">
        <fgColor rgb="FF6F3995"/>
        <bgColor indexed="64"/>
      </patternFill>
    </fill>
    <fill>
      <patternFill patternType="solid">
        <fgColor rgb="FFB2A1C6"/>
        <bgColor indexed="64"/>
      </patternFill>
    </fill>
    <fill>
      <patternFill patternType="solid">
        <fgColor rgb="FF321649"/>
        <bgColor indexed="64"/>
      </patternFill>
    </fill>
    <fill>
      <patternFill patternType="solid">
        <fgColor rgb="FF835BA5"/>
        <bgColor indexed="64"/>
      </patternFill>
    </fill>
    <fill>
      <patternFill patternType="solid">
        <fgColor rgb="FF9A7BB7"/>
        <bgColor indexed="64"/>
      </patternFill>
    </fill>
    <fill>
      <patternFill patternType="solid">
        <fgColor rgb="FFB6A0CC"/>
        <bgColor indexed="64"/>
      </patternFill>
    </fill>
    <fill>
      <patternFill patternType="solid">
        <fgColor rgb="FFD6CBE4"/>
        <bgColor indexed="64"/>
      </patternFill>
    </fill>
    <fill>
      <patternFill patternType="solid">
        <fgColor rgb="FF00B04F"/>
        <bgColor indexed="64"/>
      </patternFill>
    </fill>
    <fill>
      <patternFill patternType="solid">
        <fgColor rgb="FF93C953"/>
        <bgColor indexed="64"/>
      </patternFill>
    </fill>
    <fill>
      <patternFill patternType="solid">
        <fgColor rgb="FF0B6333"/>
        <bgColor indexed="64"/>
      </patternFill>
    </fill>
    <fill>
      <patternFill patternType="solid">
        <fgColor rgb="FF5DBB6C"/>
        <bgColor indexed="64"/>
      </patternFill>
    </fill>
    <fill>
      <patternFill patternType="solid">
        <fgColor rgb="FF88C98E"/>
        <bgColor indexed="64"/>
      </patternFill>
    </fill>
    <fill>
      <patternFill patternType="solid">
        <fgColor rgb="FFAFD9AF"/>
        <bgColor indexed="64"/>
      </patternFill>
    </fill>
    <fill>
      <patternFill patternType="solid">
        <fgColor rgb="FFD5EAD4"/>
        <bgColor indexed="64"/>
      </patternFill>
    </fill>
    <fill>
      <patternFill patternType="solid">
        <fgColor rgb="FFE26D25"/>
        <bgColor indexed="64"/>
      </patternFill>
    </fill>
    <fill>
      <patternFill patternType="solid">
        <fgColor rgb="FFFABF8E"/>
        <bgColor indexed="64"/>
      </patternFill>
    </fill>
    <fill>
      <patternFill patternType="solid">
        <fgColor rgb="FF964120"/>
        <bgColor indexed="64"/>
      </patternFill>
    </fill>
    <fill>
      <patternFill patternType="solid">
        <fgColor rgb="FFE78647"/>
        <bgColor indexed="64"/>
      </patternFill>
    </fill>
    <fill>
      <patternFill patternType="solid">
        <fgColor rgb="FFECA16F"/>
        <bgColor indexed="64"/>
      </patternFill>
    </fill>
    <fill>
      <patternFill patternType="solid">
        <fgColor rgb="FFF2BE98"/>
        <bgColor indexed="64"/>
      </patternFill>
    </fill>
    <fill>
      <patternFill patternType="solid">
        <fgColor rgb="FFF8DBC6"/>
        <bgColor indexed="64"/>
      </patternFill>
    </fill>
    <fill>
      <patternFill patternType="solid">
        <fgColor theme="0"/>
        <bgColor theme="0" tint="-4.9989318521683403E-2"/>
      </patternFill>
    </fill>
    <fill>
      <patternFill patternType="solid">
        <fgColor rgb="FFE7E3D7"/>
        <bgColor indexed="64"/>
      </patternFill>
    </fill>
    <fill>
      <patternFill patternType="solid">
        <fgColor rgb="FFB5AF9E"/>
        <bgColor indexed="64"/>
      </patternFill>
    </fill>
    <fill>
      <patternFill patternType="solid">
        <fgColor rgb="FF00BFFF"/>
        <bgColor indexed="64"/>
      </patternFill>
    </fill>
    <fill>
      <patternFill patternType="solid">
        <fgColor rgb="FF6B8E2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theme="4"/>
        <bgColor indexed="64"/>
      </patternFill>
    </fill>
  </fills>
  <borders count="2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dotted">
        <color theme="7"/>
      </left>
      <right style="dotted">
        <color theme="7"/>
      </right>
      <top style="dotted">
        <color theme="7"/>
      </top>
      <bottom style="dotted">
        <color theme="7"/>
      </bottom>
      <diagonal/>
    </border>
    <border>
      <left style="thin">
        <color auto="1"/>
      </left>
      <right style="thin">
        <color auto="1"/>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style="medium">
        <color theme="0" tint="-0.249977111117893"/>
      </left>
      <right style="medium">
        <color theme="0" tint="-0.249977111117893"/>
      </right>
      <top style="medium">
        <color theme="0" tint="-0.249977111117893"/>
      </top>
      <bottom/>
      <diagonal/>
    </border>
    <border>
      <left style="medium">
        <color theme="0" tint="-0.249977111117893"/>
      </left>
      <right style="medium">
        <color theme="0" tint="-0.249977111117893"/>
      </right>
      <top/>
      <bottom style="medium">
        <color theme="0" tint="-0.249977111117893"/>
      </bottom>
      <diagonal/>
    </border>
    <border>
      <left/>
      <right/>
      <top style="thin">
        <color auto="1"/>
      </top>
      <bottom/>
      <diagonal/>
    </border>
    <border>
      <left/>
      <right/>
      <top/>
      <bottom style="thin">
        <color theme="0" tint="-0.249977111117893"/>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right/>
      <top style="medium">
        <color auto="1"/>
      </top>
      <bottom/>
      <diagonal/>
    </border>
    <border>
      <left/>
      <right style="medium">
        <color auto="1"/>
      </right>
      <top/>
      <bottom/>
      <diagonal/>
    </border>
    <border>
      <left style="medium">
        <color auto="1"/>
      </left>
      <right/>
      <top/>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style="medium">
        <color theme="0" tint="-0.499984740745262"/>
      </top>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top style="thin">
        <color theme="0" tint="-0.249977111117893"/>
      </top>
      <bottom/>
      <diagonal/>
    </border>
    <border>
      <left/>
      <right/>
      <top/>
      <bottom style="thin">
        <color theme="0" tint="-0.24994659260841701"/>
      </bottom>
      <diagonal/>
    </border>
    <border>
      <left style="thin">
        <color theme="0" tint="-0.24994659260841701"/>
      </left>
      <right/>
      <top/>
      <bottom/>
      <diagonal/>
    </border>
    <border>
      <left/>
      <right style="thin">
        <color theme="0" tint="-0.249977111117893"/>
      </right>
      <top style="thin">
        <color theme="0" tint="-0.249977111117893"/>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hair">
        <color theme="0" tint="-0.249977111117893"/>
      </left>
      <right style="hair">
        <color theme="0" tint="-0.249977111117893"/>
      </right>
      <top style="hair">
        <color theme="0" tint="-0.249977111117893"/>
      </top>
      <bottom style="hair">
        <color theme="0" tint="-0.249977111117893"/>
      </bottom>
      <diagonal/>
    </border>
    <border>
      <left/>
      <right/>
      <top style="hair">
        <color theme="0" tint="-0.249977111117893"/>
      </top>
      <bottom/>
      <diagonal/>
    </border>
    <border>
      <left/>
      <right style="hair">
        <color theme="0" tint="-0.249977111117893"/>
      </right>
      <top style="hair">
        <color theme="0" tint="-0.249977111117893"/>
      </top>
      <bottom/>
      <diagonal/>
    </border>
    <border>
      <left/>
      <right/>
      <top/>
      <bottom style="hair">
        <color theme="0" tint="-0.249977111117893"/>
      </bottom>
      <diagonal/>
    </border>
    <border>
      <left/>
      <right style="hair">
        <color theme="0" tint="-0.249977111117893"/>
      </right>
      <top/>
      <bottom style="hair">
        <color theme="0" tint="-0.249977111117893"/>
      </bottom>
      <diagonal/>
    </border>
    <border>
      <left style="hair">
        <color theme="0" tint="-0.249977111117893"/>
      </left>
      <right style="hair">
        <color theme="0" tint="-0.249977111117893"/>
      </right>
      <top/>
      <bottom style="hair">
        <color theme="0" tint="-0.249977111117893"/>
      </bottom>
      <diagonal/>
    </border>
    <border>
      <left style="thin">
        <color theme="0" tint="-0.249977111117893"/>
      </left>
      <right style="hair">
        <color theme="0" tint="-0.249977111117893"/>
      </right>
      <top style="thin">
        <color theme="0" tint="-0.249977111117893"/>
      </top>
      <bottom style="hair">
        <color theme="0" tint="-0.249977111117893"/>
      </bottom>
      <diagonal/>
    </border>
    <border>
      <left style="hair">
        <color theme="0" tint="-0.249977111117893"/>
      </left>
      <right style="hair">
        <color theme="0" tint="-0.249977111117893"/>
      </right>
      <top style="thin">
        <color theme="0" tint="-0.249977111117893"/>
      </top>
      <bottom style="hair">
        <color theme="0" tint="-0.249977111117893"/>
      </bottom>
      <diagonal/>
    </border>
    <border>
      <left style="hair">
        <color theme="0" tint="-0.249977111117893"/>
      </left>
      <right style="thin">
        <color theme="0" tint="-0.249977111117893"/>
      </right>
      <top style="thin">
        <color theme="0" tint="-0.249977111117893"/>
      </top>
      <bottom style="hair">
        <color theme="0" tint="-0.249977111117893"/>
      </bottom>
      <diagonal/>
    </border>
    <border>
      <left style="thin">
        <color theme="0" tint="-0.249977111117893"/>
      </left>
      <right style="hair">
        <color theme="0" tint="-0.249977111117893"/>
      </right>
      <top style="hair">
        <color theme="0" tint="-0.249977111117893"/>
      </top>
      <bottom style="hair">
        <color theme="0" tint="-0.249977111117893"/>
      </bottom>
      <diagonal/>
    </border>
    <border>
      <left style="hair">
        <color theme="0" tint="-0.249977111117893"/>
      </left>
      <right style="thin">
        <color theme="0" tint="-0.249977111117893"/>
      </right>
      <top style="hair">
        <color theme="0" tint="-0.249977111117893"/>
      </top>
      <bottom style="hair">
        <color theme="0" tint="-0.249977111117893"/>
      </bottom>
      <diagonal/>
    </border>
    <border>
      <left style="thin">
        <color theme="0" tint="-0.249977111117893"/>
      </left>
      <right style="hair">
        <color theme="0" tint="-0.249977111117893"/>
      </right>
      <top style="hair">
        <color theme="0" tint="-0.249977111117893"/>
      </top>
      <bottom style="thin">
        <color theme="0" tint="-0.249977111117893"/>
      </bottom>
      <diagonal/>
    </border>
    <border>
      <left style="hair">
        <color theme="0" tint="-0.249977111117893"/>
      </left>
      <right style="hair">
        <color theme="0" tint="-0.249977111117893"/>
      </right>
      <top style="hair">
        <color theme="0" tint="-0.249977111117893"/>
      </top>
      <bottom style="thin">
        <color theme="0" tint="-0.249977111117893"/>
      </bottom>
      <diagonal/>
    </border>
    <border>
      <left style="hair">
        <color theme="0" tint="-0.249977111117893"/>
      </left>
      <right style="thin">
        <color theme="0" tint="-0.249977111117893"/>
      </right>
      <top style="hair">
        <color theme="0" tint="-0.249977111117893"/>
      </top>
      <bottom style="thin">
        <color theme="0" tint="-0.249977111117893"/>
      </bottom>
      <diagonal/>
    </border>
    <border>
      <left style="thin">
        <color theme="0" tint="-0.249977111117893"/>
      </left>
      <right/>
      <top style="thin">
        <color theme="0" tint="-0.249977111117893"/>
      </top>
      <bottom style="hair">
        <color theme="0" tint="-0.249977111117893"/>
      </bottom>
      <diagonal/>
    </border>
    <border>
      <left/>
      <right/>
      <top style="thin">
        <color theme="0" tint="-0.249977111117893"/>
      </top>
      <bottom style="hair">
        <color theme="0" tint="-0.249977111117893"/>
      </bottom>
      <diagonal/>
    </border>
    <border>
      <left/>
      <right style="thin">
        <color theme="0" tint="-0.249977111117893"/>
      </right>
      <top style="thin">
        <color theme="0" tint="-0.249977111117893"/>
      </top>
      <bottom style="hair">
        <color theme="0" tint="-0.249977111117893"/>
      </bottom>
      <diagonal/>
    </border>
    <border>
      <left style="hair">
        <color theme="0" tint="-0.249977111117893"/>
      </left>
      <right style="thin">
        <color theme="0" tint="-0.249977111117893"/>
      </right>
      <top/>
      <bottom style="hair">
        <color theme="0" tint="-0.249977111117893"/>
      </bottom>
      <diagonal/>
    </border>
    <border>
      <left style="thin">
        <color theme="0" tint="-0.249977111117893"/>
      </left>
      <right/>
      <top style="hair">
        <color theme="0" tint="-0.249977111117893"/>
      </top>
      <bottom/>
      <diagonal/>
    </border>
    <border>
      <left style="thin">
        <color theme="0" tint="-0.249977111117893"/>
      </left>
      <right/>
      <top/>
      <bottom style="hair">
        <color theme="0" tint="-0.249977111117893"/>
      </bottom>
      <diagonal/>
    </border>
    <border>
      <left/>
      <right style="hair">
        <color theme="0" tint="-0.249977111117893"/>
      </right>
      <top/>
      <bottom style="thin">
        <color theme="0" tint="-0.249977111117893"/>
      </bottom>
      <diagonal/>
    </border>
    <border>
      <left/>
      <right style="thin">
        <color theme="0" tint="-0.249977111117893"/>
      </right>
      <top style="hair">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hair">
        <color theme="0" tint="-0.249977111117893"/>
      </left>
      <right/>
      <top style="thin">
        <color theme="0" tint="-0.249977111117893"/>
      </top>
      <bottom/>
      <diagonal/>
    </border>
    <border>
      <left style="hair">
        <color theme="0" tint="-0.249977111117893"/>
      </left>
      <right/>
      <top/>
      <bottom style="thin">
        <color theme="0" tint="-0.249977111117893"/>
      </bottom>
      <diagonal/>
    </border>
    <border>
      <left/>
      <right style="hair">
        <color theme="0" tint="-0.249977111117893"/>
      </right>
      <top style="thin">
        <color theme="0" tint="-0.249977111117893"/>
      </top>
      <bottom/>
      <diagonal/>
    </border>
    <border>
      <left style="thin">
        <color theme="1" tint="0.14999847407452621"/>
      </left>
      <right style="thin">
        <color theme="1" tint="0.14999847407452621"/>
      </right>
      <top style="thin">
        <color theme="1" tint="0.14999847407452621"/>
      </top>
      <bottom style="thin">
        <color theme="1" tint="0.14999847407452621"/>
      </bottom>
      <diagonal/>
    </border>
    <border>
      <left style="thin">
        <color theme="1" tint="0.14999847407452621"/>
      </left>
      <right style="thin">
        <color theme="1" tint="0.14999847407452621"/>
      </right>
      <top style="thin">
        <color theme="1" tint="0.14999847407452621"/>
      </top>
      <bottom/>
      <diagonal/>
    </border>
    <border>
      <left style="thin">
        <color theme="1" tint="0.14999847407452621"/>
      </left>
      <right style="thin">
        <color theme="1" tint="0.14999847407452621"/>
      </right>
      <top/>
      <bottom/>
      <diagonal/>
    </border>
    <border>
      <left style="thin">
        <color theme="0" tint="-0.249977111117893"/>
      </left>
      <right style="hair">
        <color theme="0" tint="-0.249977111117893"/>
      </right>
      <top/>
      <bottom style="hair">
        <color theme="0" tint="-0.249977111117893"/>
      </bottom>
      <diagonal/>
    </border>
    <border>
      <left/>
      <right/>
      <top/>
      <bottom style="thin">
        <color theme="0" tint="-0.34998626667073579"/>
      </bottom>
      <diagonal/>
    </border>
    <border>
      <left style="thin">
        <color theme="0" tint="-0.249977111117893"/>
      </left>
      <right/>
      <top/>
      <bottom style="thin">
        <color theme="0" tint="-0.34998626667073579"/>
      </bottom>
      <diagonal/>
    </border>
    <border>
      <left/>
      <right style="thin">
        <color theme="0" tint="-0.249977111117893"/>
      </right>
      <top/>
      <bottom style="thin">
        <color theme="0" tint="-0.34998626667073579"/>
      </bottom>
      <diagonal/>
    </border>
    <border>
      <left style="thin">
        <color theme="1"/>
      </left>
      <right style="thin">
        <color theme="1"/>
      </right>
      <top style="thin">
        <color theme="1"/>
      </top>
      <bottom style="thin">
        <color theme="1"/>
      </bottom>
      <diagonal/>
    </border>
    <border>
      <left/>
      <right style="thin">
        <color theme="1" tint="0.14999847407452621"/>
      </right>
      <top style="thin">
        <color theme="1" tint="0.14999847407452621"/>
      </top>
      <bottom/>
      <diagonal/>
    </border>
    <border>
      <left/>
      <right style="thin">
        <color theme="1" tint="0.14999847407452621"/>
      </right>
      <top/>
      <bottom/>
      <diagonal/>
    </border>
    <border>
      <left/>
      <right style="thin">
        <color theme="1"/>
      </right>
      <top style="thin">
        <color theme="1"/>
      </top>
      <bottom style="thin">
        <color theme="1"/>
      </bottom>
      <diagonal/>
    </border>
    <border>
      <left style="thin">
        <color auto="1"/>
      </left>
      <right style="thin">
        <color auto="1"/>
      </right>
      <top style="thin">
        <color theme="1"/>
      </top>
      <bottom style="thin">
        <color theme="1"/>
      </bottom>
      <diagonal/>
    </border>
    <border>
      <left style="thin">
        <color auto="1"/>
      </left>
      <right style="thin">
        <color auto="1"/>
      </right>
      <top style="thin">
        <color theme="1"/>
      </top>
      <bottom style="thin">
        <color auto="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auto="1"/>
      </left>
      <right/>
      <top style="thin">
        <color auto="1"/>
      </top>
      <bottom style="thin">
        <color auto="1"/>
      </bottom>
      <diagonal/>
    </border>
    <border>
      <left style="thin">
        <color theme="1" tint="0.499984740745262"/>
      </left>
      <right style="medium">
        <color auto="1"/>
      </right>
      <top/>
      <bottom/>
      <diagonal/>
    </border>
    <border>
      <left style="thin">
        <color theme="1" tint="0.499984740745262"/>
      </left>
      <right style="medium">
        <color auto="1"/>
      </right>
      <top/>
      <bottom style="thin">
        <color theme="1" tint="0.499984740745262"/>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hair">
        <color theme="1" tint="0.499984740745262"/>
      </left>
      <right/>
      <top style="hair">
        <color theme="1" tint="0.499984740745262"/>
      </top>
      <bottom/>
      <diagonal/>
    </border>
    <border>
      <left/>
      <right/>
      <top style="hair">
        <color theme="1" tint="0.499984740745262"/>
      </top>
      <bottom/>
      <diagonal/>
    </border>
    <border>
      <left/>
      <right style="hair">
        <color theme="1" tint="0.499984740745262"/>
      </right>
      <top style="hair">
        <color theme="1" tint="0.499984740745262"/>
      </top>
      <bottom/>
      <diagonal/>
    </border>
    <border>
      <left style="hair">
        <color theme="1" tint="0.499984740745262"/>
      </left>
      <right/>
      <top/>
      <bottom style="hair">
        <color theme="1" tint="0.499984740745262"/>
      </bottom>
      <diagonal/>
    </border>
    <border>
      <left/>
      <right/>
      <top/>
      <bottom style="hair">
        <color theme="1" tint="0.499984740745262"/>
      </bottom>
      <diagonal/>
    </border>
    <border>
      <left/>
      <right style="hair">
        <color theme="1" tint="0.499984740745262"/>
      </right>
      <top/>
      <bottom style="hair">
        <color theme="1" tint="0.499984740745262"/>
      </bottom>
      <diagonal/>
    </border>
    <border>
      <left style="hair">
        <color theme="1" tint="0.499984740745262"/>
      </left>
      <right/>
      <top/>
      <bottom/>
      <diagonal/>
    </border>
    <border>
      <left/>
      <right style="hair">
        <color theme="1" tint="0.499984740745262"/>
      </right>
      <top/>
      <bottom/>
      <diagonal/>
    </border>
    <border>
      <left style="hair">
        <color theme="1" tint="0.499984740745262"/>
      </left>
      <right/>
      <top style="hair">
        <color theme="1" tint="0.499984740745262"/>
      </top>
      <bottom style="hair">
        <color theme="1" tint="0.499984740745262"/>
      </bottom>
      <diagonal/>
    </border>
    <border>
      <left/>
      <right/>
      <top style="hair">
        <color theme="1" tint="0.499984740745262"/>
      </top>
      <bottom style="hair">
        <color theme="1" tint="0.499984740745262"/>
      </bottom>
      <diagonal/>
    </border>
    <border>
      <left/>
      <right style="hair">
        <color theme="1" tint="0.499984740745262"/>
      </right>
      <top style="hair">
        <color theme="1" tint="0.499984740745262"/>
      </top>
      <bottom style="hair">
        <color theme="1" tint="0.499984740745262"/>
      </bottom>
      <diagonal/>
    </border>
    <border>
      <left style="hair">
        <color theme="1" tint="0.499984740745262"/>
      </left>
      <right style="hair">
        <color theme="1" tint="0.499984740745262"/>
      </right>
      <top style="hair">
        <color theme="1" tint="0.499984740745262"/>
      </top>
      <bottom/>
      <diagonal/>
    </border>
    <border>
      <left style="hair">
        <color theme="1" tint="0.499984740745262"/>
      </left>
      <right style="hair">
        <color theme="1" tint="0.499984740745262"/>
      </right>
      <top/>
      <bottom/>
      <diagonal/>
    </border>
    <border>
      <left style="hair">
        <color theme="1" tint="0.499984740745262"/>
      </left>
      <right style="hair">
        <color theme="1" tint="0.499984740745262"/>
      </right>
      <top/>
      <bottom style="hair">
        <color theme="1" tint="0.499984740745262"/>
      </bottom>
      <diagonal/>
    </border>
    <border>
      <left style="hair">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hair">
        <color theme="0" tint="-0.499984740745262"/>
      </left>
      <right style="hair">
        <color theme="0" tint="-0.499984740745262"/>
      </right>
      <top style="hair">
        <color theme="0" tint="-0.499984740745262"/>
      </top>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style="hair">
        <color theme="0" tint="-0.499984740745262"/>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499984740745262"/>
      </right>
      <top/>
      <bottom/>
      <diagonal/>
    </border>
    <border>
      <left style="hair">
        <color theme="0" tint="-0.499984740745262"/>
      </left>
      <right/>
      <top/>
      <bottom/>
      <diagonal/>
    </border>
    <border>
      <left/>
      <right style="hair">
        <color theme="0" tint="-0.499984740745262"/>
      </right>
      <top style="hair">
        <color theme="0" tint="-0.499984740745262"/>
      </top>
      <bottom style="hair">
        <color theme="0" tint="-0.499984740745262"/>
      </bottom>
      <diagonal/>
    </border>
    <border>
      <left style="hair">
        <color theme="0" tint="-0.499984740745262"/>
      </left>
      <right/>
      <top style="hair">
        <color theme="1" tint="0.499984740745262"/>
      </top>
      <bottom/>
      <diagonal/>
    </border>
    <border>
      <left/>
      <right style="hair">
        <color theme="0" tint="-0.499984740745262"/>
      </right>
      <top style="hair">
        <color theme="1" tint="0.499984740745262"/>
      </top>
      <bottom/>
      <diagonal/>
    </border>
    <border>
      <left/>
      <right style="hair">
        <color theme="1" tint="0.499984740745262"/>
      </right>
      <top/>
      <bottom style="hair">
        <color theme="0" tint="-0.499984740745262"/>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hair">
        <color theme="0" tint="-0.499984740745262"/>
      </left>
      <right style="hair">
        <color theme="0" tint="-0.499984740745262"/>
      </right>
      <top style="hair">
        <color theme="1" tint="0.499984740745262"/>
      </top>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hair">
        <color theme="0" tint="-0.34998626667073579"/>
      </right>
      <top/>
      <bottom style="hair">
        <color theme="0" tint="-0.34998626667073579"/>
      </bottom>
      <diagonal/>
    </border>
    <border>
      <left style="hair">
        <color theme="0" tint="-0.34998626667073579"/>
      </left>
      <right style="hair">
        <color theme="0" tint="-0.34998626667073579"/>
      </right>
      <top/>
      <bottom/>
      <diagonal/>
    </border>
    <border>
      <left/>
      <right/>
      <top style="thin">
        <color theme="1" tint="0.499984740745262"/>
      </top>
      <bottom/>
      <diagonal/>
    </border>
    <border>
      <left style="hair">
        <color theme="1" tint="0.499984740745262"/>
      </left>
      <right style="hair">
        <color theme="0" tint="-0.499984740745262"/>
      </right>
      <top style="hair">
        <color theme="1" tint="0.499984740745262"/>
      </top>
      <bottom/>
      <diagonal/>
    </border>
    <border>
      <left style="hair">
        <color theme="1" tint="0.499984740745262"/>
      </left>
      <right style="hair">
        <color theme="0" tint="-0.499984740745262"/>
      </right>
      <top/>
      <bottom/>
      <diagonal/>
    </border>
    <border>
      <left style="hair">
        <color theme="1" tint="0.499984740745262"/>
      </left>
      <right style="hair">
        <color theme="0" tint="-0.499984740745262"/>
      </right>
      <top/>
      <bottom style="hair">
        <color theme="1" tint="0.499984740745262"/>
      </bottom>
      <diagonal/>
    </border>
    <border>
      <left style="hair">
        <color theme="1" tint="0.499984740745262"/>
      </left>
      <right style="hair">
        <color theme="0" tint="-0.499984740745262"/>
      </right>
      <top style="hair">
        <color theme="0" tint="-0.499984740745262"/>
      </top>
      <bottom/>
      <diagonal/>
    </border>
    <border>
      <left style="hair">
        <color theme="1" tint="0.499984740745262"/>
      </left>
      <right style="hair">
        <color theme="0" tint="-0.499984740745262"/>
      </right>
      <top/>
      <bottom style="hair">
        <color theme="0" tint="-0.499984740745262"/>
      </bottom>
      <diagonal/>
    </border>
    <border>
      <left style="hair">
        <color theme="1" tint="0.499984740745262"/>
      </left>
      <right/>
      <top style="hair">
        <color theme="0" tint="-0.499984740745262"/>
      </top>
      <bottom/>
      <diagonal/>
    </border>
    <border>
      <left/>
      <right style="hair">
        <color theme="1" tint="0.499984740745262"/>
      </right>
      <top style="hair">
        <color theme="0" tint="-0.499984740745262"/>
      </top>
      <bottom/>
      <diagonal/>
    </border>
    <border>
      <left style="hair">
        <color theme="0" tint="-0.499984740745262"/>
      </left>
      <right style="hair">
        <color theme="1" tint="0.499984740745262"/>
      </right>
      <top style="hair">
        <color theme="1" tint="0.499984740745262"/>
      </top>
      <bottom/>
      <diagonal/>
    </border>
    <border>
      <left style="hair">
        <color theme="0" tint="-0.499984740745262"/>
      </left>
      <right style="hair">
        <color theme="1" tint="0.499984740745262"/>
      </right>
      <top/>
      <bottom/>
      <diagonal/>
    </border>
    <border>
      <left style="hair">
        <color theme="0" tint="-0.499984740745262"/>
      </left>
      <right style="hair">
        <color theme="1" tint="0.499984740745262"/>
      </right>
      <top/>
      <bottom style="hair">
        <color theme="1" tint="0.499984740745262"/>
      </bottom>
      <diagonal/>
    </border>
    <border>
      <left style="medium">
        <color theme="0"/>
      </left>
      <right/>
      <top/>
      <bottom/>
      <diagonal/>
    </border>
    <border>
      <left style="medium">
        <color theme="0"/>
      </left>
      <right/>
      <top style="hair">
        <color theme="0" tint="-0.499984740745262"/>
      </top>
      <bottom/>
      <diagonal/>
    </border>
    <border>
      <left/>
      <right style="hair">
        <color theme="0" tint="-0.499984740745262"/>
      </right>
      <top/>
      <bottom style="hair">
        <color theme="1" tint="0.499984740745262"/>
      </bottom>
      <diagonal/>
    </border>
    <border>
      <left style="hair">
        <color theme="1" tint="0.499984740745262"/>
      </left>
      <right/>
      <top/>
      <bottom style="hair">
        <color theme="0" tint="-0.499984740745262"/>
      </bottom>
      <diagonal/>
    </border>
    <border>
      <left style="hair">
        <color theme="1" tint="0.499984740745262"/>
      </left>
      <right/>
      <top style="hair">
        <color theme="0" tint="-0.499984740745262"/>
      </top>
      <bottom style="hair">
        <color theme="1" tint="0.499984740745262"/>
      </bottom>
      <diagonal/>
    </border>
    <border>
      <left/>
      <right/>
      <top style="hair">
        <color theme="0" tint="-0.499984740745262"/>
      </top>
      <bottom style="hair">
        <color theme="1" tint="0.499984740745262"/>
      </bottom>
      <diagonal/>
    </border>
    <border>
      <left style="hair">
        <color theme="1" tint="0.499984740745262"/>
      </left>
      <right style="hair">
        <color theme="1" tint="0.499984740745262"/>
      </right>
      <top style="medium">
        <color theme="0"/>
      </top>
      <bottom/>
      <diagonal/>
    </border>
    <border>
      <left style="thick">
        <color theme="0"/>
      </left>
      <right style="thick">
        <color theme="0"/>
      </right>
      <top style="thick">
        <color theme="0"/>
      </top>
      <bottom/>
      <diagonal/>
    </border>
    <border>
      <left style="thick">
        <color theme="0"/>
      </left>
      <right style="thick">
        <color theme="0"/>
      </right>
      <top/>
      <bottom style="thick">
        <color theme="0"/>
      </bottom>
      <diagonal/>
    </border>
    <border>
      <left style="medium">
        <color theme="0"/>
      </left>
      <right/>
      <top/>
      <bottom style="hair">
        <color theme="0" tint="-0.499984740745262"/>
      </bottom>
      <diagonal/>
    </border>
    <border>
      <left style="medium">
        <color theme="0"/>
      </left>
      <right/>
      <top style="medium">
        <color theme="0"/>
      </top>
      <bottom/>
      <diagonal/>
    </border>
    <border>
      <left style="medium">
        <color theme="0"/>
      </left>
      <right/>
      <top/>
      <bottom style="medium">
        <color theme="0"/>
      </bottom>
      <diagonal/>
    </border>
    <border>
      <left style="hair">
        <color theme="0" tint="-0.499984740745262"/>
      </left>
      <right style="medium">
        <color theme="0"/>
      </right>
      <top style="hair">
        <color theme="0" tint="-0.499984740745262"/>
      </top>
      <bottom/>
      <diagonal/>
    </border>
    <border>
      <left style="hair">
        <color theme="0" tint="-0.499984740745262"/>
      </left>
      <right style="medium">
        <color theme="0"/>
      </right>
      <top/>
      <bottom style="hair">
        <color theme="0" tint="-0.499984740745262"/>
      </bottom>
      <diagonal/>
    </border>
    <border>
      <left style="hair">
        <color theme="0" tint="-0.499984740745262"/>
      </left>
      <right style="hair">
        <color theme="1" tint="0.499984740745262"/>
      </right>
      <top style="medium">
        <color theme="0"/>
      </top>
      <bottom/>
      <diagonal/>
    </border>
    <border>
      <left style="hair">
        <color theme="0" tint="-0.499984740745262"/>
      </left>
      <right style="hair">
        <color theme="0" tint="-0.499984740745262"/>
      </right>
      <top/>
      <bottom style="hair">
        <color theme="1" tint="0.499984740745262"/>
      </bottom>
      <diagonal/>
    </border>
    <border>
      <left style="hair">
        <color theme="1" tint="0.499984740745262"/>
      </left>
      <right style="hair">
        <color theme="0" tint="-0.499984740745262"/>
      </right>
      <top style="medium">
        <color theme="0"/>
      </top>
      <bottom/>
      <diagonal/>
    </border>
    <border>
      <left style="hair">
        <color theme="0" tint="-0.499984740745262"/>
      </left>
      <right style="hair">
        <color theme="0" tint="-0.499984740745262"/>
      </right>
      <top style="hair">
        <color theme="0" tint="-0.499984740745262"/>
      </top>
      <bottom style="hair">
        <color theme="1" tint="0.499984740745262"/>
      </bottom>
      <diagonal/>
    </border>
    <border>
      <left style="hair">
        <color theme="0" tint="-0.499984740745262"/>
      </left>
      <right style="hair">
        <color theme="0" tint="-0.499984740745262"/>
      </right>
      <top style="hair">
        <color theme="1" tint="0.499984740745262"/>
      </top>
      <bottom style="hair">
        <color theme="0" tint="-0.499984740745262"/>
      </bottom>
      <diagonal/>
    </border>
    <border>
      <left style="hair">
        <color theme="1" tint="0.499984740745262"/>
      </left>
      <right style="hair">
        <color theme="1" tint="0.499984740745262"/>
      </right>
      <top style="hair">
        <color theme="1" tint="0.499984740745262"/>
      </top>
      <bottom style="hair">
        <color theme="0" tint="-0.499984740745262"/>
      </bottom>
      <diagonal/>
    </border>
    <border>
      <left style="hair">
        <color theme="1" tint="0.499984740745262"/>
      </left>
      <right style="hair">
        <color theme="1" tint="0.499984740745262"/>
      </right>
      <top style="hair">
        <color theme="0" tint="-0.499984740745262"/>
      </top>
      <bottom style="hair">
        <color theme="0" tint="-0.499984740745262"/>
      </bottom>
      <diagonal/>
    </border>
    <border>
      <left style="hair">
        <color theme="1" tint="0.499984740745262"/>
      </left>
      <right style="hair">
        <color theme="1" tint="0.499984740745262"/>
      </right>
      <top style="hair">
        <color theme="0" tint="-0.499984740745262"/>
      </top>
      <bottom style="hair">
        <color theme="1" tint="0.499984740745262"/>
      </bottom>
      <diagonal/>
    </border>
    <border>
      <left style="hair">
        <color theme="0" tint="-0.499984740745262"/>
      </left>
      <right style="medium">
        <color theme="0"/>
      </right>
      <top style="medium">
        <color theme="0"/>
      </top>
      <bottom/>
      <diagonal/>
    </border>
    <border>
      <left style="hair">
        <color theme="0" tint="-0.499984740745262"/>
      </left>
      <right style="medium">
        <color theme="0"/>
      </right>
      <top/>
      <bottom style="medium">
        <color theme="0"/>
      </bottom>
      <diagonal/>
    </border>
    <border>
      <left style="hair">
        <color theme="0" tint="-0.499984740745262"/>
      </left>
      <right style="hair">
        <color theme="1" tint="0.499984740745262"/>
      </right>
      <top style="hair">
        <color theme="1" tint="0.499984740745262"/>
      </top>
      <bottom style="hair">
        <color theme="1" tint="0.499984740745262"/>
      </bottom>
      <diagonal/>
    </border>
    <border>
      <left style="hair">
        <color theme="1" tint="0.499984740745262"/>
      </left>
      <right style="hair">
        <color theme="0" tint="-0.499984740745262"/>
      </right>
      <top style="hair">
        <color theme="1" tint="0.499984740745262"/>
      </top>
      <bottom style="hair">
        <color theme="1" tint="0.499984740745262"/>
      </bottom>
      <diagonal/>
    </border>
    <border>
      <left style="hair">
        <color rgb="FF4E81BD"/>
      </left>
      <right style="hair">
        <color rgb="FF4E81BD"/>
      </right>
      <top style="hair">
        <color rgb="FF4E81BD"/>
      </top>
      <bottom style="hair">
        <color rgb="FF4E81BD"/>
      </bottom>
      <diagonal/>
    </border>
    <border>
      <left style="hair">
        <color rgb="FFBF2025"/>
      </left>
      <right style="hair">
        <color rgb="FFBF2025"/>
      </right>
      <top style="hair">
        <color rgb="FFBF2025"/>
      </top>
      <bottom style="hair">
        <color rgb="FFBF2025"/>
      </bottom>
      <diagonal/>
    </border>
    <border>
      <left style="hair">
        <color rgb="FF4E81BD"/>
      </left>
      <right style="hair">
        <color rgb="FF4E81BD"/>
      </right>
      <top style="hair">
        <color rgb="FF4E81BD"/>
      </top>
      <bottom/>
      <diagonal/>
    </border>
    <border>
      <left style="dotted">
        <color theme="7"/>
      </left>
      <right style="dotted">
        <color theme="7"/>
      </right>
      <top/>
      <bottom style="dotted">
        <color theme="7"/>
      </bottom>
      <diagonal/>
    </border>
    <border>
      <left style="hair">
        <color rgb="FF7030A0"/>
      </left>
      <right style="hair">
        <color rgb="FF7030A0"/>
      </right>
      <top style="hair">
        <color rgb="FF7030A0"/>
      </top>
      <bottom style="hair">
        <color rgb="FF7030A0"/>
      </bottom>
      <diagonal/>
    </border>
    <border>
      <left style="hair">
        <color rgb="FFBF2025"/>
      </left>
      <right style="hair">
        <color rgb="FFBF2025"/>
      </right>
      <top style="hair">
        <color rgb="FFBF2025"/>
      </top>
      <bottom/>
      <diagonal/>
    </border>
    <border>
      <left style="medium">
        <color theme="0"/>
      </left>
      <right/>
      <top/>
      <bottom style="hair">
        <color theme="1" tint="0.499984740745262"/>
      </bottom>
      <diagonal/>
    </border>
    <border>
      <left style="hair">
        <color theme="1" tint="0.499984740745262"/>
      </left>
      <right style="hair">
        <color theme="1" tint="0.499984740745262"/>
      </right>
      <top/>
      <bottom style="hair">
        <color theme="0" tint="-0.499984740745262"/>
      </bottom>
      <diagonal/>
    </border>
    <border>
      <left style="hair">
        <color rgb="FF4E81BD"/>
      </left>
      <right/>
      <top style="medium">
        <color theme="0" tint="-0.499984740745262"/>
      </top>
      <bottom style="hair">
        <color rgb="FF4E81BD"/>
      </bottom>
      <diagonal/>
    </border>
    <border>
      <left/>
      <right/>
      <top style="medium">
        <color theme="0" tint="-0.499984740745262"/>
      </top>
      <bottom style="hair">
        <color rgb="FF4E81BD"/>
      </bottom>
      <diagonal/>
    </border>
    <border>
      <left/>
      <right style="hair">
        <color rgb="FF4E81BD"/>
      </right>
      <top style="medium">
        <color theme="0" tint="-0.499984740745262"/>
      </top>
      <bottom style="hair">
        <color rgb="FF4E81BD"/>
      </bottom>
      <diagonal/>
    </border>
    <border>
      <left style="hair">
        <color rgb="FFBF2025"/>
      </left>
      <right/>
      <top style="medium">
        <color theme="0" tint="-0.499984740745262"/>
      </top>
      <bottom style="hair">
        <color rgb="FFBF2025"/>
      </bottom>
      <diagonal/>
    </border>
    <border>
      <left/>
      <right/>
      <top style="medium">
        <color theme="0" tint="-0.499984740745262"/>
      </top>
      <bottom style="hair">
        <color rgb="FFBF2025"/>
      </bottom>
      <diagonal/>
    </border>
    <border>
      <left/>
      <right style="hair">
        <color rgb="FFBF2025"/>
      </right>
      <top style="medium">
        <color theme="0" tint="-0.499984740745262"/>
      </top>
      <bottom style="hair">
        <color rgb="FFBF2025"/>
      </bottom>
      <diagonal/>
    </border>
    <border>
      <left style="hair">
        <color rgb="FFBF2025"/>
      </left>
      <right/>
      <top style="medium">
        <color theme="0" tint="-0.499984740745262"/>
      </top>
      <bottom style="hair">
        <color rgb="FF7030A0"/>
      </bottom>
      <diagonal/>
    </border>
    <border>
      <left/>
      <right/>
      <top style="medium">
        <color theme="0" tint="-0.499984740745262"/>
      </top>
      <bottom style="hair">
        <color rgb="FF7030A0"/>
      </bottom>
      <diagonal/>
    </border>
    <border>
      <left/>
      <right style="hair">
        <color rgb="FF7030A0"/>
      </right>
      <top style="medium">
        <color theme="0" tint="-0.499984740745262"/>
      </top>
      <bottom style="hair">
        <color rgb="FF7030A0"/>
      </bottom>
      <diagonal/>
    </border>
    <border>
      <left style="dotted">
        <color theme="7"/>
      </left>
      <right/>
      <top style="medium">
        <color theme="0" tint="-0.499984740745262"/>
      </top>
      <bottom style="dotted">
        <color theme="7"/>
      </bottom>
      <diagonal/>
    </border>
    <border>
      <left/>
      <right/>
      <top style="medium">
        <color theme="0" tint="-0.499984740745262"/>
      </top>
      <bottom style="dotted">
        <color theme="7"/>
      </bottom>
      <diagonal/>
    </border>
    <border>
      <left/>
      <right style="dotted">
        <color theme="7"/>
      </right>
      <top style="medium">
        <color theme="0" tint="-0.499984740745262"/>
      </top>
      <bottom style="dotted">
        <color theme="7"/>
      </bottom>
      <diagonal/>
    </border>
    <border>
      <left/>
      <right/>
      <top style="hair">
        <color theme="0" tint="-0.499984740745262"/>
      </top>
      <bottom style="hair">
        <color theme="0" tint="-0.499984740745262"/>
      </bottom>
      <diagonal/>
    </border>
    <border>
      <left style="thin">
        <color theme="0" tint="-0.14999847407452621"/>
      </left>
      <right style="thin">
        <color theme="0" tint="-0.14999847407452621"/>
      </right>
      <top/>
      <bottom style="thin">
        <color theme="0" tint="-0.14999847407452621"/>
      </bottom>
      <diagonal/>
    </border>
    <border>
      <left style="medium">
        <color auto="1"/>
      </left>
      <right/>
      <top style="medium">
        <color theme="0" tint="-0.499984740745262"/>
      </top>
      <bottom/>
      <diagonal/>
    </border>
    <border>
      <left style="medium">
        <color auto="1"/>
      </left>
      <right/>
      <top/>
      <bottom style="hair">
        <color theme="0" tint="-0.499984740745262"/>
      </bottom>
      <diagonal/>
    </border>
    <border>
      <left style="hair">
        <color auto="1"/>
      </left>
      <right/>
      <top style="hair">
        <color auto="1"/>
      </top>
      <bottom style="hair">
        <color auto="1"/>
      </bottom>
      <diagonal/>
    </border>
    <border>
      <left style="hair">
        <color theme="0" tint="-0.34998626667073579"/>
      </left>
      <right/>
      <top style="hair">
        <color theme="0" tint="-0.34998626667073579"/>
      </top>
      <bottom/>
      <diagonal/>
    </border>
    <border>
      <left/>
      <right style="hair">
        <color theme="0" tint="-0.34998626667073579"/>
      </right>
      <top style="hair">
        <color theme="0" tint="-0.34998626667073579"/>
      </top>
      <bottom/>
      <diagonal/>
    </border>
    <border>
      <left style="hair">
        <color theme="0" tint="-0.34998626667073579"/>
      </left>
      <right/>
      <top/>
      <bottom/>
      <diagonal/>
    </border>
    <border>
      <left/>
      <right style="hair">
        <color theme="0" tint="-0.34998626667073579"/>
      </right>
      <top/>
      <bottom/>
      <diagonal/>
    </border>
    <border>
      <left style="hair">
        <color theme="0" tint="-0.34998626667073579"/>
      </left>
      <right/>
      <top/>
      <bottom style="hair">
        <color theme="0" tint="-0.34998626667073579"/>
      </bottom>
      <diagonal/>
    </border>
    <border>
      <left/>
      <right style="hair">
        <color theme="0" tint="-0.34998626667073579"/>
      </right>
      <top/>
      <bottom style="hair">
        <color theme="0" tint="-0.34998626667073579"/>
      </bottom>
      <diagonal/>
    </border>
    <border>
      <left/>
      <right/>
      <top style="hair">
        <color theme="0" tint="-0.34998626667073579"/>
      </top>
      <bottom/>
      <diagonal/>
    </border>
    <border>
      <left/>
      <right/>
      <top/>
      <bottom style="hair">
        <color theme="0" tint="-0.34998626667073579"/>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style="hair">
        <color theme="0" tint="-0.34998626667073579"/>
      </left>
      <right/>
      <top style="hair">
        <color theme="0" tint="-0.34998626667073579"/>
      </top>
      <bottom style="hair">
        <color theme="0" tint="-0.34998626667073579"/>
      </bottom>
      <diagonal/>
    </border>
    <border>
      <left/>
      <right/>
      <top style="hair">
        <color theme="0" tint="-0.34998626667073579"/>
      </top>
      <bottom style="hair">
        <color theme="0" tint="-0.34998626667073579"/>
      </bottom>
      <diagonal/>
    </border>
    <border>
      <left/>
      <right style="hair">
        <color theme="0" tint="-0.34998626667073579"/>
      </right>
      <top style="hair">
        <color theme="0" tint="-0.34998626667073579"/>
      </top>
      <bottom style="hair">
        <color theme="0" tint="-0.34998626667073579"/>
      </bottom>
      <diagonal/>
    </border>
    <border>
      <left/>
      <right style="hair">
        <color theme="0" tint="-0.249977111117893"/>
      </right>
      <top style="thin">
        <color theme="0" tint="-0.249977111117893"/>
      </top>
      <bottom style="hair">
        <color theme="0" tint="-0.249977111117893"/>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E7E3D7"/>
      </left>
      <right/>
      <top style="thin">
        <color rgb="FFE7E3D7"/>
      </top>
      <bottom/>
      <diagonal/>
    </border>
    <border>
      <left/>
      <right/>
      <top style="thin">
        <color rgb="FFE7E3D7"/>
      </top>
      <bottom/>
      <diagonal/>
    </border>
    <border>
      <left/>
      <right style="thin">
        <color rgb="FFE7E3D7"/>
      </right>
      <top style="thin">
        <color rgb="FFE7E3D7"/>
      </top>
      <bottom/>
      <diagonal/>
    </border>
    <border>
      <left style="thin">
        <color rgb="FFE7E3D7"/>
      </left>
      <right/>
      <top/>
      <bottom/>
      <diagonal/>
    </border>
    <border>
      <left/>
      <right style="thin">
        <color rgb="FFE7E3D7"/>
      </right>
      <top/>
      <bottom/>
      <diagonal/>
    </border>
    <border>
      <left style="thin">
        <color rgb="FFE7E3D7"/>
      </left>
      <right/>
      <top/>
      <bottom style="thin">
        <color rgb="FFE7E3D7"/>
      </bottom>
      <diagonal/>
    </border>
    <border>
      <left/>
      <right/>
      <top/>
      <bottom style="thin">
        <color rgb="FFE7E3D7"/>
      </bottom>
      <diagonal/>
    </border>
    <border>
      <left/>
      <right style="thin">
        <color rgb="FFE7E3D7"/>
      </right>
      <top/>
      <bottom style="thin">
        <color rgb="FFE7E3D7"/>
      </bottom>
      <diagonal/>
    </border>
    <border>
      <left style="thin">
        <color rgb="FFE7E3D7"/>
      </left>
      <right/>
      <top style="thin">
        <color rgb="FFE7E3D7"/>
      </top>
      <bottom style="thin">
        <color rgb="FFE7E3D7"/>
      </bottom>
      <diagonal/>
    </border>
    <border>
      <left/>
      <right/>
      <top style="thin">
        <color rgb="FFE7E3D7"/>
      </top>
      <bottom style="thin">
        <color rgb="FFE7E3D7"/>
      </bottom>
      <diagonal/>
    </border>
    <border>
      <left/>
      <right style="thin">
        <color rgb="FFE7E3D7"/>
      </right>
      <top style="thin">
        <color rgb="FFE7E3D7"/>
      </top>
      <bottom style="thin">
        <color rgb="FFE7E3D7"/>
      </bottom>
      <diagonal/>
    </border>
    <border>
      <left/>
      <right style="thin">
        <color theme="0"/>
      </right>
      <top/>
      <bottom/>
      <diagonal/>
    </border>
    <border>
      <left style="dotted">
        <color theme="0" tint="-0.249977111117893"/>
      </left>
      <right style="dotted">
        <color theme="0" tint="-0.249977111117893"/>
      </right>
      <top style="dotted">
        <color theme="0" tint="-0.249977111117893"/>
      </top>
      <bottom style="dotted">
        <color theme="0" tint="-0.249977111117893"/>
      </bottom>
      <diagonal/>
    </border>
    <border>
      <left style="dotted">
        <color theme="0" tint="-0.249977111117893"/>
      </left>
      <right/>
      <top/>
      <bottom/>
      <diagonal/>
    </border>
    <border>
      <left style="thin">
        <color theme="0"/>
      </left>
      <right/>
      <top/>
      <bottom/>
      <diagonal/>
    </border>
    <border>
      <left style="hair">
        <color theme="0" tint="-0.24994659260841701"/>
      </left>
      <right/>
      <top style="hair">
        <color theme="0" tint="-0.24994659260841701"/>
      </top>
      <bottom/>
      <diagonal/>
    </border>
    <border>
      <left/>
      <right/>
      <top style="hair">
        <color theme="0" tint="-0.24994659260841701"/>
      </top>
      <bottom/>
      <diagonal/>
    </border>
    <border>
      <left/>
      <right style="hair">
        <color theme="0" tint="-0.24994659260841701"/>
      </right>
      <top style="hair">
        <color theme="0" tint="-0.24994659260841701"/>
      </top>
      <bottom/>
      <diagonal/>
    </border>
    <border>
      <left style="hair">
        <color theme="0" tint="-0.24994659260841701"/>
      </left>
      <right/>
      <top/>
      <bottom/>
      <diagonal/>
    </border>
    <border>
      <left/>
      <right style="hair">
        <color theme="0" tint="-0.24994659260841701"/>
      </right>
      <top/>
      <bottom/>
      <diagonal/>
    </border>
    <border>
      <left style="hair">
        <color theme="0" tint="-0.24994659260841701"/>
      </left>
      <right/>
      <top/>
      <bottom style="hair">
        <color theme="0" tint="-0.24994659260841701"/>
      </bottom>
      <diagonal/>
    </border>
    <border>
      <left/>
      <right/>
      <top/>
      <bottom style="hair">
        <color theme="0" tint="-0.24994659260841701"/>
      </bottom>
      <diagonal/>
    </border>
    <border>
      <left/>
      <right style="hair">
        <color theme="0" tint="-0.24994659260841701"/>
      </right>
      <top/>
      <bottom style="hair">
        <color theme="0" tint="-0.24994659260841701"/>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left>
      <right style="medium">
        <color theme="0"/>
      </right>
      <top/>
      <bottom/>
      <diagonal/>
    </border>
    <border>
      <left style="thick">
        <color theme="0"/>
      </left>
      <right style="thick">
        <color theme="0"/>
      </right>
      <top/>
      <bottom/>
      <diagonal/>
    </border>
    <border>
      <left style="hair">
        <color theme="0" tint="-0.499984740745262"/>
      </left>
      <right style="medium">
        <color theme="0"/>
      </right>
      <top/>
      <bottom/>
      <diagonal/>
    </border>
    <border>
      <left style="hair">
        <color theme="1" tint="0.499984740745262"/>
      </left>
      <right style="medium">
        <color theme="0"/>
      </right>
      <top style="hair">
        <color theme="1" tint="0.499984740745262"/>
      </top>
      <bottom/>
      <diagonal/>
    </border>
    <border>
      <left style="hair">
        <color theme="1" tint="0.499984740745262"/>
      </left>
      <right style="medium">
        <color theme="0"/>
      </right>
      <top/>
      <bottom/>
      <diagonal/>
    </border>
    <border>
      <left style="hair">
        <color theme="1" tint="0.499984740745262"/>
      </left>
      <right style="medium">
        <color theme="0"/>
      </right>
      <top/>
      <bottom style="medium">
        <color theme="0"/>
      </bottom>
      <diagonal/>
    </border>
    <border>
      <left/>
      <right/>
      <top style="thin">
        <color auto="1"/>
      </top>
      <bottom style="thin">
        <color auto="1"/>
      </bottom>
      <diagonal/>
    </border>
    <border>
      <left style="dotted">
        <color rgb="FF93C953"/>
      </left>
      <right style="dotted">
        <color rgb="FF93C953"/>
      </right>
      <top style="dotted">
        <color rgb="FF93C953"/>
      </top>
      <bottom style="dotted">
        <color rgb="FF93C953"/>
      </bottom>
      <diagonal/>
    </border>
    <border>
      <left style="hair">
        <color rgb="FF7030A0"/>
      </left>
      <right style="hair">
        <color rgb="FF7030A0"/>
      </right>
      <top style="hair">
        <color rgb="FF7030A0"/>
      </top>
      <bottom/>
      <diagonal/>
    </border>
  </borders>
  <cellStyleXfs count="4">
    <xf numFmtId="0" fontId="0" fillId="0" borderId="0"/>
    <xf numFmtId="0" fontId="1" fillId="0" borderId="0"/>
    <xf numFmtId="0" fontId="1" fillId="0" borderId="0"/>
    <xf numFmtId="0" fontId="30" fillId="0" borderId="0" applyNumberFormat="0" applyFill="0" applyBorder="0" applyAlignment="0" applyProtection="0"/>
  </cellStyleXfs>
  <cellXfs count="2016">
    <xf numFmtId="0" fontId="0" fillId="0" borderId="0" xfId="0"/>
    <xf numFmtId="0" fontId="0" fillId="0" borderId="0" xfId="0"/>
    <xf numFmtId="0" fontId="2" fillId="0" borderId="0" xfId="0" applyFont="1" applyProtection="1"/>
    <xf numFmtId="0" fontId="2" fillId="3" borderId="0" xfId="0" applyFont="1" applyFill="1" applyAlignment="1" applyProtection="1">
      <alignment horizontal="center" vertical="center"/>
    </xf>
    <xf numFmtId="1" fontId="2" fillId="10" borderId="1" xfId="0" applyNumberFormat="1" applyFont="1" applyFill="1" applyBorder="1" applyAlignment="1" applyProtection="1">
      <alignment horizontal="center" vertical="center"/>
      <protection hidden="1"/>
    </xf>
    <xf numFmtId="1" fontId="6" fillId="4" borderId="1" xfId="1" applyNumberFormat="1" applyFont="1" applyFill="1" applyBorder="1" applyAlignment="1" applyProtection="1">
      <alignment horizontal="center" vertical="center" wrapText="1"/>
      <protection hidden="1"/>
    </xf>
    <xf numFmtId="1" fontId="6" fillId="5" borderId="1" xfId="1" applyNumberFormat="1" applyFont="1" applyFill="1" applyBorder="1" applyAlignment="1" applyProtection="1">
      <alignment horizontal="center" vertical="center" wrapText="1"/>
      <protection hidden="1"/>
    </xf>
    <xf numFmtId="1" fontId="6" fillId="6" borderId="1" xfId="1" applyNumberFormat="1" applyFont="1" applyFill="1" applyBorder="1" applyAlignment="1" applyProtection="1">
      <alignment horizontal="center" vertical="center" wrapText="1"/>
      <protection hidden="1"/>
    </xf>
    <xf numFmtId="1" fontId="6" fillId="7" borderId="1" xfId="1" applyNumberFormat="1" applyFont="1" applyFill="1" applyBorder="1" applyAlignment="1" applyProtection="1">
      <alignment horizontal="center" vertical="center" wrapText="1"/>
      <protection hidden="1"/>
    </xf>
    <xf numFmtId="0" fontId="2" fillId="0" borderId="0" xfId="0" applyFont="1" applyFill="1" applyBorder="1" applyAlignment="1" applyProtection="1">
      <alignment horizontal="center" vertical="center"/>
    </xf>
    <xf numFmtId="0" fontId="2" fillId="0" borderId="0" xfId="0" applyFont="1" applyAlignment="1" applyProtection="1">
      <alignment horizontal="right" vertical="center"/>
    </xf>
    <xf numFmtId="0" fontId="2" fillId="0" borderId="0" xfId="0" applyFont="1" applyAlignment="1" applyProtection="1">
      <alignment horizontal="center" vertical="center"/>
    </xf>
    <xf numFmtId="0" fontId="2" fillId="0" borderId="0" xfId="0" applyFont="1" applyAlignment="1" applyProtection="1">
      <alignment horizontal="right" vertical="center"/>
    </xf>
    <xf numFmtId="0" fontId="0" fillId="0" borderId="0" xfId="0" applyAlignment="1"/>
    <xf numFmtId="2" fontId="8" fillId="0" borderId="0" xfId="0" applyNumberFormat="1" applyFont="1" applyBorder="1"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Fill="1" applyProtection="1"/>
    <xf numFmtId="0" fontId="2" fillId="0" borderId="0" xfId="0" applyFont="1" applyFill="1" applyAlignment="1" applyProtection="1">
      <alignment horizontal="right" vertical="center"/>
    </xf>
    <xf numFmtId="1" fontId="6" fillId="0" borderId="0" xfId="1" applyNumberFormat="1" applyFont="1" applyFill="1" applyBorder="1" applyAlignment="1" applyProtection="1">
      <alignment horizontal="center" vertical="center" wrapText="1"/>
      <protection hidden="1"/>
    </xf>
    <xf numFmtId="1" fontId="2" fillId="0" borderId="0" xfId="0" applyNumberFormat="1" applyFont="1" applyFill="1" applyBorder="1" applyAlignment="1" applyProtection="1">
      <alignment horizontal="center" vertical="center"/>
      <protection hidden="1"/>
    </xf>
    <xf numFmtId="0" fontId="2" fillId="0" borderId="0" xfId="0" applyFont="1" applyFill="1" applyAlignment="1" applyProtection="1">
      <alignment horizontal="center" vertical="center"/>
    </xf>
    <xf numFmtId="0" fontId="8" fillId="0" borderId="0" xfId="0" applyFont="1" applyFill="1" applyProtection="1"/>
    <xf numFmtId="0" fontId="2" fillId="0" borderId="0" xfId="0" applyFont="1" applyFill="1" applyAlignment="1" applyProtection="1">
      <alignment horizontal="center" vertical="center"/>
    </xf>
    <xf numFmtId="2" fontId="8" fillId="0" borderId="0" xfId="0" applyNumberFormat="1" applyFont="1" applyFill="1" applyBorder="1"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Alignment="1" applyProtection="1">
      <alignment horizontal="right" vertical="center"/>
    </xf>
    <xf numFmtId="0" fontId="2" fillId="0" borderId="0" xfId="0" applyFont="1" applyAlignment="1" applyProtection="1">
      <alignment horizontal="center" vertical="center"/>
    </xf>
    <xf numFmtId="0" fontId="8" fillId="0" borderId="0" xfId="0" applyFont="1" applyFill="1" applyBorder="1" applyAlignment="1" applyProtection="1">
      <alignment horizontal="center" vertical="center"/>
    </xf>
    <xf numFmtId="0" fontId="2" fillId="0" borderId="0" xfId="0" applyFont="1" applyFill="1" applyAlignment="1" applyProtection="1">
      <alignment horizontal="center" vertical="center"/>
    </xf>
    <xf numFmtId="2" fontId="8" fillId="0" borderId="0" xfId="0" applyNumberFormat="1" applyFont="1" applyFill="1" applyBorder="1" applyAlignment="1" applyProtection="1">
      <alignment horizontal="center" vertical="center"/>
    </xf>
    <xf numFmtId="0" fontId="2" fillId="0" borderId="0" xfId="0" applyFont="1" applyAlignment="1" applyProtection="1">
      <alignment horizontal="center" vertical="center"/>
    </xf>
    <xf numFmtId="0" fontId="2" fillId="0" borderId="0" xfId="0" applyFont="1" applyAlignment="1" applyProtection="1">
      <alignment horizontal="right" vertical="center"/>
    </xf>
    <xf numFmtId="0" fontId="0" fillId="0" borderId="0" xfId="0" applyProtection="1"/>
    <xf numFmtId="0" fontId="2" fillId="0" borderId="0" xfId="0" applyFont="1" applyFill="1" applyAlignment="1" applyProtection="1">
      <alignment horizontal="center" vertical="center"/>
    </xf>
    <xf numFmtId="2" fontId="8" fillId="0" borderId="0" xfId="0" applyNumberFormat="1" applyFont="1" applyFill="1" applyBorder="1" applyAlignment="1" applyProtection="1">
      <alignment horizontal="center" vertical="center"/>
    </xf>
    <xf numFmtId="0" fontId="15" fillId="13" borderId="7" xfId="0" applyFont="1" applyFill="1" applyBorder="1" applyAlignment="1">
      <alignment horizontal="left" vertical="top" wrapText="1"/>
    </xf>
    <xf numFmtId="0" fontId="8" fillId="0" borderId="0" xfId="0" applyFont="1" applyProtection="1"/>
    <xf numFmtId="2" fontId="8" fillId="8" borderId="0" xfId="0" applyNumberFormat="1" applyFont="1" applyFill="1" applyBorder="1" applyAlignment="1" applyProtection="1">
      <alignment horizontal="center" vertical="center"/>
    </xf>
    <xf numFmtId="0" fontId="8" fillId="3" borderId="0" xfId="0" applyFont="1" applyFill="1" applyBorder="1" applyAlignment="1" applyProtection="1">
      <alignment vertical="center"/>
    </xf>
    <xf numFmtId="0" fontId="8" fillId="3" borderId="0" xfId="0" applyFont="1" applyFill="1" applyAlignment="1" applyProtection="1">
      <alignment vertical="center"/>
    </xf>
    <xf numFmtId="2" fontId="8" fillId="0" borderId="0" xfId="0" applyNumberFormat="1" applyFont="1" applyAlignment="1">
      <alignment horizontal="center" vertical="center"/>
    </xf>
    <xf numFmtId="0" fontId="16" fillId="13" borderId="0" xfId="0" applyFont="1" applyFill="1" applyBorder="1" applyAlignment="1" applyProtection="1">
      <alignment horizontal="center" vertical="center"/>
    </xf>
    <xf numFmtId="0" fontId="28" fillId="0" borderId="0" xfId="0" applyFont="1" applyBorder="1"/>
    <xf numFmtId="0" fontId="16" fillId="13" borderId="0" xfId="0" applyFont="1" applyFill="1" applyBorder="1" applyAlignment="1">
      <alignment horizontal="center" vertical="center"/>
    </xf>
    <xf numFmtId="0" fontId="28" fillId="0" borderId="0" xfId="0" applyFont="1" applyBorder="1" applyAlignment="1"/>
    <xf numFmtId="0" fontId="8" fillId="0" borderId="0" xfId="0" applyFont="1" applyFill="1" applyBorder="1" applyAlignment="1" applyProtection="1">
      <alignment horizontal="center" vertical="center"/>
    </xf>
    <xf numFmtId="0" fontId="22" fillId="16" borderId="23" xfId="0" applyFont="1" applyFill="1" applyBorder="1" applyAlignment="1">
      <alignment horizontal="center"/>
    </xf>
    <xf numFmtId="0" fontId="22" fillId="17" borderId="23" xfId="0" applyFont="1" applyFill="1" applyBorder="1" applyAlignment="1">
      <alignment horizontal="center"/>
    </xf>
    <xf numFmtId="0" fontId="22" fillId="18" borderId="23" xfId="0" applyFont="1" applyFill="1" applyBorder="1" applyAlignment="1">
      <alignment horizontal="center"/>
    </xf>
    <xf numFmtId="0" fontId="22" fillId="19" borderId="23" xfId="0" applyFont="1" applyFill="1" applyBorder="1" applyAlignment="1">
      <alignment horizontal="center"/>
    </xf>
    <xf numFmtId="0" fontId="22" fillId="26" borderId="23" xfId="0" applyFont="1" applyFill="1" applyBorder="1" applyAlignment="1">
      <alignment horizontal="center"/>
    </xf>
    <xf numFmtId="0" fontId="26" fillId="0" borderId="0" xfId="0" applyFont="1" applyAlignment="1" applyProtection="1">
      <alignment horizontal="center" vertical="center"/>
    </xf>
    <xf numFmtId="0" fontId="2" fillId="0" borderId="0" xfId="0" applyFont="1"/>
    <xf numFmtId="0" fontId="2" fillId="0" borderId="0" xfId="0" applyFont="1" applyAlignment="1" applyProtection="1">
      <alignment horizontal="right"/>
    </xf>
    <xf numFmtId="0" fontId="2" fillId="0" borderId="0" xfId="0" applyFont="1" applyAlignment="1">
      <alignment horizontal="right"/>
    </xf>
    <xf numFmtId="0" fontId="8" fillId="0" borderId="0" xfId="0" applyFont="1" applyBorder="1" applyAlignment="1" applyProtection="1">
      <alignment horizontal="center" vertical="center"/>
    </xf>
    <xf numFmtId="0" fontId="21" fillId="13" borderId="0" xfId="0" applyFont="1" applyFill="1" applyBorder="1" applyAlignment="1" applyProtection="1">
      <alignment horizontal="left" vertical="center"/>
    </xf>
    <xf numFmtId="0" fontId="2" fillId="0" borderId="0" xfId="0" applyFont="1" applyFill="1" applyAlignment="1" applyProtection="1">
      <alignment horizontal="center" vertical="center"/>
    </xf>
    <xf numFmtId="0" fontId="2" fillId="0" borderId="0" xfId="0" applyFont="1" applyAlignment="1" applyProtection="1">
      <alignment horizontal="right" vertical="center"/>
    </xf>
    <xf numFmtId="0" fontId="32" fillId="20" borderId="23" xfId="3" applyFont="1" applyFill="1" applyBorder="1" applyAlignment="1" applyProtection="1">
      <alignment horizontal="center" vertical="center"/>
      <protection locked="0"/>
    </xf>
    <xf numFmtId="0" fontId="2" fillId="0" borderId="0" xfId="0" applyFont="1" applyFill="1" applyAlignment="1" applyProtection="1">
      <alignment horizontal="center" vertical="center"/>
    </xf>
    <xf numFmtId="0" fontId="2" fillId="0" borderId="0" xfId="0" applyFont="1" applyAlignment="1" applyProtection="1">
      <alignment horizontal="center" vertical="center"/>
    </xf>
    <xf numFmtId="0" fontId="2" fillId="0" borderId="0" xfId="0" applyFont="1" applyAlignment="1" applyProtection="1">
      <alignment horizontal="right" vertical="center"/>
    </xf>
    <xf numFmtId="0" fontId="29" fillId="13" borderId="0" xfId="0" applyFont="1" applyFill="1" applyBorder="1" applyAlignment="1" applyProtection="1">
      <alignment vertical="center"/>
    </xf>
    <xf numFmtId="0" fontId="32" fillId="20" borderId="6" xfId="3" quotePrefix="1" applyFont="1" applyFill="1" applyBorder="1" applyAlignment="1" applyProtection="1">
      <alignment wrapText="1"/>
      <protection locked="0"/>
    </xf>
    <xf numFmtId="0" fontId="0" fillId="0" borderId="0" xfId="0" applyFont="1"/>
    <xf numFmtId="0" fontId="35" fillId="0" borderId="0" xfId="0" applyFont="1"/>
    <xf numFmtId="0" fontId="38" fillId="22" borderId="23" xfId="3" applyFont="1" applyFill="1" applyBorder="1" applyAlignment="1" applyProtection="1">
      <alignment horizontal="center"/>
      <protection locked="0"/>
    </xf>
    <xf numFmtId="0" fontId="39" fillId="21" borderId="23" xfId="3" applyFont="1" applyFill="1" applyBorder="1" applyAlignment="1" applyProtection="1">
      <alignment horizontal="center"/>
      <protection locked="0"/>
    </xf>
    <xf numFmtId="0" fontId="24" fillId="24" borderId="23" xfId="0" applyFont="1" applyFill="1" applyBorder="1" applyAlignment="1">
      <alignment horizontal="center"/>
    </xf>
    <xf numFmtId="0" fontId="24" fillId="25" borderId="23" xfId="0" applyFont="1" applyFill="1" applyBorder="1" applyAlignment="1">
      <alignment horizontal="center"/>
    </xf>
    <xf numFmtId="0" fontId="23" fillId="13" borderId="23" xfId="0" applyFont="1" applyFill="1" applyBorder="1" applyAlignment="1" applyProtection="1">
      <alignment horizontal="center" vertical="center"/>
    </xf>
    <xf numFmtId="0" fontId="25" fillId="0" borderId="0" xfId="0" applyFont="1" applyAlignment="1" applyProtection="1">
      <alignment horizontal="left" vertical="center"/>
      <protection locked="0"/>
    </xf>
    <xf numFmtId="0" fontId="25" fillId="0" borderId="0" xfId="0" applyFont="1" applyFill="1" applyAlignment="1" applyProtection="1">
      <alignment horizontal="left" vertical="top" wrapText="1"/>
      <protection locked="0"/>
    </xf>
    <xf numFmtId="0" fontId="41" fillId="0" borderId="0" xfId="0" applyFont="1" applyFill="1" applyAlignment="1" applyProtection="1">
      <alignment horizontal="left" vertical="center"/>
    </xf>
    <xf numFmtId="0" fontId="41" fillId="0" borderId="0" xfId="0" applyFont="1" applyFill="1" applyBorder="1" applyAlignment="1" applyProtection="1">
      <alignment horizontal="right" vertical="center"/>
    </xf>
    <xf numFmtId="0" fontId="2" fillId="0" borderId="0" xfId="0" applyFont="1" applyFill="1" applyBorder="1"/>
    <xf numFmtId="0" fontId="2" fillId="0" borderId="0" xfId="0" applyFont="1" applyFill="1"/>
    <xf numFmtId="0" fontId="2" fillId="0" borderId="0" xfId="0" applyFont="1" applyFill="1" applyBorder="1" applyProtection="1"/>
    <xf numFmtId="0" fontId="45" fillId="0" borderId="9" xfId="0" applyFont="1" applyFill="1" applyBorder="1" applyAlignment="1" applyProtection="1">
      <alignment horizontal="center" vertical="center"/>
    </xf>
    <xf numFmtId="0" fontId="46" fillId="0" borderId="9" xfId="0" applyFont="1" applyFill="1" applyBorder="1" applyAlignment="1" applyProtection="1">
      <alignment horizontal="center" vertical="center"/>
    </xf>
    <xf numFmtId="0" fontId="2" fillId="13" borderId="0" xfId="0" applyFont="1" applyFill="1" applyBorder="1"/>
    <xf numFmtId="0" fontId="2" fillId="13" borderId="0" xfId="0" applyFont="1" applyFill="1"/>
    <xf numFmtId="0" fontId="24" fillId="10" borderId="15" xfId="0" applyFont="1" applyFill="1" applyBorder="1" applyAlignment="1" applyProtection="1">
      <alignment horizontal="center"/>
    </xf>
    <xf numFmtId="0" fontId="24" fillId="16" borderId="15" xfId="0" applyFont="1" applyFill="1" applyBorder="1" applyAlignment="1" applyProtection="1">
      <alignment horizontal="center"/>
    </xf>
    <xf numFmtId="0" fontId="24" fillId="17" borderId="15" xfId="0" applyFont="1" applyFill="1" applyBorder="1" applyAlignment="1" applyProtection="1">
      <alignment horizontal="center"/>
    </xf>
    <xf numFmtId="0" fontId="24" fillId="18" borderId="15" xfId="0" applyFont="1" applyFill="1" applyBorder="1" applyAlignment="1" applyProtection="1">
      <alignment horizontal="center"/>
    </xf>
    <xf numFmtId="0" fontId="24" fillId="19" borderId="15" xfId="0" applyFont="1" applyFill="1" applyBorder="1" applyAlignment="1" applyProtection="1">
      <alignment horizontal="center"/>
    </xf>
    <xf numFmtId="0" fontId="24" fillId="20" borderId="15" xfId="0" applyFont="1" applyFill="1" applyBorder="1" applyAlignment="1" applyProtection="1">
      <alignment horizontal="center"/>
    </xf>
    <xf numFmtId="0" fontId="24" fillId="21" borderId="15" xfId="0" applyFont="1" applyFill="1" applyBorder="1" applyAlignment="1" applyProtection="1">
      <alignment horizontal="center"/>
    </xf>
    <xf numFmtId="0" fontId="24" fillId="22" borderId="15" xfId="0" applyFont="1" applyFill="1" applyBorder="1" applyAlignment="1" applyProtection="1">
      <alignment horizontal="center"/>
    </xf>
    <xf numFmtId="0" fontId="24" fillId="23" borderId="15" xfId="0" applyFont="1" applyFill="1" applyBorder="1" applyAlignment="1" applyProtection="1">
      <alignment horizontal="center"/>
    </xf>
    <xf numFmtId="0" fontId="24" fillId="24" borderId="15" xfId="0" applyFont="1" applyFill="1" applyBorder="1" applyAlignment="1" applyProtection="1">
      <alignment horizontal="center"/>
    </xf>
    <xf numFmtId="0" fontId="24" fillId="25" borderId="15" xfId="0" applyFont="1" applyFill="1" applyBorder="1" applyAlignment="1" applyProtection="1">
      <alignment horizontal="center"/>
    </xf>
    <xf numFmtId="0" fontId="24" fillId="26" borderId="15" xfId="0" applyFont="1" applyFill="1" applyBorder="1" applyAlignment="1" applyProtection="1">
      <alignment horizontal="center"/>
    </xf>
    <xf numFmtId="0" fontId="33" fillId="0" borderId="0" xfId="0" applyFont="1"/>
    <xf numFmtId="0" fontId="49" fillId="0" borderId="0" xfId="0" applyFont="1" applyBorder="1" applyAlignment="1">
      <alignment horizontal="center" vertical="center" wrapText="1"/>
    </xf>
    <xf numFmtId="0" fontId="33" fillId="13" borderId="0" xfId="0" applyFont="1" applyFill="1" applyBorder="1" applyAlignment="1" applyProtection="1">
      <alignment horizontal="left"/>
    </xf>
    <xf numFmtId="0" fontId="2" fillId="0" borderId="69" xfId="0" applyFont="1" applyFill="1" applyBorder="1"/>
    <xf numFmtId="0" fontId="3" fillId="0" borderId="69" xfId="0" applyFont="1" applyBorder="1" applyProtection="1"/>
    <xf numFmtId="0" fontId="3" fillId="0" borderId="69" xfId="0" applyFont="1" applyFill="1" applyBorder="1" applyProtection="1"/>
    <xf numFmtId="0" fontId="26" fillId="0" borderId="0" xfId="0" applyFont="1" applyFill="1" applyAlignment="1" applyProtection="1">
      <alignment horizontal="center" vertical="center" wrapText="1"/>
    </xf>
    <xf numFmtId="0" fontId="55" fillId="0" borderId="0" xfId="0" applyFont="1"/>
    <xf numFmtId="0" fontId="55" fillId="0" borderId="0" xfId="0" applyFont="1" applyFill="1"/>
    <xf numFmtId="0" fontId="55" fillId="13" borderId="0" xfId="0" applyFont="1" applyFill="1" applyBorder="1" applyAlignment="1" applyProtection="1">
      <alignment horizontal="left"/>
    </xf>
    <xf numFmtId="164" fontId="55" fillId="13" borderId="0" xfId="0" applyNumberFormat="1" applyFont="1" applyFill="1" applyBorder="1" applyAlignment="1">
      <alignment horizontal="left"/>
    </xf>
    <xf numFmtId="0" fontId="1" fillId="0" borderId="0" xfId="0" applyFont="1" applyAlignment="1">
      <alignment horizontal="left"/>
    </xf>
    <xf numFmtId="0" fontId="1" fillId="13" borderId="0" xfId="0" applyFont="1" applyFill="1" applyBorder="1" applyAlignment="1" applyProtection="1">
      <alignment horizontal="left"/>
    </xf>
    <xf numFmtId="164" fontId="1" fillId="13" borderId="0" xfId="0" applyNumberFormat="1" applyFont="1" applyFill="1" applyBorder="1" applyAlignment="1">
      <alignment horizontal="left"/>
    </xf>
    <xf numFmtId="0" fontId="1" fillId="0" borderId="0" xfId="0" applyFont="1" applyFill="1" applyBorder="1"/>
    <xf numFmtId="0" fontId="1" fillId="0" borderId="0" xfId="0" applyFont="1" applyFill="1"/>
    <xf numFmtId="2" fontId="57" fillId="0" borderId="0" xfId="0" applyNumberFormat="1" applyFont="1" applyFill="1" applyBorder="1" applyAlignment="1">
      <alignment horizontal="center" vertical="center" wrapText="1"/>
    </xf>
    <xf numFmtId="0" fontId="57" fillId="0" borderId="0" xfId="0" applyFont="1" applyFill="1" applyBorder="1" applyAlignment="1">
      <alignment horizontal="center" vertical="center" wrapText="1"/>
    </xf>
    <xf numFmtId="165" fontId="57" fillId="0" borderId="0" xfId="0" applyNumberFormat="1" applyFont="1" applyFill="1" applyBorder="1" applyAlignment="1">
      <alignment horizontal="center" vertical="center" wrapText="1"/>
    </xf>
    <xf numFmtId="0" fontId="2" fillId="0" borderId="0" xfId="0" applyFont="1" applyFill="1" applyAlignment="1" applyProtection="1">
      <alignment vertical="top"/>
    </xf>
    <xf numFmtId="0" fontId="2" fillId="13" borderId="0" xfId="0" applyFont="1" applyFill="1" applyBorder="1" applyAlignment="1">
      <alignment vertical="top"/>
    </xf>
    <xf numFmtId="0" fontId="2" fillId="0" borderId="0" xfId="0" applyFont="1" applyFill="1" applyBorder="1" applyAlignment="1">
      <alignment vertical="top"/>
    </xf>
    <xf numFmtId="0" fontId="2" fillId="0" borderId="0" xfId="0" applyFont="1" applyAlignment="1">
      <alignment vertical="top"/>
    </xf>
    <xf numFmtId="0" fontId="2" fillId="0" borderId="0" xfId="0" applyFont="1" applyAlignment="1"/>
    <xf numFmtId="0" fontId="47" fillId="13" borderId="17" xfId="0" applyFont="1" applyFill="1" applyBorder="1" applyAlignment="1">
      <alignment vertical="center"/>
    </xf>
    <xf numFmtId="0" fontId="47" fillId="13" borderId="0" xfId="0" applyFont="1" applyFill="1" applyBorder="1" applyAlignment="1">
      <alignment vertical="center"/>
    </xf>
    <xf numFmtId="0" fontId="47" fillId="13" borderId="29" xfId="0" applyFont="1" applyFill="1" applyBorder="1" applyAlignment="1">
      <alignment vertical="center"/>
    </xf>
    <xf numFmtId="0" fontId="2" fillId="0" borderId="0" xfId="0" applyFont="1" applyBorder="1"/>
    <xf numFmtId="0" fontId="52" fillId="0" borderId="0" xfId="0" applyFont="1" applyFill="1"/>
    <xf numFmtId="0" fontId="1" fillId="13" borderId="0" xfId="0" applyFont="1" applyFill="1" applyAlignment="1">
      <alignment horizontal="left"/>
    </xf>
    <xf numFmtId="0" fontId="56" fillId="13" borderId="0" xfId="0" applyFont="1" applyFill="1" applyAlignment="1">
      <alignment horizontal="left"/>
    </xf>
    <xf numFmtId="0" fontId="52" fillId="31" borderId="0" xfId="0" applyFont="1" applyFill="1"/>
    <xf numFmtId="0" fontId="2" fillId="32" borderId="0" xfId="0" applyFont="1" applyFill="1"/>
    <xf numFmtId="0" fontId="25" fillId="32" borderId="0" xfId="0" applyFont="1" applyFill="1" applyBorder="1"/>
    <xf numFmtId="0" fontId="3" fillId="32" borderId="0" xfId="0" applyFont="1" applyFill="1" applyBorder="1"/>
    <xf numFmtId="0" fontId="3" fillId="32" borderId="69" xfId="0" applyFont="1" applyFill="1" applyBorder="1" applyProtection="1"/>
    <xf numFmtId="0" fontId="52" fillId="33" borderId="0" xfId="0" applyFont="1" applyFill="1" applyBorder="1" applyAlignment="1"/>
    <xf numFmtId="0" fontId="63" fillId="13" borderId="0" xfId="0" applyFont="1" applyFill="1" applyBorder="1" applyAlignment="1">
      <alignment horizontal="center" vertical="center"/>
    </xf>
    <xf numFmtId="0" fontId="12" fillId="0" borderId="0" xfId="0" applyFont="1" applyFill="1" applyBorder="1" applyAlignment="1" applyProtection="1">
      <alignment horizontal="center" vertical="center"/>
    </xf>
    <xf numFmtId="2" fontId="2" fillId="0" borderId="0" xfId="0" applyNumberFormat="1" applyFont="1" applyFill="1" applyBorder="1" applyAlignment="1" applyProtection="1">
      <alignment horizontal="center" vertical="center"/>
    </xf>
    <xf numFmtId="0" fontId="63" fillId="13" borderId="0" xfId="0" applyFont="1" applyFill="1" applyBorder="1" applyAlignment="1">
      <alignment vertical="center"/>
    </xf>
    <xf numFmtId="0" fontId="63" fillId="13" borderId="79" xfId="0" applyFont="1" applyFill="1" applyBorder="1" applyAlignment="1">
      <alignment vertical="center"/>
    </xf>
    <xf numFmtId="0" fontId="52" fillId="34" borderId="37" xfId="0" applyFont="1" applyFill="1" applyBorder="1" applyAlignment="1"/>
    <xf numFmtId="0" fontId="63" fillId="13" borderId="17" xfId="0" applyFont="1" applyFill="1" applyBorder="1" applyAlignment="1">
      <alignment horizontal="center" vertical="center"/>
    </xf>
    <xf numFmtId="0" fontId="63" fillId="13" borderId="29" xfId="0" applyFont="1" applyFill="1" applyBorder="1" applyAlignment="1">
      <alignment horizontal="center" vertical="center"/>
    </xf>
    <xf numFmtId="0" fontId="63" fillId="13" borderId="17" xfId="0" applyFont="1" applyFill="1" applyBorder="1" applyAlignment="1">
      <alignment vertical="center"/>
    </xf>
    <xf numFmtId="0" fontId="63" fillId="13" borderId="29" xfId="0" applyFont="1" applyFill="1" applyBorder="1" applyAlignment="1">
      <alignment vertical="center"/>
    </xf>
    <xf numFmtId="0" fontId="63" fillId="13" borderId="80" xfId="0" applyFont="1" applyFill="1" applyBorder="1" applyAlignment="1">
      <alignment vertical="center"/>
    </xf>
    <xf numFmtId="0" fontId="63" fillId="13" borderId="81" xfId="0" applyFont="1" applyFill="1" applyBorder="1" applyAlignment="1">
      <alignment vertical="center"/>
    </xf>
    <xf numFmtId="0" fontId="52" fillId="34" borderId="16" xfId="0" applyFont="1" applyFill="1" applyBorder="1" applyAlignment="1"/>
    <xf numFmtId="0" fontId="52" fillId="0" borderId="0" xfId="0" applyFont="1" applyFill="1" applyBorder="1"/>
    <xf numFmtId="0" fontId="8" fillId="0" borderId="91" xfId="0" applyFont="1" applyFill="1" applyBorder="1" applyAlignment="1">
      <alignment horizontal="right"/>
    </xf>
    <xf numFmtId="0" fontId="2" fillId="0" borderId="17" xfId="0" applyFont="1" applyFill="1" applyBorder="1" applyAlignment="1">
      <alignment vertical="center"/>
    </xf>
    <xf numFmtId="0" fontId="48" fillId="0" borderId="17" xfId="0" applyFont="1" applyBorder="1" applyAlignment="1">
      <alignment vertical="center"/>
    </xf>
    <xf numFmtId="0" fontId="2" fillId="0" borderId="25" xfId="0" applyFont="1" applyFill="1" applyBorder="1" applyAlignment="1" applyProtection="1">
      <alignment horizontal="center"/>
      <protection locked="0"/>
    </xf>
    <xf numFmtId="0" fontId="52" fillId="34" borderId="10" xfId="0" applyFont="1" applyFill="1" applyBorder="1" applyAlignment="1"/>
    <xf numFmtId="0" fontId="52" fillId="34" borderId="11" xfId="0" applyFont="1" applyFill="1" applyBorder="1" applyAlignment="1"/>
    <xf numFmtId="0" fontId="31" fillId="23" borderId="23" xfId="3" applyFont="1" applyFill="1" applyBorder="1" applyAlignment="1" applyProtection="1">
      <alignment horizontal="center" wrapText="1"/>
      <protection locked="0"/>
    </xf>
    <xf numFmtId="0" fontId="24" fillId="13" borderId="0" xfId="0" applyFont="1" applyFill="1" applyBorder="1" applyAlignment="1" applyProtection="1">
      <alignment horizontal="left" vertical="center"/>
    </xf>
    <xf numFmtId="0" fontId="22" fillId="10" borderId="23" xfId="0" applyFont="1" applyFill="1" applyBorder="1" applyAlignment="1">
      <alignment horizontal="center"/>
    </xf>
    <xf numFmtId="0" fontId="0" fillId="0" borderId="0" xfId="0" applyBorder="1" applyProtection="1"/>
    <xf numFmtId="0" fontId="0" fillId="0" borderId="32" xfId="0" applyBorder="1" applyProtection="1"/>
    <xf numFmtId="0" fontId="0" fillId="0" borderId="34" xfId="0" applyBorder="1" applyProtection="1"/>
    <xf numFmtId="0" fontId="7" fillId="0" borderId="17" xfId="0" applyFont="1" applyBorder="1" applyAlignment="1" applyProtection="1">
      <alignment vertical="center"/>
    </xf>
    <xf numFmtId="0" fontId="5" fillId="0" borderId="5" xfId="0" applyFont="1" applyFill="1" applyBorder="1" applyAlignment="1" applyProtection="1">
      <alignment horizontal="center" vertical="center"/>
    </xf>
    <xf numFmtId="0" fontId="33" fillId="0" borderId="0" xfId="0" applyFont="1" applyAlignment="1" applyProtection="1">
      <alignment horizontal="center" vertical="center"/>
    </xf>
    <xf numFmtId="0" fontId="4" fillId="0" borderId="0" xfId="0" applyFont="1" applyAlignment="1" applyProtection="1">
      <alignment horizontal="center" vertical="center"/>
    </xf>
    <xf numFmtId="0" fontId="28" fillId="0" borderId="0" xfId="0" applyFont="1" applyBorder="1" applyProtection="1"/>
    <xf numFmtId="0" fontId="28" fillId="0" borderId="0" xfId="0" applyFont="1" applyBorder="1" applyAlignment="1" applyProtection="1"/>
    <xf numFmtId="0" fontId="0" fillId="0" borderId="0" xfId="0" applyAlignment="1" applyProtection="1"/>
    <xf numFmtId="0" fontId="3" fillId="0" borderId="0" xfId="0" applyFont="1" applyFill="1" applyBorder="1"/>
    <xf numFmtId="0" fontId="3" fillId="0" borderId="0" xfId="0" applyFont="1" applyFill="1" applyBorder="1" applyProtection="1"/>
    <xf numFmtId="0" fontId="3" fillId="0" borderId="0" xfId="0" applyFont="1" applyFill="1"/>
    <xf numFmtId="0" fontId="27" fillId="0" borderId="0" xfId="0" applyFont="1"/>
    <xf numFmtId="0" fontId="27" fillId="0" borderId="0" xfId="0" applyFont="1" applyFill="1" applyBorder="1"/>
    <xf numFmtId="0" fontId="72" fillId="3" borderId="0" xfId="0" applyFont="1" applyFill="1" applyBorder="1" applyAlignment="1" applyProtection="1">
      <alignment horizontal="center" vertical="center"/>
    </xf>
    <xf numFmtId="0" fontId="28" fillId="3" borderId="0" xfId="0" applyFont="1" applyFill="1" applyBorder="1" applyAlignment="1" applyProtection="1"/>
    <xf numFmtId="0" fontId="72" fillId="13" borderId="0" xfId="0" applyFont="1" applyFill="1" applyBorder="1" applyAlignment="1" applyProtection="1">
      <alignment vertical="center"/>
    </xf>
    <xf numFmtId="49" fontId="41" fillId="13" borderId="0" xfId="0" applyNumberFormat="1" applyFont="1" applyFill="1" applyBorder="1" applyAlignment="1" applyProtection="1">
      <alignment vertical="center"/>
    </xf>
    <xf numFmtId="0" fontId="41" fillId="3" borderId="0" xfId="0" applyFont="1" applyFill="1" applyBorder="1" applyAlignment="1" applyProtection="1">
      <alignment vertical="center"/>
    </xf>
    <xf numFmtId="0" fontId="72" fillId="3" borderId="0" xfId="0" applyFont="1" applyFill="1" applyBorder="1" applyAlignment="1" applyProtection="1">
      <alignment vertical="center"/>
    </xf>
    <xf numFmtId="49" fontId="41" fillId="3" borderId="0" xfId="0" applyNumberFormat="1" applyFont="1" applyFill="1" applyBorder="1" applyAlignment="1" applyProtection="1">
      <alignment vertical="center"/>
    </xf>
    <xf numFmtId="0" fontId="72" fillId="13" borderId="0" xfId="0" applyFont="1" applyFill="1" applyBorder="1" applyAlignment="1" applyProtection="1">
      <alignment horizontal="center" vertical="center"/>
    </xf>
    <xf numFmtId="0" fontId="41" fillId="13" borderId="0" xfId="0" applyFont="1" applyFill="1" applyBorder="1" applyAlignment="1" applyProtection="1">
      <alignment vertical="center"/>
    </xf>
    <xf numFmtId="0" fontId="72" fillId="13" borderId="0" xfId="0" applyFont="1" applyFill="1" applyBorder="1" applyAlignment="1" applyProtection="1">
      <alignment vertical="center" textRotation="90" wrapText="1"/>
    </xf>
    <xf numFmtId="0" fontId="72" fillId="13" borderId="0" xfId="0" applyFont="1" applyFill="1" applyBorder="1" applyAlignment="1" applyProtection="1">
      <alignment vertical="center" wrapText="1"/>
    </xf>
    <xf numFmtId="0" fontId="41" fillId="13" borderId="0" xfId="0" applyFont="1" applyFill="1" applyBorder="1" applyAlignment="1" applyProtection="1">
      <alignment vertical="top"/>
    </xf>
    <xf numFmtId="0" fontId="41" fillId="13" borderId="0" xfId="0" applyFont="1" applyFill="1" applyBorder="1" applyAlignment="1" applyProtection="1">
      <alignment vertical="center" wrapText="1"/>
    </xf>
    <xf numFmtId="0" fontId="41" fillId="13" borderId="0" xfId="0" applyFont="1" applyFill="1" applyBorder="1" applyAlignment="1" applyProtection="1">
      <alignment horizontal="center" vertical="center" wrapText="1"/>
    </xf>
    <xf numFmtId="0" fontId="40" fillId="0" borderId="0" xfId="0" applyFont="1" applyAlignment="1" applyProtection="1">
      <alignment wrapText="1"/>
    </xf>
    <xf numFmtId="0" fontId="41" fillId="0" borderId="0" xfId="0" applyFont="1" applyAlignment="1" applyProtection="1">
      <alignment vertical="top"/>
    </xf>
    <xf numFmtId="0" fontId="0" fillId="0" borderId="0" xfId="0" applyFill="1" applyProtection="1"/>
    <xf numFmtId="0" fontId="74" fillId="0" borderId="0" xfId="0" applyFont="1" applyProtection="1"/>
    <xf numFmtId="0" fontId="41" fillId="0" borderId="0" xfId="0" applyFont="1" applyAlignment="1" applyProtection="1">
      <alignment wrapText="1"/>
    </xf>
    <xf numFmtId="0" fontId="72" fillId="0" borderId="0" xfId="0" applyFont="1" applyAlignment="1" applyProtection="1">
      <alignment horizontal="center" vertical="top"/>
    </xf>
    <xf numFmtId="0" fontId="72" fillId="0" borderId="0" xfId="0" applyFont="1" applyFill="1" applyBorder="1" applyAlignment="1" applyProtection="1">
      <alignment horizontal="center" vertical="center"/>
    </xf>
    <xf numFmtId="0" fontId="72" fillId="0" borderId="0" xfId="0" applyFont="1" applyAlignment="1" applyProtection="1">
      <alignment horizontal="left" vertical="center"/>
    </xf>
    <xf numFmtId="0" fontId="0" fillId="0" borderId="0" xfId="0" applyAlignment="1" applyProtection="1">
      <alignment vertical="center"/>
    </xf>
    <xf numFmtId="0" fontId="72" fillId="0" borderId="0" xfId="0" applyFont="1" applyFill="1" applyBorder="1" applyAlignment="1" applyProtection="1">
      <alignment vertical="center"/>
    </xf>
    <xf numFmtId="0" fontId="41" fillId="0" borderId="0" xfId="0" applyFont="1" applyFill="1" applyAlignment="1" applyProtection="1">
      <alignment vertical="top"/>
    </xf>
    <xf numFmtId="0" fontId="40" fillId="0" borderId="0" xfId="0" applyFont="1" applyFill="1" applyAlignment="1" applyProtection="1">
      <alignment wrapText="1"/>
    </xf>
    <xf numFmtId="0" fontId="0" fillId="15" borderId="0" xfId="0" applyFill="1" applyProtection="1"/>
    <xf numFmtId="0" fontId="0" fillId="15" borderId="95" xfId="0" applyFill="1" applyBorder="1" applyProtection="1"/>
    <xf numFmtId="0" fontId="0" fillId="15" borderId="97" xfId="0" applyFill="1" applyBorder="1" applyProtection="1"/>
    <xf numFmtId="0" fontId="0" fillId="15" borderId="98" xfId="0" applyFill="1" applyBorder="1" applyProtection="1"/>
    <xf numFmtId="0" fontId="0" fillId="15" borderId="100" xfId="0" applyFill="1" applyBorder="1" applyProtection="1"/>
    <xf numFmtId="0" fontId="0" fillId="15" borderId="101" xfId="0" applyFill="1" applyBorder="1" applyProtection="1"/>
    <xf numFmtId="0" fontId="0" fillId="15" borderId="96" xfId="0" applyFill="1" applyBorder="1" applyProtection="1"/>
    <xf numFmtId="0" fontId="0" fillId="15" borderId="0" xfId="0" applyFill="1" applyBorder="1" applyProtection="1"/>
    <xf numFmtId="0" fontId="76" fillId="0" borderId="0" xfId="0" applyFont="1" applyFill="1" applyAlignment="1"/>
    <xf numFmtId="0" fontId="42" fillId="0" borderId="0" xfId="0" applyFont="1" applyFill="1" applyBorder="1" applyAlignment="1" applyProtection="1">
      <alignment vertical="center" wrapText="1"/>
    </xf>
    <xf numFmtId="0" fontId="72" fillId="0" borderId="0" xfId="0" applyFont="1" applyAlignment="1" applyProtection="1">
      <alignment vertical="center"/>
    </xf>
    <xf numFmtId="0" fontId="72" fillId="0" borderId="0" xfId="0" applyFont="1" applyFill="1" applyAlignment="1" applyProtection="1">
      <alignment vertical="center"/>
    </xf>
    <xf numFmtId="0" fontId="9" fillId="0" borderId="0" xfId="0" applyFont="1" applyBorder="1" applyProtection="1"/>
    <xf numFmtId="0" fontId="41" fillId="0" borderId="0" xfId="0" applyFont="1" applyAlignment="1" applyProtection="1">
      <alignment horizontal="left" vertical="top"/>
    </xf>
    <xf numFmtId="0" fontId="75" fillId="0" borderId="96" xfId="0" applyFont="1" applyFill="1" applyBorder="1" applyAlignment="1" applyProtection="1">
      <alignment vertical="top" wrapText="1"/>
    </xf>
    <xf numFmtId="0" fontId="9" fillId="0" borderId="96" xfId="0" applyFont="1" applyBorder="1" applyProtection="1"/>
    <xf numFmtId="0" fontId="9" fillId="0" borderId="97" xfId="0" applyFont="1" applyBorder="1" applyProtection="1"/>
    <xf numFmtId="0" fontId="9" fillId="0" borderId="102" xfId="0" applyFont="1" applyBorder="1" applyProtection="1"/>
    <xf numFmtId="0" fontId="42" fillId="0" borderId="96" xfId="0" applyFont="1" applyFill="1" applyBorder="1" applyAlignment="1" applyProtection="1">
      <alignment vertical="center"/>
    </xf>
    <xf numFmtId="0" fontId="0" fillId="0" borderId="96" xfId="0" applyBorder="1" applyProtection="1"/>
    <xf numFmtId="0" fontId="0" fillId="0" borderId="97" xfId="0" applyBorder="1" applyProtection="1"/>
    <xf numFmtId="0" fontId="0" fillId="0" borderId="102" xfId="0" applyBorder="1" applyProtection="1"/>
    <xf numFmtId="0" fontId="42" fillId="0" borderId="96" xfId="0" applyFont="1" applyFill="1" applyBorder="1" applyAlignment="1" applyProtection="1">
      <alignment vertical="center" wrapText="1"/>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3" borderId="0" xfId="0" applyFont="1" applyFill="1" applyBorder="1" applyAlignment="1" applyProtection="1">
      <alignment horizontal="center" vertical="center"/>
    </xf>
    <xf numFmtId="0" fontId="72" fillId="3" borderId="0" xfId="0" applyFont="1" applyFill="1" applyBorder="1" applyAlignment="1" applyProtection="1">
      <alignment horizontal="right" vertical="center"/>
    </xf>
    <xf numFmtId="0" fontId="72" fillId="13" borderId="0" xfId="0" applyFont="1" applyFill="1" applyBorder="1" applyAlignment="1" applyProtection="1">
      <alignment vertical="center"/>
    </xf>
    <xf numFmtId="0" fontId="72" fillId="13" borderId="0" xfId="0" applyFont="1" applyFill="1" applyBorder="1" applyAlignment="1" applyProtection="1">
      <alignment horizontal="center" vertical="center"/>
    </xf>
    <xf numFmtId="0" fontId="41" fillId="0" borderId="0" xfId="0" applyFont="1" applyAlignment="1" applyProtection="1">
      <alignment vertical="top"/>
    </xf>
    <xf numFmtId="0" fontId="72" fillId="0" borderId="0" xfId="0" applyFont="1" applyAlignment="1" applyProtection="1">
      <alignment vertical="center"/>
    </xf>
    <xf numFmtId="0" fontId="81" fillId="0" borderId="0" xfId="0" applyFont="1" applyProtection="1"/>
    <xf numFmtId="0" fontId="15" fillId="13" borderId="0" xfId="0" applyFont="1" applyFill="1" applyBorder="1" applyAlignment="1" applyProtection="1">
      <alignment vertical="center"/>
    </xf>
    <xf numFmtId="0" fontId="83" fillId="0" borderId="0" xfId="0" applyFont="1" applyProtection="1"/>
    <xf numFmtId="0" fontId="15" fillId="0" borderId="0" xfId="0" applyFont="1" applyBorder="1" applyProtection="1"/>
    <xf numFmtId="166" fontId="87" fillId="11" borderId="94" xfId="0" applyNumberFormat="1" applyFont="1" applyFill="1" applyBorder="1" applyAlignment="1">
      <alignment horizontal="center" vertical="center"/>
    </xf>
    <xf numFmtId="0" fontId="80" fillId="0" borderId="94" xfId="0" applyFont="1" applyBorder="1" applyAlignment="1">
      <alignment horizontal="center" vertical="center"/>
    </xf>
    <xf numFmtId="0" fontId="15" fillId="0" borderId="0" xfId="0" applyFont="1" applyBorder="1" applyAlignment="1" applyProtection="1">
      <alignment horizontal="left" vertical="center"/>
    </xf>
    <xf numFmtId="0" fontId="26" fillId="0" borderId="0" xfId="0" applyFont="1"/>
    <xf numFmtId="0" fontId="80" fillId="0" borderId="0" xfId="0" applyFont="1"/>
    <xf numFmtId="0" fontId="80" fillId="0" borderId="0" xfId="0" applyFont="1" applyBorder="1"/>
    <xf numFmtId="0" fontId="80" fillId="0" borderId="108" xfId="0" applyFont="1" applyBorder="1" applyAlignment="1">
      <alignment horizontal="center" vertical="center"/>
    </xf>
    <xf numFmtId="0" fontId="98" fillId="13" borderId="0" xfId="0" applyFont="1" applyFill="1" applyBorder="1" applyAlignment="1" applyProtection="1">
      <alignment horizontal="left" vertical="center"/>
    </xf>
    <xf numFmtId="0" fontId="15" fillId="0" borderId="110" xfId="0" applyFont="1" applyBorder="1" applyAlignment="1">
      <alignment vertical="center"/>
    </xf>
    <xf numFmtId="0" fontId="15" fillId="0" borderId="0" xfId="0" applyFont="1" applyBorder="1" applyAlignment="1">
      <alignment vertical="center"/>
    </xf>
    <xf numFmtId="0" fontId="3" fillId="0" borderId="0" xfId="0" applyFont="1"/>
    <xf numFmtId="0" fontId="15" fillId="13" borderId="0" xfId="0" applyFont="1" applyFill="1" applyBorder="1" applyAlignment="1" applyProtection="1">
      <alignment horizontal="left" vertical="center"/>
    </xf>
    <xf numFmtId="0" fontId="97" fillId="0" borderId="0" xfId="0" applyFont="1"/>
    <xf numFmtId="0" fontId="87" fillId="0" borderId="0" xfId="0" applyFont="1"/>
    <xf numFmtId="0" fontId="87" fillId="0" borderId="0" xfId="0" applyFont="1" applyBorder="1"/>
    <xf numFmtId="0" fontId="1" fillId="0" borderId="0" xfId="0" applyFont="1"/>
    <xf numFmtId="0" fontId="22" fillId="0" borderId="0" xfId="0" applyFont="1"/>
    <xf numFmtId="0" fontId="22" fillId="0" borderId="0" xfId="0" applyFont="1" applyBorder="1"/>
    <xf numFmtId="0" fontId="107" fillId="0" borderId="0" xfId="0" applyFont="1"/>
    <xf numFmtId="0" fontId="22" fillId="0" borderId="0" xfId="0" applyFont="1" applyBorder="1" applyAlignment="1">
      <alignment vertical="top"/>
    </xf>
    <xf numFmtId="0" fontId="59" fillId="0" borderId="0" xfId="0" applyFont="1"/>
    <xf numFmtId="0" fontId="110" fillId="0" borderId="0" xfId="0" applyFont="1" applyProtection="1"/>
    <xf numFmtId="0" fontId="24" fillId="3" borderId="94" xfId="1" applyFont="1" applyFill="1" applyBorder="1" applyAlignment="1" applyProtection="1">
      <alignment horizontal="center" vertical="center"/>
    </xf>
    <xf numFmtId="0" fontId="15" fillId="13" borderId="0" xfId="0" applyFont="1" applyFill="1" applyBorder="1" applyAlignment="1" applyProtection="1">
      <alignment horizontal="left" vertical="center"/>
    </xf>
    <xf numFmtId="0" fontId="24" fillId="0" borderId="0" xfId="0" applyFont="1" applyAlignment="1" applyProtection="1">
      <alignment vertical="center"/>
      <protection locked="0"/>
    </xf>
    <xf numFmtId="0" fontId="110" fillId="0" borderId="0" xfId="0" applyFont="1" applyBorder="1" applyProtection="1"/>
    <xf numFmtId="0" fontId="15" fillId="13" borderId="0" xfId="0" applyFont="1" applyFill="1" applyBorder="1" applyAlignment="1" applyProtection="1">
      <alignment horizontal="left" vertical="center"/>
    </xf>
    <xf numFmtId="0" fontId="112" fillId="0" borderId="94" xfId="1" applyFont="1" applyFill="1" applyBorder="1" applyAlignment="1" applyProtection="1">
      <alignment horizontal="center" vertical="center"/>
      <protection locked="0"/>
    </xf>
    <xf numFmtId="0" fontId="15" fillId="15" borderId="7" xfId="0" applyFont="1" applyFill="1" applyBorder="1" applyAlignment="1">
      <alignment horizontal="left" vertical="top" wrapText="1"/>
    </xf>
    <xf numFmtId="0" fontId="21" fillId="41" borderId="0" xfId="0" applyFont="1" applyFill="1" applyBorder="1" applyAlignment="1" applyProtection="1">
      <alignment horizontal="left" vertical="center"/>
    </xf>
    <xf numFmtId="0" fontId="21" fillId="36" borderId="0" xfId="0" applyFont="1" applyFill="1" applyBorder="1" applyAlignment="1" applyProtection="1">
      <alignment horizontal="left" vertical="center"/>
    </xf>
    <xf numFmtId="0" fontId="0" fillId="36" borderId="0" xfId="0" applyFill="1" applyProtection="1"/>
    <xf numFmtId="166" fontId="97" fillId="43" borderId="118" xfId="0" applyNumberFormat="1" applyFont="1" applyFill="1" applyBorder="1" applyAlignment="1">
      <alignment horizontal="center" vertical="center"/>
    </xf>
    <xf numFmtId="166" fontId="87" fillId="43" borderId="118" xfId="0" applyNumberFormat="1" applyFont="1" applyFill="1" applyBorder="1" applyAlignment="1">
      <alignment horizontal="center" vertical="center"/>
    </xf>
    <xf numFmtId="166" fontId="97" fillId="42" borderId="118" xfId="0" applyNumberFormat="1" applyFont="1" applyFill="1" applyBorder="1" applyAlignment="1">
      <alignment horizontal="center" vertical="center"/>
    </xf>
    <xf numFmtId="166" fontId="87" fillId="37" borderId="118" xfId="0" applyNumberFormat="1" applyFont="1" applyFill="1" applyBorder="1" applyAlignment="1">
      <alignment horizontal="center" vertical="center"/>
    </xf>
    <xf numFmtId="166" fontId="97" fillId="37" borderId="118" xfId="0" applyNumberFormat="1" applyFont="1" applyFill="1" applyBorder="1" applyAlignment="1">
      <alignment horizontal="center" vertical="center"/>
    </xf>
    <xf numFmtId="166" fontId="97" fillId="37" borderId="0" xfId="0" applyNumberFormat="1" applyFont="1" applyFill="1" applyBorder="1" applyAlignment="1">
      <alignment horizontal="center" vertical="center"/>
    </xf>
    <xf numFmtId="166" fontId="87" fillId="43" borderId="122" xfId="0" applyNumberFormat="1" applyFont="1" applyFill="1" applyBorder="1" applyAlignment="1">
      <alignment horizontal="center" vertical="center"/>
    </xf>
    <xf numFmtId="166" fontId="97" fillId="42" borderId="115" xfId="0" applyNumberFormat="1" applyFont="1" applyFill="1" applyBorder="1" applyAlignment="1">
      <alignment horizontal="center" vertical="center"/>
    </xf>
    <xf numFmtId="167" fontId="6" fillId="6" borderId="1" xfId="1" applyNumberFormat="1" applyFont="1" applyFill="1" applyBorder="1" applyAlignment="1" applyProtection="1">
      <alignment horizontal="center" vertical="center" wrapText="1"/>
      <protection hidden="1"/>
    </xf>
    <xf numFmtId="167" fontId="6" fillId="7" borderId="1" xfId="1" applyNumberFormat="1" applyFont="1" applyFill="1" applyBorder="1" applyAlignment="1" applyProtection="1">
      <alignment horizontal="center" vertical="center" wrapText="1"/>
      <protection hidden="1"/>
    </xf>
    <xf numFmtId="167" fontId="6" fillId="4" borderId="1" xfId="1" applyNumberFormat="1" applyFont="1" applyFill="1" applyBorder="1" applyAlignment="1" applyProtection="1">
      <alignment horizontal="center" vertical="center" wrapText="1"/>
      <protection hidden="1"/>
    </xf>
    <xf numFmtId="167" fontId="6" fillId="5" borderId="1" xfId="1" applyNumberFormat="1" applyFont="1" applyFill="1" applyBorder="1" applyAlignment="1" applyProtection="1">
      <alignment horizontal="center" vertical="center" wrapText="1"/>
      <protection hidden="1"/>
    </xf>
    <xf numFmtId="2" fontId="6" fillId="14" borderId="4" xfId="1" applyNumberFormat="1" applyFont="1" applyFill="1" applyBorder="1" applyAlignment="1" applyProtection="1">
      <alignment horizontal="right" vertical="center" wrapText="1"/>
      <protection hidden="1"/>
    </xf>
    <xf numFmtId="0" fontId="15" fillId="13" borderId="0" xfId="0" applyFont="1" applyFill="1" applyBorder="1" applyAlignment="1" applyProtection="1">
      <alignment horizontal="left" vertical="center"/>
    </xf>
    <xf numFmtId="166" fontId="87" fillId="43" borderId="106" xfId="0" applyNumberFormat="1" applyFont="1" applyFill="1" applyBorder="1" applyAlignment="1">
      <alignment horizontal="center" vertical="center"/>
    </xf>
    <xf numFmtId="166" fontId="87" fillId="43" borderId="107" xfId="0" applyNumberFormat="1" applyFont="1" applyFill="1" applyBorder="1" applyAlignment="1">
      <alignment horizontal="center" vertical="center"/>
    </xf>
    <xf numFmtId="166" fontId="87" fillId="43" borderId="108" xfId="0" applyNumberFormat="1" applyFont="1" applyFill="1" applyBorder="1" applyAlignment="1">
      <alignment horizontal="center" vertical="center"/>
    </xf>
    <xf numFmtId="166" fontId="87" fillId="37" borderId="94" xfId="0" applyNumberFormat="1" applyFont="1" applyFill="1" applyBorder="1" applyAlignment="1">
      <alignment horizontal="center" vertical="center" wrapText="1"/>
    </xf>
    <xf numFmtId="0" fontId="103" fillId="0" borderId="0" xfId="0" applyFont="1" applyAlignment="1">
      <alignment horizontal="left" vertical="center"/>
    </xf>
    <xf numFmtId="166" fontId="87" fillId="42" borderId="106" xfId="0" applyNumberFormat="1" applyFont="1" applyFill="1" applyBorder="1" applyAlignment="1">
      <alignment horizontal="center" vertical="center"/>
    </xf>
    <xf numFmtId="166" fontId="87" fillId="42" borderId="108" xfId="0" applyNumberFormat="1" applyFont="1" applyFill="1" applyBorder="1" applyAlignment="1">
      <alignment horizontal="center" vertical="center"/>
    </xf>
    <xf numFmtId="166" fontId="87" fillId="43" borderId="94" xfId="0" applyNumberFormat="1" applyFont="1" applyFill="1" applyBorder="1" applyAlignment="1">
      <alignment horizontal="center" vertical="center" wrapText="1"/>
    </xf>
    <xf numFmtId="166" fontId="87" fillId="43" borderId="94" xfId="0" applyNumberFormat="1" applyFont="1" applyFill="1" applyBorder="1" applyAlignment="1">
      <alignment horizontal="center" vertical="center"/>
    </xf>
    <xf numFmtId="166" fontId="97" fillId="42" borderId="116" xfId="0" applyNumberFormat="1" applyFont="1" applyFill="1" applyBorder="1" applyAlignment="1">
      <alignment horizontal="center" vertical="center"/>
    </xf>
    <xf numFmtId="0" fontId="15" fillId="13" borderId="0" xfId="0" applyFont="1" applyFill="1" applyBorder="1" applyAlignment="1" applyProtection="1">
      <alignment horizontal="left" vertical="center"/>
    </xf>
    <xf numFmtId="166" fontId="87" fillId="43" borderId="108" xfId="0" applyNumberFormat="1" applyFont="1" applyFill="1" applyBorder="1" applyAlignment="1">
      <alignment horizontal="center" vertical="center"/>
    </xf>
    <xf numFmtId="166" fontId="87" fillId="37" borderId="94" xfId="0" applyNumberFormat="1" applyFont="1" applyFill="1" applyBorder="1" applyAlignment="1">
      <alignment horizontal="center" vertical="center" wrapText="1"/>
    </xf>
    <xf numFmtId="166" fontId="87" fillId="43" borderId="94" xfId="0" applyNumberFormat="1" applyFont="1" applyFill="1" applyBorder="1" applyAlignment="1">
      <alignment horizontal="center" vertical="center"/>
    </xf>
    <xf numFmtId="0" fontId="15" fillId="0" borderId="120" xfId="0" applyFont="1" applyBorder="1" applyAlignment="1">
      <alignment vertical="center"/>
    </xf>
    <xf numFmtId="0" fontId="117" fillId="0" borderId="0" xfId="0" applyFont="1" applyFill="1" applyBorder="1" applyAlignment="1">
      <alignment vertical="center" wrapText="1"/>
    </xf>
    <xf numFmtId="0" fontId="107" fillId="0" borderId="0" xfId="0" applyFont="1" applyBorder="1" applyAlignment="1">
      <alignment horizontal="center" vertical="center"/>
    </xf>
    <xf numFmtId="166" fontId="87" fillId="11" borderId="94" xfId="0" applyNumberFormat="1" applyFont="1" applyFill="1" applyBorder="1" applyAlignment="1">
      <alignment horizontal="center" vertical="center"/>
    </xf>
    <xf numFmtId="0" fontId="26" fillId="13" borderId="0" xfId="0" applyFont="1" applyFill="1"/>
    <xf numFmtId="0" fontId="85" fillId="13" borderId="0" xfId="0" applyFont="1" applyFill="1"/>
    <xf numFmtId="0" fontId="75" fillId="0" borderId="0" xfId="0" applyFont="1" applyAlignment="1">
      <alignment vertical="center"/>
    </xf>
    <xf numFmtId="0" fontId="3" fillId="13" borderId="0" xfId="0" applyFont="1" applyFill="1"/>
    <xf numFmtId="0" fontId="26" fillId="13" borderId="0" xfId="0" applyFont="1" applyFill="1" applyBorder="1"/>
    <xf numFmtId="166" fontId="87" fillId="37" borderId="94" xfId="0" applyNumberFormat="1" applyFont="1" applyFill="1" applyBorder="1" applyAlignment="1">
      <alignment vertical="center" wrapText="1"/>
    </xf>
    <xf numFmtId="166" fontId="87" fillId="42" borderId="108" xfId="0" applyNumberFormat="1" applyFont="1" applyFill="1" applyBorder="1" applyAlignment="1">
      <alignment horizontal="center" vertical="center" wrapText="1"/>
    </xf>
    <xf numFmtId="0" fontId="80" fillId="0" borderId="94" xfId="0" applyFont="1" applyBorder="1" applyAlignment="1">
      <alignment horizontal="center"/>
    </xf>
    <xf numFmtId="0" fontId="26" fillId="0" borderId="116" xfId="0" applyFont="1" applyFill="1" applyBorder="1" applyAlignment="1">
      <alignment horizontal="center" vertical="center"/>
    </xf>
    <xf numFmtId="0" fontId="26" fillId="0" borderId="118" xfId="0" applyFont="1" applyFill="1" applyBorder="1" applyAlignment="1">
      <alignment horizontal="center" vertical="center"/>
    </xf>
    <xf numFmtId="0" fontId="26" fillId="0" borderId="118" xfId="0" applyFont="1" applyFill="1" applyBorder="1" applyAlignment="1">
      <alignment horizontal="center"/>
    </xf>
    <xf numFmtId="166" fontId="87" fillId="43" borderId="94" xfId="0" applyNumberFormat="1" applyFont="1" applyFill="1" applyBorder="1" applyAlignment="1">
      <alignment vertical="center"/>
    </xf>
    <xf numFmtId="166" fontId="87" fillId="43" borderId="106" xfId="0" applyNumberFormat="1" applyFont="1" applyFill="1" applyBorder="1" applyAlignment="1">
      <alignment vertical="center"/>
    </xf>
    <xf numFmtId="166" fontId="87" fillId="43" borderId="107" xfId="0" applyNumberFormat="1" applyFont="1" applyFill="1" applyBorder="1" applyAlignment="1">
      <alignment vertical="center"/>
    </xf>
    <xf numFmtId="166" fontId="87" fillId="43" borderId="108" xfId="0" applyNumberFormat="1" applyFont="1" applyFill="1" applyBorder="1" applyAlignment="1">
      <alignment horizontal="center" vertical="center" wrapText="1"/>
    </xf>
    <xf numFmtId="0" fontId="97" fillId="13" borderId="0" xfId="0" applyFont="1" applyFill="1"/>
    <xf numFmtId="0" fontId="80" fillId="13" borderId="0" xfId="0" applyFont="1" applyFill="1"/>
    <xf numFmtId="0" fontId="22" fillId="13" borderId="0" xfId="0" applyFont="1" applyFill="1" applyBorder="1"/>
    <xf numFmtId="0" fontId="1" fillId="13" borderId="0" xfId="0" applyFont="1" applyFill="1" applyBorder="1" applyAlignment="1">
      <alignment horizontal="center" vertical="center" wrapText="1"/>
    </xf>
    <xf numFmtId="0" fontId="1" fillId="13" borderId="0" xfId="0" applyFont="1" applyFill="1" applyBorder="1"/>
    <xf numFmtId="0" fontId="87" fillId="13" borderId="0" xfId="0" applyFont="1" applyFill="1" applyBorder="1"/>
    <xf numFmtId="0" fontId="22" fillId="13" borderId="0" xfId="0" applyFont="1" applyFill="1" applyBorder="1" applyAlignment="1"/>
    <xf numFmtId="166" fontId="87" fillId="13" borderId="0" xfId="0" applyNumberFormat="1" applyFont="1" applyFill="1" applyBorder="1" applyAlignment="1">
      <alignment vertical="center" wrapText="1"/>
    </xf>
    <xf numFmtId="166" fontId="87" fillId="43" borderId="105" xfId="0" applyNumberFormat="1" applyFont="1" applyFill="1" applyBorder="1" applyAlignment="1">
      <alignment horizontal="center" vertical="center"/>
    </xf>
    <xf numFmtId="166" fontId="87" fillId="37" borderId="105" xfId="0" applyNumberFormat="1" applyFont="1" applyFill="1" applyBorder="1" applyAlignment="1">
      <alignment horizontal="center" vertical="center" wrapText="1"/>
    </xf>
    <xf numFmtId="166" fontId="87" fillId="37" borderId="103" xfId="0" applyNumberFormat="1" applyFont="1" applyFill="1" applyBorder="1" applyAlignment="1">
      <alignment vertical="center" wrapText="1"/>
    </xf>
    <xf numFmtId="166" fontId="87" fillId="43" borderId="103" xfId="0" applyNumberFormat="1" applyFont="1" applyFill="1" applyBorder="1" applyAlignment="1">
      <alignment vertical="center"/>
    </xf>
    <xf numFmtId="166" fontId="87" fillId="37" borderId="108" xfId="0" applyNumberFormat="1" applyFont="1" applyFill="1" applyBorder="1" applyAlignment="1">
      <alignment vertical="center" wrapText="1"/>
    </xf>
    <xf numFmtId="166" fontId="87" fillId="0" borderId="0" xfId="0" applyNumberFormat="1" applyFont="1" applyFill="1" applyBorder="1" applyAlignment="1">
      <alignment vertical="center" wrapText="1"/>
    </xf>
    <xf numFmtId="0" fontId="103" fillId="0" borderId="0" xfId="0" applyFont="1" applyAlignment="1">
      <alignment vertical="center"/>
    </xf>
    <xf numFmtId="0" fontId="2" fillId="0" borderId="0" xfId="0" applyFont="1" applyBorder="1" applyAlignment="1"/>
    <xf numFmtId="166" fontId="87" fillId="37" borderId="141" xfId="0" applyNumberFormat="1" applyFont="1" applyFill="1" applyBorder="1" applyAlignment="1">
      <alignment vertical="center" wrapText="1"/>
    </xf>
    <xf numFmtId="166" fontId="87" fillId="37" borderId="143" xfId="0" applyNumberFormat="1" applyFont="1" applyFill="1" applyBorder="1" applyAlignment="1">
      <alignment horizontal="center" vertical="center" wrapText="1"/>
    </xf>
    <xf numFmtId="166" fontId="87" fillId="37" borderId="141" xfId="0" applyNumberFormat="1" applyFont="1" applyFill="1" applyBorder="1" applyAlignment="1">
      <alignment horizontal="center" vertical="center" wrapText="1"/>
    </xf>
    <xf numFmtId="166" fontId="87" fillId="43" borderId="142" xfId="0" applyNumberFormat="1" applyFont="1" applyFill="1" applyBorder="1" applyAlignment="1">
      <alignment horizontal="center" vertical="center" wrapText="1"/>
    </xf>
    <xf numFmtId="166" fontId="87" fillId="42" borderId="158" xfId="0" applyNumberFormat="1" applyFont="1" applyFill="1" applyBorder="1" applyAlignment="1">
      <alignment horizontal="center" vertical="center" wrapText="1"/>
    </xf>
    <xf numFmtId="0" fontId="103" fillId="0" borderId="0" xfId="0" applyFont="1" applyBorder="1" applyAlignment="1">
      <alignment vertical="center"/>
    </xf>
    <xf numFmtId="0" fontId="79" fillId="0" borderId="0" xfId="0" applyFont="1" applyFill="1" applyBorder="1" applyAlignment="1">
      <alignment vertical="center" wrapText="1"/>
    </xf>
    <xf numFmtId="0" fontId="80" fillId="0" borderId="103" xfId="0" applyFont="1" applyBorder="1" applyAlignment="1">
      <alignment horizontal="center" vertical="center"/>
    </xf>
    <xf numFmtId="166" fontId="87" fillId="0" borderId="0" xfId="0" applyNumberFormat="1" applyFont="1" applyFill="1" applyBorder="1" applyAlignment="1">
      <alignment vertical="center"/>
    </xf>
    <xf numFmtId="0" fontId="80" fillId="0" borderId="98" xfId="0" applyFont="1" applyBorder="1" applyAlignment="1">
      <alignment horizontal="center" vertical="center"/>
    </xf>
    <xf numFmtId="0" fontId="80" fillId="0" borderId="0" xfId="0" applyFont="1" applyFill="1" applyBorder="1" applyAlignment="1">
      <alignment horizontal="center" vertical="center"/>
    </xf>
    <xf numFmtId="0" fontId="22" fillId="0" borderId="0" xfId="0" applyFont="1" applyFill="1" applyBorder="1"/>
    <xf numFmtId="0" fontId="16" fillId="0" borderId="0" xfId="0" applyFont="1" applyFill="1" applyBorder="1" applyAlignment="1">
      <alignment vertical="center"/>
    </xf>
    <xf numFmtId="0" fontId="26" fillId="0" borderId="94" xfId="0" applyFont="1" applyFill="1" applyBorder="1" applyAlignment="1">
      <alignment horizontal="center" vertical="center"/>
    </xf>
    <xf numFmtId="0" fontId="26" fillId="0" borderId="0" xfId="0" applyFont="1" applyFill="1" applyBorder="1"/>
    <xf numFmtId="0" fontId="103" fillId="0" borderId="0" xfId="0" applyFont="1" applyFill="1" applyBorder="1" applyAlignment="1">
      <alignment vertical="center"/>
    </xf>
    <xf numFmtId="166" fontId="87" fillId="0" borderId="101" xfId="0" applyNumberFormat="1" applyFont="1" applyFill="1" applyBorder="1" applyAlignment="1">
      <alignment vertical="center" wrapText="1"/>
    </xf>
    <xf numFmtId="166" fontId="87" fillId="0" borderId="102" xfId="0" applyNumberFormat="1" applyFont="1" applyFill="1" applyBorder="1" applyAlignment="1">
      <alignment vertical="center" wrapText="1"/>
    </xf>
    <xf numFmtId="0" fontId="80" fillId="0" borderId="169" xfId="0" applyFont="1" applyBorder="1" applyAlignment="1">
      <alignment horizontal="center" vertical="center"/>
    </xf>
    <xf numFmtId="0" fontId="0" fillId="0" borderId="0" xfId="0"/>
    <xf numFmtId="0" fontId="0" fillId="45" borderId="0" xfId="0" applyFill="1" applyAlignment="1">
      <alignment horizontal="center"/>
    </xf>
    <xf numFmtId="0" fontId="0" fillId="47" borderId="0" xfId="0" applyFill="1" applyAlignment="1">
      <alignment horizontal="center"/>
    </xf>
    <xf numFmtId="0" fontId="0" fillId="48" borderId="0" xfId="0" applyFill="1" applyAlignment="1">
      <alignment horizontal="center"/>
    </xf>
    <xf numFmtId="0" fontId="0" fillId="49" borderId="0" xfId="0" applyFill="1" applyAlignment="1">
      <alignment horizontal="center"/>
    </xf>
    <xf numFmtId="0" fontId="0" fillId="50" borderId="0" xfId="0" applyFill="1" applyAlignment="1">
      <alignment horizontal="center"/>
    </xf>
    <xf numFmtId="0" fontId="0" fillId="51" borderId="0" xfId="0" applyFill="1" applyAlignment="1">
      <alignment horizontal="center"/>
    </xf>
    <xf numFmtId="0" fontId="15" fillId="15" borderId="170" xfId="0" applyFont="1" applyFill="1" applyBorder="1" applyAlignment="1">
      <alignment horizontal="left" vertical="top" wrapText="1"/>
    </xf>
    <xf numFmtId="0" fontId="15" fillId="13" borderId="170" xfId="0" applyFont="1" applyFill="1" applyBorder="1" applyAlignment="1">
      <alignment horizontal="left" vertical="top" wrapText="1"/>
    </xf>
    <xf numFmtId="0" fontId="0" fillId="0" borderId="0" xfId="0"/>
    <xf numFmtId="0" fontId="0" fillId="55" borderId="0" xfId="0" applyFill="1" applyAlignment="1">
      <alignment horizontal="center"/>
    </xf>
    <xf numFmtId="0" fontId="0" fillId="56" borderId="0" xfId="0" applyFill="1" applyAlignment="1">
      <alignment horizontal="center"/>
    </xf>
    <xf numFmtId="0" fontId="0" fillId="57" borderId="0" xfId="0" applyFill="1" applyAlignment="1">
      <alignment horizontal="center"/>
    </xf>
    <xf numFmtId="0" fontId="0" fillId="58" borderId="0" xfId="0" applyFill="1" applyAlignment="1">
      <alignment horizontal="center"/>
    </xf>
    <xf numFmtId="0" fontId="15" fillId="15" borderId="172" xfId="0" applyFont="1" applyFill="1" applyBorder="1" applyAlignment="1">
      <alignment horizontal="left" vertical="top" wrapText="1"/>
    </xf>
    <xf numFmtId="0" fontId="15" fillId="13" borderId="172" xfId="0" applyFont="1" applyFill="1" applyBorder="1" applyAlignment="1">
      <alignment horizontal="left" vertical="top" wrapText="1"/>
    </xf>
    <xf numFmtId="0" fontId="15" fillId="15" borderId="171" xfId="0" applyFont="1" applyFill="1" applyBorder="1" applyAlignment="1">
      <alignment horizontal="left" vertical="top" wrapText="1"/>
    </xf>
    <xf numFmtId="0" fontId="15" fillId="13" borderId="171" xfId="0" applyFont="1" applyFill="1" applyBorder="1" applyAlignment="1">
      <alignment horizontal="left" vertical="top" wrapText="1"/>
    </xf>
    <xf numFmtId="0" fontId="15" fillId="0" borderId="171" xfId="0" applyFont="1" applyFill="1" applyBorder="1" applyAlignment="1">
      <alignment horizontal="left" vertical="top" wrapText="1"/>
    </xf>
    <xf numFmtId="0" fontId="0" fillId="0" borderId="0" xfId="0"/>
    <xf numFmtId="0" fontId="0" fillId="59" borderId="0" xfId="0" applyFill="1" applyAlignment="1">
      <alignment horizontal="center"/>
    </xf>
    <xf numFmtId="0" fontId="0" fillId="62" borderId="0" xfId="0" applyFill="1" applyAlignment="1">
      <alignment horizontal="center"/>
    </xf>
    <xf numFmtId="0" fontId="0" fillId="63" borderId="0" xfId="0" applyFill="1" applyAlignment="1">
      <alignment horizontal="center"/>
    </xf>
    <xf numFmtId="0" fontId="0" fillId="64" borderId="0" xfId="0" applyFill="1" applyAlignment="1">
      <alignment horizontal="center"/>
    </xf>
    <xf numFmtId="0" fontId="9" fillId="0" borderId="0" xfId="0" applyFont="1" applyAlignment="1">
      <alignment vertical="center"/>
    </xf>
    <xf numFmtId="0" fontId="0" fillId="66" borderId="0" xfId="0" applyFill="1" applyAlignment="1">
      <alignment horizontal="center"/>
    </xf>
    <xf numFmtId="0" fontId="0" fillId="0" borderId="0" xfId="0"/>
    <xf numFmtId="0" fontId="0" fillId="69" borderId="0" xfId="0" applyFill="1" applyAlignment="1">
      <alignment horizontal="center"/>
    </xf>
    <xf numFmtId="0" fontId="0" fillId="70" borderId="0" xfId="0" applyFill="1" applyAlignment="1">
      <alignment horizontal="center"/>
    </xf>
    <xf numFmtId="0" fontId="0" fillId="71" borderId="0" xfId="0" applyFill="1" applyAlignment="1">
      <alignment horizontal="center"/>
    </xf>
    <xf numFmtId="0" fontId="0" fillId="0" borderId="0" xfId="0" applyAlignment="1">
      <alignment vertical="center"/>
    </xf>
    <xf numFmtId="0" fontId="15" fillId="15" borderId="175" xfId="0" applyFont="1" applyFill="1" applyBorder="1" applyAlignment="1">
      <alignment horizontal="left" vertical="top" wrapText="1"/>
    </xf>
    <xf numFmtId="0" fontId="15" fillId="13" borderId="175" xfId="0" applyFont="1" applyFill="1" applyBorder="1" applyAlignment="1">
      <alignment horizontal="left" vertical="top" wrapText="1"/>
    </xf>
    <xf numFmtId="0" fontId="15" fillId="15" borderId="174" xfId="0" applyFont="1" applyFill="1" applyBorder="1" applyAlignment="1">
      <alignment horizontal="left" vertical="top" wrapText="1"/>
    </xf>
    <xf numFmtId="0" fontId="15" fillId="13" borderId="174" xfId="0" applyFont="1" applyFill="1" applyBorder="1" applyAlignment="1">
      <alignment horizontal="left" vertical="top" wrapText="1"/>
    </xf>
    <xf numFmtId="0" fontId="0" fillId="52" borderId="0" xfId="0" applyFill="1" applyAlignment="1">
      <alignment horizontal="center"/>
    </xf>
    <xf numFmtId="0" fontId="0" fillId="73" borderId="0" xfId="0" applyFill="1" applyAlignment="1">
      <alignment horizontal="center"/>
    </xf>
    <xf numFmtId="0" fontId="0" fillId="0" borderId="0" xfId="0" applyAlignment="1">
      <alignment horizontal="center"/>
    </xf>
    <xf numFmtId="0" fontId="0" fillId="46" borderId="0" xfId="0" applyFill="1" applyAlignment="1">
      <alignment horizontal="center"/>
    </xf>
    <xf numFmtId="0" fontId="0" fillId="53" borderId="0" xfId="0" applyFill="1" applyAlignment="1">
      <alignment horizontal="center"/>
    </xf>
    <xf numFmtId="0" fontId="0" fillId="60" borderId="0" xfId="0" applyFill="1" applyAlignment="1">
      <alignment horizontal="center"/>
    </xf>
    <xf numFmtId="0" fontId="0" fillId="67" borderId="0" xfId="0" applyFill="1" applyAlignment="1">
      <alignment horizontal="center"/>
    </xf>
    <xf numFmtId="0" fontId="0" fillId="74" borderId="0" xfId="0" applyFill="1" applyAlignment="1">
      <alignment horizontal="center"/>
    </xf>
    <xf numFmtId="0" fontId="0" fillId="54" borderId="0" xfId="0" applyFill="1" applyAlignment="1">
      <alignment horizontal="center"/>
    </xf>
    <xf numFmtId="0" fontId="0" fillId="61" borderId="0" xfId="0" applyFill="1" applyAlignment="1">
      <alignment horizontal="center"/>
    </xf>
    <xf numFmtId="0" fontId="0" fillId="68" borderId="0" xfId="0" applyFill="1" applyAlignment="1">
      <alignment horizontal="center"/>
    </xf>
    <xf numFmtId="0" fontId="0" fillId="75" borderId="0" xfId="0" applyFill="1" applyAlignment="1">
      <alignment horizontal="center"/>
    </xf>
    <xf numFmtId="0" fontId="0" fillId="76" borderId="0" xfId="0" applyFill="1" applyAlignment="1">
      <alignment horizontal="center"/>
    </xf>
    <xf numFmtId="0" fontId="0" fillId="77" borderId="0" xfId="0" applyFill="1" applyAlignment="1">
      <alignment horizontal="center"/>
    </xf>
    <xf numFmtId="0" fontId="0" fillId="78" borderId="0" xfId="0" applyFill="1" applyAlignment="1">
      <alignment horizontal="center"/>
    </xf>
    <xf numFmtId="0" fontId="0" fillId="65" borderId="0" xfId="0" applyFill="1" applyAlignment="1">
      <alignment horizontal="center"/>
    </xf>
    <xf numFmtId="0" fontId="0" fillId="72" borderId="0" xfId="0" applyFill="1" applyAlignment="1">
      <alignment horizontal="center"/>
    </xf>
    <xf numFmtId="0" fontId="0" fillId="79" borderId="0" xfId="0" applyFill="1" applyAlignment="1">
      <alignment horizontal="center"/>
    </xf>
    <xf numFmtId="166" fontId="87" fillId="37" borderId="105" xfId="0" applyNumberFormat="1" applyFont="1" applyFill="1" applyBorder="1" applyAlignment="1">
      <alignment horizontal="center" vertical="center" wrapText="1"/>
    </xf>
    <xf numFmtId="166" fontId="87" fillId="43" borderId="105" xfId="0" applyNumberFormat="1" applyFont="1" applyFill="1" applyBorder="1" applyAlignment="1">
      <alignment horizontal="center" vertical="center"/>
    </xf>
    <xf numFmtId="166" fontId="87" fillId="0" borderId="96" xfId="0" applyNumberFormat="1" applyFont="1" applyFill="1" applyBorder="1" applyAlignment="1">
      <alignment vertical="center"/>
    </xf>
    <xf numFmtId="166" fontId="87" fillId="11" borderId="94" xfId="0" applyNumberFormat="1" applyFont="1" applyFill="1" applyBorder="1" applyAlignment="1">
      <alignment horizontal="center" vertical="center"/>
    </xf>
    <xf numFmtId="0" fontId="3" fillId="0" borderId="118" xfId="0" applyFont="1" applyBorder="1" applyAlignment="1" applyProtection="1">
      <alignment horizontal="left" vertical="center"/>
    </xf>
    <xf numFmtId="0" fontId="2" fillId="0" borderId="0" xfId="0" applyFont="1" applyAlignment="1" applyProtection="1">
      <alignment horizontal="right" vertical="center"/>
    </xf>
    <xf numFmtId="0" fontId="2" fillId="0" borderId="0" xfId="0" applyFont="1" applyAlignment="1" applyProtection="1">
      <alignment horizontal="center" vertical="center"/>
    </xf>
    <xf numFmtId="0" fontId="2" fillId="46" borderId="118" xfId="0" applyFont="1" applyFill="1" applyBorder="1" applyAlignment="1" applyProtection="1">
      <alignment horizontal="center" vertical="center"/>
      <protection locked="0"/>
    </xf>
    <xf numFmtId="166" fontId="2" fillId="0" borderId="0" xfId="0" applyNumberFormat="1" applyFont="1"/>
    <xf numFmtId="0" fontId="2" fillId="0" borderId="0" xfId="0" applyNumberFormat="1" applyFont="1"/>
    <xf numFmtId="0" fontId="2" fillId="0" borderId="0" xfId="0" applyFont="1" applyAlignment="1" applyProtection="1">
      <alignment horizontal="center" vertical="center"/>
    </xf>
    <xf numFmtId="0" fontId="0" fillId="0" borderId="0" xfId="0" applyBorder="1" applyAlignment="1" applyProtection="1">
      <alignment wrapText="1"/>
    </xf>
    <xf numFmtId="0" fontId="59" fillId="0" borderId="118" xfId="0" applyFont="1" applyBorder="1" applyAlignment="1" applyProtection="1">
      <alignment horizontal="left" vertical="center"/>
    </xf>
    <xf numFmtId="0" fontId="6" fillId="13" borderId="31" xfId="0" applyFont="1" applyFill="1" applyBorder="1" applyAlignment="1" applyProtection="1">
      <alignment vertical="center"/>
    </xf>
    <xf numFmtId="0" fontId="6" fillId="13" borderId="35" xfId="0" applyFont="1" applyFill="1" applyBorder="1" applyAlignment="1" applyProtection="1">
      <alignment vertical="center"/>
    </xf>
    <xf numFmtId="0" fontId="86" fillId="0" borderId="5" xfId="0" applyFont="1" applyFill="1" applyBorder="1" applyAlignment="1" applyProtection="1">
      <alignment horizontal="center" vertical="center"/>
    </xf>
    <xf numFmtId="0" fontId="2" fillId="13" borderId="118" xfId="0" applyFont="1" applyFill="1" applyBorder="1" applyAlignment="1" applyProtection="1">
      <alignment horizontal="center" vertical="center"/>
      <protection locked="0"/>
    </xf>
    <xf numFmtId="0" fontId="5" fillId="40" borderId="119" xfId="0" applyFont="1" applyFill="1" applyBorder="1" applyAlignment="1" applyProtection="1">
      <alignment vertical="center" textRotation="90" wrapText="1"/>
    </xf>
    <xf numFmtId="0" fontId="0" fillId="40" borderId="190" xfId="0" applyFill="1" applyBorder="1" applyProtection="1"/>
    <xf numFmtId="0" fontId="2" fillId="13" borderId="191" xfId="0" applyFont="1" applyFill="1" applyBorder="1" applyAlignment="1" applyProtection="1">
      <alignment horizontal="center" vertical="center"/>
      <protection locked="0"/>
    </xf>
    <xf numFmtId="0" fontId="35" fillId="0" borderId="35" xfId="0" applyFont="1" applyBorder="1" applyAlignment="1" applyProtection="1">
      <alignment vertical="center"/>
    </xf>
    <xf numFmtId="0" fontId="35" fillId="0" borderId="31" xfId="0" applyFont="1" applyBorder="1" applyAlignment="1" applyProtection="1">
      <alignment vertical="center"/>
    </xf>
    <xf numFmtId="0" fontId="35" fillId="0" borderId="0" xfId="0" applyFont="1" applyBorder="1" applyAlignment="1" applyProtection="1">
      <alignment vertical="center"/>
    </xf>
    <xf numFmtId="0" fontId="0" fillId="40" borderId="190" xfId="0" applyFont="1" applyFill="1" applyBorder="1" applyProtection="1"/>
    <xf numFmtId="0" fontId="2" fillId="0" borderId="0" xfId="0" applyFont="1" applyAlignment="1" applyProtection="1">
      <alignment horizontal="center" vertical="center"/>
    </xf>
    <xf numFmtId="0" fontId="2" fillId="0" borderId="0" xfId="0" applyFont="1" applyAlignment="1" applyProtection="1">
      <alignment horizontal="right" vertical="center"/>
    </xf>
    <xf numFmtId="0" fontId="27" fillId="36" borderId="21" xfId="0" applyFont="1" applyFill="1" applyBorder="1" applyAlignment="1" applyProtection="1">
      <alignment horizontal="center" vertical="center" wrapText="1"/>
    </xf>
    <xf numFmtId="0" fontId="2" fillId="0" borderId="0" xfId="0" applyFont="1" applyFill="1" applyAlignment="1" applyProtection="1">
      <alignment horizontal="center" vertical="center"/>
    </xf>
    <xf numFmtId="2" fontId="8" fillId="0" borderId="0" xfId="0" applyNumberFormat="1" applyFont="1" applyFill="1" applyBorder="1" applyAlignment="1" applyProtection="1">
      <alignment horizontal="center" vertical="center"/>
    </xf>
    <xf numFmtId="0" fontId="2" fillId="0" borderId="0" xfId="0" applyFont="1" applyAlignment="1" applyProtection="1">
      <alignment horizontal="right" vertical="center"/>
    </xf>
    <xf numFmtId="0" fontId="2" fillId="0" borderId="0" xfId="0" applyFont="1" applyAlignment="1" applyProtection="1">
      <alignment horizontal="center" vertical="center"/>
    </xf>
    <xf numFmtId="0" fontId="2" fillId="60" borderId="118" xfId="0" applyFont="1" applyFill="1" applyBorder="1" applyAlignment="1" applyProtection="1">
      <alignment horizontal="center" vertical="center"/>
      <protection locked="0"/>
    </xf>
    <xf numFmtId="0" fontId="2" fillId="60" borderId="118" xfId="0" applyFont="1" applyFill="1" applyBorder="1" applyAlignment="1" applyProtection="1">
      <alignment horizontal="center" vertical="center"/>
    </xf>
    <xf numFmtId="0" fontId="2" fillId="67" borderId="118" xfId="0" applyFont="1" applyFill="1" applyBorder="1" applyAlignment="1" applyProtection="1">
      <alignment horizontal="center" vertical="center"/>
      <protection locked="0"/>
    </xf>
    <xf numFmtId="0" fontId="2" fillId="67" borderId="118" xfId="0" applyFont="1" applyFill="1" applyBorder="1" applyAlignment="1" applyProtection="1">
      <alignment horizontal="center" vertical="center"/>
    </xf>
    <xf numFmtId="0" fontId="2" fillId="46" borderId="118" xfId="0" applyFont="1" applyFill="1" applyBorder="1" applyAlignment="1" applyProtection="1">
      <alignment horizontal="center" vertical="center"/>
    </xf>
    <xf numFmtId="0" fontId="2" fillId="53" borderId="118" xfId="0" applyFont="1" applyFill="1" applyBorder="1" applyAlignment="1" applyProtection="1">
      <alignment horizontal="center" vertical="center"/>
      <protection locked="0"/>
    </xf>
    <xf numFmtId="0" fontId="2" fillId="53" borderId="118" xfId="0" applyFont="1" applyFill="1" applyBorder="1" applyAlignment="1" applyProtection="1">
      <alignment horizontal="center" vertical="center"/>
    </xf>
    <xf numFmtId="0" fontId="2" fillId="15" borderId="118" xfId="0" applyFont="1" applyFill="1" applyBorder="1" applyAlignment="1" applyProtection="1">
      <alignment horizontal="center" vertical="center"/>
      <protection locked="0"/>
    </xf>
    <xf numFmtId="0" fontId="126" fillId="0" borderId="31" xfId="0" applyFont="1" applyBorder="1" applyAlignment="1" applyProtection="1">
      <alignment vertical="center"/>
    </xf>
    <xf numFmtId="0" fontId="126" fillId="0" borderId="114" xfId="0" applyFont="1" applyBorder="1" applyAlignment="1" applyProtection="1">
      <alignment vertical="center"/>
    </xf>
    <xf numFmtId="0" fontId="2" fillId="46" borderId="118" xfId="0" applyFont="1" applyFill="1" applyBorder="1" applyAlignment="1" applyProtection="1">
      <alignment horizontal="center" vertical="center"/>
      <protection hidden="1"/>
    </xf>
    <xf numFmtId="0" fontId="0" fillId="40" borderId="190" xfId="0" applyFont="1" applyFill="1" applyBorder="1" applyProtection="1">
      <protection hidden="1"/>
    </xf>
    <xf numFmtId="0" fontId="2" fillId="53" borderId="118" xfId="0" applyFont="1" applyFill="1" applyBorder="1" applyAlignment="1" applyProtection="1">
      <alignment horizontal="center" vertical="center"/>
      <protection hidden="1"/>
    </xf>
    <xf numFmtId="0" fontId="2" fillId="60" borderId="118" xfId="0" applyFont="1" applyFill="1" applyBorder="1" applyAlignment="1" applyProtection="1">
      <alignment horizontal="center" vertical="center"/>
      <protection hidden="1"/>
    </xf>
    <xf numFmtId="0" fontId="2" fillId="67" borderId="118" xfId="0" applyFont="1" applyFill="1" applyBorder="1" applyAlignment="1" applyProtection="1">
      <alignment horizontal="center" vertical="center"/>
      <protection hidden="1"/>
    </xf>
    <xf numFmtId="0" fontId="2" fillId="0" borderId="0" xfId="0" applyFont="1" applyAlignment="1" applyProtection="1">
      <alignment horizontal="center" vertical="center"/>
      <protection hidden="1"/>
    </xf>
    <xf numFmtId="0" fontId="2" fillId="0" borderId="0" xfId="0" applyFont="1" applyAlignment="1" applyProtection="1">
      <alignment horizontal="right" vertical="center"/>
      <protection hidden="1"/>
    </xf>
    <xf numFmtId="0" fontId="2" fillId="3" borderId="0" xfId="0" applyFont="1" applyFill="1" applyAlignment="1" applyProtection="1">
      <alignment horizontal="center" vertical="center"/>
      <protection hidden="1"/>
    </xf>
    <xf numFmtId="0" fontId="0" fillId="0" borderId="0" xfId="0" applyProtection="1">
      <protection hidden="1"/>
    </xf>
    <xf numFmtId="0" fontId="2" fillId="0" borderId="0" xfId="0" applyFont="1" applyBorder="1" applyProtection="1"/>
    <xf numFmtId="0" fontId="131" fillId="45" borderId="133" xfId="0" applyFont="1" applyFill="1" applyBorder="1" applyAlignment="1" applyProtection="1">
      <alignment horizontal="center" vertical="center"/>
    </xf>
    <xf numFmtId="0" fontId="131" fillId="52" borderId="0" xfId="0" applyFont="1" applyFill="1" applyBorder="1" applyAlignment="1" applyProtection="1">
      <alignment horizontal="center" vertical="center"/>
    </xf>
    <xf numFmtId="0" fontId="131" fillId="59" borderId="0" xfId="0" applyFont="1" applyFill="1" applyAlignment="1" applyProtection="1">
      <alignment horizontal="center" vertical="center"/>
    </xf>
    <xf numFmtId="0" fontId="8" fillId="0" borderId="0" xfId="0" applyFont="1" applyFill="1" applyAlignment="1" applyProtection="1">
      <alignment horizontal="center" vertical="center"/>
    </xf>
    <xf numFmtId="0" fontId="59" fillId="9" borderId="0" xfId="0" applyFont="1" applyFill="1" applyAlignment="1" applyProtection="1">
      <alignment horizontal="left" vertical="center"/>
    </xf>
    <xf numFmtId="0" fontId="5" fillId="40" borderId="0" xfId="0" applyFont="1" applyFill="1" applyAlignment="1" applyProtection="1">
      <alignment horizontal="right" vertical="center"/>
    </xf>
    <xf numFmtId="0" fontId="26" fillId="40" borderId="195" xfId="0" applyFont="1" applyFill="1" applyBorder="1" applyAlignment="1" applyProtection="1">
      <alignment horizontal="center" vertical="center"/>
    </xf>
    <xf numFmtId="0" fontId="8" fillId="40" borderId="196" xfId="0" applyFont="1" applyFill="1" applyBorder="1" applyAlignment="1" applyProtection="1">
      <alignment horizontal="center" vertical="center"/>
    </xf>
    <xf numFmtId="0" fontId="2" fillId="13" borderId="197" xfId="0" applyFont="1" applyFill="1" applyBorder="1" applyAlignment="1" applyProtection="1">
      <alignment horizontal="center" vertical="center"/>
    </xf>
    <xf numFmtId="2" fontId="2" fillId="46" borderId="198" xfId="0" applyNumberFormat="1" applyFont="1" applyFill="1" applyBorder="1" applyAlignment="1" applyProtection="1">
      <alignment horizontal="center" vertical="center"/>
    </xf>
    <xf numFmtId="0" fontId="2" fillId="13" borderId="197" xfId="0" applyFont="1" applyFill="1" applyBorder="1" applyAlignment="1" applyProtection="1">
      <alignment horizontal="center" vertical="center"/>
      <protection locked="0"/>
    </xf>
    <xf numFmtId="2" fontId="2" fillId="40" borderId="199" xfId="0" applyNumberFormat="1" applyFont="1" applyFill="1" applyBorder="1" applyAlignment="1" applyProtection="1">
      <alignment horizontal="center" vertical="center"/>
    </xf>
    <xf numFmtId="2" fontId="2" fillId="40" borderId="200" xfId="0" applyNumberFormat="1" applyFont="1" applyFill="1" applyBorder="1" applyAlignment="1" applyProtection="1">
      <alignment horizontal="center" vertical="center"/>
    </xf>
    <xf numFmtId="2" fontId="2" fillId="40" borderId="202" xfId="0" applyNumberFormat="1" applyFont="1" applyFill="1" applyBorder="1" applyAlignment="1" applyProtection="1">
      <alignment horizontal="center" vertical="center"/>
    </xf>
    <xf numFmtId="0" fontId="131" fillId="66" borderId="0" xfId="0" applyFont="1" applyFill="1" applyAlignment="1" applyProtection="1">
      <alignment horizontal="center" vertical="center"/>
    </xf>
    <xf numFmtId="0" fontId="59" fillId="67" borderId="0" xfId="0" applyFont="1" applyFill="1" applyAlignment="1" applyProtection="1">
      <alignment horizontal="left" vertical="center"/>
    </xf>
    <xf numFmtId="0" fontId="2" fillId="40" borderId="199" xfId="0" applyFont="1" applyFill="1" applyBorder="1" applyAlignment="1" applyProtection="1">
      <alignment horizontal="center" vertical="center"/>
    </xf>
    <xf numFmtId="0" fontId="2" fillId="40" borderId="200" xfId="0" applyFont="1" applyFill="1" applyBorder="1" applyAlignment="1" applyProtection="1">
      <alignment horizontal="center" vertical="center"/>
    </xf>
    <xf numFmtId="0" fontId="2" fillId="0" borderId="197" xfId="0" applyFont="1" applyFill="1" applyBorder="1" applyAlignment="1" applyProtection="1">
      <alignment horizontal="center" vertical="center"/>
    </xf>
    <xf numFmtId="0" fontId="2" fillId="40" borderId="202" xfId="0" applyFont="1" applyFill="1" applyBorder="1" applyAlignment="1" applyProtection="1">
      <alignment horizontal="center" vertical="center"/>
    </xf>
    <xf numFmtId="0" fontId="26" fillId="53" borderId="129" xfId="0" applyFont="1" applyFill="1" applyBorder="1" applyAlignment="1" applyProtection="1">
      <alignment horizontal="left" vertical="center"/>
    </xf>
    <xf numFmtId="0" fontId="59" fillId="46" borderId="194" xfId="0" applyFont="1" applyFill="1" applyBorder="1" applyAlignment="1" applyProtection="1">
      <alignment horizontal="left" vertical="center"/>
    </xf>
    <xf numFmtId="2" fontId="2" fillId="9" borderId="198" xfId="0" applyNumberFormat="1" applyFont="1" applyFill="1" applyBorder="1" applyAlignment="1" applyProtection="1">
      <alignment horizontal="center" vertical="center"/>
    </xf>
    <xf numFmtId="0" fontId="2" fillId="0" borderId="197"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2" fillId="13" borderId="0" xfId="0" applyFont="1" applyFill="1" applyBorder="1" applyAlignment="1" applyProtection="1">
      <alignment horizontal="center" vertical="center"/>
      <protection locked="0"/>
    </xf>
    <xf numFmtId="0" fontId="2" fillId="13" borderId="0" xfId="0" applyFont="1" applyFill="1" applyBorder="1" applyAlignment="1" applyProtection="1">
      <alignment horizontal="center" vertical="center"/>
    </xf>
    <xf numFmtId="0" fontId="26" fillId="40" borderId="197" xfId="0" applyFont="1" applyFill="1" applyBorder="1" applyAlignment="1" applyProtection="1">
      <alignment horizontal="center" vertical="center"/>
    </xf>
    <xf numFmtId="0" fontId="8" fillId="40" borderId="198" xfId="0" applyFont="1" applyFill="1" applyBorder="1" applyAlignment="1" applyProtection="1">
      <alignment horizontal="center" vertical="center"/>
    </xf>
    <xf numFmtId="0" fontId="138" fillId="46" borderId="56" xfId="0" applyFont="1" applyFill="1" applyBorder="1" applyAlignment="1" applyProtection="1">
      <alignment horizontal="center" vertical="center"/>
    </xf>
    <xf numFmtId="0" fontId="138" fillId="46" borderId="47" xfId="0" applyFont="1" applyFill="1" applyBorder="1" applyAlignment="1" applyProtection="1">
      <alignment horizontal="center" vertical="center"/>
    </xf>
    <xf numFmtId="0" fontId="138" fillId="46" borderId="57" xfId="0" applyFont="1" applyFill="1" applyBorder="1" applyAlignment="1" applyProtection="1">
      <alignment horizontal="center" vertical="center"/>
    </xf>
    <xf numFmtId="0" fontId="139" fillId="53" borderId="56" xfId="0" applyFont="1" applyFill="1" applyBorder="1" applyAlignment="1" applyProtection="1">
      <alignment horizontal="center" vertical="center"/>
    </xf>
    <xf numFmtId="0" fontId="139" fillId="53" borderId="47" xfId="0" applyFont="1" applyFill="1" applyBorder="1" applyAlignment="1" applyProtection="1">
      <alignment horizontal="center" vertical="center"/>
    </xf>
    <xf numFmtId="0" fontId="139" fillId="53" borderId="57" xfId="0" applyFont="1" applyFill="1" applyBorder="1" applyAlignment="1" applyProtection="1">
      <alignment horizontal="center" vertical="center"/>
    </xf>
    <xf numFmtId="0" fontId="140" fillId="60" borderId="56" xfId="0" applyFont="1" applyFill="1" applyBorder="1" applyAlignment="1" applyProtection="1">
      <alignment horizontal="center" vertical="center"/>
    </xf>
    <xf numFmtId="0" fontId="140" fillId="60" borderId="47" xfId="0" applyFont="1" applyFill="1" applyBorder="1" applyAlignment="1" applyProtection="1">
      <alignment horizontal="center" vertical="center"/>
    </xf>
    <xf numFmtId="0" fontId="141" fillId="67" borderId="56" xfId="0" applyFont="1" applyFill="1" applyBorder="1" applyAlignment="1" applyProtection="1">
      <alignment horizontal="center" vertical="center"/>
    </xf>
    <xf numFmtId="0" fontId="141" fillId="67" borderId="47" xfId="0" applyFont="1" applyFill="1" applyBorder="1" applyAlignment="1" applyProtection="1">
      <alignment horizontal="center" vertical="center"/>
    </xf>
    <xf numFmtId="0" fontId="26" fillId="40" borderId="0" xfId="0" applyFont="1" applyFill="1" applyBorder="1" applyAlignment="1" applyProtection="1">
      <alignment horizontal="center" vertical="center"/>
    </xf>
    <xf numFmtId="0" fontId="26" fillId="40" borderId="201" xfId="0" applyFont="1" applyFill="1" applyBorder="1" applyAlignment="1" applyProtection="1">
      <alignment horizontal="center" vertical="center"/>
    </xf>
    <xf numFmtId="0" fontId="142" fillId="0" borderId="5" xfId="0" applyFont="1" applyFill="1" applyBorder="1" applyAlignment="1" applyProtection="1">
      <alignment horizontal="center" vertical="center"/>
    </xf>
    <xf numFmtId="0" fontId="80" fillId="3" borderId="118" xfId="1" applyFont="1" applyFill="1" applyBorder="1" applyAlignment="1" applyProtection="1">
      <alignment horizontal="center" vertical="center"/>
    </xf>
    <xf numFmtId="0" fontId="135" fillId="15" borderId="118" xfId="0" applyFont="1" applyFill="1" applyBorder="1" applyAlignment="1" applyProtection="1">
      <alignment horizontal="center" vertical="center" textRotation="90" wrapText="1"/>
    </xf>
    <xf numFmtId="0" fontId="135" fillId="0" borderId="118" xfId="0" applyFont="1" applyBorder="1" applyAlignment="1" applyProtection="1">
      <alignment horizontal="center" vertical="center" wrapText="1"/>
      <protection locked="0"/>
    </xf>
    <xf numFmtId="2" fontId="6" fillId="44" borderId="8" xfId="1" applyNumberFormat="1" applyFont="1" applyFill="1" applyBorder="1" applyAlignment="1" applyProtection="1">
      <alignment horizontal="right" vertical="center" wrapText="1"/>
      <protection hidden="1"/>
    </xf>
    <xf numFmtId="0" fontId="15" fillId="13" borderId="0" xfId="0" applyFont="1" applyFill="1" applyBorder="1" applyAlignment="1" applyProtection="1">
      <alignment horizontal="left" vertical="center"/>
    </xf>
    <xf numFmtId="2" fontId="6" fillId="44" borderId="8" xfId="1" applyNumberFormat="1" applyFont="1" applyFill="1" applyBorder="1" applyAlignment="1" applyProtection="1">
      <alignment vertical="center" wrapText="1"/>
      <protection hidden="1"/>
    </xf>
    <xf numFmtId="10" fontId="2" fillId="0" borderId="0" xfId="0" applyNumberFormat="1" applyFont="1" applyProtection="1"/>
    <xf numFmtId="9" fontId="2" fillId="0" borderId="0" xfId="0" applyNumberFormat="1" applyFont="1" applyProtection="1"/>
    <xf numFmtId="0" fontId="15" fillId="13" borderId="0" xfId="0" applyFont="1" applyFill="1" applyBorder="1" applyAlignment="1" applyProtection="1">
      <alignment horizontal="left" vertical="center"/>
    </xf>
    <xf numFmtId="166" fontId="87" fillId="37" borderId="118" xfId="0" applyNumberFormat="1" applyFont="1" applyFill="1" applyBorder="1" applyAlignment="1">
      <alignment horizontal="center" vertical="center" wrapText="1"/>
    </xf>
    <xf numFmtId="0" fontId="2" fillId="0" borderId="0" xfId="0" applyFont="1" applyAlignment="1" applyProtection="1">
      <alignment horizontal="center" vertical="center"/>
    </xf>
    <xf numFmtId="0" fontId="2" fillId="0" borderId="0" xfId="0" applyFont="1" applyAlignment="1" applyProtection="1"/>
    <xf numFmtId="0" fontId="40" fillId="80" borderId="0" xfId="0" applyFont="1" applyFill="1" applyBorder="1" applyAlignment="1">
      <alignment vertical="center"/>
    </xf>
    <xf numFmtId="0" fontId="40" fillId="80" borderId="0" xfId="0" applyFont="1" applyFill="1" applyBorder="1" applyAlignment="1">
      <alignment horizontal="right" vertical="center"/>
    </xf>
    <xf numFmtId="0" fontId="2" fillId="40" borderId="190" xfId="0" applyFont="1" applyFill="1" applyBorder="1" applyAlignment="1" applyProtection="1">
      <alignment horizontal="center" vertical="center"/>
    </xf>
    <xf numFmtId="0" fontId="2" fillId="0" borderId="0" xfId="0" applyFont="1" applyAlignment="1" applyProtection="1">
      <alignment horizontal="center"/>
    </xf>
    <xf numFmtId="0" fontId="2" fillId="40" borderId="190" xfId="0" applyFont="1" applyFill="1" applyBorder="1" applyAlignment="1" applyProtection="1">
      <alignment horizontal="center"/>
    </xf>
    <xf numFmtId="0" fontId="26" fillId="0" borderId="105" xfId="0" applyFont="1" applyFill="1" applyBorder="1" applyAlignment="1">
      <alignment horizontal="center" vertical="center"/>
    </xf>
    <xf numFmtId="166" fontId="87" fillId="42" borderId="118" xfId="0" applyNumberFormat="1" applyFont="1" applyFill="1" applyBorder="1" applyAlignment="1">
      <alignment horizontal="center" vertical="center" wrapText="1"/>
    </xf>
    <xf numFmtId="0" fontId="80" fillId="0" borderId="118" xfId="0" applyFont="1" applyBorder="1" applyAlignment="1">
      <alignment horizontal="center" vertical="center"/>
    </xf>
    <xf numFmtId="166" fontId="87" fillId="43" borderId="118" xfId="0" applyNumberFormat="1" applyFont="1" applyFill="1" applyBorder="1" applyAlignment="1">
      <alignment horizontal="center" vertical="center" wrapText="1"/>
    </xf>
    <xf numFmtId="0" fontId="35" fillId="13" borderId="31" xfId="0" applyFont="1" applyFill="1" applyBorder="1" applyAlignment="1" applyProtection="1">
      <alignment vertical="center"/>
    </xf>
    <xf numFmtId="0" fontId="35" fillId="13" borderId="33" xfId="0" applyFont="1" applyFill="1" applyBorder="1" applyAlignment="1" applyProtection="1">
      <alignment vertical="center"/>
    </xf>
    <xf numFmtId="0" fontId="35" fillId="13" borderId="35" xfId="0" applyFont="1" applyFill="1" applyBorder="1" applyAlignment="1" applyProtection="1">
      <alignment vertical="center"/>
    </xf>
    <xf numFmtId="0" fontId="35" fillId="13" borderId="36" xfId="0" applyFont="1" applyFill="1" applyBorder="1" applyAlignment="1" applyProtection="1">
      <alignment vertical="center"/>
    </xf>
    <xf numFmtId="2" fontId="0" fillId="0" borderId="0" xfId="0" applyNumberFormat="1"/>
    <xf numFmtId="0" fontId="1" fillId="0" borderId="0" xfId="0" applyFont="1" applyAlignment="1"/>
    <xf numFmtId="2" fontId="2" fillId="0" borderId="0" xfId="0" applyNumberFormat="1" applyFont="1"/>
    <xf numFmtId="0" fontId="5" fillId="0" borderId="0" xfId="0" applyFont="1" applyAlignment="1">
      <alignment horizontal="left" vertical="center"/>
    </xf>
    <xf numFmtId="0" fontId="6" fillId="0" borderId="0" xfId="0" applyFont="1"/>
    <xf numFmtId="0" fontId="150" fillId="82" borderId="0" xfId="0" applyFont="1" applyFill="1" applyBorder="1" applyAlignment="1">
      <alignment horizontal="left" vertical="center"/>
    </xf>
    <xf numFmtId="0" fontId="0" fillId="0" borderId="0" xfId="0" applyBorder="1"/>
    <xf numFmtId="0" fontId="146" fillId="13" borderId="0" xfId="0" applyFont="1" applyFill="1" applyBorder="1" applyAlignment="1" applyProtection="1">
      <alignment horizontal="left"/>
    </xf>
    <xf numFmtId="49" fontId="4" fillId="0" borderId="0" xfId="0" applyNumberFormat="1" applyFont="1" applyBorder="1" applyAlignment="1">
      <alignment horizontal="left" vertical="center"/>
    </xf>
    <xf numFmtId="0" fontId="4" fillId="0" borderId="0" xfId="0" applyNumberFormat="1" applyFont="1" applyBorder="1" applyAlignment="1">
      <alignment horizontal="left" vertical="center"/>
    </xf>
    <xf numFmtId="0" fontId="0" fillId="83" borderId="219" xfId="0" applyFill="1" applyBorder="1"/>
    <xf numFmtId="0" fontId="0" fillId="14" borderId="219" xfId="0" applyFill="1" applyBorder="1"/>
    <xf numFmtId="0" fontId="0" fillId="59" borderId="219" xfId="0" applyFill="1" applyBorder="1"/>
    <xf numFmtId="0" fontId="0" fillId="84" borderId="219" xfId="0" applyFill="1" applyBorder="1"/>
    <xf numFmtId="0" fontId="150" fillId="82" borderId="222" xfId="0" applyFont="1" applyFill="1" applyBorder="1" applyAlignment="1">
      <alignment horizontal="left" vertical="center"/>
    </xf>
    <xf numFmtId="0" fontId="150" fillId="82" borderId="223" xfId="0" applyFont="1" applyFill="1" applyBorder="1" applyAlignment="1">
      <alignment horizontal="left" vertical="center"/>
    </xf>
    <xf numFmtId="0" fontId="153" fillId="0" borderId="0" xfId="0" applyFont="1"/>
    <xf numFmtId="0" fontId="16" fillId="13" borderId="0" xfId="0" applyFont="1" applyFill="1" applyBorder="1" applyAlignment="1" applyProtection="1">
      <alignment horizontal="left" vertical="center"/>
    </xf>
    <xf numFmtId="0" fontId="2" fillId="0" borderId="0" xfId="0" applyFont="1" applyFill="1" applyAlignment="1" applyProtection="1">
      <alignment horizontal="center" vertical="center"/>
    </xf>
    <xf numFmtId="2" fontId="8" fillId="0" borderId="5" xfId="0" applyNumberFormat="1" applyFont="1" applyBorder="1" applyAlignment="1" applyProtection="1">
      <alignment horizontal="center" vertical="center"/>
    </xf>
    <xf numFmtId="2" fontId="8" fillId="0" borderId="6" xfId="0" applyNumberFormat="1" applyFont="1" applyBorder="1" applyAlignment="1" applyProtection="1">
      <alignment horizontal="center" vertical="center"/>
    </xf>
    <xf numFmtId="2" fontId="2" fillId="0" borderId="0" xfId="0" applyNumberFormat="1" applyFont="1" applyFill="1" applyAlignment="1" applyProtection="1">
      <alignment horizontal="center" vertical="center"/>
    </xf>
    <xf numFmtId="2" fontId="8" fillId="0" borderId="0" xfId="0" applyNumberFormat="1" applyFont="1" applyFill="1" applyBorder="1" applyAlignment="1" applyProtection="1">
      <alignment horizontal="center" vertical="center"/>
    </xf>
    <xf numFmtId="0" fontId="2" fillId="0" borderId="0" xfId="0" applyFont="1" applyAlignment="1" applyProtection="1">
      <alignment horizontal="center" vertical="center"/>
    </xf>
    <xf numFmtId="0" fontId="2" fillId="0" borderId="0" xfId="0" applyFont="1" applyAlignment="1" applyProtection="1">
      <alignment horizontal="right" vertical="center"/>
    </xf>
    <xf numFmtId="2" fontId="2" fillId="53" borderId="198" xfId="0" applyNumberFormat="1" applyFont="1" applyFill="1" applyBorder="1" applyAlignment="1" applyProtection="1">
      <alignment horizontal="center" vertical="center"/>
    </xf>
    <xf numFmtId="2" fontId="2" fillId="67" borderId="198" xfId="0" applyNumberFormat="1" applyFont="1" applyFill="1" applyBorder="1" applyAlignment="1" applyProtection="1">
      <alignment horizontal="center" vertical="center"/>
    </xf>
    <xf numFmtId="2" fontId="2" fillId="0" borderId="0" xfId="0" applyNumberFormat="1" applyFont="1" applyAlignment="1" applyProtection="1">
      <alignment horizontal="right" vertical="center"/>
    </xf>
    <xf numFmtId="0" fontId="5" fillId="0" borderId="0" xfId="0" applyFont="1" applyFill="1" applyBorder="1" applyAlignment="1">
      <alignment horizontal="center" vertical="center" wrapText="1"/>
    </xf>
    <xf numFmtId="0" fontId="5" fillId="0" borderId="210" xfId="0" applyFont="1" applyFill="1" applyBorder="1" applyAlignment="1">
      <alignment horizontal="center" vertical="center"/>
    </xf>
    <xf numFmtId="1" fontId="6" fillId="4" borderId="0" xfId="1" applyNumberFormat="1" applyFont="1" applyFill="1" applyBorder="1" applyAlignment="1" applyProtection="1">
      <alignment horizontal="center" vertical="center" wrapText="1"/>
      <protection hidden="1"/>
    </xf>
    <xf numFmtId="1" fontId="6" fillId="5" borderId="0" xfId="1" applyNumberFormat="1" applyFont="1" applyFill="1" applyBorder="1" applyAlignment="1" applyProtection="1">
      <alignment horizontal="center" vertical="center" wrapText="1"/>
      <protection hidden="1"/>
    </xf>
    <xf numFmtId="1" fontId="6" fillId="6" borderId="0" xfId="1" applyNumberFormat="1" applyFont="1" applyFill="1" applyBorder="1" applyAlignment="1" applyProtection="1">
      <alignment horizontal="center" vertical="center" wrapText="1"/>
      <protection hidden="1"/>
    </xf>
    <xf numFmtId="1" fontId="6" fillId="7" borderId="0" xfId="1" applyNumberFormat="1" applyFont="1" applyFill="1" applyBorder="1" applyAlignment="1" applyProtection="1">
      <alignment horizontal="center" vertical="center" wrapText="1"/>
      <protection hidden="1"/>
    </xf>
    <xf numFmtId="1" fontId="2" fillId="10" borderId="0" xfId="0" applyNumberFormat="1" applyFont="1" applyFill="1" applyBorder="1" applyAlignment="1" applyProtection="1">
      <alignment horizontal="center" vertical="center"/>
      <protection hidden="1"/>
    </xf>
    <xf numFmtId="0" fontId="8" fillId="40" borderId="0" xfId="0" applyFont="1" applyFill="1" applyBorder="1" applyAlignment="1" applyProtection="1">
      <alignment horizontal="center" vertical="center"/>
    </xf>
    <xf numFmtId="2" fontId="2" fillId="46" borderId="0" xfId="0" applyNumberFormat="1" applyFont="1" applyFill="1" applyBorder="1" applyAlignment="1" applyProtection="1">
      <alignment horizontal="center" vertical="center"/>
    </xf>
    <xf numFmtId="0" fontId="48" fillId="0" borderId="0" xfId="0" applyFont="1" applyBorder="1" applyAlignment="1">
      <alignment vertical="center"/>
    </xf>
    <xf numFmtId="0" fontId="2" fillId="0" borderId="0" xfId="0" applyFont="1" applyFill="1" applyBorder="1" applyAlignment="1">
      <alignment vertical="center"/>
    </xf>
    <xf numFmtId="2" fontId="12" fillId="44" borderId="0" xfId="1" applyNumberFormat="1" applyFont="1" applyFill="1" applyBorder="1" applyAlignment="1" applyProtection="1">
      <alignment horizontal="center" vertical="center" wrapText="1"/>
      <protection hidden="1"/>
    </xf>
    <xf numFmtId="2" fontId="12" fillId="66" borderId="0" xfId="1" applyNumberFormat="1" applyFont="1" applyFill="1" applyBorder="1" applyAlignment="1" applyProtection="1">
      <alignment horizontal="center" vertical="center" wrapText="1"/>
      <protection hidden="1"/>
    </xf>
    <xf numFmtId="0" fontId="39" fillId="21" borderId="26" xfId="3" applyFont="1" applyFill="1" applyBorder="1" applyAlignment="1" applyProtection="1">
      <alignment horizontal="center"/>
      <protection locked="0"/>
    </xf>
    <xf numFmtId="0" fontId="0" fillId="0" borderId="0" xfId="0" applyProtection="1">
      <protection locked="0"/>
    </xf>
    <xf numFmtId="0" fontId="2" fillId="0" borderId="0" xfId="0" applyFont="1" applyBorder="1" applyProtection="1">
      <protection locked="0"/>
    </xf>
    <xf numFmtId="0" fontId="6" fillId="0" borderId="0" xfId="0" applyFont="1" applyProtection="1">
      <protection locked="0"/>
    </xf>
    <xf numFmtId="0" fontId="2" fillId="0" borderId="0" xfId="0" applyFont="1" applyAlignment="1" applyProtection="1">
      <protection locked="0"/>
    </xf>
    <xf numFmtId="0" fontId="2" fillId="0" borderId="0" xfId="0" applyFont="1" applyProtection="1">
      <protection locked="0"/>
    </xf>
    <xf numFmtId="0" fontId="1" fillId="0" borderId="0" xfId="0" applyFont="1" applyAlignment="1">
      <alignment wrapText="1"/>
    </xf>
    <xf numFmtId="0" fontId="2" fillId="0" borderId="0" xfId="0" applyFont="1" applyAlignment="1">
      <alignment wrapText="1"/>
    </xf>
    <xf numFmtId="0" fontId="6" fillId="0" borderId="0" xfId="0" applyFont="1" applyAlignment="1">
      <alignment wrapText="1"/>
    </xf>
    <xf numFmtId="0" fontId="8" fillId="40" borderId="230" xfId="0" applyFont="1" applyFill="1" applyBorder="1" applyAlignment="1"/>
    <xf numFmtId="0" fontId="15" fillId="13" borderId="0" xfId="0" applyFont="1" applyFill="1" applyBorder="1" applyAlignment="1" applyProtection="1">
      <alignment horizontal="left" vertical="center"/>
    </xf>
    <xf numFmtId="166" fontId="87" fillId="43" borderId="107" xfId="0" applyNumberFormat="1" applyFont="1" applyFill="1" applyBorder="1" applyAlignment="1">
      <alignment horizontal="center" vertical="center"/>
    </xf>
    <xf numFmtId="166" fontId="87" fillId="43" borderId="106" xfId="0" applyNumberFormat="1" applyFont="1" applyFill="1" applyBorder="1" applyAlignment="1">
      <alignment horizontal="center" vertical="center"/>
    </xf>
    <xf numFmtId="166" fontId="87" fillId="42" borderId="106" xfId="0" applyNumberFormat="1" applyFont="1" applyFill="1" applyBorder="1" applyAlignment="1">
      <alignment horizontal="center" vertical="center"/>
    </xf>
    <xf numFmtId="166" fontId="87" fillId="42" borderId="108" xfId="0" applyNumberFormat="1" applyFont="1" applyFill="1" applyBorder="1" applyAlignment="1">
      <alignment horizontal="center" vertical="center"/>
    </xf>
    <xf numFmtId="0" fontId="103" fillId="0" borderId="0" xfId="0" applyFont="1" applyAlignment="1">
      <alignment horizontal="left" vertical="center"/>
    </xf>
    <xf numFmtId="2" fontId="12" fillId="0" borderId="56" xfId="0" applyNumberFormat="1" applyFont="1" applyFill="1" applyBorder="1" applyAlignment="1" applyProtection="1">
      <alignment horizontal="center" vertical="center"/>
    </xf>
    <xf numFmtId="0" fontId="50" fillId="0" borderId="232" xfId="0" applyFont="1" applyBorder="1" applyAlignment="1" applyProtection="1">
      <alignment vertical="center"/>
      <protection locked="0"/>
    </xf>
    <xf numFmtId="0" fontId="55" fillId="0" borderId="0" xfId="0" applyFont="1" applyAlignment="1"/>
    <xf numFmtId="0" fontId="55" fillId="0" borderId="0" xfId="0" applyFont="1" applyAlignment="1">
      <alignment vertical="top"/>
    </xf>
    <xf numFmtId="0" fontId="55" fillId="0" borderId="0" xfId="0" applyFont="1" applyAlignment="1" applyProtection="1">
      <alignment vertical="top"/>
    </xf>
    <xf numFmtId="0" fontId="55" fillId="0" borderId="0" xfId="0" applyFont="1" applyFill="1" applyAlignment="1" applyProtection="1">
      <alignment vertical="top"/>
    </xf>
    <xf numFmtId="0" fontId="55" fillId="0" borderId="0" xfId="0" applyFont="1" applyFill="1" applyProtection="1"/>
    <xf numFmtId="0" fontId="164" fillId="0" borderId="0" xfId="0" applyFont="1" applyAlignment="1"/>
    <xf numFmtId="0" fontId="164" fillId="0" borderId="0" xfId="0" applyFont="1" applyAlignment="1">
      <alignment horizontal="center"/>
    </xf>
    <xf numFmtId="0" fontId="164" fillId="0" borderId="0" xfId="0" applyFont="1"/>
    <xf numFmtId="0" fontId="164" fillId="0" borderId="0" xfId="0" applyFont="1" applyFill="1" applyProtection="1"/>
    <xf numFmtId="0" fontId="164" fillId="0" borderId="0" xfId="0" applyFont="1" applyProtection="1"/>
    <xf numFmtId="0" fontId="164" fillId="0" borderId="0" xfId="0" applyFont="1" applyAlignment="1" applyProtection="1">
      <alignment horizontal="center"/>
    </xf>
    <xf numFmtId="0" fontId="55" fillId="0" borderId="0" xfId="0" applyFont="1" applyProtection="1"/>
    <xf numFmtId="0" fontId="164" fillId="0" borderId="0" xfId="0" applyFont="1" applyFill="1" applyAlignment="1" applyProtection="1">
      <alignment horizontal="center"/>
    </xf>
    <xf numFmtId="0" fontId="163" fillId="0" borderId="0" xfId="0" applyFont="1"/>
    <xf numFmtId="0" fontId="55" fillId="0" borderId="0" xfId="0" applyFont="1" applyAlignment="1">
      <alignment horizontal="right"/>
    </xf>
    <xf numFmtId="0" fontId="55" fillId="0" borderId="0" xfId="0" applyFont="1" applyFill="1" applyAlignment="1" applyProtection="1">
      <alignment horizontal="right"/>
    </xf>
    <xf numFmtId="0" fontId="55" fillId="13" borderId="0" xfId="0" applyFont="1" applyFill="1" applyBorder="1"/>
    <xf numFmtId="0" fontId="55" fillId="0" borderId="0" xfId="0" applyFont="1" applyFill="1" applyBorder="1"/>
    <xf numFmtId="0" fontId="163" fillId="0" borderId="0" xfId="0" applyFont="1" applyFill="1" applyProtection="1"/>
    <xf numFmtId="2" fontId="12" fillId="10" borderId="233" xfId="0" applyNumberFormat="1" applyFont="1" applyFill="1" applyBorder="1" applyAlignment="1" applyProtection="1">
      <alignment horizontal="center" vertical="center"/>
      <protection hidden="1"/>
    </xf>
    <xf numFmtId="0" fontId="109" fillId="0" borderId="0" xfId="0" applyFont="1" applyAlignment="1">
      <alignment vertical="center"/>
    </xf>
    <xf numFmtId="0" fontId="129" fillId="0" borderId="0" xfId="0" applyFont="1" applyAlignment="1" applyProtection="1">
      <alignment vertical="center"/>
      <protection locked="0"/>
    </xf>
    <xf numFmtId="0" fontId="129" fillId="0" borderId="114" xfId="0" applyFont="1" applyBorder="1" applyAlignment="1" applyProtection="1">
      <alignment vertical="center"/>
      <protection locked="0"/>
    </xf>
    <xf numFmtId="0" fontId="79" fillId="0" borderId="0" xfId="0" applyFont="1" applyBorder="1" applyAlignment="1">
      <alignment vertical="center" wrapText="1"/>
    </xf>
    <xf numFmtId="0" fontId="103" fillId="0" borderId="0" xfId="0" applyFont="1" applyAlignment="1">
      <alignment horizontal="left" vertical="center"/>
    </xf>
    <xf numFmtId="0" fontId="166" fillId="0" borderId="0" xfId="0" applyFont="1"/>
    <xf numFmtId="0" fontId="2" fillId="0" borderId="242" xfId="0" applyFont="1" applyBorder="1" applyAlignment="1" applyProtection="1">
      <alignment horizontal="center"/>
      <protection locked="0"/>
    </xf>
    <xf numFmtId="0" fontId="2" fillId="0" borderId="242" xfId="0" applyFont="1" applyBorder="1" applyAlignment="1">
      <alignment horizontal="center"/>
    </xf>
    <xf numFmtId="2" fontId="2" fillId="0" borderId="242" xfId="0" applyNumberFormat="1" applyFont="1" applyFill="1" applyBorder="1" applyAlignment="1" applyProtection="1">
      <alignment horizontal="center"/>
    </xf>
    <xf numFmtId="2" fontId="2" fillId="0" borderId="242" xfId="0" applyNumberFormat="1" applyFont="1" applyBorder="1" applyAlignment="1" applyProtection="1">
      <alignment horizontal="center"/>
    </xf>
    <xf numFmtId="0" fontId="103" fillId="0" borderId="0" xfId="0" applyFont="1" applyAlignment="1">
      <alignment horizontal="left" vertical="center"/>
    </xf>
    <xf numFmtId="166" fontId="87" fillId="11" borderId="94" xfId="0" applyNumberFormat="1" applyFont="1" applyFill="1" applyBorder="1" applyAlignment="1">
      <alignment horizontal="center" vertical="center"/>
    </xf>
    <xf numFmtId="0" fontId="103" fillId="0" borderId="99" xfId="0" applyFont="1" applyBorder="1" applyAlignment="1">
      <alignment horizontal="left" vertical="center"/>
    </xf>
    <xf numFmtId="0" fontId="79" fillId="0" borderId="0" xfId="0" applyFont="1" applyFill="1" applyBorder="1" applyAlignment="1">
      <alignment vertical="center" wrapText="1"/>
    </xf>
    <xf numFmtId="166" fontId="87" fillId="11" borderId="94" xfId="0" applyNumberFormat="1" applyFont="1" applyFill="1" applyBorder="1" applyAlignment="1">
      <alignment horizontal="center" vertical="center"/>
    </xf>
    <xf numFmtId="0" fontId="1" fillId="0" borderId="0" xfId="0" applyFont="1" applyFill="1" applyAlignment="1" applyProtection="1">
      <alignment horizontal="center" vertical="center"/>
    </xf>
    <xf numFmtId="0" fontId="2" fillId="0" borderId="0" xfId="0" applyFont="1" applyAlignment="1" applyProtection="1">
      <alignment horizontal="center" vertical="center"/>
    </xf>
    <xf numFmtId="0" fontId="26" fillId="0" borderId="163" xfId="0" applyFont="1" applyFill="1" applyBorder="1" applyAlignment="1">
      <alignment horizontal="center" vertical="center"/>
    </xf>
    <xf numFmtId="0" fontId="10" fillId="0" borderId="0" xfId="0" applyFont="1" applyFill="1" applyAlignment="1" applyProtection="1">
      <alignment horizontal="center" vertical="center" wrapText="1"/>
    </xf>
    <xf numFmtId="0" fontId="1" fillId="0" borderId="0" xfId="0" applyFont="1" applyFill="1" applyAlignment="1" applyProtection="1">
      <alignment horizontal="center" vertical="center"/>
    </xf>
    <xf numFmtId="0" fontId="2" fillId="0" borderId="0" xfId="0" applyFont="1" applyAlignment="1" applyProtection="1">
      <alignment horizontal="center" vertical="center"/>
    </xf>
    <xf numFmtId="0" fontId="2" fillId="15" borderId="0" xfId="0" applyFont="1" applyFill="1" applyBorder="1" applyAlignment="1" applyProtection="1">
      <alignment horizontal="center" vertical="center"/>
      <protection locked="0"/>
    </xf>
    <xf numFmtId="0" fontId="0" fillId="40" borderId="190" xfId="0" applyFont="1" applyFill="1" applyBorder="1" applyAlignment="1" applyProtection="1">
      <alignment horizontal="center" vertical="center"/>
      <protection hidden="1"/>
    </xf>
    <xf numFmtId="0" fontId="0" fillId="40" borderId="190" xfId="0" applyFont="1" applyFill="1" applyBorder="1" applyAlignment="1" applyProtection="1">
      <alignment horizontal="center" vertical="center"/>
    </xf>
    <xf numFmtId="0" fontId="5" fillId="0" borderId="0" xfId="0" applyFont="1" applyBorder="1" applyAlignment="1" applyProtection="1">
      <alignment horizontal="center" vertical="center" textRotation="90" wrapText="1"/>
    </xf>
    <xf numFmtId="0" fontId="59" fillId="0" borderId="0" xfId="0" applyFont="1" applyBorder="1" applyAlignment="1" applyProtection="1">
      <alignment horizontal="left" vertical="center"/>
    </xf>
    <xf numFmtId="0" fontId="3" fillId="0" borderId="0" xfId="0" applyFont="1" applyBorder="1" applyAlignment="1" applyProtection="1">
      <alignment horizontal="left" vertical="center"/>
    </xf>
    <xf numFmtId="0" fontId="0" fillId="0" borderId="0" xfId="0" applyAlignment="1" applyProtection="1">
      <alignment horizontal="center"/>
    </xf>
    <xf numFmtId="0" fontId="11" fillId="0" borderId="0" xfId="0" applyFont="1" applyFill="1" applyAlignment="1" applyProtection="1">
      <alignment vertical="center" wrapText="1"/>
    </xf>
    <xf numFmtId="0" fontId="10" fillId="0" borderId="0" xfId="0" applyFont="1" applyFill="1" applyAlignment="1" applyProtection="1">
      <alignment vertical="center" wrapText="1"/>
    </xf>
    <xf numFmtId="0" fontId="168" fillId="0" borderId="0" xfId="0" applyFont="1" applyFill="1" applyBorder="1" applyAlignment="1">
      <alignment vertical="center" wrapText="1"/>
    </xf>
    <xf numFmtId="0" fontId="0" fillId="0" borderId="0" xfId="0" applyFill="1" applyBorder="1"/>
    <xf numFmtId="0" fontId="169" fillId="0" borderId="0" xfId="0" applyFont="1" applyAlignment="1">
      <alignment vertical="center"/>
    </xf>
    <xf numFmtId="0" fontId="169" fillId="0" borderId="0" xfId="0" applyFont="1" applyAlignment="1"/>
    <xf numFmtId="0" fontId="174" fillId="0" borderId="0" xfId="0" applyFont="1" applyAlignment="1">
      <alignment vertical="center"/>
    </xf>
    <xf numFmtId="0" fontId="168" fillId="0" borderId="0" xfId="0" applyFont="1" applyFill="1" applyAlignment="1">
      <alignment vertical="center" wrapText="1"/>
    </xf>
    <xf numFmtId="0" fontId="169" fillId="0" borderId="0" xfId="0" applyFont="1" applyBorder="1" applyAlignment="1">
      <alignment vertical="center" wrapText="1"/>
    </xf>
    <xf numFmtId="0" fontId="176" fillId="15" borderId="1" xfId="0" applyFont="1" applyFill="1" applyBorder="1" applyAlignment="1">
      <alignment horizontal="center" vertical="center"/>
    </xf>
    <xf numFmtId="0" fontId="168" fillId="0" borderId="1" xfId="0" applyFont="1" applyFill="1" applyBorder="1" applyAlignment="1">
      <alignment horizontal="center" vertical="center" wrapText="1"/>
    </xf>
    <xf numFmtId="0" fontId="176" fillId="15" borderId="249" xfId="0" applyFont="1" applyFill="1" applyBorder="1" applyAlignment="1">
      <alignment horizontal="center" vertical="center"/>
    </xf>
    <xf numFmtId="0" fontId="176" fillId="15" borderId="25" xfId="0" applyFont="1" applyFill="1" applyBorder="1" applyAlignment="1">
      <alignment horizontal="center" vertical="center"/>
    </xf>
    <xf numFmtId="0" fontId="168" fillId="0" borderId="25" xfId="0" applyFont="1" applyFill="1" applyBorder="1" applyAlignment="1">
      <alignment horizontal="center" vertical="center" wrapText="1"/>
    </xf>
    <xf numFmtId="0" fontId="2" fillId="0" borderId="0" xfId="0" applyFont="1" applyAlignment="1">
      <alignment horizontal="center"/>
    </xf>
    <xf numFmtId="0" fontId="168" fillId="0" borderId="0" xfId="0" applyFont="1" applyFill="1" applyBorder="1" applyAlignment="1">
      <alignment horizontal="center" vertical="center" wrapText="1"/>
    </xf>
    <xf numFmtId="0" fontId="0" fillId="0" borderId="0" xfId="0" applyFill="1" applyBorder="1" applyAlignment="1">
      <alignment horizontal="center"/>
    </xf>
    <xf numFmtId="0" fontId="33" fillId="0" borderId="0" xfId="0" applyFont="1" applyAlignment="1" applyProtection="1">
      <alignment horizontal="center"/>
    </xf>
    <xf numFmtId="0" fontId="2" fillId="28" borderId="242" xfId="0" applyFont="1" applyFill="1" applyBorder="1" applyAlignment="1" applyProtection="1">
      <alignment horizontal="center"/>
    </xf>
    <xf numFmtId="0" fontId="176" fillId="15" borderId="242" xfId="0" applyFont="1" applyFill="1" applyBorder="1"/>
    <xf numFmtId="0" fontId="176" fillId="15" borderId="242" xfId="0" applyFont="1" applyFill="1" applyBorder="1" applyAlignment="1">
      <alignment horizontal="center" vertical="center"/>
    </xf>
    <xf numFmtId="0" fontId="24" fillId="0" borderId="242" xfId="0" applyFont="1" applyBorder="1" applyAlignment="1">
      <alignment vertical="center" wrapText="1"/>
    </xf>
    <xf numFmtId="0" fontId="168" fillId="0" borderId="242" xfId="0" applyFont="1" applyFill="1" applyBorder="1" applyAlignment="1" applyProtection="1">
      <alignment horizontal="center" vertical="center" wrapText="1"/>
      <protection locked="0"/>
    </xf>
    <xf numFmtId="0" fontId="176" fillId="15" borderId="242" xfId="0" applyFont="1" applyFill="1" applyBorder="1" applyAlignment="1">
      <alignment vertical="center"/>
    </xf>
    <xf numFmtId="0" fontId="24" fillId="0" borderId="242" xfId="0" applyFont="1" applyBorder="1" applyAlignment="1">
      <alignment horizontal="left" vertical="center" wrapText="1"/>
    </xf>
    <xf numFmtId="0" fontId="176" fillId="15" borderId="242" xfId="0" applyFont="1" applyFill="1" applyBorder="1" applyAlignment="1">
      <alignment horizontal="left" vertical="center"/>
    </xf>
    <xf numFmtId="0" fontId="170" fillId="0" borderId="242" xfId="0" applyFont="1" applyBorder="1" applyAlignment="1">
      <alignment vertical="center"/>
    </xf>
    <xf numFmtId="0" fontId="171" fillId="0" borderId="242" xfId="0" applyFont="1" applyBorder="1" applyAlignment="1">
      <alignment vertical="top"/>
    </xf>
    <xf numFmtId="0" fontId="169" fillId="0" borderId="242" xfId="0" applyFont="1" applyBorder="1" applyAlignment="1">
      <alignment vertical="top"/>
    </xf>
    <xf numFmtId="0" fontId="169" fillId="0" borderId="242" xfId="0" applyFont="1" applyBorder="1" applyAlignment="1">
      <alignment vertical="center"/>
    </xf>
    <xf numFmtId="0" fontId="169" fillId="0" borderId="242" xfId="0" applyFont="1" applyFill="1" applyBorder="1" applyAlignment="1">
      <alignment vertical="center"/>
    </xf>
    <xf numFmtId="0" fontId="169" fillId="0" borderId="242" xfId="0" applyFont="1" applyBorder="1" applyAlignment="1"/>
    <xf numFmtId="0" fontId="171" fillId="0" borderId="242" xfId="0" applyFont="1" applyBorder="1" applyAlignment="1">
      <alignment horizontal="left" vertical="center"/>
    </xf>
    <xf numFmtId="0" fontId="15" fillId="15" borderId="251" xfId="0" applyFont="1" applyFill="1" applyBorder="1" applyAlignment="1">
      <alignment horizontal="left" vertical="top" wrapText="1"/>
    </xf>
    <xf numFmtId="0" fontId="15" fillId="13" borderId="251" xfId="0" applyFont="1" applyFill="1" applyBorder="1" applyAlignment="1">
      <alignment horizontal="left" vertical="top" wrapText="1"/>
    </xf>
    <xf numFmtId="0" fontId="15" fillId="15" borderId="250" xfId="0" applyFont="1" applyFill="1" applyBorder="1" applyAlignment="1">
      <alignment horizontal="left" vertical="top" wrapText="1"/>
    </xf>
    <xf numFmtId="0" fontId="15" fillId="13" borderId="250" xfId="0" applyFont="1" applyFill="1" applyBorder="1" applyAlignment="1">
      <alignment horizontal="left" vertical="top" wrapText="1"/>
    </xf>
    <xf numFmtId="0" fontId="41" fillId="3" borderId="0" xfId="0" applyFont="1" applyFill="1" applyBorder="1" applyAlignment="1" applyProtection="1">
      <alignment horizontal="left" vertical="center"/>
    </xf>
    <xf numFmtId="0" fontId="72" fillId="3" borderId="0" xfId="0" applyFont="1" applyFill="1" applyBorder="1" applyAlignment="1" applyProtection="1">
      <alignment horizontal="left" vertical="center"/>
    </xf>
    <xf numFmtId="49" fontId="41" fillId="3" borderId="0" xfId="0" applyNumberFormat="1" applyFont="1" applyFill="1" applyBorder="1" applyAlignment="1" applyProtection="1">
      <alignment horizontal="left" vertical="center"/>
    </xf>
    <xf numFmtId="0" fontId="72" fillId="13" borderId="0" xfId="0" applyFont="1" applyFill="1" applyBorder="1" applyAlignment="1" applyProtection="1">
      <alignment horizontal="left" vertical="center"/>
    </xf>
    <xf numFmtId="0" fontId="41" fillId="13" borderId="0" xfId="0" applyFont="1" applyFill="1" applyBorder="1" applyAlignment="1" applyProtection="1">
      <alignment horizontal="left" vertical="center"/>
      <protection locked="0"/>
    </xf>
    <xf numFmtId="49" fontId="41" fillId="13" borderId="0" xfId="0" applyNumberFormat="1" applyFont="1" applyFill="1" applyBorder="1" applyAlignment="1" applyProtection="1">
      <alignment horizontal="left" vertical="center"/>
    </xf>
    <xf numFmtId="0" fontId="41" fillId="13" borderId="0" xfId="0" applyFont="1" applyFill="1" applyBorder="1" applyAlignment="1" applyProtection="1">
      <alignment horizontal="left" vertical="top" wrapText="1"/>
      <protection locked="0"/>
    </xf>
    <xf numFmtId="0" fontId="41" fillId="13" borderId="0" xfId="0" applyFont="1" applyFill="1" applyBorder="1" applyAlignment="1" applyProtection="1">
      <alignment horizontal="left" vertical="center"/>
    </xf>
    <xf numFmtId="0" fontId="72" fillId="3" borderId="0" xfId="0" applyFont="1" applyFill="1" applyBorder="1" applyAlignment="1" applyProtection="1">
      <alignment horizontal="center" vertical="center"/>
    </xf>
    <xf numFmtId="0" fontId="41" fillId="0" borderId="0" xfId="0" applyFont="1" applyAlignment="1" applyProtection="1">
      <alignment horizontal="left" vertical="top" wrapText="1"/>
      <protection locked="0"/>
    </xf>
    <xf numFmtId="0" fontId="41" fillId="36" borderId="0" xfId="0" applyFont="1" applyFill="1" applyBorder="1" applyAlignment="1" applyProtection="1">
      <alignment horizontal="center" vertical="center" wrapText="1"/>
      <protection locked="0"/>
    </xf>
    <xf numFmtId="0" fontId="41" fillId="13" borderId="0" xfId="0" applyFont="1" applyFill="1" applyBorder="1" applyAlignment="1" applyProtection="1">
      <alignment horizontal="center" vertical="center" wrapText="1"/>
      <protection locked="0"/>
    </xf>
    <xf numFmtId="0" fontId="20" fillId="0" borderId="0" xfId="0" applyFont="1" applyFill="1" applyBorder="1" applyAlignment="1" applyProtection="1">
      <alignment horizontal="center" vertical="center"/>
    </xf>
    <xf numFmtId="49" fontId="41" fillId="13" borderId="0" xfId="0" applyNumberFormat="1" applyFont="1" applyFill="1" applyBorder="1" applyAlignment="1" applyProtection="1">
      <alignment horizontal="left" vertical="center"/>
      <protection locked="0"/>
    </xf>
    <xf numFmtId="0" fontId="41" fillId="0" borderId="95" xfId="0" applyFont="1" applyFill="1" applyBorder="1" applyAlignment="1" applyProtection="1">
      <alignment horizontal="center" vertical="center" wrapText="1"/>
      <protection locked="0"/>
    </xf>
    <xf numFmtId="0" fontId="41" fillId="0" borderId="96" xfId="0" applyFont="1" applyFill="1" applyBorder="1" applyAlignment="1" applyProtection="1">
      <alignment horizontal="center" vertical="center" wrapText="1"/>
      <protection locked="0"/>
    </xf>
    <xf numFmtId="0" fontId="41" fillId="0" borderId="97" xfId="0" applyFont="1" applyFill="1" applyBorder="1" applyAlignment="1" applyProtection="1">
      <alignment horizontal="center" vertical="center" wrapText="1"/>
      <protection locked="0"/>
    </xf>
    <xf numFmtId="0" fontId="41" fillId="0" borderId="98" xfId="0" applyFont="1" applyFill="1" applyBorder="1" applyAlignment="1" applyProtection="1">
      <alignment horizontal="center" vertical="center" wrapText="1"/>
      <protection locked="0"/>
    </xf>
    <xf numFmtId="0" fontId="41" fillId="0" borderId="99" xfId="0" applyFont="1" applyFill="1" applyBorder="1" applyAlignment="1" applyProtection="1">
      <alignment horizontal="center" vertical="center" wrapText="1"/>
      <protection locked="0"/>
    </xf>
    <xf numFmtId="0" fontId="41" fillId="0" borderId="100" xfId="0" applyFont="1" applyFill="1" applyBorder="1" applyAlignment="1" applyProtection="1">
      <alignment horizontal="center" vertical="center" wrapText="1"/>
      <protection locked="0"/>
    </xf>
    <xf numFmtId="0" fontId="72" fillId="15" borderId="95" xfId="0" applyFont="1" applyFill="1" applyBorder="1" applyAlignment="1" applyProtection="1">
      <alignment horizontal="center" vertical="center" textRotation="90" wrapText="1"/>
    </xf>
    <xf numFmtId="0" fontId="72" fillId="15" borderId="97" xfId="0" applyFont="1" applyFill="1" applyBorder="1" applyAlignment="1" applyProtection="1">
      <alignment horizontal="center" vertical="center" textRotation="90" wrapText="1"/>
    </xf>
    <xf numFmtId="0" fontId="72" fillId="15" borderId="98" xfId="0" applyFont="1" applyFill="1" applyBorder="1" applyAlignment="1" applyProtection="1">
      <alignment horizontal="center" vertical="center" textRotation="90" wrapText="1"/>
    </xf>
    <xf numFmtId="0" fontId="72" fillId="15" borderId="100" xfId="0" applyFont="1" applyFill="1" applyBorder="1" applyAlignment="1" applyProtection="1">
      <alignment horizontal="center" vertical="center" textRotation="90" wrapText="1"/>
    </xf>
    <xf numFmtId="0" fontId="40" fillId="15" borderId="0" xfId="0" applyFont="1" applyFill="1" applyAlignment="1" applyProtection="1">
      <alignment horizontal="center" vertical="center"/>
    </xf>
    <xf numFmtId="0" fontId="40" fillId="15" borderId="95" xfId="0" applyFont="1" applyFill="1" applyBorder="1" applyAlignment="1" applyProtection="1">
      <alignment horizontal="center" vertical="center"/>
    </xf>
    <xf numFmtId="0" fontId="40" fillId="15" borderId="96" xfId="0" applyFont="1" applyFill="1" applyBorder="1" applyAlignment="1" applyProtection="1">
      <alignment horizontal="center" vertical="center"/>
    </xf>
    <xf numFmtId="0" fontId="40" fillId="15" borderId="97" xfId="0" applyFont="1" applyFill="1" applyBorder="1" applyAlignment="1" applyProtection="1">
      <alignment horizontal="center" vertical="center"/>
    </xf>
    <xf numFmtId="0" fontId="40" fillId="15" borderId="98" xfId="0" applyFont="1" applyFill="1" applyBorder="1" applyAlignment="1" applyProtection="1">
      <alignment horizontal="center" vertical="center"/>
    </xf>
    <xf numFmtId="0" fontId="40" fillId="15" borderId="99" xfId="0" applyFont="1" applyFill="1" applyBorder="1" applyAlignment="1" applyProtection="1">
      <alignment horizontal="center" vertical="center"/>
    </xf>
    <xf numFmtId="0" fontId="40" fillId="15" borderId="100" xfId="0" applyFont="1" applyFill="1" applyBorder="1" applyAlignment="1" applyProtection="1">
      <alignment horizontal="center" vertical="center"/>
    </xf>
    <xf numFmtId="0" fontId="41" fillId="0" borderId="0" xfId="0" applyFont="1" applyFill="1" applyBorder="1" applyAlignment="1" applyProtection="1">
      <alignment horizontal="left" vertical="center"/>
      <protection locked="0"/>
    </xf>
    <xf numFmtId="0" fontId="41" fillId="0" borderId="94" xfId="0" applyFont="1" applyBorder="1" applyAlignment="1" applyProtection="1">
      <alignment horizontal="center" vertical="center" wrapText="1"/>
      <protection locked="0"/>
    </xf>
    <xf numFmtId="0" fontId="72" fillId="15" borderId="96" xfId="0" applyFont="1" applyFill="1" applyBorder="1" applyAlignment="1" applyProtection="1">
      <alignment horizontal="center" vertical="center" textRotation="90" wrapText="1"/>
    </xf>
    <xf numFmtId="0" fontId="72" fillId="15" borderId="99" xfId="0" applyFont="1" applyFill="1" applyBorder="1" applyAlignment="1" applyProtection="1">
      <alignment horizontal="center" vertical="center" textRotation="90" wrapText="1"/>
    </xf>
    <xf numFmtId="0" fontId="40" fillId="15" borderId="101" xfId="0" applyFont="1" applyFill="1" applyBorder="1" applyAlignment="1" applyProtection="1">
      <alignment horizontal="center" vertical="center"/>
    </xf>
    <xf numFmtId="0" fontId="40" fillId="15" borderId="0" xfId="0" applyFont="1" applyFill="1" applyBorder="1" applyAlignment="1" applyProtection="1">
      <alignment horizontal="center" vertical="center"/>
    </xf>
    <xf numFmtId="0" fontId="40" fillId="15" borderId="102" xfId="0" applyFont="1" applyFill="1" applyBorder="1" applyAlignment="1" applyProtection="1">
      <alignment horizontal="center" vertical="center"/>
    </xf>
    <xf numFmtId="0" fontId="41" fillId="0" borderId="0" xfId="0" applyFont="1" applyAlignment="1" applyProtection="1">
      <alignment horizontal="left" vertical="center"/>
      <protection locked="0"/>
    </xf>
    <xf numFmtId="0" fontId="41" fillId="0" borderId="0" xfId="0" applyFont="1" applyFill="1" applyAlignment="1" applyProtection="1">
      <alignment horizontal="left" vertical="top" wrapText="1"/>
      <protection locked="0"/>
    </xf>
    <xf numFmtId="0" fontId="41" fillId="0" borderId="95" xfId="0" applyFont="1" applyBorder="1" applyAlignment="1" applyProtection="1">
      <alignment horizontal="center" vertical="center"/>
      <protection locked="0"/>
    </xf>
    <xf numFmtId="0" fontId="41" fillId="0" borderId="96" xfId="0" applyFont="1" applyBorder="1" applyAlignment="1" applyProtection="1">
      <alignment horizontal="center" vertical="center"/>
      <protection locked="0"/>
    </xf>
    <xf numFmtId="0" fontId="41" fillId="0" borderId="97" xfId="0" applyFont="1" applyBorder="1" applyAlignment="1" applyProtection="1">
      <alignment horizontal="center" vertical="center"/>
      <protection locked="0"/>
    </xf>
    <xf numFmtId="0" fontId="41" fillId="0" borderId="98" xfId="0" applyFont="1" applyBorder="1" applyAlignment="1" applyProtection="1">
      <alignment horizontal="center" vertical="center"/>
      <protection locked="0"/>
    </xf>
    <xf numFmtId="0" fontId="41" fillId="0" borderId="99" xfId="0" applyFont="1" applyBorder="1" applyAlignment="1" applyProtection="1">
      <alignment horizontal="center" vertical="center"/>
      <protection locked="0"/>
    </xf>
    <xf numFmtId="0" fontId="41" fillId="0" borderId="100" xfId="0" applyFont="1" applyBorder="1" applyAlignment="1" applyProtection="1">
      <alignment horizontal="center" vertical="center"/>
      <protection locked="0"/>
    </xf>
    <xf numFmtId="0" fontId="41" fillId="0" borderId="95" xfId="0" applyFont="1" applyBorder="1" applyAlignment="1" applyProtection="1">
      <alignment horizontal="center" vertical="center" wrapText="1"/>
      <protection locked="0"/>
    </xf>
    <xf numFmtId="0" fontId="41" fillId="0" borderId="96" xfId="0" applyFont="1" applyBorder="1" applyAlignment="1" applyProtection="1">
      <alignment horizontal="center" vertical="center" wrapText="1"/>
      <protection locked="0"/>
    </xf>
    <xf numFmtId="0" fontId="41" fillId="0" borderId="97" xfId="0" applyFont="1" applyBorder="1" applyAlignment="1" applyProtection="1">
      <alignment horizontal="center" vertical="center" wrapText="1"/>
      <protection locked="0"/>
    </xf>
    <xf numFmtId="0" fontId="41" fillId="0" borderId="98" xfId="0" applyFont="1" applyBorder="1" applyAlignment="1" applyProtection="1">
      <alignment horizontal="center" vertical="center" wrapText="1"/>
      <protection locked="0"/>
    </xf>
    <xf numFmtId="0" fontId="41" fillId="0" borderId="99" xfId="0" applyFont="1" applyBorder="1" applyAlignment="1" applyProtection="1">
      <alignment horizontal="center" vertical="center" wrapText="1"/>
      <protection locked="0"/>
    </xf>
    <xf numFmtId="0" fontId="41" fillId="0" borderId="100" xfId="0" applyFont="1" applyBorder="1" applyAlignment="1" applyProtection="1">
      <alignment horizontal="center" vertical="center" wrapText="1"/>
      <protection locked="0"/>
    </xf>
    <xf numFmtId="0" fontId="72" fillId="15" borderId="101" xfId="0" applyFont="1" applyFill="1" applyBorder="1" applyAlignment="1" applyProtection="1">
      <alignment horizontal="center" vertical="center" textRotation="90" wrapText="1"/>
    </xf>
    <xf numFmtId="0" fontId="72" fillId="15" borderId="0" xfId="0" applyFont="1" applyFill="1" applyBorder="1" applyAlignment="1" applyProtection="1">
      <alignment horizontal="center" vertical="center" textRotation="90" wrapText="1"/>
    </xf>
    <xf numFmtId="0" fontId="41" fillId="13" borderId="0" xfId="0" applyNumberFormat="1" applyFont="1" applyFill="1" applyBorder="1" applyAlignment="1" applyProtection="1">
      <alignment horizontal="left" vertical="center"/>
    </xf>
    <xf numFmtId="0" fontId="42" fillId="3" borderId="95" xfId="0" applyFont="1" applyFill="1" applyBorder="1" applyAlignment="1" applyProtection="1">
      <alignment horizontal="center" vertical="center" wrapText="1"/>
    </xf>
    <xf numFmtId="0" fontId="42" fillId="3" borderId="96" xfId="0" applyFont="1" applyFill="1" applyBorder="1" applyAlignment="1" applyProtection="1">
      <alignment horizontal="center" vertical="center" wrapText="1"/>
    </xf>
    <xf numFmtId="0" fontId="42" fillId="3" borderId="97" xfId="0" applyFont="1" applyFill="1" applyBorder="1" applyAlignment="1" applyProtection="1">
      <alignment horizontal="center" vertical="center" wrapText="1"/>
    </xf>
    <xf numFmtId="0" fontId="42" fillId="3" borderId="101" xfId="0" applyFont="1" applyFill="1" applyBorder="1" applyAlignment="1" applyProtection="1">
      <alignment horizontal="center" vertical="center" wrapText="1"/>
    </xf>
    <xf numFmtId="0" fontId="42" fillId="3" borderId="0" xfId="0" applyFont="1" applyFill="1" applyBorder="1" applyAlignment="1" applyProtection="1">
      <alignment horizontal="center" vertical="center" wrapText="1"/>
    </xf>
    <xf numFmtId="0" fontId="42" fillId="3" borderId="102" xfId="0" applyFont="1" applyFill="1" applyBorder="1" applyAlignment="1" applyProtection="1">
      <alignment horizontal="center" vertical="center" wrapText="1"/>
    </xf>
    <xf numFmtId="0" fontId="42" fillId="3" borderId="98" xfId="0" applyFont="1" applyFill="1" applyBorder="1" applyAlignment="1" applyProtection="1">
      <alignment horizontal="center" vertical="center" wrapText="1"/>
    </xf>
    <xf numFmtId="0" fontId="42" fillId="3" borderId="99" xfId="0" applyFont="1" applyFill="1" applyBorder="1" applyAlignment="1" applyProtection="1">
      <alignment horizontal="center" vertical="center" wrapText="1"/>
    </xf>
    <xf numFmtId="0" fontId="42" fillId="3" borderId="100" xfId="0" applyFont="1" applyFill="1" applyBorder="1" applyAlignment="1" applyProtection="1">
      <alignment horizontal="center" vertical="center" wrapText="1"/>
    </xf>
    <xf numFmtId="0" fontId="75" fillId="0" borderId="101" xfId="0" applyFont="1" applyFill="1" applyBorder="1" applyAlignment="1" applyProtection="1">
      <alignment horizontal="left" vertical="top" wrapText="1"/>
    </xf>
    <xf numFmtId="0" fontId="75" fillId="0" borderId="0" xfId="0" applyFont="1" applyFill="1" applyBorder="1" applyAlignment="1" applyProtection="1">
      <alignment horizontal="left" vertical="top" wrapText="1"/>
    </xf>
    <xf numFmtId="0" fontId="75" fillId="0" borderId="102" xfId="0" applyFont="1" applyFill="1" applyBorder="1" applyAlignment="1" applyProtection="1">
      <alignment horizontal="left" vertical="top" wrapText="1"/>
    </xf>
    <xf numFmtId="0" fontId="75" fillId="0" borderId="98" xfId="0" applyFont="1" applyFill="1" applyBorder="1" applyAlignment="1" applyProtection="1">
      <alignment horizontal="left" vertical="top" wrapText="1"/>
    </xf>
    <xf numFmtId="0" fontId="75" fillId="0" borderId="99" xfId="0" applyFont="1" applyFill="1" applyBorder="1" applyAlignment="1" applyProtection="1">
      <alignment horizontal="left" vertical="top" wrapText="1"/>
    </xf>
    <xf numFmtId="0" fontId="75" fillId="0" borderId="100" xfId="0" applyFont="1" applyFill="1" applyBorder="1" applyAlignment="1" applyProtection="1">
      <alignment horizontal="left" vertical="top" wrapText="1"/>
    </xf>
    <xf numFmtId="0" fontId="77" fillId="0" borderId="0" xfId="0" applyFont="1" applyFill="1" applyBorder="1" applyAlignment="1" applyProtection="1">
      <alignment horizontal="center" vertical="center" wrapText="1"/>
    </xf>
    <xf numFmtId="0" fontId="42" fillId="0" borderId="95" xfId="0" applyFont="1" applyFill="1" applyBorder="1" applyAlignment="1" applyProtection="1">
      <alignment horizontal="center" vertical="center" wrapText="1"/>
    </xf>
    <xf numFmtId="0" fontId="42" fillId="0" borderId="96" xfId="0" applyFont="1" applyFill="1" applyBorder="1" applyAlignment="1" applyProtection="1">
      <alignment horizontal="center" vertical="center" wrapText="1"/>
    </xf>
    <xf numFmtId="0" fontId="75" fillId="0" borderId="101" xfId="0" applyFont="1" applyFill="1" applyBorder="1" applyAlignment="1" applyProtection="1">
      <alignment horizontal="center" vertical="center" wrapText="1"/>
    </xf>
    <xf numFmtId="0" fontId="75" fillId="0" borderId="0" xfId="0" applyFont="1" applyFill="1" applyBorder="1" applyAlignment="1" applyProtection="1">
      <alignment horizontal="center" vertical="center" wrapText="1"/>
    </xf>
    <xf numFmtId="0" fontId="42" fillId="0" borderId="0" xfId="0" applyFont="1" applyFill="1" applyBorder="1" applyAlignment="1" applyProtection="1">
      <alignment horizontal="center" vertical="center" wrapText="1"/>
    </xf>
    <xf numFmtId="0" fontId="75" fillId="0" borderId="102" xfId="0" applyFont="1" applyFill="1" applyBorder="1" applyAlignment="1" applyProtection="1">
      <alignment horizontal="center" vertical="center" wrapText="1"/>
    </xf>
    <xf numFmtId="0" fontId="42" fillId="0" borderId="97" xfId="0" applyFont="1" applyFill="1" applyBorder="1" applyAlignment="1" applyProtection="1">
      <alignment horizontal="center" vertical="center" wrapText="1"/>
    </xf>
    <xf numFmtId="0" fontId="147" fillId="13" borderId="218" xfId="2" applyFont="1" applyFill="1" applyBorder="1" applyAlignment="1">
      <alignment horizontal="center" vertical="center"/>
    </xf>
    <xf numFmtId="0" fontId="59" fillId="81" borderId="222" xfId="0" applyFont="1" applyFill="1" applyBorder="1" applyAlignment="1">
      <alignment horizontal="left" vertical="center" wrapText="1"/>
    </xf>
    <xf numFmtId="0" fontId="59" fillId="81" borderId="0" xfId="0" applyFont="1" applyFill="1" applyBorder="1" applyAlignment="1">
      <alignment horizontal="left" vertical="center" wrapText="1"/>
    </xf>
    <xf numFmtId="0" fontId="59" fillId="81" borderId="223" xfId="0" applyFont="1" applyFill="1" applyBorder="1" applyAlignment="1">
      <alignment horizontal="left" vertical="center" wrapText="1"/>
    </xf>
    <xf numFmtId="0" fontId="150" fillId="82" borderId="222" xfId="0" applyFont="1" applyFill="1" applyBorder="1" applyAlignment="1">
      <alignment horizontal="left" vertical="center"/>
    </xf>
    <xf numFmtId="0" fontId="150" fillId="82" borderId="0" xfId="0" applyFont="1" applyFill="1" applyBorder="1" applyAlignment="1">
      <alignment horizontal="left" vertical="center"/>
    </xf>
    <xf numFmtId="0" fontId="150" fillId="82" borderId="223" xfId="0" applyFont="1" applyFill="1" applyBorder="1" applyAlignment="1">
      <alignment horizontal="left" vertical="center"/>
    </xf>
    <xf numFmtId="0" fontId="59" fillId="81" borderId="222" xfId="0" applyNumberFormat="1" applyFont="1" applyFill="1" applyBorder="1" applyAlignment="1">
      <alignment horizontal="left" vertical="center" wrapText="1"/>
    </xf>
    <xf numFmtId="0" fontId="59" fillId="81" borderId="0" xfId="0" applyNumberFormat="1" applyFont="1" applyFill="1" applyBorder="1" applyAlignment="1">
      <alignment horizontal="left" vertical="center" wrapText="1"/>
    </xf>
    <xf numFmtId="0" fontId="59" fillId="81" borderId="223" xfId="0" applyNumberFormat="1" applyFont="1" applyFill="1" applyBorder="1" applyAlignment="1">
      <alignment horizontal="left" vertical="center" wrapText="1"/>
    </xf>
    <xf numFmtId="0" fontId="59" fillId="81" borderId="224" xfId="0" applyNumberFormat="1" applyFont="1" applyFill="1" applyBorder="1" applyAlignment="1">
      <alignment horizontal="left" vertical="center" wrapText="1"/>
    </xf>
    <xf numFmtId="0" fontId="59" fillId="81" borderId="225" xfId="0" applyNumberFormat="1" applyFont="1" applyFill="1" applyBorder="1" applyAlignment="1">
      <alignment horizontal="left" vertical="center" wrapText="1"/>
    </xf>
    <xf numFmtId="0" fontId="59" fillId="81" borderId="226" xfId="0" applyNumberFormat="1" applyFont="1" applyFill="1" applyBorder="1" applyAlignment="1">
      <alignment horizontal="left" vertical="center" wrapText="1"/>
    </xf>
    <xf numFmtId="0" fontId="59" fillId="82" borderId="227" xfId="0" applyFont="1" applyFill="1" applyBorder="1" applyAlignment="1">
      <alignment horizontal="left" vertical="center"/>
    </xf>
    <xf numFmtId="0" fontId="59" fillId="82" borderId="228" xfId="0" applyFont="1" applyFill="1" applyBorder="1" applyAlignment="1">
      <alignment horizontal="left" vertical="center"/>
    </xf>
    <xf numFmtId="0" fontId="59" fillId="82" borderId="229" xfId="0" applyFont="1" applyFill="1" applyBorder="1" applyAlignment="1">
      <alignment horizontal="left" vertical="center"/>
    </xf>
    <xf numFmtId="0" fontId="59" fillId="13" borderId="227" xfId="0" applyNumberFormat="1" applyFont="1" applyFill="1" applyBorder="1" applyAlignment="1" applyProtection="1">
      <alignment horizontal="left" vertical="top" wrapText="1"/>
      <protection locked="0"/>
    </xf>
    <xf numFmtId="0" fontId="59" fillId="13" borderId="228" xfId="0" applyNumberFormat="1" applyFont="1" applyFill="1" applyBorder="1" applyAlignment="1" applyProtection="1">
      <alignment horizontal="left" vertical="top" wrapText="1"/>
      <protection locked="0"/>
    </xf>
    <xf numFmtId="0" fontId="59" fillId="13" borderId="229" xfId="0" applyNumberFormat="1" applyFont="1" applyFill="1" applyBorder="1" applyAlignment="1" applyProtection="1">
      <alignment horizontal="left" vertical="top" wrapText="1"/>
      <protection locked="0"/>
    </xf>
    <xf numFmtId="0" fontId="0" fillId="0" borderId="218" xfId="0" applyBorder="1" applyAlignment="1" applyProtection="1">
      <alignment horizontal="left"/>
      <protection locked="0"/>
    </xf>
    <xf numFmtId="0" fontId="154" fillId="0" borderId="218" xfId="0" applyNumberFormat="1" applyFont="1" applyBorder="1" applyAlignment="1" applyProtection="1">
      <alignment horizontal="left" vertical="center"/>
      <protection locked="0"/>
    </xf>
    <xf numFmtId="0" fontId="4" fillId="0" borderId="218" xfId="0" applyNumberFormat="1" applyFont="1" applyBorder="1" applyAlignment="1" applyProtection="1">
      <alignment horizontal="left" vertical="center"/>
      <protection locked="0"/>
    </xf>
    <xf numFmtId="0" fontId="146" fillId="13" borderId="218" xfId="2" applyNumberFormat="1" applyFont="1" applyFill="1" applyBorder="1" applyAlignment="1">
      <alignment horizontal="left" vertical="center"/>
    </xf>
    <xf numFmtId="0" fontId="146" fillId="13" borderId="218" xfId="0" applyFont="1" applyFill="1" applyBorder="1" applyAlignment="1" applyProtection="1">
      <alignment horizontal="left"/>
    </xf>
    <xf numFmtId="0" fontId="4" fillId="0" borderId="218" xfId="0" applyFont="1" applyBorder="1" applyAlignment="1" applyProtection="1">
      <alignment horizontal="left" vertical="center"/>
      <protection locked="0"/>
    </xf>
    <xf numFmtId="0" fontId="0" fillId="0" borderId="0" xfId="0" applyBorder="1" applyAlignment="1">
      <alignment horizontal="center"/>
    </xf>
    <xf numFmtId="0" fontId="155" fillId="0" borderId="218" xfId="0" applyFont="1" applyBorder="1" applyAlignment="1" applyProtection="1">
      <alignment horizontal="left" vertical="center" wrapText="1"/>
      <protection locked="0"/>
    </xf>
    <xf numFmtId="0" fontId="2" fillId="0" borderId="218" xfId="0" applyFont="1" applyBorder="1" applyAlignment="1" applyProtection="1">
      <alignment horizontal="left" vertical="center" wrapText="1"/>
      <protection locked="0"/>
    </xf>
    <xf numFmtId="0" fontId="59" fillId="82" borderId="222" xfId="0" applyFont="1" applyFill="1" applyBorder="1" applyAlignment="1">
      <alignment horizontal="left" vertical="center"/>
    </xf>
    <xf numFmtId="0" fontId="59" fillId="82" borderId="0" xfId="0" applyFont="1" applyFill="1" applyBorder="1" applyAlignment="1">
      <alignment horizontal="left" vertical="center"/>
    </xf>
    <xf numFmtId="0" fontId="59" fillId="82" borderId="223" xfId="0" applyFont="1" applyFill="1" applyBorder="1" applyAlignment="1">
      <alignment horizontal="left" vertical="center"/>
    </xf>
    <xf numFmtId="0" fontId="59" fillId="13" borderId="38" xfId="0" applyNumberFormat="1" applyFont="1" applyFill="1" applyBorder="1" applyAlignment="1" applyProtection="1">
      <alignment horizontal="left" vertical="top" wrapText="1"/>
      <protection locked="0"/>
    </xf>
    <xf numFmtId="0" fontId="35" fillId="13" borderId="220" xfId="0" applyFont="1" applyFill="1" applyBorder="1" applyAlignment="1">
      <alignment vertical="center" wrapText="1"/>
    </xf>
    <xf numFmtId="0" fontId="35" fillId="13" borderId="221" xfId="0" applyFont="1" applyFill="1" applyBorder="1" applyAlignment="1">
      <alignment vertical="center" wrapText="1"/>
    </xf>
    <xf numFmtId="0" fontId="149" fillId="13" borderId="220" xfId="0" applyFont="1" applyFill="1" applyBorder="1" applyAlignment="1">
      <alignment vertical="center" wrapText="1"/>
    </xf>
    <xf numFmtId="0" fontId="149" fillId="13" borderId="221" xfId="0" applyFont="1" applyFill="1" applyBorder="1" applyAlignment="1">
      <alignment vertical="center" wrapText="1"/>
    </xf>
    <xf numFmtId="0" fontId="146" fillId="13" borderId="218" xfId="2" applyFont="1" applyFill="1" applyBorder="1" applyAlignment="1">
      <alignment horizontal="left" vertical="center"/>
    </xf>
    <xf numFmtId="0" fontId="143" fillId="13" borderId="119" xfId="0" applyFont="1" applyFill="1" applyBorder="1" applyAlignment="1" applyProtection="1">
      <alignment horizontal="center" vertical="top" wrapText="1"/>
    </xf>
    <xf numFmtId="0" fontId="143" fillId="13" borderId="190" xfId="0" applyFont="1" applyFill="1" applyBorder="1" applyAlignment="1" applyProtection="1">
      <alignment horizontal="center" vertical="top" wrapText="1"/>
    </xf>
    <xf numFmtId="0" fontId="143" fillId="13" borderId="122" xfId="0" applyFont="1" applyFill="1" applyBorder="1" applyAlignment="1" applyProtection="1">
      <alignment horizontal="center" vertical="top" wrapText="1"/>
    </xf>
    <xf numFmtId="0" fontId="144" fillId="15" borderId="118" xfId="0" applyFont="1" applyFill="1" applyBorder="1" applyAlignment="1" applyProtection="1">
      <alignment horizontal="left" vertical="center" wrapText="1"/>
    </xf>
    <xf numFmtId="0" fontId="3" fillId="53" borderId="118" xfId="0" applyFont="1" applyFill="1" applyBorder="1" applyAlignment="1">
      <alignment horizontal="center" vertical="center"/>
    </xf>
    <xf numFmtId="0" fontId="121" fillId="52" borderId="118" xfId="0" applyFont="1" applyFill="1" applyBorder="1" applyAlignment="1">
      <alignment horizontal="center"/>
    </xf>
    <xf numFmtId="0" fontId="143" fillId="13" borderId="118" xfId="0" applyFont="1" applyFill="1" applyBorder="1" applyAlignment="1" applyProtection="1">
      <alignment horizontal="left" vertical="top" wrapText="1"/>
    </xf>
    <xf numFmtId="0" fontId="143" fillId="13" borderId="118" xfId="0" applyFont="1" applyFill="1" applyBorder="1" applyAlignment="1">
      <alignment horizontal="left" vertical="top" wrapText="1"/>
    </xf>
    <xf numFmtId="0" fontId="3" fillId="67" borderId="118" xfId="0" applyFont="1" applyFill="1" applyBorder="1" applyAlignment="1">
      <alignment horizontal="center" vertical="center"/>
    </xf>
    <xf numFmtId="0" fontId="143" fillId="13" borderId="119" xfId="0" applyFont="1" applyFill="1" applyBorder="1" applyAlignment="1" applyProtection="1">
      <alignment horizontal="left" vertical="top" wrapText="1"/>
    </xf>
    <xf numFmtId="0" fontId="143" fillId="13" borderId="190" xfId="0" applyFont="1" applyFill="1" applyBorder="1" applyAlignment="1" applyProtection="1">
      <alignment horizontal="left" vertical="top" wrapText="1"/>
    </xf>
    <xf numFmtId="0" fontId="143" fillId="13" borderId="122" xfId="0" applyFont="1" applyFill="1" applyBorder="1" applyAlignment="1" applyProtection="1">
      <alignment horizontal="left" vertical="top" wrapText="1"/>
    </xf>
    <xf numFmtId="0" fontId="3" fillId="46" borderId="118" xfId="0" applyFont="1" applyFill="1" applyBorder="1" applyAlignment="1">
      <alignment horizontal="center" vertical="center"/>
    </xf>
    <xf numFmtId="0" fontId="122" fillId="45" borderId="118" xfId="0" applyFont="1" applyFill="1" applyBorder="1" applyAlignment="1">
      <alignment horizontal="center" vertical="center"/>
    </xf>
    <xf numFmtId="0" fontId="16" fillId="13" borderId="0" xfId="0" applyFont="1" applyFill="1" applyBorder="1" applyAlignment="1">
      <alignment horizontal="left" vertical="center"/>
    </xf>
    <xf numFmtId="0" fontId="29" fillId="13" borderId="0" xfId="0" applyFont="1" applyFill="1" applyBorder="1" applyAlignment="1" applyProtection="1">
      <alignment horizontal="left" vertical="center"/>
      <protection locked="0"/>
    </xf>
    <xf numFmtId="0" fontId="16" fillId="13" borderId="0" xfId="0" applyFont="1" applyFill="1" applyBorder="1" applyAlignment="1" applyProtection="1">
      <alignment horizontal="left" vertical="center"/>
    </xf>
    <xf numFmtId="49" fontId="29" fillId="13" borderId="0" xfId="0" applyNumberFormat="1" applyFont="1" applyFill="1" applyBorder="1" applyAlignment="1" applyProtection="1">
      <alignment horizontal="left" vertical="center"/>
      <protection locked="0"/>
    </xf>
    <xf numFmtId="0" fontId="29" fillId="0" borderId="0" xfId="0" applyFont="1" applyBorder="1" applyAlignment="1" applyProtection="1">
      <alignment horizontal="center" vertical="center"/>
    </xf>
    <xf numFmtId="0" fontId="3" fillId="60" borderId="118" xfId="0" applyFont="1" applyFill="1" applyBorder="1" applyAlignment="1">
      <alignment horizontal="center" vertical="center"/>
    </xf>
    <xf numFmtId="0" fontId="121" fillId="59" borderId="118" xfId="0" applyFont="1" applyFill="1" applyBorder="1" applyAlignment="1">
      <alignment horizontal="center"/>
    </xf>
    <xf numFmtId="0" fontId="121" fillId="66" borderId="118" xfId="0" applyFont="1" applyFill="1" applyBorder="1" applyAlignment="1">
      <alignment horizontal="center" vertical="center"/>
    </xf>
    <xf numFmtId="0" fontId="162" fillId="0" borderId="231" xfId="0" applyFont="1" applyBorder="1" applyAlignment="1" applyProtection="1">
      <alignment horizontal="center" vertical="center"/>
      <protection locked="0"/>
    </xf>
    <xf numFmtId="0" fontId="159" fillId="66" borderId="231" xfId="0" applyFont="1" applyFill="1" applyBorder="1" applyAlignment="1" applyProtection="1">
      <alignment horizontal="center" vertical="center" wrapText="1"/>
    </xf>
    <xf numFmtId="0" fontId="159" fillId="59" borderId="231" xfId="0" applyFont="1" applyFill="1" applyBorder="1" applyAlignment="1" applyProtection="1">
      <alignment horizontal="center" vertical="center" wrapText="1"/>
    </xf>
    <xf numFmtId="0" fontId="159" fillId="52" borderId="231" xfId="0" applyFont="1" applyFill="1" applyBorder="1" applyAlignment="1" applyProtection="1">
      <alignment horizontal="center" vertical="center" wrapText="1"/>
    </xf>
    <xf numFmtId="0" fontId="159" fillId="87" borderId="231" xfId="0" applyFont="1" applyFill="1" applyBorder="1" applyAlignment="1">
      <alignment horizontal="center" vertical="center" wrapText="1"/>
    </xf>
    <xf numFmtId="0" fontId="62" fillId="0" borderId="231" xfId="0" applyFont="1" applyBorder="1" applyAlignment="1" applyProtection="1">
      <alignment horizontal="center" vertical="center"/>
      <protection locked="0"/>
    </xf>
    <xf numFmtId="0" fontId="160" fillId="0" borderId="231" xfId="0" applyFont="1" applyBorder="1" applyAlignment="1">
      <alignment horizontal="left" vertical="center" wrapText="1"/>
    </xf>
    <xf numFmtId="0" fontId="51" fillId="0" borderId="231" xfId="0" applyFont="1" applyBorder="1" applyAlignment="1" applyProtection="1">
      <alignment horizontal="center" vertical="center"/>
      <protection locked="0"/>
    </xf>
    <xf numFmtId="0" fontId="161" fillId="0" borderId="231" xfId="0" applyFont="1" applyBorder="1" applyAlignment="1" applyProtection="1">
      <alignment horizontal="center" vertical="center"/>
      <protection locked="0"/>
    </xf>
    <xf numFmtId="0" fontId="128" fillId="13" borderId="129" xfId="0" applyFont="1" applyFill="1" applyBorder="1" applyAlignment="1">
      <alignment horizontal="left" vertical="center" wrapText="1"/>
    </xf>
    <xf numFmtId="0" fontId="115" fillId="0" borderId="129" xfId="0" applyFont="1" applyBorder="1" applyAlignment="1" applyProtection="1">
      <alignment horizontal="center" vertical="center"/>
      <protection locked="0"/>
    </xf>
    <xf numFmtId="0" fontId="63" fillId="13" borderId="16" xfId="0" applyFont="1" applyFill="1" applyBorder="1" applyAlignment="1">
      <alignment horizontal="center"/>
    </xf>
    <xf numFmtId="0" fontId="63" fillId="13" borderId="37" xfId="0" applyFont="1" applyFill="1" applyBorder="1" applyAlignment="1">
      <alignment horizontal="center"/>
    </xf>
    <xf numFmtId="0" fontId="63" fillId="13" borderId="40" xfId="0" applyFont="1" applyFill="1" applyBorder="1" applyAlignment="1">
      <alignment horizontal="center"/>
    </xf>
    <xf numFmtId="0" fontId="63" fillId="13" borderId="17" xfId="0" applyFont="1" applyFill="1" applyBorder="1" applyAlignment="1">
      <alignment horizontal="center"/>
    </xf>
    <xf numFmtId="0" fontId="63" fillId="13" borderId="0" xfId="0" applyFont="1" applyFill="1" applyBorder="1" applyAlignment="1">
      <alignment horizontal="center"/>
    </xf>
    <xf numFmtId="0" fontId="63" fillId="13" borderId="29" xfId="0" applyFont="1" applyFill="1" applyBorder="1" applyAlignment="1">
      <alignment horizontal="center"/>
    </xf>
    <xf numFmtId="0" fontId="65" fillId="0" borderId="57" xfId="0" applyFont="1" applyBorder="1" applyAlignment="1" applyProtection="1">
      <alignment horizontal="center" vertical="center"/>
      <protection locked="0"/>
    </xf>
    <xf numFmtId="2" fontId="65" fillId="0" borderId="47" xfId="0" applyNumberFormat="1" applyFont="1" applyBorder="1" applyAlignment="1" applyProtection="1">
      <alignment horizontal="center" vertical="center"/>
      <protection locked="0"/>
    </xf>
    <xf numFmtId="2" fontId="65" fillId="0" borderId="57" xfId="0" applyNumberFormat="1" applyFont="1" applyBorder="1" applyAlignment="1" applyProtection="1">
      <alignment horizontal="center" vertical="center"/>
      <protection locked="0"/>
    </xf>
    <xf numFmtId="2" fontId="65" fillId="0" borderId="59" xfId="0" applyNumberFormat="1" applyFont="1" applyBorder="1" applyAlignment="1" applyProtection="1">
      <alignment horizontal="center" vertical="center"/>
      <protection locked="0"/>
    </xf>
    <xf numFmtId="2" fontId="65" fillId="0" borderId="60" xfId="0" applyNumberFormat="1" applyFont="1" applyBorder="1" applyAlignment="1" applyProtection="1">
      <alignment horizontal="center" vertical="center"/>
      <protection locked="0"/>
    </xf>
    <xf numFmtId="2" fontId="43" fillId="0" borderId="9" xfId="0" applyNumberFormat="1" applyFont="1" applyBorder="1" applyAlignment="1" applyProtection="1">
      <alignment horizontal="center" vertical="center"/>
    </xf>
    <xf numFmtId="0" fontId="43" fillId="0" borderId="9" xfId="0" applyFont="1" applyBorder="1" applyAlignment="1" applyProtection="1">
      <alignment horizontal="center" vertical="center"/>
    </xf>
    <xf numFmtId="0" fontId="40" fillId="0" borderId="10" xfId="0" applyFont="1" applyBorder="1" applyAlignment="1" applyProtection="1">
      <alignment horizontal="center" vertical="center" wrapText="1"/>
    </xf>
    <xf numFmtId="0" fontId="40" fillId="0" borderId="11" xfId="0" applyFont="1" applyBorder="1" applyAlignment="1" applyProtection="1">
      <alignment horizontal="center" vertical="center" wrapText="1"/>
    </xf>
    <xf numFmtId="0" fontId="40" fillId="0" borderId="12" xfId="0" applyFont="1" applyBorder="1" applyAlignment="1" applyProtection="1">
      <alignment horizontal="center" vertical="center" wrapText="1"/>
    </xf>
    <xf numFmtId="0" fontId="65" fillId="0" borderId="47" xfId="0" applyFont="1" applyBorder="1" applyAlignment="1" applyProtection="1">
      <alignment horizontal="center" vertical="center"/>
      <protection locked="0"/>
    </xf>
    <xf numFmtId="0" fontId="65" fillId="0" borderId="59" xfId="0" applyFont="1" applyBorder="1" applyAlignment="1" applyProtection="1">
      <alignment horizontal="center" vertical="center"/>
      <protection locked="0"/>
    </xf>
    <xf numFmtId="0" fontId="65" fillId="0" borderId="60" xfId="0" applyFont="1" applyBorder="1" applyAlignment="1" applyProtection="1">
      <alignment horizontal="center" vertical="center"/>
      <protection locked="0"/>
    </xf>
    <xf numFmtId="0" fontId="48" fillId="22" borderId="0" xfId="0" applyFont="1" applyFill="1" applyBorder="1" applyAlignment="1" applyProtection="1">
      <alignment horizontal="center" vertical="center"/>
    </xf>
    <xf numFmtId="0" fontId="48" fillId="22" borderId="29" xfId="0" applyFont="1" applyFill="1" applyBorder="1" applyAlignment="1" applyProtection="1">
      <alignment horizontal="center" vertical="center"/>
    </xf>
    <xf numFmtId="0" fontId="136" fillId="66" borderId="199" xfId="0" applyFont="1" applyFill="1" applyBorder="1" applyAlignment="1" applyProtection="1">
      <alignment horizontal="center" vertical="center" wrapText="1"/>
    </xf>
    <xf numFmtId="0" fontId="136" fillId="66" borderId="202" xfId="0" applyFont="1" applyFill="1" applyBorder="1" applyAlignment="1" applyProtection="1">
      <alignment horizontal="center" vertical="center" wrapText="1"/>
    </xf>
    <xf numFmtId="0" fontId="48" fillId="28" borderId="53" xfId="0" applyFont="1" applyFill="1" applyBorder="1" applyAlignment="1" applyProtection="1">
      <alignment horizontal="center" vertical="center"/>
    </xf>
    <xf numFmtId="0" fontId="48" fillId="28" borderId="54" xfId="0" applyFont="1" applyFill="1" applyBorder="1" applyAlignment="1" applyProtection="1">
      <alignment horizontal="center" vertical="center"/>
    </xf>
    <xf numFmtId="0" fontId="48" fillId="27" borderId="78" xfId="0" applyFont="1" applyFill="1" applyBorder="1" applyAlignment="1" applyProtection="1">
      <alignment horizontal="center" vertical="center"/>
    </xf>
    <xf numFmtId="0" fontId="48" fillId="27" borderId="52" xfId="0" applyFont="1" applyFill="1" applyBorder="1" applyAlignment="1" applyProtection="1">
      <alignment horizontal="center" vertical="center"/>
    </xf>
    <xf numFmtId="0" fontId="48" fillId="27" borderId="64" xfId="0" applyFont="1" applyFill="1" applyBorder="1" applyAlignment="1" applyProtection="1">
      <alignment horizontal="center" vertical="center"/>
    </xf>
    <xf numFmtId="0" fontId="136" fillId="45" borderId="129" xfId="0" applyFont="1" applyFill="1" applyBorder="1" applyAlignment="1" applyProtection="1">
      <alignment horizontal="center" vertical="center" wrapText="1"/>
    </xf>
    <xf numFmtId="0" fontId="44" fillId="0" borderId="0" xfId="0" applyFont="1" applyFill="1" applyBorder="1" applyAlignment="1">
      <alignment horizontal="center" vertical="top" wrapText="1"/>
    </xf>
    <xf numFmtId="0" fontId="44" fillId="0" borderId="29" xfId="0" applyFont="1" applyFill="1" applyBorder="1" applyAlignment="1">
      <alignment horizontal="center" vertical="top" wrapText="1"/>
    </xf>
    <xf numFmtId="0" fontId="44" fillId="0" borderId="22" xfId="0" applyFont="1" applyFill="1" applyBorder="1" applyAlignment="1">
      <alignment horizontal="center" vertical="top" wrapText="1"/>
    </xf>
    <xf numFmtId="0" fontId="44" fillId="0" borderId="30" xfId="0" applyFont="1" applyFill="1" applyBorder="1" applyAlignment="1">
      <alignment horizontal="center" vertical="top" wrapText="1"/>
    </xf>
    <xf numFmtId="0" fontId="65" fillId="0" borderId="0" xfId="0" applyFont="1" applyBorder="1" applyAlignment="1">
      <alignment horizontal="left" vertical="center" wrapText="1" indent="1"/>
    </xf>
    <xf numFmtId="0" fontId="65" fillId="0" borderId="29" xfId="0" applyFont="1" applyBorder="1" applyAlignment="1">
      <alignment horizontal="left" vertical="center" wrapText="1" indent="1"/>
    </xf>
    <xf numFmtId="0" fontId="65" fillId="0" borderId="22" xfId="0" applyFont="1" applyBorder="1" applyAlignment="1">
      <alignment horizontal="left" vertical="center" wrapText="1" indent="1"/>
    </xf>
    <xf numFmtId="0" fontId="65" fillId="0" borderId="30" xfId="0" applyFont="1" applyBorder="1" applyAlignment="1">
      <alignment horizontal="left" vertical="center" wrapText="1" indent="1"/>
    </xf>
    <xf numFmtId="0" fontId="16" fillId="13" borderId="0" xfId="0" applyFont="1" applyFill="1" applyBorder="1" applyAlignment="1">
      <alignment horizontal="center" vertical="top" wrapText="1"/>
    </xf>
    <xf numFmtId="0" fontId="16" fillId="13" borderId="79" xfId="0" applyFont="1" applyFill="1" applyBorder="1" applyAlignment="1">
      <alignment horizontal="center" vertical="top" wrapText="1"/>
    </xf>
    <xf numFmtId="0" fontId="65" fillId="0" borderId="72" xfId="0" applyFont="1" applyBorder="1" applyAlignment="1" applyProtection="1">
      <alignment horizontal="center" vertical="center"/>
      <protection locked="0"/>
    </xf>
    <xf numFmtId="0" fontId="65" fillId="0" borderId="37" xfId="0" applyFont="1" applyBorder="1" applyAlignment="1" applyProtection="1">
      <alignment horizontal="center" vertical="center"/>
      <protection locked="0"/>
    </xf>
    <xf numFmtId="0" fontId="65" fillId="0" borderId="40" xfId="0" applyFont="1" applyBorder="1" applyAlignment="1" applyProtection="1">
      <alignment horizontal="center" vertical="center"/>
      <protection locked="0"/>
    </xf>
    <xf numFmtId="0" fontId="65" fillId="0" borderId="73" xfId="0" applyFont="1" applyBorder="1" applyAlignment="1" applyProtection="1">
      <alignment horizontal="center" vertical="center"/>
      <protection locked="0"/>
    </xf>
    <xf numFmtId="0" fontId="65" fillId="0" borderId="22" xfId="0" applyFont="1" applyBorder="1" applyAlignment="1" applyProtection="1">
      <alignment horizontal="center" vertical="center"/>
      <protection locked="0"/>
    </xf>
    <xf numFmtId="0" fontId="65" fillId="0" borderId="30" xfId="0" applyFont="1" applyBorder="1" applyAlignment="1" applyProtection="1">
      <alignment horizontal="center" vertical="center"/>
      <protection locked="0"/>
    </xf>
    <xf numFmtId="0" fontId="48" fillId="28" borderId="61" xfId="0" applyFont="1" applyFill="1" applyBorder="1" applyAlignment="1" applyProtection="1">
      <alignment horizontal="center" vertical="center"/>
    </xf>
    <xf numFmtId="0" fontId="48" fillId="28" borderId="62" xfId="0" applyFont="1" applyFill="1" applyBorder="1" applyAlignment="1" applyProtection="1">
      <alignment horizontal="center" vertical="center"/>
    </xf>
    <xf numFmtId="0" fontId="48" fillId="28" borderId="63" xfId="0" applyFont="1" applyFill="1" applyBorder="1" applyAlignment="1" applyProtection="1">
      <alignment horizontal="center" vertical="center"/>
    </xf>
    <xf numFmtId="0" fontId="65" fillId="0" borderId="16" xfId="0" applyFont="1" applyBorder="1" applyAlignment="1">
      <alignment horizontal="left" vertical="center" indent="1"/>
    </xf>
    <xf numFmtId="0" fontId="65" fillId="0" borderId="37" xfId="0" applyFont="1" applyBorder="1" applyAlignment="1">
      <alignment horizontal="left" vertical="center" indent="1"/>
    </xf>
    <xf numFmtId="0" fontId="65" fillId="0" borderId="74" xfId="0" applyFont="1" applyBorder="1" applyAlignment="1">
      <alignment horizontal="left" vertical="center" indent="1"/>
    </xf>
    <xf numFmtId="0" fontId="65" fillId="0" borderId="18" xfId="0" applyFont="1" applyBorder="1" applyAlignment="1">
      <alignment horizontal="left" vertical="center" indent="1"/>
    </xf>
    <xf numFmtId="0" fontId="65" fillId="0" borderId="22" xfId="0" applyFont="1" applyBorder="1" applyAlignment="1">
      <alignment horizontal="left" vertical="center" indent="1"/>
    </xf>
    <xf numFmtId="0" fontId="65" fillId="0" borderId="67" xfId="0" applyFont="1" applyBorder="1" applyAlignment="1">
      <alignment horizontal="left" vertical="center" indent="1"/>
    </xf>
    <xf numFmtId="0" fontId="113" fillId="0" borderId="129" xfId="0" applyFont="1" applyBorder="1" applyAlignment="1" applyProtection="1">
      <alignment horizontal="center" vertical="center"/>
      <protection locked="0"/>
    </xf>
    <xf numFmtId="0" fontId="65" fillId="0" borderId="53" xfId="0" applyFont="1" applyBorder="1" applyAlignment="1">
      <alignment horizontal="left" vertical="center" wrapText="1" indent="1"/>
    </xf>
    <xf numFmtId="0" fontId="65" fillId="0" borderId="54" xfId="0" applyFont="1" applyBorder="1" applyAlignment="1">
      <alignment horizontal="left" vertical="center" wrapText="1" indent="1"/>
    </xf>
    <xf numFmtId="0" fontId="65" fillId="0" borderId="58" xfId="0" applyFont="1" applyBorder="1" applyAlignment="1">
      <alignment horizontal="left" vertical="center" wrapText="1" indent="1"/>
    </xf>
    <xf numFmtId="0" fontId="65" fillId="0" borderId="59" xfId="0" applyFont="1" applyBorder="1" applyAlignment="1">
      <alignment horizontal="left" vertical="center" wrapText="1" indent="1"/>
    </xf>
    <xf numFmtId="0" fontId="136" fillId="59" borderId="214" xfId="0" applyFont="1" applyFill="1" applyBorder="1" applyAlignment="1" applyProtection="1">
      <alignment horizontal="center" vertical="center" wrapText="1"/>
    </xf>
    <xf numFmtId="0" fontId="136" fillId="59" borderId="215" xfId="0" applyFont="1" applyFill="1" applyBorder="1" applyAlignment="1" applyProtection="1">
      <alignment horizontal="center" vertical="center" wrapText="1"/>
    </xf>
    <xf numFmtId="0" fontId="136" fillId="59" borderId="216" xfId="0" applyFont="1" applyFill="1" applyBorder="1" applyAlignment="1" applyProtection="1">
      <alignment horizontal="center" vertical="center" wrapText="1"/>
    </xf>
    <xf numFmtId="0" fontId="114" fillId="0" borderId="129" xfId="0" applyFont="1" applyBorder="1" applyAlignment="1" applyProtection="1">
      <alignment horizontal="center" vertical="center"/>
      <protection locked="0"/>
    </xf>
    <xf numFmtId="0" fontId="59" fillId="0" borderId="82" xfId="0" applyFont="1" applyBorder="1" applyAlignment="1">
      <alignment horizontal="center" vertical="top" wrapText="1"/>
    </xf>
    <xf numFmtId="0" fontId="133" fillId="59" borderId="61" xfId="0" applyFont="1" applyFill="1" applyBorder="1" applyAlignment="1" applyProtection="1">
      <alignment horizontal="center" vertical="center" wrapText="1"/>
    </xf>
    <xf numFmtId="0" fontId="133" fillId="59" borderId="62" xfId="0" applyFont="1" applyFill="1" applyBorder="1" applyAlignment="1" applyProtection="1">
      <alignment horizontal="center" vertical="center" wrapText="1"/>
    </xf>
    <xf numFmtId="0" fontId="133" fillId="59" borderId="217" xfId="0" applyFont="1" applyFill="1" applyBorder="1" applyAlignment="1" applyProtection="1">
      <alignment horizontal="center" vertical="center" wrapText="1"/>
    </xf>
    <xf numFmtId="0" fontId="133" fillId="66" borderId="66" xfId="0" applyFont="1" applyFill="1" applyBorder="1" applyAlignment="1" applyProtection="1">
      <alignment horizontal="center" vertical="center" wrapText="1"/>
    </xf>
    <xf numFmtId="0" fontId="133" fillId="66" borderId="50" xfId="0" applyFont="1" applyFill="1" applyBorder="1" applyAlignment="1" applyProtection="1">
      <alignment horizontal="center" vertical="center" wrapText="1"/>
    </xf>
    <xf numFmtId="0" fontId="59" fillId="0" borderId="86" xfId="0" applyFont="1" applyBorder="1" applyAlignment="1">
      <alignment horizontal="center" vertical="top" wrapText="1"/>
    </xf>
    <xf numFmtId="0" fontId="59" fillId="0" borderId="87" xfId="0" applyFont="1" applyBorder="1" applyAlignment="1">
      <alignment horizontal="center" vertical="top" wrapText="1"/>
    </xf>
    <xf numFmtId="0" fontId="58" fillId="0" borderId="0" xfId="0" applyFont="1" applyFill="1" applyBorder="1" applyAlignment="1">
      <alignment horizontal="center" vertical="center" wrapText="1"/>
    </xf>
    <xf numFmtId="0" fontId="58" fillId="2" borderId="2" xfId="0" applyFont="1" applyFill="1" applyBorder="1" applyAlignment="1">
      <alignment horizontal="center" vertical="center" wrapText="1"/>
    </xf>
    <xf numFmtId="0" fontId="58" fillId="2" borderId="8" xfId="0" applyFont="1" applyFill="1" applyBorder="1" applyAlignment="1">
      <alignment horizontal="center" vertical="center" wrapText="1"/>
    </xf>
    <xf numFmtId="0" fontId="59" fillId="0" borderId="0" xfId="0" applyFont="1" applyFill="1" applyBorder="1" applyAlignment="1">
      <alignment horizontal="center" vertical="top" wrapText="1"/>
    </xf>
    <xf numFmtId="0" fontId="58" fillId="2" borderId="76" xfId="0" applyFont="1" applyFill="1" applyBorder="1" applyAlignment="1">
      <alignment horizontal="center" vertical="center" wrapText="1"/>
    </xf>
    <xf numFmtId="0" fontId="58" fillId="2" borderId="77" xfId="0" applyFont="1" applyFill="1" applyBorder="1" applyAlignment="1">
      <alignment horizontal="center" vertical="center" wrapText="1"/>
    </xf>
    <xf numFmtId="0" fontId="59" fillId="0" borderId="85" xfId="0" applyFont="1" applyBorder="1" applyAlignment="1">
      <alignment horizontal="center" vertical="top" wrapText="1"/>
    </xf>
    <xf numFmtId="0" fontId="53" fillId="13" borderId="70" xfId="0" applyFont="1" applyFill="1" applyBorder="1" applyAlignment="1" applyProtection="1">
      <alignment horizontal="center" vertical="center"/>
    </xf>
    <xf numFmtId="0" fontId="53" fillId="13" borderId="71" xfId="0" applyFont="1" applyFill="1" applyBorder="1" applyAlignment="1" applyProtection="1">
      <alignment horizontal="center" vertical="center"/>
    </xf>
    <xf numFmtId="0" fontId="2" fillId="33" borderId="0" xfId="0" applyFont="1" applyFill="1" applyBorder="1" applyAlignment="1">
      <alignment horizontal="left" vertical="center" wrapText="1"/>
    </xf>
    <xf numFmtId="0" fontId="65" fillId="0" borderId="65" xfId="0" applyFont="1" applyBorder="1" applyAlignment="1">
      <alignment horizontal="left" vertical="center" wrapText="1" indent="1"/>
    </xf>
    <xf numFmtId="0" fontId="65" fillId="0" borderId="48" xfId="0" applyFont="1" applyBorder="1" applyAlignment="1">
      <alignment horizontal="left" vertical="center" wrapText="1" indent="1"/>
    </xf>
    <xf numFmtId="0" fontId="65" fillId="0" borderId="49" xfId="0" applyFont="1" applyBorder="1" applyAlignment="1">
      <alignment horizontal="left" vertical="center" wrapText="1" indent="1"/>
    </xf>
    <xf numFmtId="0" fontId="65" fillId="0" borderId="18" xfId="0" applyFont="1" applyBorder="1" applyAlignment="1">
      <alignment horizontal="left" vertical="center" wrapText="1" indent="1"/>
    </xf>
    <xf numFmtId="0" fontId="65" fillId="0" borderId="67" xfId="0" applyFont="1" applyBorder="1" applyAlignment="1">
      <alignment horizontal="left" vertical="center" wrapText="1" indent="1"/>
    </xf>
    <xf numFmtId="0" fontId="65" fillId="0" borderId="56" xfId="0" applyFont="1" applyBorder="1" applyAlignment="1">
      <alignment horizontal="left" vertical="center" wrapText="1" indent="1"/>
    </xf>
    <xf numFmtId="0" fontId="65" fillId="0" borderId="47" xfId="0" applyFont="1" applyBorder="1" applyAlignment="1">
      <alignment horizontal="left" vertical="center" wrapText="1" indent="1"/>
    </xf>
    <xf numFmtId="0" fontId="48" fillId="28" borderId="55" xfId="0" applyFont="1" applyFill="1" applyBorder="1" applyAlignment="1" applyProtection="1">
      <alignment horizontal="center" vertical="center"/>
    </xf>
    <xf numFmtId="0" fontId="48" fillId="37" borderId="61" xfId="0" applyFont="1" applyFill="1" applyBorder="1" applyAlignment="1" applyProtection="1">
      <alignment horizontal="center" vertical="center"/>
    </xf>
    <xf numFmtId="0" fontId="48" fillId="37" borderId="62" xfId="0" applyFont="1" applyFill="1" applyBorder="1" applyAlignment="1" applyProtection="1">
      <alignment horizontal="center" vertical="center"/>
    </xf>
    <xf numFmtId="0" fontId="48" fillId="37" borderId="63" xfId="0" applyFont="1" applyFill="1" applyBorder="1" applyAlignment="1" applyProtection="1">
      <alignment horizontal="center" vertical="center"/>
    </xf>
    <xf numFmtId="0" fontId="65" fillId="0" borderId="65" xfId="0" applyFont="1" applyBorder="1" applyAlignment="1" applyProtection="1">
      <alignment horizontal="center" vertical="center"/>
      <protection locked="0"/>
    </xf>
    <xf numFmtId="0" fontId="65" fillId="0" borderId="48" xfId="0" applyFont="1" applyBorder="1" applyAlignment="1" applyProtection="1">
      <alignment horizontal="center" vertical="center"/>
      <protection locked="0"/>
    </xf>
    <xf numFmtId="0" fontId="65" fillId="0" borderId="68" xfId="0" applyFont="1" applyBorder="1" applyAlignment="1" applyProtection="1">
      <alignment horizontal="center" vertical="center"/>
      <protection locked="0"/>
    </xf>
    <xf numFmtId="0" fontId="65" fillId="0" borderId="18" xfId="0" applyFont="1" applyBorder="1" applyAlignment="1" applyProtection="1">
      <alignment horizontal="center" vertical="center"/>
      <protection locked="0"/>
    </xf>
    <xf numFmtId="0" fontId="65" fillId="0" borderId="56" xfId="0" applyFont="1" applyBorder="1" applyAlignment="1">
      <alignment horizontal="left" vertical="center" indent="1"/>
    </xf>
    <xf numFmtId="0" fontId="65" fillId="0" borderId="47" xfId="0" applyFont="1" applyBorder="1" applyAlignment="1">
      <alignment horizontal="left" vertical="center" indent="1"/>
    </xf>
    <xf numFmtId="0" fontId="65" fillId="0" borderId="58" xfId="0" applyFont="1" applyBorder="1" applyAlignment="1">
      <alignment horizontal="left" vertical="center" indent="1"/>
    </xf>
    <xf numFmtId="0" fontId="65" fillId="0" borderId="59" xfId="0" applyFont="1" applyBorder="1" applyAlignment="1">
      <alignment horizontal="left" vertical="center" indent="1"/>
    </xf>
    <xf numFmtId="0" fontId="73" fillId="0" borderId="65" xfId="0" applyFont="1" applyBorder="1" applyAlignment="1" applyProtection="1">
      <alignment horizontal="left" vertical="top" indent="1"/>
      <protection locked="0"/>
    </xf>
    <xf numFmtId="0" fontId="73" fillId="0" borderId="48" xfId="0" applyFont="1" applyBorder="1" applyAlignment="1" applyProtection="1">
      <alignment horizontal="left" vertical="top" indent="1"/>
      <protection locked="0"/>
    </xf>
    <xf numFmtId="0" fontId="73" fillId="0" borderId="68" xfId="0" applyFont="1" applyBorder="1" applyAlignment="1" applyProtection="1">
      <alignment horizontal="left" vertical="top" indent="1"/>
      <protection locked="0"/>
    </xf>
    <xf numFmtId="0" fontId="73" fillId="0" borderId="17" xfId="0" applyFont="1" applyBorder="1" applyAlignment="1" applyProtection="1">
      <alignment horizontal="left" vertical="top" indent="1"/>
      <protection locked="0"/>
    </xf>
    <xf numFmtId="0" fontId="73" fillId="0" borderId="0" xfId="0" applyFont="1" applyBorder="1" applyAlignment="1" applyProtection="1">
      <alignment horizontal="left" vertical="top" indent="1"/>
      <protection locked="0"/>
    </xf>
    <xf numFmtId="0" fontId="73" fillId="0" borderId="29" xfId="0" applyFont="1" applyBorder="1" applyAlignment="1" applyProtection="1">
      <alignment horizontal="left" vertical="top" indent="1"/>
      <protection locked="0"/>
    </xf>
    <xf numFmtId="0" fontId="73" fillId="0" borderId="18" xfId="0" applyFont="1" applyBorder="1" applyAlignment="1" applyProtection="1">
      <alignment horizontal="left" vertical="top" indent="1"/>
      <protection locked="0"/>
    </xf>
    <xf numFmtId="0" fontId="73" fillId="0" borderId="22" xfId="0" applyFont="1" applyBorder="1" applyAlignment="1" applyProtection="1">
      <alignment horizontal="left" vertical="top" indent="1"/>
      <protection locked="0"/>
    </xf>
    <xf numFmtId="0" fontId="73" fillId="0" borderId="30" xfId="0" applyFont="1" applyBorder="1" applyAlignment="1" applyProtection="1">
      <alignment horizontal="left" vertical="top" indent="1"/>
      <protection locked="0"/>
    </xf>
    <xf numFmtId="0" fontId="68" fillId="0" borderId="16" xfId="0" applyFont="1" applyBorder="1" applyAlignment="1" applyProtection="1">
      <alignment horizontal="left" vertical="top"/>
      <protection locked="0"/>
    </xf>
    <xf numFmtId="0" fontId="68" fillId="0" borderId="37" xfId="0" applyFont="1" applyBorder="1" applyAlignment="1" applyProtection="1">
      <alignment horizontal="left" vertical="top"/>
      <protection locked="0"/>
    </xf>
    <xf numFmtId="0" fontId="68" fillId="0" borderId="40" xfId="0" applyFont="1" applyBorder="1" applyAlignment="1" applyProtection="1">
      <alignment horizontal="left" vertical="top"/>
      <protection locked="0"/>
    </xf>
    <xf numFmtId="0" fontId="68" fillId="0" borderId="17" xfId="0" applyFont="1" applyBorder="1" applyAlignment="1" applyProtection="1">
      <alignment horizontal="left" vertical="top"/>
      <protection locked="0"/>
    </xf>
    <xf numFmtId="0" fontId="68" fillId="0" borderId="0" xfId="0" applyFont="1" applyBorder="1" applyAlignment="1" applyProtection="1">
      <alignment horizontal="left" vertical="top"/>
      <protection locked="0"/>
    </xf>
    <xf numFmtId="0" fontId="68" fillId="0" borderId="29" xfId="0" applyFont="1" applyBorder="1" applyAlignment="1" applyProtection="1">
      <alignment horizontal="left" vertical="top"/>
      <protection locked="0"/>
    </xf>
    <xf numFmtId="0" fontId="68" fillId="0" borderId="18" xfId="0" applyFont="1" applyBorder="1" applyAlignment="1" applyProtection="1">
      <alignment horizontal="left" vertical="top"/>
      <protection locked="0"/>
    </xf>
    <xf numFmtId="0" fontId="68" fillId="0" borderId="22" xfId="0" applyFont="1" applyBorder="1" applyAlignment="1" applyProtection="1">
      <alignment horizontal="left" vertical="top"/>
      <protection locked="0"/>
    </xf>
    <xf numFmtId="0" fontId="68" fillId="0" borderId="30" xfId="0" applyFont="1" applyBorder="1" applyAlignment="1" applyProtection="1">
      <alignment horizontal="left" vertical="top"/>
      <protection locked="0"/>
    </xf>
    <xf numFmtId="0" fontId="59" fillId="0" borderId="82" xfId="0" applyFont="1" applyBorder="1" applyAlignment="1">
      <alignment horizontal="center" vertical="top"/>
    </xf>
    <xf numFmtId="165" fontId="59" fillId="0" borderId="82" xfId="0" applyNumberFormat="1" applyFont="1" applyBorder="1" applyAlignment="1">
      <alignment horizontal="center" vertical="top"/>
    </xf>
    <xf numFmtId="0" fontId="59" fillId="0" borderId="88" xfId="0" applyFont="1" applyBorder="1" applyAlignment="1">
      <alignment horizontal="center" vertical="top" wrapText="1"/>
    </xf>
    <xf numFmtId="0" fontId="59" fillId="0" borderId="89" xfId="0" applyFont="1" applyBorder="1" applyAlignment="1">
      <alignment horizontal="center" vertical="top" wrapText="1"/>
    </xf>
    <xf numFmtId="0" fontId="59" fillId="0" borderId="90" xfId="0" applyFont="1" applyBorder="1" applyAlignment="1">
      <alignment horizontal="center" vertical="top" wrapText="1"/>
    </xf>
    <xf numFmtId="2" fontId="59" fillId="0" borderId="82" xfId="0" applyNumberFormat="1" applyFont="1" applyBorder="1" applyAlignment="1">
      <alignment horizontal="center" vertical="top"/>
    </xf>
    <xf numFmtId="2" fontId="59" fillId="0" borderId="88" xfId="0" applyNumberFormat="1" applyFont="1" applyBorder="1" applyAlignment="1">
      <alignment horizontal="center" vertical="top" wrapText="1"/>
    </xf>
    <xf numFmtId="2" fontId="59" fillId="0" borderId="89" xfId="0" applyNumberFormat="1" applyFont="1" applyBorder="1" applyAlignment="1">
      <alignment horizontal="center" vertical="top" wrapText="1"/>
    </xf>
    <xf numFmtId="2" fontId="59" fillId="0" borderId="90" xfId="0" applyNumberFormat="1" applyFont="1" applyBorder="1" applyAlignment="1">
      <alignment horizontal="center" vertical="top" wrapText="1"/>
    </xf>
    <xf numFmtId="0" fontId="128" fillId="13" borderId="195" xfId="0" applyFont="1" applyFill="1" applyBorder="1" applyAlignment="1">
      <alignment horizontal="left" vertical="center" wrapText="1"/>
    </xf>
    <xf numFmtId="0" fontId="128" fillId="13" borderId="201" xfId="0" applyFont="1" applyFill="1" applyBorder="1" applyAlignment="1">
      <alignment horizontal="left" vertical="center" wrapText="1"/>
    </xf>
    <xf numFmtId="0" fontId="128" fillId="13" borderId="196" xfId="0" applyFont="1" applyFill="1" applyBorder="1" applyAlignment="1">
      <alignment horizontal="left" vertical="center" wrapText="1"/>
    </xf>
    <xf numFmtId="0" fontId="128" fillId="13" borderId="197" xfId="0" applyFont="1" applyFill="1" applyBorder="1" applyAlignment="1">
      <alignment horizontal="left" vertical="center" wrapText="1"/>
    </xf>
    <xf numFmtId="0" fontId="128" fillId="13" borderId="0" xfId="0" applyFont="1" applyFill="1" applyBorder="1" applyAlignment="1">
      <alignment horizontal="left" vertical="center" wrapText="1"/>
    </xf>
    <xf numFmtId="0" fontId="128" fillId="13" borderId="198" xfId="0" applyFont="1" applyFill="1" applyBorder="1" applyAlignment="1">
      <alignment horizontal="left" vertical="center" wrapText="1"/>
    </xf>
    <xf numFmtId="0" fontId="128" fillId="13" borderId="199" xfId="0" applyFont="1" applyFill="1" applyBorder="1" applyAlignment="1">
      <alignment horizontal="left" vertical="center" wrapText="1"/>
    </xf>
    <xf numFmtId="0" fontId="128" fillId="13" borderId="202" xfId="0" applyFont="1" applyFill="1" applyBorder="1" applyAlignment="1">
      <alignment horizontal="left" vertical="center" wrapText="1"/>
    </xf>
    <xf numFmtId="0" fontId="128" fillId="13" borderId="200" xfId="0" applyFont="1" applyFill="1" applyBorder="1" applyAlignment="1">
      <alignment horizontal="left" vertical="center" wrapText="1"/>
    </xf>
    <xf numFmtId="0" fontId="66" fillId="0" borderId="130" xfId="0" applyFont="1" applyBorder="1" applyAlignment="1" applyProtection="1">
      <alignment horizontal="center" vertical="center"/>
      <protection locked="0"/>
    </xf>
    <xf numFmtId="0" fontId="66" fillId="0" borderId="132" xfId="0" applyFont="1" applyBorder="1" applyAlignment="1" applyProtection="1">
      <alignment horizontal="center" vertical="center"/>
      <protection locked="0"/>
    </xf>
    <xf numFmtId="0" fontId="66" fillId="0" borderId="131" xfId="0" applyFont="1" applyBorder="1" applyAlignment="1" applyProtection="1">
      <alignment horizontal="center" vertical="center"/>
      <protection locked="0"/>
    </xf>
    <xf numFmtId="0" fontId="64" fillId="33" borderId="0" xfId="0" applyFont="1" applyFill="1" applyBorder="1" applyAlignment="1">
      <alignment horizontal="left" vertical="center"/>
    </xf>
    <xf numFmtId="0" fontId="133" fillId="45" borderId="66" xfId="0" applyFont="1" applyFill="1" applyBorder="1" applyAlignment="1" applyProtection="1">
      <alignment horizontal="center" vertical="center" wrapText="1"/>
    </xf>
    <xf numFmtId="0" fontId="133" fillId="45" borderId="50" xfId="0" applyFont="1" applyFill="1" applyBorder="1" applyAlignment="1" applyProtection="1">
      <alignment horizontal="center" vertical="center" wrapText="1"/>
    </xf>
    <xf numFmtId="0" fontId="55" fillId="0" borderId="0" xfId="0" applyFont="1" applyAlignment="1">
      <alignment horizontal="left"/>
    </xf>
    <xf numFmtId="0" fontId="163" fillId="0" borderId="0" xfId="0" applyFont="1" applyFill="1" applyAlignment="1" applyProtection="1">
      <alignment horizontal="center"/>
    </xf>
    <xf numFmtId="0" fontId="48" fillId="35" borderId="18" xfId="0" applyFont="1" applyFill="1" applyBorder="1" applyAlignment="1" applyProtection="1">
      <alignment horizontal="center" vertical="center"/>
    </xf>
    <xf numFmtId="0" fontId="48" fillId="35" borderId="22" xfId="0" applyFont="1" applyFill="1" applyBorder="1" applyAlignment="1" applyProtection="1">
      <alignment horizontal="center" vertical="center"/>
    </xf>
    <xf numFmtId="0" fontId="48" fillId="35" borderId="30" xfId="0" applyFont="1" applyFill="1" applyBorder="1" applyAlignment="1" applyProtection="1">
      <alignment horizontal="center" vertical="center"/>
    </xf>
    <xf numFmtId="0" fontId="44" fillId="0" borderId="17" xfId="0" applyFont="1" applyFill="1" applyBorder="1" applyAlignment="1">
      <alignment horizontal="center" vertical="top" wrapText="1"/>
    </xf>
    <xf numFmtId="0" fontId="44" fillId="0" borderId="18" xfId="0" applyFont="1" applyFill="1" applyBorder="1" applyAlignment="1">
      <alignment horizontal="center" vertical="top" wrapText="1"/>
    </xf>
    <xf numFmtId="0" fontId="48" fillId="35" borderId="16" xfId="0" applyFont="1" applyFill="1" applyBorder="1" applyAlignment="1" applyProtection="1">
      <alignment horizontal="center" vertical="center"/>
    </xf>
    <xf numFmtId="0" fontId="48" fillId="35" borderId="37" xfId="0" applyFont="1" applyFill="1" applyBorder="1" applyAlignment="1" applyProtection="1">
      <alignment horizontal="center" vertical="center"/>
    </xf>
    <xf numFmtId="0" fontId="48" fillId="35" borderId="40" xfId="0" applyFont="1" applyFill="1" applyBorder="1" applyAlignment="1" applyProtection="1">
      <alignment horizontal="center" vertical="center"/>
    </xf>
    <xf numFmtId="0" fontId="71" fillId="0" borderId="16" xfId="0" applyFont="1" applyFill="1" applyBorder="1" applyAlignment="1">
      <alignment horizontal="center" vertical="center"/>
    </xf>
    <xf numFmtId="0" fontId="71" fillId="0" borderId="37" xfId="0" applyFont="1" applyFill="1" applyBorder="1" applyAlignment="1">
      <alignment horizontal="center" vertical="center"/>
    </xf>
    <xf numFmtId="0" fontId="71" fillId="0" borderId="40" xfId="0" applyFont="1" applyFill="1" applyBorder="1" applyAlignment="1">
      <alignment horizontal="center" vertical="center"/>
    </xf>
    <xf numFmtId="0" fontId="71" fillId="0" borderId="17" xfId="0" applyFont="1" applyFill="1" applyBorder="1" applyAlignment="1">
      <alignment horizontal="center" vertical="center"/>
    </xf>
    <xf numFmtId="0" fontId="71" fillId="0" borderId="0" xfId="0" applyFont="1" applyFill="1" applyBorder="1" applyAlignment="1">
      <alignment horizontal="center" vertical="center"/>
    </xf>
    <xf numFmtId="0" fontId="71" fillId="0" borderId="29" xfId="0" applyFont="1" applyFill="1" applyBorder="1" applyAlignment="1">
      <alignment horizontal="center" vertical="center"/>
    </xf>
    <xf numFmtId="0" fontId="40" fillId="34" borderId="0" xfId="0" applyFont="1" applyFill="1" applyAlignment="1">
      <alignment horizontal="left" vertical="center"/>
    </xf>
    <xf numFmtId="0" fontId="43" fillId="15" borderId="9" xfId="0" applyFont="1" applyFill="1" applyBorder="1" applyAlignment="1" applyProtection="1">
      <alignment horizontal="center"/>
    </xf>
    <xf numFmtId="0" fontId="42" fillId="0" borderId="9" xfId="0" applyFont="1" applyFill="1" applyBorder="1" applyAlignment="1" applyProtection="1">
      <alignment horizontal="center" vertical="center"/>
    </xf>
    <xf numFmtId="0" fontId="43" fillId="15" borderId="13" xfId="0" applyFont="1" applyFill="1" applyBorder="1" applyAlignment="1" applyProtection="1">
      <alignment horizontal="center" vertical="center"/>
    </xf>
    <xf numFmtId="0" fontId="43" fillId="15" borderId="14" xfId="0" applyFont="1" applyFill="1" applyBorder="1" applyAlignment="1" applyProtection="1">
      <alignment horizontal="center" vertical="center"/>
    </xf>
    <xf numFmtId="0" fontId="43" fillId="15" borderId="15" xfId="0" applyFont="1" applyFill="1" applyBorder="1" applyAlignment="1" applyProtection="1">
      <alignment horizontal="center" vertical="center"/>
    </xf>
    <xf numFmtId="0" fontId="40" fillId="34" borderId="0" xfId="0" applyFont="1" applyFill="1" applyAlignment="1" applyProtection="1">
      <alignment horizontal="left" vertical="center"/>
    </xf>
    <xf numFmtId="0" fontId="40" fillId="34" borderId="0" xfId="0" applyFont="1" applyFill="1" applyBorder="1" applyAlignment="1" applyProtection="1">
      <alignment horizontal="left" vertical="center"/>
    </xf>
    <xf numFmtId="0" fontId="40" fillId="34" borderId="38" xfId="0" applyFont="1" applyFill="1" applyBorder="1" applyAlignment="1">
      <alignment horizontal="left" vertical="center"/>
    </xf>
    <xf numFmtId="2" fontId="43" fillId="0" borderId="9" xfId="0" applyNumberFormat="1" applyFont="1" applyFill="1" applyBorder="1" applyAlignment="1" applyProtection="1">
      <alignment horizontal="center" vertical="center"/>
    </xf>
    <xf numFmtId="0" fontId="43" fillId="15" borderId="13" xfId="0" applyFont="1" applyFill="1" applyBorder="1" applyAlignment="1" applyProtection="1">
      <alignment horizontal="center"/>
    </xf>
    <xf numFmtId="0" fontId="43" fillId="15" borderId="14" xfId="0" applyFont="1" applyFill="1" applyBorder="1" applyAlignment="1" applyProtection="1">
      <alignment horizontal="center"/>
    </xf>
    <xf numFmtId="0" fontId="43" fillId="15" borderId="15" xfId="0" applyFont="1" applyFill="1" applyBorder="1" applyAlignment="1" applyProtection="1">
      <alignment horizontal="center"/>
    </xf>
    <xf numFmtId="0" fontId="58" fillId="17" borderId="76" xfId="0" applyFont="1" applyFill="1" applyBorder="1" applyAlignment="1">
      <alignment horizontal="center" vertical="center" wrapText="1"/>
    </xf>
    <xf numFmtId="0" fontId="58" fillId="17" borderId="77" xfId="0" applyFont="1" applyFill="1" applyBorder="1" applyAlignment="1">
      <alignment horizontal="center" vertical="center" wrapText="1"/>
    </xf>
    <xf numFmtId="0" fontId="41" fillId="34" borderId="0" xfId="0" applyFont="1" applyFill="1" applyAlignment="1" applyProtection="1">
      <alignment horizontal="left" vertical="center"/>
    </xf>
    <xf numFmtId="0" fontId="8" fillId="40" borderId="0" xfId="0" applyFont="1" applyFill="1" applyBorder="1" applyAlignment="1">
      <alignment horizontal="center"/>
    </xf>
    <xf numFmtId="2" fontId="33" fillId="14" borderId="0" xfId="1" applyNumberFormat="1" applyFont="1" applyFill="1" applyBorder="1" applyAlignment="1" applyProtection="1">
      <alignment horizontal="left" vertical="center" wrapText="1" indent="1"/>
      <protection hidden="1"/>
    </xf>
    <xf numFmtId="0" fontId="61" fillId="13" borderId="41" xfId="0" applyFont="1" applyFill="1" applyBorder="1" applyAlignment="1">
      <alignment horizontal="center" vertical="center"/>
    </xf>
    <xf numFmtId="0" fontId="61" fillId="13" borderId="42" xfId="0" applyFont="1" applyFill="1" applyBorder="1" applyAlignment="1">
      <alignment horizontal="center" vertical="center"/>
    </xf>
    <xf numFmtId="0" fontId="61" fillId="13" borderId="43" xfId="0" applyFont="1" applyFill="1" applyBorder="1" applyAlignment="1">
      <alignment horizontal="center" vertical="center"/>
    </xf>
    <xf numFmtId="0" fontId="61" fillId="13" borderId="39" xfId="0" applyFont="1" applyFill="1" applyBorder="1" applyAlignment="1">
      <alignment horizontal="center" vertical="center"/>
    </xf>
    <xf numFmtId="0" fontId="61" fillId="13" borderId="0" xfId="0" applyFont="1" applyFill="1" applyBorder="1" applyAlignment="1">
      <alignment horizontal="center" vertical="center"/>
    </xf>
    <xf numFmtId="0" fontId="61" fillId="13" borderId="44" xfId="0" applyFont="1" applyFill="1" applyBorder="1" applyAlignment="1">
      <alignment horizontal="center" vertical="center"/>
    </xf>
    <xf numFmtId="0" fontId="61" fillId="13" borderId="45" xfId="0" applyFont="1" applyFill="1" applyBorder="1" applyAlignment="1">
      <alignment horizontal="center" vertical="center"/>
    </xf>
    <xf numFmtId="0" fontId="61" fillId="13" borderId="38" xfId="0" applyFont="1" applyFill="1" applyBorder="1" applyAlignment="1">
      <alignment horizontal="center" vertical="center"/>
    </xf>
    <xf numFmtId="0" fontId="61" fillId="13" borderId="46" xfId="0" applyFont="1" applyFill="1" applyBorder="1" applyAlignment="1">
      <alignment horizontal="center" vertical="center"/>
    </xf>
    <xf numFmtId="0" fontId="34" fillId="0" borderId="17" xfId="3" quotePrefix="1" applyFont="1" applyBorder="1" applyAlignment="1" applyProtection="1">
      <alignment horizontal="center" vertical="center"/>
    </xf>
    <xf numFmtId="0" fontId="34" fillId="0" borderId="0" xfId="3" quotePrefix="1" applyFont="1" applyBorder="1" applyAlignment="1" applyProtection="1">
      <alignment horizontal="center" vertical="center"/>
    </xf>
    <xf numFmtId="0" fontId="34" fillId="0" borderId="29" xfId="3" quotePrefix="1" applyFont="1" applyBorder="1" applyAlignment="1" applyProtection="1">
      <alignment horizontal="center" vertical="center"/>
    </xf>
    <xf numFmtId="0" fontId="34" fillId="0" borderId="18" xfId="3" quotePrefix="1" applyFont="1" applyBorder="1" applyAlignment="1" applyProtection="1">
      <alignment horizontal="center" vertical="center"/>
    </xf>
    <xf numFmtId="0" fontId="34" fillId="0" borderId="22" xfId="3" quotePrefix="1" applyFont="1" applyBorder="1" applyAlignment="1" applyProtection="1">
      <alignment horizontal="center" vertical="center"/>
    </xf>
    <xf numFmtId="0" fontId="34" fillId="0" borderId="30" xfId="3" quotePrefix="1" applyFont="1" applyBorder="1" applyAlignment="1" applyProtection="1">
      <alignment horizontal="center" vertical="center"/>
    </xf>
    <xf numFmtId="2" fontId="33" fillId="44" borderId="0" xfId="1" applyNumberFormat="1" applyFont="1" applyFill="1" applyBorder="1" applyAlignment="1" applyProtection="1">
      <alignment horizontal="left" vertical="center" wrapText="1" indent="1"/>
      <protection hidden="1"/>
    </xf>
    <xf numFmtId="2" fontId="12" fillId="14" borderId="0" xfId="1" applyNumberFormat="1" applyFont="1" applyFill="1" applyBorder="1" applyAlignment="1" applyProtection="1">
      <alignment horizontal="center" vertical="center" wrapText="1"/>
      <protection hidden="1"/>
    </xf>
    <xf numFmtId="2" fontId="40" fillId="0" borderId="13" xfId="0" applyNumberFormat="1" applyFont="1" applyBorder="1" applyAlignment="1" applyProtection="1">
      <alignment horizontal="center" vertical="center"/>
    </xf>
    <xf numFmtId="2" fontId="40" fillId="0" borderId="14" xfId="0" applyNumberFormat="1" applyFont="1" applyBorder="1" applyAlignment="1" applyProtection="1">
      <alignment horizontal="center" vertical="center"/>
    </xf>
    <xf numFmtId="2" fontId="40" fillId="0" borderId="15" xfId="0" applyNumberFormat="1" applyFont="1" applyBorder="1" applyAlignment="1" applyProtection="1">
      <alignment horizontal="center" vertical="center"/>
    </xf>
    <xf numFmtId="2" fontId="44" fillId="0" borderId="13" xfId="0" applyNumberFormat="1" applyFont="1" applyFill="1" applyBorder="1" applyAlignment="1" applyProtection="1">
      <alignment horizontal="center" vertical="center"/>
    </xf>
    <xf numFmtId="2" fontId="44" fillId="0" borderId="14" xfId="0" applyNumberFormat="1" applyFont="1" applyFill="1" applyBorder="1" applyAlignment="1" applyProtection="1">
      <alignment horizontal="center" vertical="center"/>
    </xf>
    <xf numFmtId="2" fontId="44" fillId="0" borderId="15" xfId="0" applyNumberFormat="1" applyFont="1" applyFill="1" applyBorder="1" applyAlignment="1" applyProtection="1">
      <alignment horizontal="center" vertical="center"/>
    </xf>
    <xf numFmtId="2" fontId="33" fillId="66" borderId="0" xfId="1" applyNumberFormat="1" applyFont="1" applyFill="1" applyBorder="1" applyAlignment="1" applyProtection="1">
      <alignment horizontal="left" vertical="center" wrapText="1" indent="1"/>
      <protection hidden="1"/>
    </xf>
    <xf numFmtId="2" fontId="33" fillId="10" borderId="0" xfId="1" applyNumberFormat="1" applyFont="1" applyFill="1" applyBorder="1" applyAlignment="1" applyProtection="1">
      <alignment horizontal="left" vertical="center" wrapText="1" indent="1"/>
      <protection hidden="1"/>
    </xf>
    <xf numFmtId="165" fontId="58" fillId="17" borderId="76" xfId="0" applyNumberFormat="1" applyFont="1" applyFill="1" applyBorder="1" applyAlignment="1">
      <alignment horizontal="center" vertical="center" wrapText="1"/>
    </xf>
    <xf numFmtId="165" fontId="58" fillId="17" borderId="77" xfId="0" applyNumberFormat="1" applyFont="1" applyFill="1" applyBorder="1" applyAlignment="1">
      <alignment horizontal="center" vertical="center" wrapText="1"/>
    </xf>
    <xf numFmtId="2" fontId="58" fillId="17" borderId="76" xfId="0" applyNumberFormat="1" applyFont="1" applyFill="1" applyBorder="1" applyAlignment="1">
      <alignment horizontal="center" vertical="center" wrapText="1"/>
    </xf>
    <xf numFmtId="2" fontId="58" fillId="17" borderId="77" xfId="0" applyNumberFormat="1" applyFont="1" applyFill="1" applyBorder="1" applyAlignment="1">
      <alignment horizontal="center" vertical="center" wrapText="1"/>
    </xf>
    <xf numFmtId="0" fontId="60" fillId="17" borderId="76" xfId="0" applyFont="1" applyFill="1" applyBorder="1" applyAlignment="1">
      <alignment horizontal="center" vertical="center" wrapText="1"/>
    </xf>
    <xf numFmtId="0" fontId="60" fillId="17" borderId="77" xfId="0" applyFont="1" applyFill="1" applyBorder="1" applyAlignment="1">
      <alignment horizontal="center" vertical="center" wrapText="1"/>
    </xf>
    <xf numFmtId="0" fontId="60" fillId="17" borderId="75" xfId="0" applyFont="1" applyFill="1" applyBorder="1" applyAlignment="1">
      <alignment horizontal="center" vertical="center" wrapText="1"/>
    </xf>
    <xf numFmtId="0" fontId="12" fillId="14" borderId="230" xfId="1" applyNumberFormat="1" applyFont="1" applyFill="1" applyBorder="1" applyAlignment="1" applyProtection="1">
      <alignment horizontal="center" vertical="center" wrapText="1"/>
      <protection hidden="1"/>
    </xf>
    <xf numFmtId="0" fontId="12" fillId="44" borderId="230" xfId="1" applyNumberFormat="1" applyFont="1" applyFill="1" applyBorder="1" applyAlignment="1" applyProtection="1">
      <alignment horizontal="center" vertical="center" wrapText="1"/>
      <protection hidden="1"/>
    </xf>
    <xf numFmtId="0" fontId="12" fillId="66" borderId="230" xfId="1" applyNumberFormat="1" applyFont="1" applyFill="1" applyBorder="1" applyAlignment="1" applyProtection="1">
      <alignment horizontal="center" vertical="center" wrapText="1"/>
      <protection hidden="1"/>
    </xf>
    <xf numFmtId="0" fontId="12" fillId="10" borderId="230" xfId="0" applyNumberFormat="1" applyFont="1" applyFill="1" applyBorder="1" applyAlignment="1" applyProtection="1">
      <alignment horizontal="center" vertical="center"/>
      <protection hidden="1"/>
    </xf>
    <xf numFmtId="0" fontId="43" fillId="0" borderId="9" xfId="0" applyFont="1" applyFill="1" applyBorder="1" applyAlignment="1" applyProtection="1">
      <alignment horizontal="center" vertical="center"/>
    </xf>
    <xf numFmtId="0" fontId="48" fillId="29" borderId="37" xfId="0" applyFont="1" applyFill="1" applyBorder="1" applyAlignment="1" applyProtection="1">
      <alignment horizontal="center" vertical="center"/>
    </xf>
    <xf numFmtId="0" fontId="48" fillId="29" borderId="40" xfId="0" applyFont="1" applyFill="1" applyBorder="1" applyAlignment="1" applyProtection="1">
      <alignment horizontal="center" vertical="center"/>
    </xf>
    <xf numFmtId="0" fontId="59" fillId="0" borderId="82" xfId="0" applyNumberFormat="1" applyFont="1" applyBorder="1" applyAlignment="1">
      <alignment horizontal="center" vertical="top"/>
    </xf>
    <xf numFmtId="0" fontId="61" fillId="13" borderId="16" xfId="0" applyFont="1" applyFill="1" applyBorder="1" applyAlignment="1">
      <alignment horizontal="center" vertical="center"/>
    </xf>
    <xf numFmtId="0" fontId="61" fillId="13" borderId="37" xfId="0" applyFont="1" applyFill="1" applyBorder="1" applyAlignment="1">
      <alignment horizontal="center" vertical="center"/>
    </xf>
    <xf numFmtId="0" fontId="61" fillId="13" borderId="40" xfId="0" applyFont="1" applyFill="1" applyBorder="1" applyAlignment="1">
      <alignment horizontal="center" vertical="center"/>
    </xf>
    <xf numFmtId="0" fontId="61" fillId="13" borderId="17" xfId="0" applyFont="1" applyFill="1" applyBorder="1" applyAlignment="1">
      <alignment horizontal="center" vertical="center"/>
    </xf>
    <xf numFmtId="0" fontId="61" fillId="13" borderId="29" xfId="0" applyFont="1" applyFill="1" applyBorder="1" applyAlignment="1">
      <alignment horizontal="center" vertical="center"/>
    </xf>
    <xf numFmtId="0" fontId="134" fillId="52" borderId="216" xfId="0" applyFont="1" applyFill="1" applyBorder="1" applyAlignment="1">
      <alignment horizontal="center" vertical="center" wrapText="1"/>
    </xf>
    <xf numFmtId="0" fontId="134" fillId="52" borderId="129" xfId="0" applyFont="1" applyFill="1" applyBorder="1" applyAlignment="1">
      <alignment horizontal="center" vertical="center" wrapText="1"/>
    </xf>
    <xf numFmtId="0" fontId="44" fillId="0" borderId="37" xfId="0" applyFont="1" applyFill="1" applyBorder="1" applyAlignment="1" applyProtection="1">
      <alignment horizontal="right" vertical="center" indent="3"/>
    </xf>
    <xf numFmtId="0" fontId="44" fillId="0" borderId="40" xfId="0" applyFont="1" applyFill="1" applyBorder="1" applyAlignment="1" applyProtection="1">
      <alignment horizontal="right" vertical="center" indent="3"/>
    </xf>
    <xf numFmtId="0" fontId="44" fillId="0" borderId="0" xfId="0" applyFont="1" applyFill="1" applyBorder="1" applyAlignment="1" applyProtection="1">
      <alignment horizontal="right" vertical="center" indent="3"/>
    </xf>
    <xf numFmtId="0" fontId="44" fillId="0" borderId="29" xfId="0" applyFont="1" applyFill="1" applyBorder="1" applyAlignment="1" applyProtection="1">
      <alignment horizontal="right" vertical="center" indent="3"/>
    </xf>
    <xf numFmtId="0" fontId="44" fillId="0" borderId="22" xfId="0" applyFont="1" applyFill="1" applyBorder="1" applyAlignment="1" applyProtection="1">
      <alignment horizontal="right" vertical="center" indent="3"/>
    </xf>
    <xf numFmtId="0" fontId="44" fillId="0" borderId="30" xfId="0" applyFont="1" applyFill="1" applyBorder="1" applyAlignment="1" applyProtection="1">
      <alignment horizontal="right" vertical="center" indent="3"/>
    </xf>
    <xf numFmtId="0" fontId="48" fillId="10" borderId="51" xfId="0" applyFont="1" applyFill="1" applyBorder="1" applyAlignment="1" applyProtection="1">
      <alignment horizontal="center" vertical="center"/>
    </xf>
    <xf numFmtId="0" fontId="48" fillId="10" borderId="52" xfId="0" applyFont="1" applyFill="1" applyBorder="1" applyAlignment="1" applyProtection="1">
      <alignment horizontal="center" vertical="center"/>
    </xf>
    <xf numFmtId="0" fontId="48" fillId="10" borderId="64" xfId="0" applyFont="1" applyFill="1" applyBorder="1" applyAlignment="1" applyProtection="1">
      <alignment horizontal="center" vertical="center"/>
    </xf>
    <xf numFmtId="0" fontId="52" fillId="33" borderId="37" xfId="0" applyFont="1" applyFill="1" applyBorder="1" applyAlignment="1">
      <alignment horizontal="center"/>
    </xf>
    <xf numFmtId="0" fontId="52" fillId="33" borderId="0" xfId="0" applyFont="1" applyFill="1" applyBorder="1" applyAlignment="1">
      <alignment horizontal="center"/>
    </xf>
    <xf numFmtId="0" fontId="137" fillId="3" borderId="18" xfId="0" applyFont="1" applyFill="1" applyBorder="1" applyAlignment="1" applyProtection="1">
      <alignment horizontal="center" vertical="center"/>
    </xf>
    <xf numFmtId="0" fontId="137" fillId="3" borderId="22" xfId="0" applyFont="1" applyFill="1" applyBorder="1" applyAlignment="1" applyProtection="1">
      <alignment horizontal="center" vertical="center"/>
    </xf>
    <xf numFmtId="0" fontId="137" fillId="3" borderId="30" xfId="0" applyFont="1" applyFill="1" applyBorder="1" applyAlignment="1" applyProtection="1">
      <alignment horizontal="center" vertical="center"/>
    </xf>
    <xf numFmtId="0" fontId="58" fillId="2" borderId="83" xfId="0" applyFont="1" applyFill="1" applyBorder="1" applyAlignment="1">
      <alignment horizontal="center" vertical="center" wrapText="1"/>
    </xf>
    <xf numFmtId="0" fontId="58" fillId="2" borderId="84" xfId="0" applyFont="1" applyFill="1" applyBorder="1" applyAlignment="1">
      <alignment horizontal="center" vertical="center" wrapText="1"/>
    </xf>
    <xf numFmtId="0" fontId="65" fillId="0" borderId="66" xfId="0" applyFont="1" applyBorder="1" applyAlignment="1">
      <alignment horizontal="left" vertical="center" wrapText="1" indent="1"/>
    </xf>
    <xf numFmtId="0" fontId="65" fillId="0" borderId="50" xfId="0" applyFont="1" applyBorder="1" applyAlignment="1">
      <alignment horizontal="left" vertical="center" wrapText="1" indent="1"/>
    </xf>
    <xf numFmtId="0" fontId="48" fillId="35" borderId="17" xfId="0" applyFont="1" applyFill="1" applyBorder="1" applyAlignment="1" applyProtection="1">
      <alignment horizontal="center" vertical="center"/>
    </xf>
    <xf numFmtId="0" fontId="48" fillId="35" borderId="0" xfId="0" applyFont="1" applyFill="1" applyBorder="1" applyAlignment="1" applyProtection="1">
      <alignment horizontal="center" vertical="center"/>
    </xf>
    <xf numFmtId="0" fontId="48" fillId="35" borderId="29" xfId="0" applyFont="1" applyFill="1" applyBorder="1" applyAlignment="1" applyProtection="1">
      <alignment horizontal="center" vertical="center"/>
    </xf>
    <xf numFmtId="0" fontId="136" fillId="52" borderId="216" xfId="0" applyFont="1" applyFill="1" applyBorder="1" applyAlignment="1">
      <alignment horizontal="center" vertical="center" wrapText="1"/>
    </xf>
    <xf numFmtId="0" fontId="136" fillId="52" borderId="129" xfId="0" applyFont="1" applyFill="1" applyBorder="1" applyAlignment="1">
      <alignment horizontal="center" vertical="center" wrapText="1"/>
    </xf>
    <xf numFmtId="0" fontId="65" fillId="0" borderId="56" xfId="0" applyFont="1" applyBorder="1" applyAlignment="1" applyProtection="1">
      <alignment horizontal="center" vertical="center"/>
      <protection locked="0"/>
    </xf>
    <xf numFmtId="0" fontId="65" fillId="0" borderId="58" xfId="0" applyFont="1" applyBorder="1" applyAlignment="1" applyProtection="1">
      <alignment horizontal="center" vertical="center"/>
      <protection locked="0"/>
    </xf>
    <xf numFmtId="0" fontId="65" fillId="0" borderId="72" xfId="0" applyFont="1" applyBorder="1" applyAlignment="1" applyProtection="1">
      <alignment horizontal="center" vertical="center" wrapText="1"/>
      <protection locked="0"/>
    </xf>
    <xf numFmtId="0" fontId="65" fillId="0" borderId="40" xfId="0" applyFont="1" applyBorder="1" applyAlignment="1" applyProtection="1">
      <alignment horizontal="center" vertical="center" wrapText="1"/>
      <protection locked="0"/>
    </xf>
    <xf numFmtId="0" fontId="65" fillId="0" borderId="73" xfId="0" applyFont="1" applyBorder="1" applyAlignment="1" applyProtection="1">
      <alignment horizontal="center" vertical="center" wrapText="1"/>
      <protection locked="0"/>
    </xf>
    <xf numFmtId="0" fontId="65" fillId="0" borderId="30" xfId="0" applyFont="1" applyBorder="1" applyAlignment="1" applyProtection="1">
      <alignment horizontal="center" vertical="center" wrapText="1"/>
      <protection locked="0"/>
    </xf>
    <xf numFmtId="0" fontId="128" fillId="13" borderId="118" xfId="0" applyFont="1" applyFill="1" applyBorder="1" applyAlignment="1" applyProtection="1">
      <alignment horizontal="left" vertical="top" wrapText="1"/>
    </xf>
    <xf numFmtId="0" fontId="128" fillId="13" borderId="119" xfId="0" applyFont="1" applyFill="1" applyBorder="1" applyAlignment="1" applyProtection="1">
      <alignment horizontal="left" vertical="top" wrapText="1"/>
      <protection locked="0"/>
    </xf>
    <xf numFmtId="0" fontId="128" fillId="13" borderId="190" xfId="0" applyFont="1" applyFill="1" applyBorder="1" applyAlignment="1" applyProtection="1">
      <alignment horizontal="left" vertical="top" wrapText="1"/>
      <protection locked="0"/>
    </xf>
    <xf numFmtId="0" fontId="128" fillId="13" borderId="122" xfId="0" applyFont="1" applyFill="1" applyBorder="1" applyAlignment="1" applyProtection="1">
      <alignment horizontal="left" vertical="top" wrapText="1"/>
      <protection locked="0"/>
    </xf>
    <xf numFmtId="0" fontId="0" fillId="0" borderId="109" xfId="0" applyBorder="1" applyAlignment="1" applyProtection="1">
      <alignment horizontal="center"/>
    </xf>
    <xf numFmtId="0" fontId="0" fillId="0" borderId="110" xfId="0" applyBorder="1" applyAlignment="1" applyProtection="1">
      <alignment horizontal="center"/>
    </xf>
    <xf numFmtId="0" fontId="0" fillId="0" borderId="111" xfId="0" applyBorder="1" applyAlignment="1" applyProtection="1">
      <alignment horizontal="center"/>
    </xf>
    <xf numFmtId="0" fontId="0" fillId="0" borderId="113" xfId="0" applyBorder="1" applyAlignment="1" applyProtection="1">
      <alignment horizontal="center"/>
    </xf>
    <xf numFmtId="0" fontId="0" fillId="0" borderId="114" xfId="0" applyBorder="1" applyAlignment="1" applyProtection="1">
      <alignment horizontal="center"/>
    </xf>
    <xf numFmtId="0" fontId="0" fillId="0" borderId="115" xfId="0" applyBorder="1" applyAlignment="1" applyProtection="1">
      <alignment horizontal="center"/>
    </xf>
    <xf numFmtId="0" fontId="105" fillId="0" borderId="112" xfId="1" applyFont="1" applyFill="1" applyBorder="1" applyAlignment="1" applyProtection="1">
      <alignment horizontal="center" vertical="center"/>
    </xf>
    <xf numFmtId="0" fontId="105" fillId="0" borderId="117" xfId="1" applyFont="1" applyFill="1" applyBorder="1" applyAlignment="1" applyProtection="1">
      <alignment horizontal="center" vertical="center"/>
    </xf>
    <xf numFmtId="0" fontId="105" fillId="0" borderId="116" xfId="1" applyFont="1" applyFill="1" applyBorder="1" applyAlignment="1" applyProtection="1">
      <alignment horizontal="center" vertical="center"/>
    </xf>
    <xf numFmtId="0" fontId="35" fillId="40" borderId="0" xfId="0" applyFont="1" applyFill="1" applyBorder="1" applyAlignment="1" applyProtection="1">
      <alignment horizontal="center" vertical="center"/>
      <protection locked="0"/>
    </xf>
    <xf numFmtId="0" fontId="15" fillId="0" borderId="0" xfId="0" applyFont="1" applyBorder="1" applyAlignment="1" applyProtection="1">
      <alignment horizontal="left" vertical="center" wrapText="1"/>
    </xf>
    <xf numFmtId="0" fontId="132" fillId="45" borderId="94" xfId="3" applyFont="1" applyFill="1" applyBorder="1" applyAlignment="1">
      <alignment horizontal="center" vertical="center"/>
    </xf>
    <xf numFmtId="0" fontId="132" fillId="45" borderId="106" xfId="3" applyFont="1" applyFill="1" applyBorder="1" applyAlignment="1">
      <alignment horizontal="center" vertical="center"/>
    </xf>
    <xf numFmtId="0" fontId="132" fillId="52" borderId="94" xfId="3" applyFont="1" applyFill="1" applyBorder="1" applyAlignment="1">
      <alignment horizontal="center" vertical="center"/>
    </xf>
    <xf numFmtId="0" fontId="132" fillId="52" borderId="106" xfId="3" applyFont="1" applyFill="1" applyBorder="1" applyAlignment="1">
      <alignment horizontal="center" vertical="center"/>
    </xf>
    <xf numFmtId="0" fontId="132" fillId="59" borderId="94" xfId="3" applyFont="1" applyFill="1" applyBorder="1" applyAlignment="1">
      <alignment horizontal="center" vertical="center"/>
    </xf>
    <xf numFmtId="0" fontId="132" fillId="59" borderId="106" xfId="3" applyFont="1" applyFill="1" applyBorder="1" applyAlignment="1">
      <alignment horizontal="center" vertical="center"/>
    </xf>
    <xf numFmtId="0" fontId="132" fillId="66" borderId="94" xfId="3" applyFont="1" applyFill="1" applyBorder="1" applyAlignment="1">
      <alignment horizontal="center" vertical="center"/>
    </xf>
    <xf numFmtId="0" fontId="132" fillId="66" borderId="106" xfId="3" applyFont="1" applyFill="1" applyBorder="1" applyAlignment="1">
      <alignment horizontal="center" vertical="center"/>
    </xf>
    <xf numFmtId="0" fontId="15" fillId="40" borderId="0" xfId="0" applyFont="1" applyFill="1" applyBorder="1" applyAlignment="1" applyProtection="1">
      <alignment horizontal="left" vertical="center"/>
      <protection locked="0"/>
    </xf>
    <xf numFmtId="0" fontId="73" fillId="15" borderId="118" xfId="1" applyFont="1" applyFill="1" applyBorder="1" applyAlignment="1" applyProtection="1">
      <alignment horizontal="center" vertical="center"/>
    </xf>
    <xf numFmtId="0" fontId="128" fillId="13" borderId="118" xfId="0" applyFont="1" applyFill="1" applyBorder="1" applyAlignment="1" applyProtection="1">
      <alignment horizontal="left" vertical="top" wrapText="1"/>
      <protection locked="0"/>
    </xf>
    <xf numFmtId="2" fontId="79" fillId="0" borderId="94" xfId="0" applyNumberFormat="1" applyFont="1" applyBorder="1" applyAlignment="1" applyProtection="1">
      <alignment horizontal="center" vertical="center" textRotation="90"/>
    </xf>
    <xf numFmtId="0" fontId="79" fillId="0" borderId="106" xfId="0" applyFont="1" applyBorder="1" applyAlignment="1" applyProtection="1">
      <alignment horizontal="center" vertical="center" textRotation="90"/>
    </xf>
    <xf numFmtId="0" fontId="24" fillId="40" borderId="0" xfId="0" applyFont="1" applyFill="1" applyBorder="1" applyAlignment="1" applyProtection="1">
      <alignment horizontal="left" vertical="center"/>
      <protection locked="0"/>
    </xf>
    <xf numFmtId="0" fontId="15" fillId="40" borderId="0" xfId="0" applyFont="1" applyFill="1" applyAlignment="1" applyProtection="1">
      <alignment horizontal="left" vertical="center"/>
      <protection locked="0"/>
    </xf>
    <xf numFmtId="0" fontId="18" fillId="0" borderId="119" xfId="1" applyFont="1" applyFill="1" applyBorder="1" applyAlignment="1" applyProtection="1">
      <alignment horizontal="center" vertical="center"/>
    </xf>
    <xf numFmtId="0" fontId="18" fillId="0" borderId="190" xfId="1" applyFont="1" applyFill="1" applyBorder="1" applyAlignment="1" applyProtection="1">
      <alignment horizontal="center" vertical="center"/>
    </xf>
    <xf numFmtId="0" fontId="18" fillId="0" borderId="122" xfId="1" applyFont="1" applyFill="1" applyBorder="1" applyAlignment="1" applyProtection="1">
      <alignment horizontal="center" vertical="center"/>
    </xf>
    <xf numFmtId="0" fontId="132" fillId="39" borderId="94" xfId="3" applyFont="1" applyFill="1" applyBorder="1" applyAlignment="1">
      <alignment horizontal="center" vertical="center" wrapText="1"/>
    </xf>
    <xf numFmtId="0" fontId="15" fillId="13" borderId="0" xfId="0" applyFont="1" applyFill="1" applyBorder="1" applyAlignment="1" applyProtection="1">
      <alignment horizontal="left" vertical="center"/>
    </xf>
    <xf numFmtId="0" fontId="130" fillId="0" borderId="118" xfId="1" applyFont="1" applyFill="1" applyBorder="1" applyAlignment="1" applyProtection="1">
      <alignment horizontal="center" vertical="center"/>
      <protection locked="0"/>
    </xf>
    <xf numFmtId="0" fontId="127" fillId="0" borderId="118" xfId="1" applyFont="1" applyFill="1" applyBorder="1" applyAlignment="1" applyProtection="1">
      <alignment horizontal="left" vertical="center" wrapText="1"/>
    </xf>
    <xf numFmtId="0" fontId="127" fillId="0" borderId="118" xfId="1" applyFont="1" applyFill="1" applyBorder="1" applyAlignment="1" applyProtection="1">
      <alignment horizontal="center" vertical="center"/>
    </xf>
    <xf numFmtId="0" fontId="19" fillId="0" borderId="118" xfId="1" applyFont="1" applyFill="1" applyBorder="1" applyAlignment="1" applyProtection="1">
      <alignment horizontal="center" vertical="center"/>
    </xf>
    <xf numFmtId="0" fontId="13" fillId="0" borderId="118" xfId="1" applyFont="1" applyBorder="1" applyAlignment="1" applyProtection="1">
      <alignment horizontal="center" vertical="center"/>
    </xf>
    <xf numFmtId="0" fontId="17" fillId="0" borderId="118" xfId="1" applyFont="1" applyFill="1" applyBorder="1" applyAlignment="1" applyProtection="1">
      <alignment horizontal="center" vertical="center"/>
    </xf>
    <xf numFmtId="0" fontId="78" fillId="15" borderId="118" xfId="0" applyFont="1" applyFill="1" applyBorder="1" applyAlignment="1" applyProtection="1">
      <alignment horizontal="center" vertical="center" wrapText="1"/>
    </xf>
    <xf numFmtId="0" fontId="73" fillId="15" borderId="118" xfId="1" applyFont="1" applyFill="1" applyBorder="1" applyAlignment="1" applyProtection="1">
      <alignment horizontal="left" vertical="center"/>
    </xf>
    <xf numFmtId="0" fontId="129" fillId="39" borderId="118" xfId="1" applyFont="1" applyFill="1" applyBorder="1" applyAlignment="1" applyProtection="1">
      <alignment horizontal="center" vertical="center"/>
    </xf>
    <xf numFmtId="0" fontId="111" fillId="0" borderId="109" xfId="0" applyFont="1" applyBorder="1" applyAlignment="1" applyProtection="1">
      <alignment horizontal="center"/>
    </xf>
    <xf numFmtId="0" fontId="111" fillId="0" borderId="110" xfId="0" applyFont="1" applyBorder="1" applyAlignment="1" applyProtection="1">
      <alignment horizontal="center"/>
    </xf>
    <xf numFmtId="0" fontId="111" fillId="0" borderId="111" xfId="0" applyFont="1" applyBorder="1" applyAlignment="1" applyProtection="1">
      <alignment horizontal="center"/>
    </xf>
    <xf numFmtId="0" fontId="111" fillId="0" borderId="113" xfId="0" applyFont="1" applyBorder="1" applyAlignment="1" applyProtection="1">
      <alignment horizontal="center"/>
    </xf>
    <xf numFmtId="0" fontId="111" fillId="0" borderId="114" xfId="0" applyFont="1" applyBorder="1" applyAlignment="1" applyProtection="1">
      <alignment horizontal="center"/>
    </xf>
    <xf numFmtId="0" fontId="111" fillId="0" borderId="115" xfId="0" applyFont="1" applyBorder="1" applyAlignment="1" applyProtection="1">
      <alignment horizontal="center"/>
    </xf>
    <xf numFmtId="0" fontId="0" fillId="0" borderId="112" xfId="0" applyBorder="1" applyAlignment="1" applyProtection="1">
      <alignment horizontal="center"/>
    </xf>
    <xf numFmtId="0" fontId="0" fillId="0" borderId="117" xfId="0" applyBorder="1" applyAlignment="1" applyProtection="1">
      <alignment horizontal="center"/>
    </xf>
    <xf numFmtId="0" fontId="0" fillId="0" borderId="116" xfId="0" applyBorder="1" applyAlignment="1" applyProtection="1">
      <alignment horizontal="center"/>
    </xf>
    <xf numFmtId="2" fontId="8" fillId="0" borderId="0" xfId="0" applyNumberFormat="1" applyFont="1" applyFill="1" applyBorder="1" applyAlignment="1" applyProtection="1">
      <alignment horizontal="center" vertical="center"/>
    </xf>
    <xf numFmtId="0" fontId="2" fillId="0" borderId="0" xfId="0" applyFont="1" applyFill="1" applyAlignment="1" applyProtection="1">
      <alignment horizontal="center" vertical="center"/>
    </xf>
    <xf numFmtId="2" fontId="8" fillId="0" borderId="5" xfId="0" applyNumberFormat="1" applyFont="1" applyBorder="1" applyAlignment="1" applyProtection="1">
      <alignment horizontal="center" vertical="center"/>
    </xf>
    <xf numFmtId="2" fontId="8" fillId="0" borderId="6" xfId="0" applyNumberFormat="1" applyFont="1" applyBorder="1" applyAlignment="1" applyProtection="1">
      <alignment horizontal="center" vertical="center"/>
    </xf>
    <xf numFmtId="2" fontId="8" fillId="0" borderId="5" xfId="0" applyNumberFormat="1" applyFont="1" applyFill="1" applyBorder="1" applyAlignment="1" applyProtection="1">
      <alignment horizontal="center" vertical="center"/>
    </xf>
    <xf numFmtId="2" fontId="8" fillId="0" borderId="6" xfId="0" applyNumberFormat="1" applyFont="1" applyFill="1" applyBorder="1" applyAlignment="1" applyProtection="1">
      <alignment horizontal="center" vertical="center"/>
    </xf>
    <xf numFmtId="2" fontId="6" fillId="0" borderId="4" xfId="1" applyNumberFormat="1" applyFont="1" applyFill="1" applyBorder="1" applyAlignment="1" applyProtection="1">
      <alignment horizontal="right" vertical="center" wrapText="1"/>
      <protection hidden="1"/>
    </xf>
    <xf numFmtId="2" fontId="6" fillId="36" borderId="8" xfId="1" applyNumberFormat="1" applyFont="1" applyFill="1" applyBorder="1" applyAlignment="1" applyProtection="1">
      <alignment horizontal="right" vertical="center" wrapText="1"/>
      <protection hidden="1"/>
    </xf>
    <xf numFmtId="2" fontId="6" fillId="37" borderId="8" xfId="1" applyNumberFormat="1" applyFont="1" applyFill="1" applyBorder="1" applyAlignment="1" applyProtection="1">
      <alignment horizontal="right" vertical="center" wrapText="1"/>
      <protection hidden="1"/>
    </xf>
    <xf numFmtId="0" fontId="36" fillId="0" borderId="27" xfId="3" applyFont="1" applyBorder="1" applyAlignment="1" applyProtection="1">
      <alignment horizontal="right" vertical="center"/>
      <protection locked="0"/>
    </xf>
    <xf numFmtId="2" fontId="2" fillId="0" borderId="0" xfId="0" applyNumberFormat="1" applyFont="1" applyFill="1" applyAlignment="1" applyProtection="1">
      <alignment horizontal="center" vertical="center"/>
    </xf>
    <xf numFmtId="0" fontId="8" fillId="0" borderId="6" xfId="0" applyFont="1" applyFill="1" applyBorder="1" applyAlignment="1" applyProtection="1">
      <alignment horizontal="center" vertical="center"/>
    </xf>
    <xf numFmtId="0" fontId="7" fillId="0" borderId="92" xfId="0" applyFont="1" applyBorder="1" applyAlignment="1" applyProtection="1">
      <alignment horizontal="center" vertical="center"/>
    </xf>
    <xf numFmtId="0" fontId="7" fillId="0" borderId="93" xfId="0" applyFont="1" applyBorder="1" applyAlignment="1" applyProtection="1">
      <alignment horizontal="center" vertical="center"/>
    </xf>
    <xf numFmtId="0" fontId="8" fillId="0" borderId="205" xfId="0" applyFont="1" applyBorder="1" applyAlignment="1" applyProtection="1">
      <alignment horizontal="center" vertical="center"/>
    </xf>
    <xf numFmtId="0" fontId="8" fillId="0" borderId="206" xfId="0" applyFont="1" applyBorder="1" applyAlignment="1" applyProtection="1">
      <alignment horizontal="center" vertical="center"/>
    </xf>
    <xf numFmtId="0" fontId="8" fillId="0" borderId="207" xfId="0" applyFont="1" applyBorder="1" applyAlignment="1" applyProtection="1">
      <alignment horizontal="center" vertical="center"/>
    </xf>
    <xf numFmtId="0" fontId="5" fillId="0" borderId="5" xfId="0" applyFont="1" applyFill="1" applyBorder="1" applyAlignment="1">
      <alignment horizontal="center" vertical="center"/>
    </xf>
    <xf numFmtId="0" fontId="5" fillId="0" borderId="6" xfId="0" applyFont="1" applyFill="1" applyBorder="1" applyAlignment="1">
      <alignment horizontal="center" vertical="center"/>
    </xf>
    <xf numFmtId="0" fontId="8" fillId="0" borderId="203" xfId="0" applyFont="1" applyBorder="1" applyAlignment="1" applyProtection="1">
      <alignment horizontal="center" vertical="center"/>
    </xf>
    <xf numFmtId="0" fontId="8" fillId="0" borderId="27" xfId="0" applyFont="1" applyBorder="1" applyAlignment="1" applyProtection="1">
      <alignment horizontal="center" vertical="center"/>
    </xf>
    <xf numFmtId="0" fontId="8" fillId="0" borderId="204" xfId="0" applyFont="1" applyBorder="1" applyAlignment="1" applyProtection="1">
      <alignment horizontal="center" vertical="center"/>
    </xf>
    <xf numFmtId="0" fontId="8" fillId="0" borderId="212" xfId="0" applyFont="1" applyBorder="1" applyAlignment="1" applyProtection="1">
      <alignment horizontal="center" vertical="center" wrapText="1"/>
    </xf>
    <xf numFmtId="0" fontId="8" fillId="0" borderId="25" xfId="0" applyFont="1" applyBorder="1" applyAlignment="1" applyProtection="1">
      <alignment horizontal="center" vertical="center" wrapText="1"/>
    </xf>
    <xf numFmtId="0" fontId="8" fillId="0" borderId="213" xfId="0" applyFont="1" applyBorder="1" applyAlignment="1" applyProtection="1">
      <alignment horizontal="center" vertical="center" wrapText="1"/>
    </xf>
    <xf numFmtId="0" fontId="8" fillId="0" borderId="26"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210" xfId="0" applyFont="1" applyBorder="1" applyAlignment="1" applyProtection="1">
      <alignment horizontal="center" vertical="center" wrapText="1"/>
    </xf>
    <xf numFmtId="0" fontId="5" fillId="0" borderId="24" xfId="0" applyFont="1" applyFill="1" applyBorder="1" applyAlignment="1">
      <alignment horizontal="center" vertical="center" wrapText="1"/>
    </xf>
    <xf numFmtId="0" fontId="8" fillId="0" borderId="28" xfId="0" applyFont="1" applyBorder="1" applyAlignment="1" applyProtection="1">
      <alignment horizontal="center" vertical="center"/>
    </xf>
    <xf numFmtId="0" fontId="8" fillId="0" borderId="208" xfId="0" applyFont="1" applyBorder="1" applyAlignment="1" applyProtection="1">
      <alignment horizontal="center" vertical="center"/>
    </xf>
    <xf numFmtId="0" fontId="8" fillId="0" borderId="209" xfId="0" applyFont="1" applyBorder="1" applyAlignment="1" applyProtection="1">
      <alignment horizontal="center" vertical="center"/>
    </xf>
    <xf numFmtId="0" fontId="8" fillId="0" borderId="211" xfId="0" applyFont="1" applyBorder="1" applyAlignment="1" applyProtection="1">
      <alignment horizontal="center" vertical="center"/>
    </xf>
    <xf numFmtId="0" fontId="5" fillId="0" borderId="24" xfId="0" applyFont="1" applyFill="1" applyBorder="1" applyAlignment="1">
      <alignment horizontal="center" vertical="center"/>
    </xf>
    <xf numFmtId="0" fontId="8" fillId="0" borderId="0" xfId="0" applyFont="1" applyAlignment="1" applyProtection="1">
      <alignment horizontal="center" vertical="center" wrapText="1"/>
    </xf>
    <xf numFmtId="0" fontId="40" fillId="80" borderId="0" xfId="0" applyFont="1" applyFill="1" applyBorder="1" applyAlignment="1" applyProtection="1">
      <alignment horizontal="right" vertical="center"/>
    </xf>
    <xf numFmtId="0" fontId="41" fillId="80" borderId="0" xfId="0" applyFont="1" applyFill="1" applyBorder="1" applyAlignment="1" applyProtection="1">
      <alignment horizontal="left" vertical="center"/>
    </xf>
    <xf numFmtId="0" fontId="37" fillId="13" borderId="0" xfId="0" applyFont="1" applyFill="1" applyBorder="1" applyAlignment="1" applyProtection="1">
      <alignment horizontal="left" vertical="center"/>
    </xf>
    <xf numFmtId="166" fontId="80" fillId="11" borderId="117" xfId="0" applyNumberFormat="1" applyFont="1" applyFill="1" applyBorder="1" applyAlignment="1">
      <alignment horizontal="center" vertical="center"/>
    </xf>
    <xf numFmtId="166" fontId="80" fillId="11" borderId="116" xfId="0" applyNumberFormat="1" applyFont="1" applyFill="1" applyBorder="1" applyAlignment="1">
      <alignment horizontal="center" vertical="center"/>
    </xf>
    <xf numFmtId="0" fontId="79" fillId="0" borderId="95" xfId="0" applyFont="1" applyBorder="1" applyAlignment="1">
      <alignment horizontal="left" vertical="center" wrapText="1"/>
    </xf>
    <xf numFmtId="0" fontId="79" fillId="0" borderId="96" xfId="0" applyFont="1" applyBorder="1" applyAlignment="1">
      <alignment horizontal="left" vertical="center" wrapText="1"/>
    </xf>
    <xf numFmtId="0" fontId="79" fillId="0" borderId="101" xfId="0" applyFont="1" applyBorder="1" applyAlignment="1">
      <alignment horizontal="left" vertical="center" wrapText="1"/>
    </xf>
    <xf numFmtId="0" fontId="79" fillId="0" borderId="0" xfId="0" applyFont="1" applyBorder="1" applyAlignment="1">
      <alignment horizontal="left" vertical="center" wrapText="1"/>
    </xf>
    <xf numFmtId="0" fontId="79" fillId="0" borderId="98" xfId="0" applyFont="1" applyBorder="1" applyAlignment="1">
      <alignment horizontal="left" vertical="center" wrapText="1"/>
    </xf>
    <xf numFmtId="0" fontId="79" fillId="0" borderId="99" xfId="0" applyFont="1" applyBorder="1" applyAlignment="1">
      <alignment horizontal="left" vertical="center" wrapText="1"/>
    </xf>
    <xf numFmtId="0" fontId="119" fillId="0" borderId="94" xfId="0" applyFont="1" applyBorder="1" applyAlignment="1">
      <alignment horizontal="center" vertical="center"/>
    </xf>
    <xf numFmtId="0" fontId="15" fillId="0" borderId="110" xfId="0" applyFont="1" applyBorder="1" applyAlignment="1">
      <alignment horizontal="center" vertical="center"/>
    </xf>
    <xf numFmtId="0" fontId="15" fillId="0" borderId="140" xfId="0" applyFont="1" applyBorder="1" applyAlignment="1">
      <alignment horizontal="center" vertical="center"/>
    </xf>
    <xf numFmtId="0" fontId="119" fillId="0" borderId="94" xfId="0" applyFont="1" applyBorder="1" applyAlignment="1" applyProtection="1">
      <alignment horizontal="center" vertical="center"/>
      <protection locked="0"/>
    </xf>
    <xf numFmtId="0" fontId="103" fillId="0" borderId="0" xfId="0" applyFont="1" applyAlignment="1">
      <alignment horizontal="left" vertical="center"/>
    </xf>
    <xf numFmtId="0" fontId="14" fillId="52" borderId="94" xfId="0" applyFont="1" applyFill="1" applyBorder="1" applyAlignment="1">
      <alignment horizontal="center" vertical="center" wrapText="1"/>
    </xf>
    <xf numFmtId="0" fontId="123" fillId="0" borderId="94" xfId="0" applyFont="1" applyFill="1" applyBorder="1" applyAlignment="1">
      <alignment horizontal="left" vertical="center" wrapText="1"/>
    </xf>
    <xf numFmtId="0" fontId="1" fillId="0" borderId="94" xfId="0" applyFont="1" applyFill="1" applyBorder="1" applyAlignment="1">
      <alignment horizontal="center" vertical="center" wrapText="1"/>
    </xf>
    <xf numFmtId="0" fontId="22" fillId="10" borderId="94" xfId="0" applyFont="1" applyFill="1" applyBorder="1" applyAlignment="1">
      <alignment horizontal="center"/>
    </xf>
    <xf numFmtId="0" fontId="92" fillId="0" borderId="95" xfId="0" applyFont="1" applyFill="1" applyBorder="1" applyAlignment="1">
      <alignment horizontal="center" vertical="center"/>
    </xf>
    <xf numFmtId="0" fontId="92" fillId="0" borderId="96" xfId="0" applyFont="1" applyFill="1" applyBorder="1" applyAlignment="1">
      <alignment horizontal="center" vertical="center"/>
    </xf>
    <xf numFmtId="0" fontId="92" fillId="0" borderId="97" xfId="0" applyFont="1" applyFill="1" applyBorder="1" applyAlignment="1">
      <alignment horizontal="center" vertical="center"/>
    </xf>
    <xf numFmtId="0" fontId="92" fillId="0" borderId="98" xfId="0" applyFont="1" applyFill="1" applyBorder="1" applyAlignment="1">
      <alignment horizontal="center" vertical="center"/>
    </xf>
    <xf numFmtId="0" fontId="92" fillId="0" borderId="99" xfId="0" applyFont="1" applyFill="1" applyBorder="1" applyAlignment="1">
      <alignment horizontal="center" vertical="center"/>
    </xf>
    <xf numFmtId="0" fontId="92" fillId="0" borderId="100" xfId="0" applyFont="1" applyFill="1" applyBorder="1" applyAlignment="1">
      <alignment horizontal="center" vertical="center"/>
    </xf>
    <xf numFmtId="0" fontId="79" fillId="0" borderId="103" xfId="0" applyFont="1" applyBorder="1" applyAlignment="1">
      <alignment horizontal="left" vertical="center" wrapText="1"/>
    </xf>
    <xf numFmtId="0" fontId="79" fillId="0" borderId="104" xfId="0" applyFont="1" applyBorder="1" applyAlignment="1">
      <alignment horizontal="left" vertical="center" wrapText="1"/>
    </xf>
    <xf numFmtId="0" fontId="79" fillId="0" borderId="105" xfId="0" applyFont="1" applyBorder="1" applyAlignment="1">
      <alignment horizontal="left" vertical="center" wrapText="1"/>
    </xf>
    <xf numFmtId="0" fontId="15" fillId="0" borderId="95" xfId="0" applyFont="1" applyBorder="1" applyAlignment="1" applyProtection="1">
      <alignment horizontal="left" vertical="top" wrapText="1"/>
      <protection locked="0"/>
    </xf>
    <xf numFmtId="0" fontId="15" fillId="0" borderId="96" xfId="0" applyFont="1" applyBorder="1" applyAlignment="1" applyProtection="1">
      <alignment horizontal="left" vertical="top" wrapText="1"/>
      <protection locked="0"/>
    </xf>
    <xf numFmtId="0" fontId="15" fillId="0" borderId="97" xfId="0" applyFont="1" applyBorder="1" applyAlignment="1" applyProtection="1">
      <alignment horizontal="left" vertical="top" wrapText="1"/>
      <protection locked="0"/>
    </xf>
    <xf numFmtId="0" fontId="15" fillId="0" borderId="101" xfId="0" applyFont="1" applyBorder="1" applyAlignment="1" applyProtection="1">
      <alignment horizontal="left" vertical="top" wrapText="1"/>
      <protection locked="0"/>
    </xf>
    <xf numFmtId="0" fontId="15" fillId="0" borderId="0" xfId="0" applyFont="1" applyBorder="1" applyAlignment="1" applyProtection="1">
      <alignment horizontal="left" vertical="top" wrapText="1"/>
      <protection locked="0"/>
    </xf>
    <xf numFmtId="0" fontId="15" fillId="0" borderId="102" xfId="0" applyFont="1" applyBorder="1" applyAlignment="1" applyProtection="1">
      <alignment horizontal="left" vertical="top" wrapText="1"/>
      <protection locked="0"/>
    </xf>
    <xf numFmtId="0" fontId="15" fillId="0" borderId="98" xfId="0" applyFont="1" applyBorder="1" applyAlignment="1" applyProtection="1">
      <alignment horizontal="left" vertical="top" wrapText="1"/>
      <protection locked="0"/>
    </xf>
    <xf numFmtId="0" fontId="15" fillId="0" borderId="99" xfId="0" applyFont="1" applyBorder="1" applyAlignment="1" applyProtection="1">
      <alignment horizontal="left" vertical="top" wrapText="1"/>
      <protection locked="0"/>
    </xf>
    <xf numFmtId="0" fontId="15" fillId="0" borderId="100" xfId="0" applyFont="1" applyBorder="1" applyAlignment="1" applyProtection="1">
      <alignment horizontal="left" vertical="top" wrapText="1"/>
      <protection locked="0"/>
    </xf>
    <xf numFmtId="166" fontId="87" fillId="43" borderId="94" xfId="0" applyNumberFormat="1" applyFont="1" applyFill="1" applyBorder="1" applyAlignment="1">
      <alignment horizontal="center" vertical="center"/>
    </xf>
    <xf numFmtId="0" fontId="79" fillId="0" borderId="94" xfId="0" applyFont="1" applyFill="1" applyBorder="1" applyAlignment="1">
      <alignment horizontal="left" vertical="center" wrapText="1"/>
    </xf>
    <xf numFmtId="166" fontId="87" fillId="37" borderId="116" xfId="0" applyNumberFormat="1" applyFont="1" applyFill="1" applyBorder="1" applyAlignment="1">
      <alignment horizontal="center" vertical="center" wrapText="1"/>
    </xf>
    <xf numFmtId="166" fontId="87" fillId="37" borderId="118" xfId="0" applyNumberFormat="1" applyFont="1" applyFill="1" applyBorder="1" applyAlignment="1">
      <alignment horizontal="center" vertical="center" wrapText="1"/>
    </xf>
    <xf numFmtId="0" fontId="79" fillId="0" borderId="123" xfId="0" applyFont="1" applyBorder="1" applyAlignment="1">
      <alignment horizontal="left" vertical="center" wrapText="1"/>
    </xf>
    <xf numFmtId="0" fontId="79" fillId="0" borderId="97" xfId="0" applyFont="1" applyBorder="1" applyAlignment="1">
      <alignment horizontal="left" vertical="center" wrapText="1"/>
    </xf>
    <xf numFmtId="0" fontId="79" fillId="0" borderId="121" xfId="0" applyFont="1" applyBorder="1" applyAlignment="1">
      <alignment horizontal="left" vertical="center" wrapText="1"/>
    </xf>
    <xf numFmtId="0" fontId="79" fillId="0" borderId="102" xfId="0" applyFont="1" applyBorder="1" applyAlignment="1">
      <alignment horizontal="left" vertical="center" wrapText="1"/>
    </xf>
    <xf numFmtId="0" fontId="79" fillId="0" borderId="113" xfId="0" applyFont="1" applyBorder="1" applyAlignment="1">
      <alignment horizontal="left" vertical="center" wrapText="1"/>
    </xf>
    <xf numFmtId="0" fontId="79" fillId="0" borderId="114" xfId="0" applyFont="1" applyBorder="1" applyAlignment="1">
      <alignment horizontal="left" vertical="center" wrapText="1"/>
    </xf>
    <xf numFmtId="0" fontId="79" fillId="0" borderId="125" xfId="0" applyFont="1" applyBorder="1" applyAlignment="1">
      <alignment horizontal="left" vertical="center" wrapText="1"/>
    </xf>
    <xf numFmtId="0" fontId="119" fillId="0" borderId="112" xfId="0" applyFont="1" applyBorder="1" applyAlignment="1" applyProtection="1">
      <alignment horizontal="center" vertical="center"/>
      <protection locked="0"/>
    </xf>
    <xf numFmtId="0" fontId="119" fillId="0" borderId="117" xfId="0" applyFont="1" applyBorder="1" applyAlignment="1" applyProtection="1">
      <alignment horizontal="center" vertical="center"/>
      <protection locked="0"/>
    </xf>
    <xf numFmtId="0" fontId="119" fillId="0" borderId="116" xfId="0" applyFont="1" applyBorder="1" applyAlignment="1" applyProtection="1">
      <alignment horizontal="center" vertical="center"/>
      <protection locked="0"/>
    </xf>
    <xf numFmtId="166" fontId="87" fillId="42" borderId="94" xfId="0" applyNumberFormat="1" applyFont="1" applyFill="1" applyBorder="1" applyAlignment="1">
      <alignment horizontal="center" vertical="center"/>
    </xf>
    <xf numFmtId="0" fontId="104" fillId="59" borderId="94" xfId="0" applyFont="1" applyFill="1" applyBorder="1" applyAlignment="1">
      <alignment horizontal="center" vertical="center" wrapText="1"/>
    </xf>
    <xf numFmtId="0" fontId="124" fillId="0" borderId="109" xfId="0" applyFont="1" applyFill="1" applyBorder="1" applyAlignment="1">
      <alignment horizontal="left" vertical="center" wrapText="1"/>
    </xf>
    <xf numFmtId="0" fontId="124" fillId="0" borderId="110" xfId="0" applyFont="1" applyFill="1" applyBorder="1" applyAlignment="1">
      <alignment horizontal="left" vertical="center" wrapText="1"/>
    </xf>
    <xf numFmtId="0" fontId="124" fillId="0" borderId="113" xfId="0" applyFont="1" applyFill="1" applyBorder="1" applyAlignment="1">
      <alignment horizontal="left" vertical="center" wrapText="1"/>
    </xf>
    <xf numFmtId="0" fontId="124" fillId="0" borderId="114" xfId="0" applyFont="1" applyFill="1" applyBorder="1" applyAlignment="1">
      <alignment horizontal="left" vertical="center" wrapText="1"/>
    </xf>
    <xf numFmtId="0" fontId="15" fillId="0" borderId="94" xfId="0" applyFont="1" applyFill="1" applyBorder="1" applyAlignment="1">
      <alignment horizontal="left" vertical="center" wrapText="1"/>
    </xf>
    <xf numFmtId="0" fontId="54" fillId="13" borderId="0" xfId="0" applyFont="1" applyFill="1" applyBorder="1" applyAlignment="1" applyProtection="1">
      <alignment horizontal="center" vertical="center"/>
      <protection locked="0"/>
    </xf>
    <xf numFmtId="0" fontId="54" fillId="13" borderId="99" xfId="0" applyFont="1" applyFill="1" applyBorder="1" applyAlignment="1" applyProtection="1">
      <alignment horizontal="center" vertical="center"/>
      <protection locked="0"/>
    </xf>
    <xf numFmtId="0" fontId="85" fillId="13" borderId="0" xfId="0" applyFont="1" applyFill="1" applyBorder="1" applyAlignment="1" applyProtection="1">
      <alignment horizontal="center" vertical="center" wrapText="1"/>
      <protection locked="0"/>
    </xf>
    <xf numFmtId="0" fontId="85" fillId="13" borderId="99" xfId="0" applyFont="1" applyFill="1" applyBorder="1" applyAlignment="1" applyProtection="1">
      <alignment horizontal="center" vertical="center" wrapText="1"/>
      <protection locked="0"/>
    </xf>
    <xf numFmtId="0" fontId="79" fillId="0" borderId="95" xfId="0" applyFont="1" applyBorder="1" applyAlignment="1" applyProtection="1">
      <alignment horizontal="center" vertical="center" wrapText="1"/>
      <protection locked="0"/>
    </xf>
    <xf numFmtId="0" fontId="79" fillId="0" borderId="96" xfId="0" applyFont="1" applyBorder="1" applyAlignment="1" applyProtection="1">
      <alignment horizontal="center" vertical="center" wrapText="1"/>
      <protection locked="0"/>
    </xf>
    <xf numFmtId="0" fontId="79" fillId="0" borderId="97" xfId="0" applyFont="1" applyBorder="1" applyAlignment="1" applyProtection="1">
      <alignment horizontal="center" vertical="center" wrapText="1"/>
      <protection locked="0"/>
    </xf>
    <xf numFmtId="0" fontId="79" fillId="0" borderId="98" xfId="0" applyFont="1" applyBorder="1" applyAlignment="1" applyProtection="1">
      <alignment horizontal="center" vertical="center" wrapText="1"/>
      <protection locked="0"/>
    </xf>
    <xf numFmtId="0" fontId="79" fillId="0" borderId="99" xfId="0" applyFont="1" applyBorder="1" applyAlignment="1" applyProtection="1">
      <alignment horizontal="center" vertical="center" wrapText="1"/>
      <protection locked="0"/>
    </xf>
    <xf numFmtId="0" fontId="79" fillId="0" borderId="100" xfId="0" applyFont="1" applyBorder="1" applyAlignment="1" applyProtection="1">
      <alignment horizontal="center" vertical="center" wrapText="1"/>
      <protection locked="0"/>
    </xf>
    <xf numFmtId="0" fontId="88" fillId="0" borderId="106" xfId="0" applyFont="1" applyBorder="1" applyAlignment="1" applyProtection="1">
      <alignment horizontal="center" vertical="center"/>
      <protection locked="0"/>
    </xf>
    <xf numFmtId="0" fontId="88" fillId="0" borderId="108" xfId="0" applyFont="1" applyBorder="1" applyAlignment="1" applyProtection="1">
      <alignment horizontal="center" vertical="center"/>
      <protection locked="0"/>
    </xf>
    <xf numFmtId="0" fontId="86" fillId="0" borderId="95" xfId="0" applyFont="1" applyBorder="1" applyAlignment="1">
      <alignment horizontal="center" vertical="center" wrapText="1"/>
    </xf>
    <xf numFmtId="0" fontId="86" fillId="0" borderId="96" xfId="0" applyFont="1" applyBorder="1" applyAlignment="1">
      <alignment horizontal="center" vertical="center" wrapText="1"/>
    </xf>
    <xf numFmtId="0" fontId="86" fillId="0" borderId="97" xfId="0" applyFont="1" applyBorder="1" applyAlignment="1">
      <alignment horizontal="center" vertical="center" wrapText="1"/>
    </xf>
    <xf numFmtId="0" fontId="86" fillId="0" borderId="98" xfId="0" applyFont="1" applyBorder="1" applyAlignment="1">
      <alignment horizontal="center" vertical="center" wrapText="1"/>
    </xf>
    <xf numFmtId="0" fontId="86" fillId="0" borderId="99" xfId="0" applyFont="1" applyBorder="1" applyAlignment="1">
      <alignment horizontal="center" vertical="center" wrapText="1"/>
    </xf>
    <xf numFmtId="0" fontId="86" fillId="0" borderId="100" xfId="0" applyFont="1" applyBorder="1" applyAlignment="1">
      <alignment horizontal="center" vertical="center" wrapText="1"/>
    </xf>
    <xf numFmtId="0" fontId="85" fillId="13" borderId="101" xfId="0" applyFont="1" applyFill="1" applyBorder="1" applyAlignment="1" applyProtection="1">
      <alignment horizontal="center" vertical="center" wrapText="1"/>
      <protection locked="0"/>
    </xf>
    <xf numFmtId="0" fontId="85" fillId="13" borderId="98" xfId="0" applyFont="1" applyFill="1" applyBorder="1" applyAlignment="1" applyProtection="1">
      <alignment horizontal="center" vertical="center" wrapText="1"/>
      <protection locked="0"/>
    </xf>
    <xf numFmtId="0" fontId="79" fillId="0" borderId="94" xfId="0" applyFont="1" applyBorder="1" applyAlignment="1">
      <alignment vertical="center" wrapText="1"/>
    </xf>
    <xf numFmtId="166" fontId="87" fillId="42" borderId="94" xfId="0" applyNumberFormat="1" applyFont="1" applyFill="1" applyBorder="1" applyAlignment="1">
      <alignment horizontal="center" vertical="center" wrapText="1"/>
    </xf>
    <xf numFmtId="0" fontId="117" fillId="0" borderId="144" xfId="0" applyFont="1" applyFill="1" applyBorder="1" applyAlignment="1">
      <alignment horizontal="left" vertical="center" wrapText="1"/>
    </xf>
    <xf numFmtId="0" fontId="117" fillId="0" borderId="0" xfId="0" applyFont="1" applyFill="1" applyBorder="1" applyAlignment="1">
      <alignment horizontal="left" vertical="center" wrapText="1"/>
    </xf>
    <xf numFmtId="0" fontId="22" fillId="16" borderId="94" xfId="0" applyFont="1" applyFill="1" applyBorder="1" applyAlignment="1">
      <alignment horizontal="center"/>
    </xf>
    <xf numFmtId="0" fontId="120" fillId="0" borderId="94" xfId="0" applyFont="1" applyFill="1" applyBorder="1" applyAlignment="1">
      <alignment horizontal="left" vertical="center" wrapText="1"/>
    </xf>
    <xf numFmtId="0" fontId="118" fillId="0" borderId="0" xfId="0" applyFont="1" applyBorder="1" applyAlignment="1">
      <alignment horizontal="center" vertical="center"/>
    </xf>
    <xf numFmtId="0" fontId="79" fillId="0" borderId="139" xfId="0" applyFont="1" applyFill="1" applyBorder="1" applyAlignment="1">
      <alignment vertical="center" wrapText="1"/>
    </xf>
    <xf numFmtId="0" fontId="79" fillId="0" borderId="110" xfId="0" applyFont="1" applyFill="1" applyBorder="1" applyAlignment="1">
      <alignment vertical="center" wrapText="1"/>
    </xf>
    <xf numFmtId="0" fontId="79" fillId="0" borderId="111" xfId="0" applyFont="1" applyFill="1" applyBorder="1" applyAlignment="1">
      <alignment vertical="center" wrapText="1"/>
    </xf>
    <xf numFmtId="0" fontId="79" fillId="0" borderId="101" xfId="0" applyFont="1" applyFill="1" applyBorder="1" applyAlignment="1">
      <alignment vertical="center" wrapText="1"/>
    </xf>
    <xf numFmtId="0" fontId="79" fillId="0" borderId="0" xfId="0" applyFont="1" applyFill="1" applyBorder="1" applyAlignment="1">
      <alignment vertical="center" wrapText="1"/>
    </xf>
    <xf numFmtId="0" fontId="79" fillId="0" borderId="120" xfId="0" applyFont="1" applyFill="1" applyBorder="1" applyAlignment="1">
      <alignment vertical="center" wrapText="1"/>
    </xf>
    <xf numFmtId="0" fontId="119" fillId="0" borderId="128" xfId="0" applyFont="1" applyBorder="1" applyAlignment="1" applyProtection="1">
      <alignment horizontal="center" vertical="center"/>
      <protection locked="0"/>
    </xf>
    <xf numFmtId="0" fontId="16" fillId="13" borderId="94" xfId="0" applyFont="1" applyFill="1" applyBorder="1" applyAlignment="1">
      <alignment horizontal="center" vertical="center" wrapText="1"/>
    </xf>
    <xf numFmtId="0" fontId="16" fillId="13" borderId="0" xfId="0" applyFont="1" applyFill="1" applyBorder="1" applyAlignment="1">
      <alignment horizontal="center" vertical="center" wrapText="1"/>
    </xf>
    <xf numFmtId="0" fontId="87" fillId="23" borderId="105" xfId="0" applyFont="1" applyFill="1" applyBorder="1" applyAlignment="1" applyProtection="1">
      <alignment horizontal="center" vertical="center" wrapText="1"/>
      <protection locked="0"/>
    </xf>
    <xf numFmtId="0" fontId="96" fillId="0" borderId="110" xfId="0" applyFont="1" applyFill="1" applyBorder="1" applyAlignment="1">
      <alignment horizontal="left" vertical="center" wrapText="1"/>
    </xf>
    <xf numFmtId="0" fontId="96" fillId="0" borderId="111" xfId="0" applyFont="1" applyFill="1" applyBorder="1" applyAlignment="1">
      <alignment horizontal="left" vertical="center" wrapText="1"/>
    </xf>
    <xf numFmtId="0" fontId="96" fillId="0" borderId="114" xfId="0" applyFont="1" applyFill="1" applyBorder="1" applyAlignment="1">
      <alignment horizontal="left" vertical="center" wrapText="1"/>
    </xf>
    <xf numFmtId="0" fontId="96" fillId="0" borderId="115" xfId="0" applyFont="1" applyFill="1" applyBorder="1" applyAlignment="1">
      <alignment horizontal="left" vertical="center" wrapText="1"/>
    </xf>
    <xf numFmtId="0" fontId="16" fillId="13" borderId="112" xfId="0" applyFont="1" applyFill="1" applyBorder="1" applyAlignment="1">
      <alignment horizontal="center" vertical="center" wrapText="1"/>
    </xf>
    <xf numFmtId="0" fontId="16" fillId="13" borderId="116" xfId="0" applyFont="1" applyFill="1" applyBorder="1" applyAlignment="1">
      <alignment horizontal="center" vertical="center" wrapText="1"/>
    </xf>
    <xf numFmtId="166" fontId="87" fillId="37" borderId="94" xfId="0" applyNumberFormat="1" applyFont="1" applyFill="1" applyBorder="1" applyAlignment="1">
      <alignment horizontal="center" vertical="center" wrapText="1"/>
    </xf>
    <xf numFmtId="0" fontId="80" fillId="15" borderId="94" xfId="0" applyFont="1" applyFill="1" applyBorder="1" applyAlignment="1">
      <alignment vertical="center" textRotation="90" wrapText="1"/>
    </xf>
    <xf numFmtId="0" fontId="15" fillId="0" borderId="96" xfId="0" applyFont="1" applyBorder="1" applyAlignment="1">
      <alignment horizontal="right" vertical="center"/>
    </xf>
    <xf numFmtId="0" fontId="15" fillId="0" borderId="124" xfId="0" applyFont="1" applyBorder="1" applyAlignment="1">
      <alignment horizontal="right" vertical="center"/>
    </xf>
    <xf numFmtId="0" fontId="15" fillId="0" borderId="0" xfId="0" applyFont="1" applyBorder="1" applyAlignment="1">
      <alignment horizontal="right" vertical="center"/>
    </xf>
    <xf numFmtId="0" fontId="15" fillId="0" borderId="120" xfId="0" applyFont="1" applyBorder="1" applyAlignment="1">
      <alignment horizontal="right" vertical="center"/>
    </xf>
    <xf numFmtId="166" fontId="87" fillId="11" borderId="94" xfId="0" applyNumberFormat="1" applyFont="1" applyFill="1" applyBorder="1" applyAlignment="1">
      <alignment horizontal="center" vertical="center"/>
    </xf>
    <xf numFmtId="0" fontId="79" fillId="0" borderId="124" xfId="0" applyFont="1" applyBorder="1" applyAlignment="1">
      <alignment horizontal="left" vertical="center" wrapText="1"/>
    </xf>
    <xf numFmtId="0" fontId="79" fillId="0" borderId="120" xfId="0" applyFont="1" applyBorder="1" applyAlignment="1">
      <alignment horizontal="left" vertical="center" wrapText="1"/>
    </xf>
    <xf numFmtId="0" fontId="79" fillId="0" borderId="146" xfId="0" applyFont="1" applyBorder="1" applyAlignment="1">
      <alignment horizontal="left" vertical="center" wrapText="1"/>
    </xf>
    <xf numFmtId="0" fontId="119" fillId="0" borderId="137" xfId="0" applyFont="1" applyBorder="1" applyAlignment="1" applyProtection="1">
      <alignment horizontal="center" vertical="center"/>
      <protection locked="0"/>
    </xf>
    <xf numFmtId="0" fontId="119" fillId="0" borderId="135" xfId="0" applyFont="1" applyBorder="1" applyAlignment="1" applyProtection="1">
      <alignment horizontal="center" vertical="center"/>
      <protection locked="0"/>
    </xf>
    <xf numFmtId="0" fontId="119" fillId="0" borderId="138" xfId="0" applyFont="1" applyBorder="1" applyAlignment="1" applyProtection="1">
      <alignment horizontal="center" vertical="center"/>
      <protection locked="0"/>
    </xf>
    <xf numFmtId="0" fontId="15" fillId="0" borderId="97" xfId="0" applyFont="1" applyBorder="1" applyAlignment="1">
      <alignment horizontal="right" vertical="center"/>
    </xf>
    <xf numFmtId="0" fontId="124" fillId="0" borderId="111" xfId="0" applyFont="1" applyFill="1" applyBorder="1" applyAlignment="1">
      <alignment horizontal="left" vertical="center" wrapText="1"/>
    </xf>
    <xf numFmtId="0" fontId="124" fillId="0" borderId="115" xfId="0" applyFont="1" applyFill="1" applyBorder="1" applyAlignment="1">
      <alignment horizontal="left" vertical="center" wrapText="1"/>
    </xf>
    <xf numFmtId="0" fontId="103" fillId="0" borderId="0" xfId="0" applyFont="1" applyBorder="1" applyAlignment="1">
      <alignment horizontal="left" vertical="center"/>
    </xf>
    <xf numFmtId="0" fontId="103" fillId="0" borderId="99" xfId="0" applyFont="1" applyBorder="1" applyAlignment="1">
      <alignment horizontal="left" vertical="center"/>
    </xf>
    <xf numFmtId="0" fontId="79" fillId="0" borderId="94" xfId="0" applyFont="1" applyBorder="1" applyAlignment="1">
      <alignment horizontal="left" vertical="center" wrapText="1"/>
    </xf>
    <xf numFmtId="0" fontId="90" fillId="19" borderId="94" xfId="0" applyFont="1" applyFill="1" applyBorder="1" applyAlignment="1">
      <alignment horizontal="left" vertical="center" wrapText="1"/>
    </xf>
    <xf numFmtId="0" fontId="1" fillId="23" borderId="94" xfId="0" applyFont="1" applyFill="1" applyBorder="1" applyAlignment="1">
      <alignment horizontal="left" vertical="center"/>
    </xf>
    <xf numFmtId="0" fontId="96" fillId="0" borderId="94" xfId="0" applyFont="1" applyFill="1" applyBorder="1" applyAlignment="1">
      <alignment horizontal="left" vertical="center" wrapText="1"/>
    </xf>
    <xf numFmtId="0" fontId="91" fillId="0" borderId="94" xfId="0" applyFont="1" applyFill="1" applyBorder="1" applyAlignment="1">
      <alignment horizontal="left" vertical="center"/>
    </xf>
    <xf numFmtId="0" fontId="90" fillId="18" borderId="94" xfId="0" applyFont="1" applyFill="1" applyBorder="1" applyAlignment="1">
      <alignment horizontal="left" vertical="center" wrapText="1"/>
    </xf>
    <xf numFmtId="0" fontId="94" fillId="0" borderId="94" xfId="0" applyFont="1" applyFill="1" applyBorder="1" applyAlignment="1">
      <alignment horizontal="left" vertical="center" wrapText="1"/>
    </xf>
    <xf numFmtId="0" fontId="90" fillId="26" borderId="94" xfId="0" applyFont="1" applyFill="1" applyBorder="1" applyAlignment="1">
      <alignment horizontal="left" vertical="center" wrapText="1"/>
    </xf>
    <xf numFmtId="0" fontId="101" fillId="0" borderId="94" xfId="0" applyFont="1" applyFill="1" applyBorder="1" applyAlignment="1">
      <alignment horizontal="left" vertical="center" wrapText="1"/>
    </xf>
    <xf numFmtId="0" fontId="90" fillId="37" borderId="94" xfId="0" applyFont="1" applyFill="1" applyBorder="1" applyAlignment="1">
      <alignment horizontal="left" vertical="center" wrapText="1"/>
    </xf>
    <xf numFmtId="0" fontId="53" fillId="0" borderId="94" xfId="0" applyFont="1" applyFill="1" applyBorder="1" applyAlignment="1">
      <alignment horizontal="left" vertical="center"/>
    </xf>
    <xf numFmtId="0" fontId="90" fillId="21" borderId="94" xfId="0" applyFont="1" applyFill="1" applyBorder="1" applyAlignment="1">
      <alignment horizontal="left" vertical="center" wrapText="1"/>
    </xf>
    <xf numFmtId="0" fontId="95" fillId="0" borderId="94" xfId="0" applyFont="1" applyFill="1" applyBorder="1" applyAlignment="1">
      <alignment horizontal="left" vertical="center" wrapText="1"/>
    </xf>
    <xf numFmtId="0" fontId="116" fillId="0" borderId="94" xfId="0" applyFont="1" applyFill="1" applyBorder="1" applyAlignment="1">
      <alignment horizontal="left" vertical="center" wrapText="1"/>
    </xf>
    <xf numFmtId="166" fontId="87" fillId="43" borderId="107" xfId="0" applyNumberFormat="1" applyFont="1" applyFill="1" applyBorder="1" applyAlignment="1">
      <alignment horizontal="center" vertical="center"/>
    </xf>
    <xf numFmtId="166" fontId="87" fillId="43" borderId="108" xfId="0" applyNumberFormat="1" applyFont="1" applyFill="1" applyBorder="1" applyAlignment="1">
      <alignment horizontal="center" vertical="center"/>
    </xf>
    <xf numFmtId="0" fontId="79" fillId="0" borderId="100" xfId="0" applyFont="1" applyBorder="1" applyAlignment="1">
      <alignment horizontal="left" vertical="center" wrapText="1"/>
    </xf>
    <xf numFmtId="166" fontId="87" fillId="37" borderId="135" xfId="0" applyNumberFormat="1" applyFont="1" applyFill="1" applyBorder="1" applyAlignment="1">
      <alignment horizontal="center" vertical="center" wrapText="1"/>
    </xf>
    <xf numFmtId="166" fontId="87" fillId="37" borderId="136" xfId="0" applyNumberFormat="1" applyFont="1" applyFill="1" applyBorder="1" applyAlignment="1">
      <alignment horizontal="center" vertical="center" wrapText="1"/>
    </xf>
    <xf numFmtId="0" fontId="79" fillId="0" borderId="121" xfId="0" applyFont="1" applyFill="1" applyBorder="1" applyAlignment="1">
      <alignment horizontal="left" vertical="center" wrapText="1"/>
    </xf>
    <xf numFmtId="0" fontId="79" fillId="0" borderId="0" xfId="0" applyFont="1" applyFill="1" applyBorder="1" applyAlignment="1">
      <alignment horizontal="left" vertical="center" wrapText="1"/>
    </xf>
    <xf numFmtId="0" fontId="79" fillId="0" borderId="120" xfId="0" applyFont="1" applyFill="1" applyBorder="1" applyAlignment="1">
      <alignment horizontal="left" vertical="center" wrapText="1"/>
    </xf>
    <xf numFmtId="0" fontId="79" fillId="0" borderId="113" xfId="0" applyFont="1" applyFill="1" applyBorder="1" applyAlignment="1">
      <alignment horizontal="left" vertical="center" wrapText="1"/>
    </xf>
    <xf numFmtId="0" fontId="79" fillId="0" borderId="114" xfId="0" applyFont="1" applyFill="1" applyBorder="1" applyAlignment="1">
      <alignment horizontal="left" vertical="center" wrapText="1"/>
    </xf>
    <xf numFmtId="0" fontId="79" fillId="0" borderId="115" xfId="0" applyFont="1" applyFill="1" applyBorder="1" applyAlignment="1">
      <alignment horizontal="left" vertical="center" wrapText="1"/>
    </xf>
    <xf numFmtId="166" fontId="87" fillId="37" borderId="106" xfId="0" applyNumberFormat="1" applyFont="1" applyFill="1" applyBorder="1" applyAlignment="1">
      <alignment horizontal="center" vertical="center" wrapText="1"/>
    </xf>
    <xf numFmtId="166" fontId="87" fillId="37" borderId="107" xfId="0" applyNumberFormat="1" applyFont="1" applyFill="1" applyBorder="1" applyAlignment="1">
      <alignment horizontal="center" vertical="center" wrapText="1"/>
    </xf>
    <xf numFmtId="166" fontId="87" fillId="37" borderId="108" xfId="0" applyNumberFormat="1" applyFont="1" applyFill="1" applyBorder="1" applyAlignment="1">
      <alignment horizontal="center" vertical="center" wrapText="1"/>
    </xf>
    <xf numFmtId="166" fontId="87" fillId="43" borderId="106" xfId="0" applyNumberFormat="1" applyFont="1" applyFill="1" applyBorder="1" applyAlignment="1">
      <alignment horizontal="center" vertical="center"/>
    </xf>
    <xf numFmtId="0" fontId="79" fillId="0" borderId="115" xfId="0" applyFont="1" applyBorder="1" applyAlignment="1">
      <alignment horizontal="left" vertical="center" wrapText="1"/>
    </xf>
    <xf numFmtId="166" fontId="87" fillId="37" borderId="138" xfId="0" applyNumberFormat="1" applyFont="1" applyFill="1" applyBorder="1" applyAlignment="1">
      <alignment horizontal="center" vertical="center" wrapText="1"/>
    </xf>
    <xf numFmtId="166" fontId="87" fillId="42" borderId="106" xfId="0" applyNumberFormat="1" applyFont="1" applyFill="1" applyBorder="1" applyAlignment="1">
      <alignment horizontal="center" vertical="center"/>
    </xf>
    <xf numFmtId="166" fontId="87" fillId="42" borderId="107" xfId="0" applyNumberFormat="1" applyFont="1" applyFill="1" applyBorder="1" applyAlignment="1">
      <alignment horizontal="center" vertical="center"/>
    </xf>
    <xf numFmtId="166" fontId="87" fillId="42" borderId="108" xfId="0" applyNumberFormat="1" applyFont="1" applyFill="1" applyBorder="1" applyAlignment="1">
      <alignment horizontal="center" vertical="center"/>
    </xf>
    <xf numFmtId="0" fontId="79" fillId="0" borderId="123" xfId="0" applyFont="1" applyFill="1" applyBorder="1" applyAlignment="1">
      <alignment horizontal="left" vertical="center" wrapText="1"/>
    </xf>
    <xf numFmtId="0" fontId="79" fillId="0" borderId="96" xfId="0" applyFont="1" applyFill="1" applyBorder="1" applyAlignment="1">
      <alignment horizontal="left" vertical="center" wrapText="1"/>
    </xf>
    <xf numFmtId="0" fontId="79" fillId="0" borderId="124" xfId="0" applyFont="1" applyFill="1" applyBorder="1" applyAlignment="1">
      <alignment horizontal="left" vertical="center" wrapText="1"/>
    </xf>
    <xf numFmtId="166" fontId="87" fillId="42" borderId="135" xfId="0" applyNumberFormat="1" applyFont="1" applyFill="1" applyBorder="1" applyAlignment="1">
      <alignment horizontal="center" vertical="center"/>
    </xf>
    <xf numFmtId="166" fontId="87" fillId="42" borderId="136" xfId="0" applyNumberFormat="1" applyFont="1" applyFill="1" applyBorder="1" applyAlignment="1">
      <alignment horizontal="center" vertical="center"/>
    </xf>
    <xf numFmtId="0" fontId="79" fillId="0" borderId="95" xfId="0" applyFont="1" applyFill="1" applyBorder="1" applyAlignment="1">
      <alignment horizontal="left" vertical="center" wrapText="1"/>
    </xf>
    <xf numFmtId="0" fontId="79" fillId="0" borderId="97" xfId="0" applyFont="1" applyFill="1" applyBorder="1" applyAlignment="1">
      <alignment horizontal="left" vertical="center" wrapText="1"/>
    </xf>
    <xf numFmtId="0" fontId="79" fillId="0" borderId="101" xfId="0" applyFont="1" applyFill="1" applyBorder="1" applyAlignment="1">
      <alignment horizontal="left" vertical="center" wrapText="1"/>
    </xf>
    <xf numFmtId="0" fontId="79" fillId="0" borderId="102" xfId="0" applyFont="1" applyFill="1" applyBorder="1" applyAlignment="1">
      <alignment horizontal="left" vertical="center" wrapText="1"/>
    </xf>
    <xf numFmtId="0" fontId="79" fillId="0" borderId="98" xfId="0" applyFont="1" applyFill="1" applyBorder="1" applyAlignment="1">
      <alignment horizontal="left" vertical="center" wrapText="1"/>
    </xf>
    <xf numFmtId="0" fontId="79" fillId="0" borderId="99" xfId="0" applyFont="1" applyFill="1" applyBorder="1" applyAlignment="1">
      <alignment horizontal="left" vertical="center" wrapText="1"/>
    </xf>
    <xf numFmtId="0" fontId="79" fillId="0" borderId="100" xfId="0" applyFont="1" applyFill="1" applyBorder="1" applyAlignment="1">
      <alignment horizontal="left" vertical="center" wrapText="1"/>
    </xf>
    <xf numFmtId="166" fontId="87" fillId="37" borderId="134" xfId="0" applyNumberFormat="1" applyFont="1" applyFill="1" applyBorder="1" applyAlignment="1">
      <alignment horizontal="center" vertical="center" wrapText="1"/>
    </xf>
    <xf numFmtId="0" fontId="90" fillId="19" borderId="94" xfId="0" applyFont="1" applyFill="1" applyBorder="1" applyAlignment="1">
      <alignment horizontal="center" vertical="center" wrapText="1"/>
    </xf>
    <xf numFmtId="0" fontId="91" fillId="0" borderId="94" xfId="0" applyFont="1" applyFill="1" applyBorder="1" applyAlignment="1">
      <alignment horizontal="center" vertical="center" wrapText="1"/>
    </xf>
    <xf numFmtId="0" fontId="1" fillId="23" borderId="94" xfId="0" applyFont="1" applyFill="1" applyBorder="1" applyAlignment="1">
      <alignment horizontal="center" vertical="center"/>
    </xf>
    <xf numFmtId="0" fontId="96" fillId="0" borderId="94" xfId="0" applyFont="1" applyFill="1" applyBorder="1" applyAlignment="1">
      <alignment horizontal="center" vertical="center" wrapText="1"/>
    </xf>
    <xf numFmtId="0" fontId="1" fillId="16" borderId="94" xfId="0" applyFont="1" applyFill="1" applyBorder="1" applyAlignment="1">
      <alignment horizontal="center"/>
    </xf>
    <xf numFmtId="0" fontId="89" fillId="0" borderId="94" xfId="0" applyFont="1" applyFill="1" applyBorder="1" applyAlignment="1">
      <alignment horizontal="center" vertical="center" wrapText="1"/>
    </xf>
    <xf numFmtId="0" fontId="90" fillId="18" borderId="94" xfId="0" applyFont="1" applyFill="1" applyBorder="1" applyAlignment="1">
      <alignment horizontal="center" vertical="center" wrapText="1"/>
    </xf>
    <xf numFmtId="0" fontId="94" fillId="0" borderId="94" xfId="0" applyFont="1" applyFill="1" applyBorder="1" applyAlignment="1">
      <alignment horizontal="center" vertical="center" wrapText="1"/>
    </xf>
    <xf numFmtId="0" fontId="90" fillId="21" borderId="94" xfId="0" applyFont="1" applyFill="1" applyBorder="1" applyAlignment="1">
      <alignment horizontal="center" vertical="center" wrapText="1"/>
    </xf>
    <xf numFmtId="0" fontId="95" fillId="0" borderId="94" xfId="0" applyFont="1" applyFill="1" applyBorder="1" applyAlignment="1">
      <alignment horizontal="center" vertical="center" wrapText="1"/>
    </xf>
    <xf numFmtId="0" fontId="90" fillId="22" borderId="94" xfId="0" applyFont="1" applyFill="1" applyBorder="1" applyAlignment="1">
      <alignment horizontal="center" vertical="center" wrapText="1"/>
    </xf>
    <xf numFmtId="0" fontId="99" fillId="0" borderId="94" xfId="0" applyFont="1" applyFill="1" applyBorder="1" applyAlignment="1">
      <alignment horizontal="center" vertical="center" wrapText="1"/>
    </xf>
    <xf numFmtId="0" fontId="79" fillId="0" borderId="125" xfId="0" applyFont="1" applyFill="1" applyBorder="1" applyAlignment="1">
      <alignment horizontal="left" vertical="center" wrapText="1"/>
    </xf>
    <xf numFmtId="166" fontId="80" fillId="11" borderId="112" xfId="0" applyNumberFormat="1" applyFont="1" applyFill="1" applyBorder="1" applyAlignment="1">
      <alignment horizontal="center" vertical="center"/>
    </xf>
    <xf numFmtId="0" fontId="79" fillId="0" borderId="101" xfId="0" applyFont="1" applyBorder="1" applyAlignment="1" applyProtection="1">
      <alignment horizontal="center" vertical="center" wrapText="1"/>
      <protection locked="0"/>
    </xf>
    <xf numFmtId="0" fontId="79" fillId="0" borderId="0" xfId="0" applyFont="1" applyBorder="1" applyAlignment="1" applyProtection="1">
      <alignment horizontal="center" vertical="center" wrapText="1"/>
      <protection locked="0"/>
    </xf>
    <xf numFmtId="0" fontId="79" fillId="0" borderId="102" xfId="0" applyFont="1" applyBorder="1" applyAlignment="1" applyProtection="1">
      <alignment horizontal="center" vertical="center" wrapText="1"/>
      <protection locked="0"/>
    </xf>
    <xf numFmtId="0" fontId="124" fillId="0" borderId="121" xfId="0" applyFont="1" applyFill="1" applyBorder="1" applyAlignment="1">
      <alignment horizontal="left" vertical="center" wrapText="1"/>
    </xf>
    <xf numFmtId="0" fontId="124" fillId="0" borderId="0" xfId="0" applyFont="1" applyFill="1" applyBorder="1" applyAlignment="1">
      <alignment horizontal="left" vertical="center" wrapText="1"/>
    </xf>
    <xf numFmtId="0" fontId="88" fillId="0" borderId="94" xfId="0" applyFont="1" applyBorder="1" applyAlignment="1" applyProtection="1">
      <alignment horizontal="center" vertical="center"/>
      <protection locked="0"/>
    </xf>
    <xf numFmtId="0" fontId="1" fillId="0" borderId="106" xfId="0" applyFont="1" applyFill="1" applyBorder="1" applyAlignment="1">
      <alignment horizontal="center" vertical="center" wrapText="1"/>
    </xf>
    <xf numFmtId="0" fontId="1" fillId="0" borderId="107" xfId="0" applyFont="1" applyFill="1" applyBorder="1" applyAlignment="1">
      <alignment horizontal="center" vertical="center" wrapText="1"/>
    </xf>
    <xf numFmtId="0" fontId="1" fillId="0" borderId="177" xfId="0" applyFont="1" applyFill="1" applyBorder="1" applyAlignment="1">
      <alignment horizontal="center" vertical="center" wrapText="1"/>
    </xf>
    <xf numFmtId="0" fontId="1" fillId="16" borderId="106" xfId="0" applyFont="1" applyFill="1" applyBorder="1" applyAlignment="1">
      <alignment horizontal="center"/>
    </xf>
    <xf numFmtId="0" fontId="1" fillId="16" borderId="107" xfId="0" applyFont="1" applyFill="1" applyBorder="1" applyAlignment="1">
      <alignment horizontal="center"/>
    </xf>
    <xf numFmtId="0" fontId="1" fillId="16" borderId="108" xfId="0" applyFont="1" applyFill="1" applyBorder="1" applyAlignment="1">
      <alignment horizontal="center"/>
    </xf>
    <xf numFmtId="0" fontId="89" fillId="0" borderId="95" xfId="0" applyFont="1" applyFill="1" applyBorder="1" applyAlignment="1">
      <alignment horizontal="left" vertical="center" wrapText="1"/>
    </xf>
    <xf numFmtId="0" fontId="89" fillId="0" borderId="96" xfId="0" applyFont="1" applyFill="1" applyBorder="1" applyAlignment="1">
      <alignment horizontal="left" vertical="center" wrapText="1"/>
    </xf>
    <xf numFmtId="0" fontId="89" fillId="0" borderId="97" xfId="0" applyFont="1" applyFill="1" applyBorder="1" applyAlignment="1">
      <alignment horizontal="left" vertical="center" wrapText="1"/>
    </xf>
    <xf numFmtId="0" fontId="89" fillId="0" borderId="101" xfId="0" applyFont="1" applyFill="1" applyBorder="1" applyAlignment="1">
      <alignment horizontal="left" vertical="center" wrapText="1"/>
    </xf>
    <xf numFmtId="0" fontId="89" fillId="0" borderId="0" xfId="0" applyFont="1" applyFill="1" applyBorder="1" applyAlignment="1">
      <alignment horizontal="left" vertical="center" wrapText="1"/>
    </xf>
    <xf numFmtId="0" fontId="89" fillId="0" borderId="102" xfId="0" applyFont="1" applyFill="1" applyBorder="1" applyAlignment="1">
      <alignment horizontal="left" vertical="center" wrapText="1"/>
    </xf>
    <xf numFmtId="0" fontId="89" fillId="0" borderId="98" xfId="0" applyFont="1" applyFill="1" applyBorder="1" applyAlignment="1">
      <alignment horizontal="left" vertical="center" wrapText="1"/>
    </xf>
    <xf numFmtId="0" fontId="89" fillId="0" borderId="99" xfId="0" applyFont="1" applyFill="1" applyBorder="1" applyAlignment="1">
      <alignment horizontal="left" vertical="center" wrapText="1"/>
    </xf>
    <xf numFmtId="0" fontId="89" fillId="0" borderId="100" xfId="0" applyFont="1" applyFill="1" applyBorder="1" applyAlignment="1">
      <alignment horizontal="left" vertical="center" wrapText="1"/>
    </xf>
    <xf numFmtId="0" fontId="90" fillId="18" borderId="106" xfId="0" applyFont="1" applyFill="1" applyBorder="1" applyAlignment="1">
      <alignment horizontal="center" vertical="center" wrapText="1"/>
    </xf>
    <xf numFmtId="0" fontId="90" fillId="18" borderId="107" xfId="0" applyFont="1" applyFill="1" applyBorder="1" applyAlignment="1">
      <alignment horizontal="center" vertical="center" wrapText="1"/>
    </xf>
    <xf numFmtId="0" fontId="90" fillId="18" borderId="108" xfId="0" applyFont="1" applyFill="1" applyBorder="1" applyAlignment="1">
      <alignment horizontal="center" vertical="center" wrapText="1"/>
    </xf>
    <xf numFmtId="0" fontId="94" fillId="0" borderId="95" xfId="0" applyFont="1" applyFill="1" applyBorder="1" applyAlignment="1">
      <alignment horizontal="left" vertical="center" wrapText="1"/>
    </xf>
    <xf numFmtId="0" fontId="94" fillId="0" borderId="96" xfId="0" applyFont="1" applyFill="1" applyBorder="1" applyAlignment="1">
      <alignment horizontal="left" vertical="center" wrapText="1"/>
    </xf>
    <xf numFmtId="0" fontId="94" fillId="0" borderId="97" xfId="0" applyFont="1" applyFill="1" applyBorder="1" applyAlignment="1">
      <alignment horizontal="left" vertical="center" wrapText="1"/>
    </xf>
    <xf numFmtId="0" fontId="94" fillId="0" borderId="101" xfId="0" applyFont="1" applyFill="1" applyBorder="1" applyAlignment="1">
      <alignment horizontal="left" vertical="center" wrapText="1"/>
    </xf>
    <xf numFmtId="0" fontId="94" fillId="0" borderId="0" xfId="0" applyFont="1" applyFill="1" applyBorder="1" applyAlignment="1">
      <alignment horizontal="left" vertical="center" wrapText="1"/>
    </xf>
    <xf numFmtId="0" fontId="94" fillId="0" borderId="102" xfId="0" applyFont="1" applyFill="1" applyBorder="1" applyAlignment="1">
      <alignment horizontal="left" vertical="center" wrapText="1"/>
    </xf>
    <xf numFmtId="0" fontId="94" fillId="0" borderId="98" xfId="0" applyFont="1" applyFill="1" applyBorder="1" applyAlignment="1">
      <alignment horizontal="left" vertical="center" wrapText="1"/>
    </xf>
    <xf numFmtId="0" fontId="94" fillId="0" borderId="99" xfId="0" applyFont="1" applyFill="1" applyBorder="1" applyAlignment="1">
      <alignment horizontal="left" vertical="center" wrapText="1"/>
    </xf>
    <xf numFmtId="0" fontId="94" fillId="0" borderId="100" xfId="0" applyFont="1" applyFill="1" applyBorder="1" applyAlignment="1">
      <alignment horizontal="left" vertical="center" wrapText="1"/>
    </xf>
    <xf numFmtId="0" fontId="90" fillId="19" borderId="106" xfId="0" applyFont="1" applyFill="1" applyBorder="1" applyAlignment="1">
      <alignment horizontal="center" vertical="center" wrapText="1"/>
    </xf>
    <xf numFmtId="0" fontId="90" fillId="19" borderId="107" xfId="0" applyFont="1" applyFill="1" applyBorder="1" applyAlignment="1">
      <alignment horizontal="center" vertical="center" wrapText="1"/>
    </xf>
    <xf numFmtId="0" fontId="90" fillId="19" borderId="108" xfId="0" applyFont="1" applyFill="1" applyBorder="1" applyAlignment="1">
      <alignment horizontal="center" vertical="center" wrapText="1"/>
    </xf>
    <xf numFmtId="0" fontId="91" fillId="0" borderId="95" xfId="0" applyFont="1" applyFill="1" applyBorder="1" applyAlignment="1">
      <alignment horizontal="left" vertical="center" wrapText="1"/>
    </xf>
    <xf numFmtId="0" fontId="91" fillId="0" borderId="96" xfId="0" applyFont="1" applyFill="1" applyBorder="1" applyAlignment="1">
      <alignment horizontal="left" vertical="center" wrapText="1"/>
    </xf>
    <xf numFmtId="0" fontId="91" fillId="0" borderId="97" xfId="0" applyFont="1" applyFill="1" applyBorder="1" applyAlignment="1">
      <alignment horizontal="left" vertical="center" wrapText="1"/>
    </xf>
    <xf numFmtId="0" fontId="91" fillId="0" borderId="101" xfId="0" applyFont="1" applyFill="1" applyBorder="1" applyAlignment="1">
      <alignment horizontal="left" vertical="center" wrapText="1"/>
    </xf>
    <xf numFmtId="0" fontId="91" fillId="0" borderId="0" xfId="0" applyFont="1" applyFill="1" applyBorder="1" applyAlignment="1">
      <alignment horizontal="left" vertical="center" wrapText="1"/>
    </xf>
    <xf numFmtId="0" fontId="91" fillId="0" borderId="102" xfId="0" applyFont="1" applyFill="1" applyBorder="1" applyAlignment="1">
      <alignment horizontal="left" vertical="center" wrapText="1"/>
    </xf>
    <xf numFmtId="0" fontId="91" fillId="0" borderId="98" xfId="0" applyFont="1" applyFill="1" applyBorder="1" applyAlignment="1">
      <alignment horizontal="left" vertical="center" wrapText="1"/>
    </xf>
    <xf numFmtId="0" fontId="91" fillId="0" borderId="99" xfId="0" applyFont="1" applyFill="1" applyBorder="1" applyAlignment="1">
      <alignment horizontal="left" vertical="center" wrapText="1"/>
    </xf>
    <xf numFmtId="0" fontId="91" fillId="0" borderId="100" xfId="0" applyFont="1" applyFill="1" applyBorder="1" applyAlignment="1">
      <alignment horizontal="left" vertical="center" wrapText="1"/>
    </xf>
    <xf numFmtId="0" fontId="92" fillId="0" borderId="95" xfId="0" applyFont="1" applyFill="1" applyBorder="1" applyAlignment="1">
      <alignment horizontal="left" vertical="center"/>
    </xf>
    <xf numFmtId="0" fontId="92" fillId="0" borderId="96" xfId="0" applyFont="1" applyFill="1" applyBorder="1" applyAlignment="1">
      <alignment horizontal="left" vertical="center"/>
    </xf>
    <xf numFmtId="0" fontId="92" fillId="0" borderId="97" xfId="0" applyFont="1" applyFill="1" applyBorder="1" applyAlignment="1">
      <alignment horizontal="left" vertical="center"/>
    </xf>
    <xf numFmtId="0" fontId="92" fillId="0" borderId="101" xfId="0" applyFont="1" applyFill="1" applyBorder="1" applyAlignment="1">
      <alignment horizontal="left" vertical="center"/>
    </xf>
    <xf numFmtId="0" fontId="92" fillId="0" borderId="0" xfId="0" applyFont="1" applyFill="1" applyBorder="1" applyAlignment="1">
      <alignment horizontal="left" vertical="center"/>
    </xf>
    <xf numFmtId="0" fontId="92" fillId="0" borderId="102" xfId="0" applyFont="1" applyFill="1" applyBorder="1" applyAlignment="1">
      <alignment horizontal="left" vertical="center"/>
    </xf>
    <xf numFmtId="0" fontId="92" fillId="0" borderId="98" xfId="0" applyFont="1" applyFill="1" applyBorder="1" applyAlignment="1">
      <alignment horizontal="left" vertical="center"/>
    </xf>
    <xf numFmtId="0" fontId="92" fillId="0" borderId="99" xfId="0" applyFont="1" applyFill="1" applyBorder="1" applyAlignment="1">
      <alignment horizontal="left" vertical="center"/>
    </xf>
    <xf numFmtId="0" fontId="92" fillId="0" borderId="100" xfId="0" applyFont="1" applyFill="1" applyBorder="1" applyAlignment="1">
      <alignment horizontal="left" vertical="center"/>
    </xf>
    <xf numFmtId="166" fontId="87" fillId="43" borderId="134" xfId="0" applyNumberFormat="1" applyFont="1" applyFill="1" applyBorder="1" applyAlignment="1">
      <alignment horizontal="center" vertical="center"/>
    </xf>
    <xf numFmtId="166" fontId="87" fillId="43" borderId="135" xfId="0" applyNumberFormat="1" applyFont="1" applyFill="1" applyBorder="1" applyAlignment="1">
      <alignment horizontal="center" vertical="center"/>
    </xf>
    <xf numFmtId="166" fontId="87" fillId="43" borderId="136" xfId="0" applyNumberFormat="1" applyFont="1" applyFill="1" applyBorder="1" applyAlignment="1">
      <alignment horizontal="center" vertical="center"/>
    </xf>
    <xf numFmtId="166" fontId="87" fillId="42" borderId="134" xfId="0" applyNumberFormat="1" applyFont="1" applyFill="1" applyBorder="1" applyAlignment="1">
      <alignment horizontal="center" vertical="center"/>
    </xf>
    <xf numFmtId="0" fontId="79" fillId="0" borderId="139" xfId="0" applyFont="1" applyBorder="1" applyAlignment="1">
      <alignment horizontal="left" vertical="center" wrapText="1"/>
    </xf>
    <xf numFmtId="0" fontId="79" fillId="0" borderId="110" xfId="0" applyFont="1" applyBorder="1" applyAlignment="1">
      <alignment horizontal="left" vertical="center" wrapText="1"/>
    </xf>
    <xf numFmtId="0" fontId="79" fillId="0" borderId="140" xfId="0" applyFont="1" applyBorder="1" applyAlignment="1">
      <alignment horizontal="left" vertical="center" wrapText="1"/>
    </xf>
    <xf numFmtId="166" fontId="87" fillId="37" borderId="137" xfId="0" applyNumberFormat="1" applyFont="1" applyFill="1" applyBorder="1" applyAlignment="1">
      <alignment horizontal="center" vertical="center" wrapText="1"/>
    </xf>
    <xf numFmtId="0" fontId="119" fillId="0" borderId="134" xfId="0" applyFont="1" applyBorder="1" applyAlignment="1" applyProtection="1">
      <alignment horizontal="center" vertical="center"/>
      <protection locked="0"/>
    </xf>
    <xf numFmtId="0" fontId="95" fillId="0" borderId="95" xfId="0" applyFont="1" applyFill="1" applyBorder="1" applyAlignment="1">
      <alignment vertical="center" wrapText="1"/>
    </xf>
    <xf numFmtId="0" fontId="95" fillId="0" borderId="96" xfId="0" applyFont="1" applyFill="1" applyBorder="1" applyAlignment="1">
      <alignment vertical="center" wrapText="1"/>
    </xf>
    <xf numFmtId="0" fontId="95" fillId="0" borderId="97" xfId="0" applyFont="1" applyFill="1" applyBorder="1" applyAlignment="1">
      <alignment vertical="center" wrapText="1"/>
    </xf>
    <xf numFmtId="0" fontId="95" fillId="0" borderId="101" xfId="0" applyFont="1" applyFill="1" applyBorder="1" applyAlignment="1">
      <alignment vertical="center" wrapText="1"/>
    </xf>
    <xf numFmtId="0" fontId="95" fillId="0" borderId="0" xfId="0" applyFont="1" applyFill="1" applyBorder="1" applyAlignment="1">
      <alignment vertical="center" wrapText="1"/>
    </xf>
    <xf numFmtId="0" fontId="95" fillId="0" borderId="102" xfId="0" applyFont="1" applyFill="1" applyBorder="1" applyAlignment="1">
      <alignment vertical="center" wrapText="1"/>
    </xf>
    <xf numFmtId="0" fontId="95" fillId="0" borderId="98" xfId="0" applyFont="1" applyFill="1" applyBorder="1" applyAlignment="1">
      <alignment vertical="center" wrapText="1"/>
    </xf>
    <xf numFmtId="0" fontId="95" fillId="0" borderId="99" xfId="0" applyFont="1" applyFill="1" applyBorder="1" applyAlignment="1">
      <alignment vertical="center" wrapText="1"/>
    </xf>
    <xf numFmtId="0" fontId="95" fillId="0" borderId="100" xfId="0" applyFont="1" applyFill="1" applyBorder="1" applyAlignment="1">
      <alignment vertical="center" wrapText="1"/>
    </xf>
    <xf numFmtId="0" fontId="96" fillId="0" borderId="95" xfId="0" applyFont="1" applyFill="1" applyBorder="1" applyAlignment="1">
      <alignment vertical="center" wrapText="1"/>
    </xf>
    <xf numFmtId="0" fontId="96" fillId="0" borderId="96" xfId="0" applyFont="1" applyFill="1" applyBorder="1" applyAlignment="1">
      <alignment vertical="center" wrapText="1"/>
    </xf>
    <xf numFmtId="0" fontId="96" fillId="0" borderId="97" xfId="0" applyFont="1" applyFill="1" applyBorder="1" applyAlignment="1">
      <alignment vertical="center" wrapText="1"/>
    </xf>
    <xf numFmtId="0" fontId="96" fillId="0" borderId="101" xfId="0" applyFont="1" applyFill="1" applyBorder="1" applyAlignment="1">
      <alignment vertical="center" wrapText="1"/>
    </xf>
    <xf numFmtId="0" fontId="96" fillId="0" borderId="0" xfId="0" applyFont="1" applyFill="1" applyBorder="1" applyAlignment="1">
      <alignment vertical="center" wrapText="1"/>
    </xf>
    <xf numFmtId="0" fontId="96" fillId="0" borderId="102" xfId="0" applyFont="1" applyFill="1" applyBorder="1" applyAlignment="1">
      <alignment vertical="center" wrapText="1"/>
    </xf>
    <xf numFmtId="0" fontId="96" fillId="0" borderId="98" xfId="0" applyFont="1" applyFill="1" applyBorder="1" applyAlignment="1">
      <alignment vertical="center" wrapText="1"/>
    </xf>
    <xf numFmtId="0" fontId="96" fillId="0" borderId="99" xfId="0" applyFont="1" applyFill="1" applyBorder="1" applyAlignment="1">
      <alignment vertical="center" wrapText="1"/>
    </xf>
    <xf numFmtId="0" fontId="96" fillId="0" borderId="100" xfId="0" applyFont="1" applyFill="1" applyBorder="1" applyAlignment="1">
      <alignment vertical="center" wrapText="1"/>
    </xf>
    <xf numFmtId="0" fontId="90" fillId="22" borderId="106" xfId="0" applyFont="1" applyFill="1" applyBorder="1" applyAlignment="1">
      <alignment horizontal="center" vertical="center" wrapText="1"/>
    </xf>
    <xf numFmtId="0" fontId="90" fillId="22" borderId="107" xfId="0" applyFont="1" applyFill="1" applyBorder="1" applyAlignment="1">
      <alignment horizontal="center" vertical="center" wrapText="1"/>
    </xf>
    <xf numFmtId="0" fontId="90" fillId="22" borderId="108" xfId="0" applyFont="1" applyFill="1" applyBorder="1" applyAlignment="1">
      <alignment horizontal="center" vertical="center" wrapText="1"/>
    </xf>
    <xf numFmtId="0" fontId="1" fillId="23" borderId="106" xfId="0" applyFont="1" applyFill="1" applyBorder="1" applyAlignment="1">
      <alignment horizontal="center" vertical="center"/>
    </xf>
    <xf numFmtId="0" fontId="1" fillId="23" borderId="107" xfId="0" applyFont="1" applyFill="1" applyBorder="1" applyAlignment="1">
      <alignment horizontal="center" vertical="center"/>
    </xf>
    <xf numFmtId="0" fontId="1" fillId="23" borderId="108" xfId="0" applyFont="1" applyFill="1" applyBorder="1" applyAlignment="1">
      <alignment horizontal="center" vertical="center"/>
    </xf>
    <xf numFmtId="0" fontId="96" fillId="0" borderId="95" xfId="0" applyFont="1" applyFill="1" applyBorder="1" applyAlignment="1">
      <alignment horizontal="left" vertical="center" wrapText="1"/>
    </xf>
    <xf numFmtId="0" fontId="96" fillId="0" borderId="96" xfId="0" applyFont="1" applyFill="1" applyBorder="1" applyAlignment="1">
      <alignment horizontal="left" vertical="center" wrapText="1"/>
    </xf>
    <xf numFmtId="0" fontId="96" fillId="0" borderId="97" xfId="0" applyFont="1" applyFill="1" applyBorder="1" applyAlignment="1">
      <alignment horizontal="left" vertical="center" wrapText="1"/>
    </xf>
    <xf numFmtId="0" fontId="96" fillId="0" borderId="101" xfId="0" applyFont="1" applyFill="1" applyBorder="1" applyAlignment="1">
      <alignment horizontal="left" vertical="center" wrapText="1"/>
    </xf>
    <xf numFmtId="0" fontId="96" fillId="0" borderId="0" xfId="0" applyFont="1" applyFill="1" applyBorder="1" applyAlignment="1">
      <alignment horizontal="left" vertical="center" wrapText="1"/>
    </xf>
    <xf numFmtId="0" fontId="96" fillId="0" borderId="102" xfId="0" applyFont="1" applyFill="1" applyBorder="1" applyAlignment="1">
      <alignment horizontal="left" vertical="center" wrapText="1"/>
    </xf>
    <xf numFmtId="0" fontId="96" fillId="0" borderId="98" xfId="0" applyFont="1" applyFill="1" applyBorder="1" applyAlignment="1">
      <alignment horizontal="left" vertical="center" wrapText="1"/>
    </xf>
    <xf numFmtId="0" fontId="96" fillId="0" borderId="99" xfId="0" applyFont="1" applyFill="1" applyBorder="1" applyAlignment="1">
      <alignment horizontal="left" vertical="center" wrapText="1"/>
    </xf>
    <xf numFmtId="0" fontId="96" fillId="0" borderId="100" xfId="0" applyFont="1" applyFill="1" applyBorder="1" applyAlignment="1">
      <alignment horizontal="left" vertical="center" wrapText="1"/>
    </xf>
    <xf numFmtId="166" fontId="87" fillId="37" borderId="97" xfId="0" applyNumberFormat="1" applyFont="1" applyFill="1" applyBorder="1" applyAlignment="1">
      <alignment horizontal="center" vertical="center" wrapText="1"/>
    </xf>
    <xf numFmtId="166" fontId="87" fillId="37" borderId="102" xfId="0" applyNumberFormat="1" applyFont="1" applyFill="1" applyBorder="1" applyAlignment="1">
      <alignment horizontal="center" vertical="center" wrapText="1"/>
    </xf>
    <xf numFmtId="166" fontId="87" fillId="37" borderId="100" xfId="0" applyNumberFormat="1" applyFont="1" applyFill="1" applyBorder="1" applyAlignment="1">
      <alignment horizontal="center" vertical="center" wrapText="1"/>
    </xf>
    <xf numFmtId="0" fontId="119" fillId="0" borderId="136" xfId="0" applyFont="1" applyBorder="1" applyAlignment="1" applyProtection="1">
      <alignment horizontal="center" vertical="center"/>
      <protection locked="0"/>
    </xf>
    <xf numFmtId="0" fontId="53" fillId="0" borderId="95" xfId="0" applyFont="1" applyFill="1" applyBorder="1" applyAlignment="1">
      <alignment vertical="center"/>
    </xf>
    <xf numFmtId="0" fontId="53" fillId="0" borderId="96" xfId="0" applyFont="1" applyFill="1" applyBorder="1" applyAlignment="1">
      <alignment vertical="center"/>
    </xf>
    <xf numFmtId="0" fontId="53" fillId="0" borderId="97" xfId="0" applyFont="1" applyFill="1" applyBorder="1" applyAlignment="1">
      <alignment vertical="center"/>
    </xf>
    <xf numFmtId="0" fontId="53" fillId="0" borderId="101" xfId="0" applyFont="1" applyFill="1" applyBorder="1" applyAlignment="1">
      <alignment vertical="center"/>
    </xf>
    <xf numFmtId="0" fontId="53" fillId="0" borderId="0" xfId="0" applyFont="1" applyFill="1" applyBorder="1" applyAlignment="1">
      <alignment vertical="center"/>
    </xf>
    <xf numFmtId="0" fontId="53" fillId="0" borderId="102" xfId="0" applyFont="1" applyFill="1" applyBorder="1" applyAlignment="1">
      <alignment vertical="center"/>
    </xf>
    <xf numFmtId="0" fontId="53" fillId="0" borderId="98" xfId="0" applyFont="1" applyFill="1" applyBorder="1" applyAlignment="1">
      <alignment vertical="center"/>
    </xf>
    <xf numFmtId="0" fontId="53" fillId="0" borderId="99" xfId="0" applyFont="1" applyFill="1" applyBorder="1" applyAlignment="1">
      <alignment vertical="center"/>
    </xf>
    <xf numFmtId="0" fontId="53" fillId="0" borderId="100" xfId="0" applyFont="1" applyFill="1" applyBorder="1" applyAlignment="1">
      <alignment vertical="center"/>
    </xf>
    <xf numFmtId="0" fontId="101" fillId="0" borderId="95" xfId="0" applyFont="1" applyFill="1" applyBorder="1" applyAlignment="1">
      <alignment vertical="center" wrapText="1"/>
    </xf>
    <xf numFmtId="0" fontId="101" fillId="0" borderId="96" xfId="0" applyFont="1" applyFill="1" applyBorder="1" applyAlignment="1">
      <alignment vertical="center" wrapText="1"/>
    </xf>
    <xf numFmtId="0" fontId="101" fillId="0" borderId="97" xfId="0" applyFont="1" applyFill="1" applyBorder="1" applyAlignment="1">
      <alignment vertical="center" wrapText="1"/>
    </xf>
    <xf numFmtId="0" fontId="101" fillId="0" borderId="101" xfId="0" applyFont="1" applyFill="1" applyBorder="1" applyAlignment="1">
      <alignment vertical="center" wrapText="1"/>
    </xf>
    <xf numFmtId="0" fontId="101" fillId="0" borderId="0" xfId="0" applyFont="1" applyFill="1" applyBorder="1" applyAlignment="1">
      <alignment vertical="center" wrapText="1"/>
    </xf>
    <xf numFmtId="0" fontId="101" fillId="0" borderId="102" xfId="0" applyFont="1" applyFill="1" applyBorder="1" applyAlignment="1">
      <alignment vertical="center" wrapText="1"/>
    </xf>
    <xf numFmtId="0" fontId="101" fillId="0" borderId="98" xfId="0" applyFont="1" applyFill="1" applyBorder="1" applyAlignment="1">
      <alignment vertical="center" wrapText="1"/>
    </xf>
    <xf numFmtId="0" fontId="101" fillId="0" borderId="99" xfId="0" applyFont="1" applyFill="1" applyBorder="1" applyAlignment="1">
      <alignment vertical="center" wrapText="1"/>
    </xf>
    <xf numFmtId="0" fontId="101" fillId="0" borderId="100" xfId="0" applyFont="1" applyFill="1" applyBorder="1" applyAlignment="1">
      <alignment vertical="center" wrapText="1"/>
    </xf>
    <xf numFmtId="0" fontId="116" fillId="0" borderId="123" xfId="0" applyFont="1" applyFill="1" applyBorder="1" applyAlignment="1">
      <alignment horizontal="left" vertical="center" wrapText="1"/>
    </xf>
    <xf numFmtId="0" fontId="116" fillId="0" borderId="96" xfId="0" applyFont="1" applyFill="1" applyBorder="1" applyAlignment="1">
      <alignment horizontal="left" vertical="center" wrapText="1"/>
    </xf>
    <xf numFmtId="0" fontId="116" fillId="0" borderId="124" xfId="0" applyFont="1" applyFill="1" applyBorder="1" applyAlignment="1">
      <alignment horizontal="left" vertical="center" wrapText="1"/>
    </xf>
    <xf numFmtId="0" fontId="116" fillId="0" borderId="121" xfId="0" applyFont="1" applyFill="1" applyBorder="1" applyAlignment="1">
      <alignment horizontal="left" vertical="center" wrapText="1"/>
    </xf>
    <xf numFmtId="0" fontId="116" fillId="0" borderId="0" xfId="0" applyFont="1" applyFill="1" applyBorder="1" applyAlignment="1">
      <alignment horizontal="left" vertical="center" wrapText="1"/>
    </xf>
    <xf numFmtId="0" fontId="116" fillId="0" borderId="120" xfId="0" applyFont="1" applyFill="1" applyBorder="1" applyAlignment="1">
      <alignment horizontal="left" vertical="center" wrapText="1"/>
    </xf>
    <xf numFmtId="0" fontId="116" fillId="0" borderId="113" xfId="0" applyFont="1" applyFill="1" applyBorder="1" applyAlignment="1">
      <alignment horizontal="left" vertical="center" wrapText="1"/>
    </xf>
    <xf numFmtId="0" fontId="116" fillId="0" borderId="114" xfId="0" applyFont="1" applyFill="1" applyBorder="1" applyAlignment="1">
      <alignment horizontal="left" vertical="center" wrapText="1"/>
    </xf>
    <xf numFmtId="0" fontId="116" fillId="0" borderId="115" xfId="0" applyFont="1" applyFill="1" applyBorder="1" applyAlignment="1">
      <alignment horizontal="left" vertical="center" wrapText="1"/>
    </xf>
    <xf numFmtId="0" fontId="94" fillId="0" borderId="95" xfId="0" applyFont="1" applyFill="1" applyBorder="1" applyAlignment="1">
      <alignment vertical="center" wrapText="1"/>
    </xf>
    <xf numFmtId="0" fontId="94" fillId="0" borderId="96" xfId="0" applyFont="1" applyFill="1" applyBorder="1" applyAlignment="1">
      <alignment vertical="center" wrapText="1"/>
    </xf>
    <xf numFmtId="0" fontId="94" fillId="0" borderId="97" xfId="0" applyFont="1" applyFill="1" applyBorder="1" applyAlignment="1">
      <alignment vertical="center" wrapText="1"/>
    </xf>
    <xf numFmtId="0" fontId="94" fillId="0" borderId="101" xfId="0" applyFont="1" applyFill="1" applyBorder="1" applyAlignment="1">
      <alignment vertical="center" wrapText="1"/>
    </xf>
    <xf numFmtId="0" fontId="94" fillId="0" borderId="0" xfId="0" applyFont="1" applyFill="1" applyBorder="1" applyAlignment="1">
      <alignment vertical="center" wrapText="1"/>
    </xf>
    <xf numFmtId="0" fontId="94" fillId="0" borderId="102" xfId="0" applyFont="1" applyFill="1" applyBorder="1" applyAlignment="1">
      <alignment vertical="center" wrapText="1"/>
    </xf>
    <xf numFmtId="0" fontId="94" fillId="0" borderId="98" xfId="0" applyFont="1" applyFill="1" applyBorder="1" applyAlignment="1">
      <alignment vertical="center" wrapText="1"/>
    </xf>
    <xf numFmtId="0" fontId="94" fillId="0" borderId="99" xfId="0" applyFont="1" applyFill="1" applyBorder="1" applyAlignment="1">
      <alignment vertical="center" wrapText="1"/>
    </xf>
    <xf numFmtId="0" fontId="94" fillId="0" borderId="100" xfId="0" applyFont="1" applyFill="1" applyBorder="1" applyAlignment="1">
      <alignment vertical="center" wrapText="1"/>
    </xf>
    <xf numFmtId="0" fontId="90" fillId="21" borderId="106" xfId="0" applyFont="1" applyFill="1" applyBorder="1" applyAlignment="1">
      <alignment horizontal="center" vertical="center" wrapText="1"/>
    </xf>
    <xf numFmtId="0" fontId="90" fillId="21" borderId="107" xfId="0" applyFont="1" applyFill="1" applyBorder="1" applyAlignment="1">
      <alignment horizontal="center" vertical="center" wrapText="1"/>
    </xf>
    <xf numFmtId="0" fontId="90" fillId="21" borderId="108" xfId="0" applyFont="1" applyFill="1" applyBorder="1" applyAlignment="1">
      <alignment horizontal="center" vertical="center" wrapText="1"/>
    </xf>
    <xf numFmtId="0" fontId="156" fillId="0" borderId="95" xfId="0" applyFont="1" applyFill="1" applyBorder="1" applyAlignment="1">
      <alignment horizontal="left" vertical="center" wrapText="1"/>
    </xf>
    <xf numFmtId="0" fontId="156" fillId="0" borderId="96" xfId="0" applyFont="1" applyFill="1" applyBorder="1" applyAlignment="1">
      <alignment horizontal="left" vertical="center"/>
    </xf>
    <xf numFmtId="0" fontId="156" fillId="0" borderId="97" xfId="0" applyFont="1" applyFill="1" applyBorder="1" applyAlignment="1">
      <alignment horizontal="left" vertical="center"/>
    </xf>
    <xf numFmtId="0" fontId="156" fillId="0" borderId="101" xfId="0" applyFont="1" applyFill="1" applyBorder="1" applyAlignment="1">
      <alignment horizontal="left" vertical="center" wrapText="1"/>
    </xf>
    <xf numFmtId="0" fontId="156" fillId="0" borderId="0" xfId="0" applyFont="1" applyFill="1" applyBorder="1" applyAlignment="1">
      <alignment horizontal="left" vertical="center"/>
    </xf>
    <xf numFmtId="0" fontId="156" fillId="0" borderId="102" xfId="0" applyFont="1" applyFill="1" applyBorder="1" applyAlignment="1">
      <alignment horizontal="left" vertical="center"/>
    </xf>
    <xf numFmtId="0" fontId="156" fillId="0" borderId="98" xfId="0" applyFont="1" applyFill="1" applyBorder="1" applyAlignment="1">
      <alignment horizontal="left" vertical="center"/>
    </xf>
    <xf numFmtId="0" fontId="156" fillId="0" borderId="99" xfId="0" applyFont="1" applyFill="1" applyBorder="1" applyAlignment="1">
      <alignment horizontal="left" vertical="center"/>
    </xf>
    <xf numFmtId="0" fontId="156" fillId="0" borderId="100" xfId="0" applyFont="1" applyFill="1" applyBorder="1" applyAlignment="1">
      <alignment horizontal="left" vertical="center"/>
    </xf>
    <xf numFmtId="0" fontId="22" fillId="39" borderId="94" xfId="0" applyFont="1" applyFill="1" applyBorder="1" applyAlignment="1">
      <alignment horizontal="center"/>
    </xf>
    <xf numFmtId="0" fontId="1" fillId="0" borderId="108" xfId="0" applyFont="1" applyFill="1" applyBorder="1" applyAlignment="1">
      <alignment horizontal="center" vertical="center" wrapText="1"/>
    </xf>
    <xf numFmtId="0" fontId="158" fillId="0" borderId="95" xfId="0" applyFont="1" applyFill="1" applyBorder="1" applyAlignment="1">
      <alignment horizontal="left" vertical="center" wrapText="1"/>
    </xf>
    <xf numFmtId="0" fontId="158" fillId="0" borderId="96" xfId="0" applyFont="1" applyFill="1" applyBorder="1" applyAlignment="1">
      <alignment horizontal="left" vertical="center"/>
    </xf>
    <xf numFmtId="0" fontId="158" fillId="0" borderId="97" xfId="0" applyFont="1" applyFill="1" applyBorder="1" applyAlignment="1">
      <alignment horizontal="left" vertical="center"/>
    </xf>
    <xf numFmtId="0" fontId="158" fillId="0" borderId="101" xfId="0" applyFont="1" applyFill="1" applyBorder="1" applyAlignment="1">
      <alignment horizontal="left" vertical="center" wrapText="1"/>
    </xf>
    <xf numFmtId="0" fontId="158" fillId="0" borderId="0" xfId="0" applyFont="1" applyFill="1" applyBorder="1" applyAlignment="1">
      <alignment horizontal="left" vertical="center"/>
    </xf>
    <xf numFmtId="0" fontId="158" fillId="0" borderId="102" xfId="0" applyFont="1" applyFill="1" applyBorder="1" applyAlignment="1">
      <alignment horizontal="left" vertical="center"/>
    </xf>
    <xf numFmtId="0" fontId="158" fillId="0" borderId="98" xfId="0" applyFont="1" applyFill="1" applyBorder="1" applyAlignment="1">
      <alignment horizontal="left" vertical="center"/>
    </xf>
    <xf numFmtId="0" fontId="158" fillId="0" borderId="99" xfId="0" applyFont="1" applyFill="1" applyBorder="1" applyAlignment="1">
      <alignment horizontal="left" vertical="center"/>
    </xf>
    <xf numFmtId="0" fontId="158" fillId="0" borderId="100" xfId="0" applyFont="1" applyFill="1" applyBorder="1" applyAlignment="1">
      <alignment horizontal="left" vertical="center"/>
    </xf>
    <xf numFmtId="0" fontId="95" fillId="0" borderId="95" xfId="0" applyFont="1" applyFill="1" applyBorder="1" applyAlignment="1">
      <alignment horizontal="left" vertical="center" wrapText="1"/>
    </xf>
    <xf numFmtId="0" fontId="95" fillId="0" borderId="96" xfId="0" applyFont="1" applyFill="1" applyBorder="1" applyAlignment="1">
      <alignment horizontal="left" vertical="center" wrapText="1"/>
    </xf>
    <xf numFmtId="0" fontId="95" fillId="0" borderId="97" xfId="0" applyFont="1" applyFill="1" applyBorder="1" applyAlignment="1">
      <alignment horizontal="left" vertical="center" wrapText="1"/>
    </xf>
    <xf numFmtId="0" fontId="95" fillId="0" borderId="101" xfId="0" applyFont="1" applyFill="1" applyBorder="1" applyAlignment="1">
      <alignment horizontal="left" vertical="center" wrapText="1"/>
    </xf>
    <xf numFmtId="0" fontId="95" fillId="0" borderId="0" xfId="0" applyFont="1" applyFill="1" applyBorder="1" applyAlignment="1">
      <alignment horizontal="left" vertical="center" wrapText="1"/>
    </xf>
    <xf numFmtId="0" fontId="95" fillId="0" borderId="102" xfId="0" applyFont="1" applyFill="1" applyBorder="1" applyAlignment="1">
      <alignment horizontal="left" vertical="center" wrapText="1"/>
    </xf>
    <xf numFmtId="0" fontId="95" fillId="0" borderId="98" xfId="0" applyFont="1" applyFill="1" applyBorder="1" applyAlignment="1">
      <alignment horizontal="left" vertical="center" wrapText="1"/>
    </xf>
    <xf numFmtId="0" fontId="95" fillId="0" borderId="99" xfId="0" applyFont="1" applyFill="1" applyBorder="1" applyAlignment="1">
      <alignment horizontal="left" vertical="center" wrapText="1"/>
    </xf>
    <xf numFmtId="0" fontId="95" fillId="0" borderId="100" xfId="0" applyFont="1" applyFill="1" applyBorder="1" applyAlignment="1">
      <alignment horizontal="left" vertical="center" wrapText="1"/>
    </xf>
    <xf numFmtId="0" fontId="22" fillId="85" borderId="94" xfId="0" applyFont="1" applyFill="1" applyBorder="1" applyAlignment="1">
      <alignment horizontal="center"/>
    </xf>
    <xf numFmtId="0" fontId="157" fillId="0" borderId="95" xfId="0" applyFont="1" applyFill="1" applyBorder="1" applyAlignment="1">
      <alignment horizontal="left" vertical="center" wrapText="1"/>
    </xf>
    <xf numFmtId="0" fontId="157" fillId="0" borderId="96" xfId="0" applyFont="1" applyFill="1" applyBorder="1" applyAlignment="1">
      <alignment horizontal="left" vertical="center"/>
    </xf>
    <xf numFmtId="0" fontId="157" fillId="0" borderId="97" xfId="0" applyFont="1" applyFill="1" applyBorder="1" applyAlignment="1">
      <alignment horizontal="left" vertical="center"/>
    </xf>
    <xf numFmtId="0" fontId="157" fillId="0" borderId="101" xfId="0" applyFont="1" applyFill="1" applyBorder="1" applyAlignment="1">
      <alignment horizontal="left" vertical="center" wrapText="1"/>
    </xf>
    <xf numFmtId="0" fontId="157" fillId="0" borderId="0" xfId="0" applyFont="1" applyFill="1" applyBorder="1" applyAlignment="1">
      <alignment horizontal="left" vertical="center"/>
    </xf>
    <xf numFmtId="0" fontId="157" fillId="0" borderId="102" xfId="0" applyFont="1" applyFill="1" applyBorder="1" applyAlignment="1">
      <alignment horizontal="left" vertical="center"/>
    </xf>
    <xf numFmtId="0" fontId="157" fillId="0" borderId="98" xfId="0" applyFont="1" applyFill="1" applyBorder="1" applyAlignment="1">
      <alignment horizontal="left" vertical="center"/>
    </xf>
    <xf numFmtId="0" fontId="157" fillId="0" borderId="99" xfId="0" applyFont="1" applyFill="1" applyBorder="1" applyAlignment="1">
      <alignment horizontal="left" vertical="center"/>
    </xf>
    <xf numFmtId="0" fontId="157" fillId="0" borderId="100" xfId="0" applyFont="1" applyFill="1" applyBorder="1" applyAlignment="1">
      <alignment horizontal="left" vertical="center"/>
    </xf>
    <xf numFmtId="0" fontId="22" fillId="86" borderId="94" xfId="0" applyFont="1" applyFill="1" applyBorder="1" applyAlignment="1">
      <alignment horizontal="center"/>
    </xf>
    <xf numFmtId="0" fontId="91" fillId="0" borderId="95" xfId="0" applyFont="1" applyFill="1" applyBorder="1" applyAlignment="1">
      <alignment vertical="center"/>
    </xf>
    <xf numFmtId="0" fontId="91" fillId="0" borderId="96" xfId="0" applyFont="1" applyFill="1" applyBorder="1" applyAlignment="1">
      <alignment vertical="center"/>
    </xf>
    <xf numFmtId="0" fontId="91" fillId="0" borderId="97" xfId="0" applyFont="1" applyFill="1" applyBorder="1" applyAlignment="1">
      <alignment vertical="center"/>
    </xf>
    <xf numFmtId="0" fontId="91" fillId="0" borderId="101" xfId="0" applyFont="1" applyFill="1" applyBorder="1" applyAlignment="1">
      <alignment vertical="center"/>
    </xf>
    <xf numFmtId="0" fontId="91" fillId="0" borderId="0" xfId="0" applyFont="1" applyFill="1" applyBorder="1" applyAlignment="1">
      <alignment vertical="center"/>
    </xf>
    <xf numFmtId="0" fontId="91" fillId="0" borderId="102" xfId="0" applyFont="1" applyFill="1" applyBorder="1" applyAlignment="1">
      <alignment vertical="center"/>
    </xf>
    <xf numFmtId="0" fontId="91" fillId="0" borderId="98" xfId="0" applyFont="1" applyFill="1" applyBorder="1" applyAlignment="1">
      <alignment vertical="center"/>
    </xf>
    <xf numFmtId="0" fontId="91" fillId="0" borderId="99" xfId="0" applyFont="1" applyFill="1" applyBorder="1" applyAlignment="1">
      <alignment vertical="center"/>
    </xf>
    <xf numFmtId="0" fontId="91" fillId="0" borderId="100" xfId="0" applyFont="1" applyFill="1" applyBorder="1" applyAlignment="1">
      <alignment vertical="center"/>
    </xf>
    <xf numFmtId="166" fontId="87" fillId="37" borderId="150" xfId="0" applyNumberFormat="1" applyFont="1" applyFill="1" applyBorder="1" applyAlignment="1">
      <alignment horizontal="center" vertical="center" wrapText="1"/>
    </xf>
    <xf numFmtId="0" fontId="79" fillId="0" borderId="139" xfId="0" applyFont="1" applyFill="1" applyBorder="1" applyAlignment="1">
      <alignment horizontal="left" vertical="center" wrapText="1"/>
    </xf>
    <xf numFmtId="0" fontId="79" fillId="0" borderId="110" xfId="0" applyFont="1" applyFill="1" applyBorder="1" applyAlignment="1">
      <alignment horizontal="left" vertical="center" wrapText="1"/>
    </xf>
    <xf numFmtId="0" fontId="79" fillId="0" borderId="140" xfId="0" applyFont="1" applyFill="1" applyBorder="1" applyAlignment="1">
      <alignment horizontal="left" vertical="center" wrapText="1"/>
    </xf>
    <xf numFmtId="0" fontId="96" fillId="0" borderId="139" xfId="0" applyFont="1" applyFill="1" applyBorder="1" applyAlignment="1">
      <alignment horizontal="left" vertical="center" wrapText="1"/>
    </xf>
    <xf numFmtId="0" fontId="96" fillId="0" borderId="120" xfId="0" applyFont="1" applyFill="1" applyBorder="1" applyAlignment="1">
      <alignment horizontal="left" vertical="center" wrapText="1"/>
    </xf>
    <xf numFmtId="0" fontId="96" fillId="0" borderId="147" xfId="0" applyFont="1" applyFill="1" applyBorder="1" applyAlignment="1">
      <alignment horizontal="left" vertical="center" wrapText="1"/>
    </xf>
    <xf numFmtId="0" fontId="16" fillId="13" borderId="117" xfId="0" applyFont="1" applyFill="1" applyBorder="1" applyAlignment="1">
      <alignment horizontal="center" vertical="center" wrapText="1"/>
    </xf>
    <xf numFmtId="0" fontId="79" fillId="0" borderId="111" xfId="0" applyFont="1" applyFill="1" applyBorder="1" applyAlignment="1">
      <alignment horizontal="left" vertical="center" wrapText="1"/>
    </xf>
    <xf numFmtId="0" fontId="79" fillId="0" borderId="146" xfId="0" applyFont="1" applyFill="1" applyBorder="1" applyAlignment="1">
      <alignment horizontal="left" vertical="center" wrapText="1"/>
    </xf>
    <xf numFmtId="0" fontId="1" fillId="18" borderId="94" xfId="0" applyFont="1" applyFill="1" applyBorder="1" applyAlignment="1" applyProtection="1">
      <alignment horizontal="center" vertical="center" wrapText="1"/>
      <protection locked="0"/>
    </xf>
    <xf numFmtId="0" fontId="79" fillId="0" borderId="111" xfId="0" applyFont="1" applyBorder="1" applyAlignment="1">
      <alignment horizontal="left" vertical="center" wrapText="1"/>
    </xf>
    <xf numFmtId="0" fontId="22" fillId="16" borderId="126" xfId="0" applyFont="1" applyFill="1" applyBorder="1" applyAlignment="1">
      <alignment horizontal="center"/>
    </xf>
    <xf numFmtId="0" fontId="22" fillId="16" borderId="243" xfId="0" applyFont="1" applyFill="1" applyBorder="1" applyAlignment="1">
      <alignment horizontal="center"/>
    </xf>
    <xf numFmtId="0" fontId="22" fillId="16" borderId="127" xfId="0" applyFont="1" applyFill="1" applyBorder="1" applyAlignment="1">
      <alignment horizontal="center"/>
    </xf>
    <xf numFmtId="0" fontId="120" fillId="0" borderId="145" xfId="0" applyFont="1" applyFill="1" applyBorder="1" applyAlignment="1">
      <alignment horizontal="left" vertical="center" wrapText="1"/>
    </xf>
    <xf numFmtId="0" fontId="120" fillId="0" borderId="110" xfId="0" applyFont="1" applyFill="1" applyBorder="1" applyAlignment="1">
      <alignment horizontal="left" vertical="center" wrapText="1"/>
    </xf>
    <xf numFmtId="0" fontId="120" fillId="0" borderId="140" xfId="0" applyFont="1" applyFill="1" applyBorder="1" applyAlignment="1">
      <alignment horizontal="left" vertical="center" wrapText="1"/>
    </xf>
    <xf numFmtId="0" fontId="120" fillId="0" borderId="144" xfId="0" applyFont="1" applyFill="1" applyBorder="1" applyAlignment="1">
      <alignment horizontal="left" vertical="center" wrapText="1"/>
    </xf>
    <xf numFmtId="0" fontId="120" fillId="0" borderId="0" xfId="0" applyFont="1" applyFill="1" applyBorder="1" applyAlignment="1">
      <alignment horizontal="left" vertical="center" wrapText="1"/>
    </xf>
    <xf numFmtId="0" fontId="120" fillId="0" borderId="102" xfId="0" applyFont="1" applyFill="1" applyBorder="1" applyAlignment="1">
      <alignment horizontal="left" vertical="center" wrapText="1"/>
    </xf>
    <xf numFmtId="0" fontId="120" fillId="0" borderId="153" xfId="0" applyFont="1" applyFill="1" applyBorder="1" applyAlignment="1">
      <alignment horizontal="left" vertical="center" wrapText="1"/>
    </xf>
    <xf numFmtId="0" fontId="120" fillId="0" borderId="114" xfId="0" applyFont="1" applyFill="1" applyBorder="1" applyAlignment="1">
      <alignment horizontal="left" vertical="center" wrapText="1"/>
    </xf>
    <xf numFmtId="0" fontId="120" fillId="0" borderId="125" xfId="0" applyFont="1" applyFill="1" applyBorder="1" applyAlignment="1">
      <alignment horizontal="left" vertical="center" wrapText="1"/>
    </xf>
    <xf numFmtId="0" fontId="79" fillId="0" borderId="106" xfId="0" applyFont="1" applyBorder="1" applyAlignment="1">
      <alignment horizontal="left" vertical="center" wrapText="1"/>
    </xf>
    <xf numFmtId="0" fontId="79" fillId="0" borderId="107" xfId="0" applyFont="1" applyBorder="1" applyAlignment="1">
      <alignment horizontal="left" vertical="center" wrapText="1"/>
    </xf>
    <xf numFmtId="0" fontId="79" fillId="0" borderId="108" xfId="0" applyFont="1" applyBorder="1" applyAlignment="1">
      <alignment horizontal="left" vertical="center" wrapText="1"/>
    </xf>
    <xf numFmtId="0" fontId="79" fillId="0" borderId="147" xfId="0" applyFont="1" applyBorder="1" applyAlignment="1">
      <alignment horizontal="left" vertical="center" wrapText="1"/>
    </xf>
    <xf numFmtId="0" fontId="79" fillId="0" borderId="95" xfId="0" applyFont="1" applyBorder="1" applyAlignment="1">
      <alignment horizontal="center" vertical="center" wrapText="1"/>
    </xf>
    <xf numFmtId="0" fontId="79" fillId="0" borderId="96" xfId="0" applyFont="1" applyBorder="1" applyAlignment="1">
      <alignment horizontal="center" vertical="center" wrapText="1"/>
    </xf>
    <xf numFmtId="0" fontId="79" fillId="0" borderId="124" xfId="0" applyFont="1" applyBorder="1" applyAlignment="1">
      <alignment horizontal="center" vertical="center" wrapText="1"/>
    </xf>
    <xf numFmtId="0" fontId="79" fillId="0" borderId="101" xfId="0" applyFont="1" applyBorder="1" applyAlignment="1">
      <alignment horizontal="center" vertical="center" wrapText="1"/>
    </xf>
    <xf numFmtId="0" fontId="79" fillId="0" borderId="0"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98" xfId="0" applyFont="1" applyBorder="1" applyAlignment="1">
      <alignment horizontal="center" vertical="center" wrapText="1"/>
    </xf>
    <xf numFmtId="0" fontId="79" fillId="0" borderId="99" xfId="0" applyFont="1" applyBorder="1" applyAlignment="1">
      <alignment horizontal="center" vertical="center" wrapText="1"/>
    </xf>
    <xf numFmtId="0" fontId="79" fillId="0" borderId="146" xfId="0" applyFont="1" applyBorder="1" applyAlignment="1">
      <alignment horizontal="center" vertical="center" wrapText="1"/>
    </xf>
    <xf numFmtId="0" fontId="80" fillId="15" borderId="94" xfId="0" applyFont="1" applyFill="1" applyBorder="1" applyAlignment="1">
      <alignment horizontal="center" vertical="center" textRotation="90" wrapText="1"/>
    </xf>
    <xf numFmtId="0" fontId="79" fillId="0" borderId="139" xfId="0" applyFont="1" applyBorder="1" applyAlignment="1">
      <alignment horizontal="center" vertical="center" wrapText="1"/>
    </xf>
    <xf numFmtId="0" fontId="79" fillId="0" borderId="110" xfId="0" applyFont="1" applyBorder="1" applyAlignment="1">
      <alignment horizontal="center" vertical="center" wrapText="1"/>
    </xf>
    <xf numFmtId="0" fontId="79" fillId="0" borderId="111" xfId="0" applyFont="1" applyBorder="1" applyAlignment="1">
      <alignment horizontal="center" vertical="center" wrapText="1"/>
    </xf>
    <xf numFmtId="166" fontId="87" fillId="37" borderId="94" xfId="0" applyNumberFormat="1" applyFont="1" applyFill="1" applyBorder="1" applyAlignment="1">
      <alignment horizontal="center" vertical="center"/>
    </xf>
    <xf numFmtId="0" fontId="94" fillId="0" borderId="95" xfId="0" applyFont="1" applyFill="1" applyBorder="1" applyAlignment="1">
      <alignment horizontal="center" vertical="center" wrapText="1"/>
    </xf>
    <xf numFmtId="0" fontId="94" fillId="0" borderId="96" xfId="0" applyFont="1" applyFill="1" applyBorder="1" applyAlignment="1">
      <alignment horizontal="center" vertical="center" wrapText="1"/>
    </xf>
    <xf numFmtId="0" fontId="94" fillId="0" borderId="97" xfId="0" applyFont="1" applyFill="1" applyBorder="1" applyAlignment="1">
      <alignment horizontal="center" vertical="center" wrapText="1"/>
    </xf>
    <xf numFmtId="0" fontId="94" fillId="0" borderId="101" xfId="0" applyFont="1" applyFill="1" applyBorder="1" applyAlignment="1">
      <alignment horizontal="center" vertical="center" wrapText="1"/>
    </xf>
    <xf numFmtId="0" fontId="94" fillId="0" borderId="0" xfId="0" applyFont="1" applyFill="1" applyBorder="1" applyAlignment="1">
      <alignment horizontal="center" vertical="center" wrapText="1"/>
    </xf>
    <xf numFmtId="0" fontId="94" fillId="0" borderId="102" xfId="0" applyFont="1" applyFill="1" applyBorder="1" applyAlignment="1">
      <alignment horizontal="center" vertical="center" wrapText="1"/>
    </xf>
    <xf numFmtId="0" fontId="94" fillId="0" borderId="98" xfId="0" applyFont="1" applyFill="1" applyBorder="1" applyAlignment="1">
      <alignment horizontal="center" vertical="center" wrapText="1"/>
    </xf>
    <xf numFmtId="0" fontId="94" fillId="0" borderId="99" xfId="0" applyFont="1" applyFill="1" applyBorder="1" applyAlignment="1">
      <alignment horizontal="center" vertical="center" wrapText="1"/>
    </xf>
    <xf numFmtId="0" fontId="94" fillId="0" borderId="100" xfId="0" applyFont="1" applyFill="1" applyBorder="1" applyAlignment="1">
      <alignment horizontal="center" vertical="center" wrapText="1"/>
    </xf>
    <xf numFmtId="166" fontId="87" fillId="43" borderId="94" xfId="0" applyNumberFormat="1" applyFont="1" applyFill="1" applyBorder="1" applyAlignment="1">
      <alignment horizontal="center" vertical="center" wrapText="1"/>
    </xf>
    <xf numFmtId="0" fontId="1" fillId="10" borderId="94" xfId="0" applyFont="1" applyFill="1" applyBorder="1" applyAlignment="1" applyProtection="1">
      <alignment horizontal="center" vertical="center"/>
      <protection locked="0"/>
    </xf>
    <xf numFmtId="0" fontId="92" fillId="0" borderId="101" xfId="0" applyFont="1" applyFill="1" applyBorder="1" applyAlignment="1">
      <alignment horizontal="center" vertical="center"/>
    </xf>
    <xf numFmtId="0" fontId="92" fillId="0" borderId="0" xfId="0" applyFont="1" applyFill="1" applyBorder="1" applyAlignment="1">
      <alignment horizontal="center" vertical="center"/>
    </xf>
    <xf numFmtId="0" fontId="92" fillId="0" borderId="102" xfId="0" applyFont="1" applyFill="1" applyBorder="1" applyAlignment="1">
      <alignment horizontal="center" vertical="center"/>
    </xf>
    <xf numFmtId="0" fontId="1" fillId="24" borderId="94" xfId="0" applyFont="1" applyFill="1" applyBorder="1" applyAlignment="1" applyProtection="1">
      <alignment horizontal="center" vertical="center" wrapText="1"/>
      <protection locked="0"/>
    </xf>
    <xf numFmtId="0" fontId="93" fillId="0" borderId="95" xfId="0" applyFont="1" applyFill="1" applyBorder="1" applyAlignment="1">
      <alignment horizontal="center" vertical="center" wrapText="1"/>
    </xf>
    <xf numFmtId="0" fontId="93" fillId="0" borderId="96" xfId="0" applyFont="1" applyFill="1" applyBorder="1" applyAlignment="1">
      <alignment horizontal="center" vertical="center" wrapText="1"/>
    </xf>
    <xf numFmtId="0" fontId="93" fillId="0" borderId="97" xfId="0" applyFont="1" applyFill="1" applyBorder="1" applyAlignment="1">
      <alignment horizontal="center" vertical="center" wrapText="1"/>
    </xf>
    <xf numFmtId="0" fontId="93" fillId="0" borderId="101" xfId="0" applyFont="1" applyFill="1" applyBorder="1" applyAlignment="1">
      <alignment horizontal="center" vertical="center" wrapText="1"/>
    </xf>
    <xf numFmtId="0" fontId="93" fillId="0" borderId="0" xfId="0" applyFont="1" applyFill="1" applyBorder="1" applyAlignment="1">
      <alignment horizontal="center" vertical="center" wrapText="1"/>
    </xf>
    <xf numFmtId="0" fontId="93" fillId="0" borderId="102" xfId="0" applyFont="1" applyFill="1" applyBorder="1" applyAlignment="1">
      <alignment horizontal="center" vertical="center" wrapText="1"/>
    </xf>
    <xf numFmtId="0" fontId="93" fillId="0" borderId="98" xfId="0" applyFont="1" applyFill="1" applyBorder="1" applyAlignment="1">
      <alignment horizontal="center" vertical="center" wrapText="1"/>
    </xf>
    <xf numFmtId="0" fontId="93" fillId="0" borderId="99" xfId="0" applyFont="1" applyFill="1" applyBorder="1" applyAlignment="1">
      <alignment horizontal="center" vertical="center" wrapText="1"/>
    </xf>
    <xf numFmtId="0" fontId="93" fillId="0" borderId="100" xfId="0" applyFont="1" applyFill="1" applyBorder="1" applyAlignment="1">
      <alignment horizontal="center" vertical="center" wrapText="1"/>
    </xf>
    <xf numFmtId="0" fontId="1" fillId="21" borderId="94" xfId="0" applyFont="1" applyFill="1" applyBorder="1" applyAlignment="1" applyProtection="1">
      <alignment horizontal="center" vertical="center"/>
      <protection locked="0"/>
    </xf>
    <xf numFmtId="0" fontId="95" fillId="0" borderId="95" xfId="0" applyFont="1" applyFill="1" applyBorder="1" applyAlignment="1">
      <alignment horizontal="center" vertical="center"/>
    </xf>
    <xf numFmtId="0" fontId="95" fillId="0" borderId="96" xfId="0" applyFont="1" applyFill="1" applyBorder="1" applyAlignment="1">
      <alignment horizontal="center" vertical="center"/>
    </xf>
    <xf numFmtId="0" fontId="95" fillId="0" borderId="97" xfId="0" applyFont="1" applyFill="1" applyBorder="1" applyAlignment="1">
      <alignment horizontal="center" vertical="center"/>
    </xf>
    <xf numFmtId="0" fontId="95" fillId="0" borderId="101" xfId="0" applyFont="1" applyFill="1" applyBorder="1" applyAlignment="1">
      <alignment horizontal="center" vertical="center"/>
    </xf>
    <xf numFmtId="0" fontId="95" fillId="0" borderId="0" xfId="0" applyFont="1" applyFill="1" applyBorder="1" applyAlignment="1">
      <alignment horizontal="center" vertical="center"/>
    </xf>
    <xf numFmtId="0" fontId="95" fillId="0" borderId="102" xfId="0" applyFont="1" applyFill="1" applyBorder="1" applyAlignment="1">
      <alignment horizontal="center" vertical="center"/>
    </xf>
    <xf numFmtId="0" fontId="95" fillId="0" borderId="98" xfId="0" applyFont="1" applyFill="1" applyBorder="1" applyAlignment="1">
      <alignment horizontal="center" vertical="center"/>
    </xf>
    <xf numFmtId="0" fontId="95" fillId="0" borderId="99" xfId="0" applyFont="1" applyFill="1" applyBorder="1" applyAlignment="1">
      <alignment horizontal="center" vertical="center"/>
    </xf>
    <xf numFmtId="0" fontId="95" fillId="0" borderId="100" xfId="0" applyFont="1" applyFill="1" applyBorder="1" applyAlignment="1">
      <alignment horizontal="center" vertical="center"/>
    </xf>
    <xf numFmtId="0" fontId="1" fillId="23" borderId="94" xfId="0" applyFont="1" applyFill="1" applyBorder="1" applyAlignment="1" applyProtection="1">
      <alignment horizontal="center" vertical="center"/>
      <protection locked="0"/>
    </xf>
    <xf numFmtId="0" fontId="96" fillId="0" borderId="95" xfId="0" applyFont="1" applyFill="1" applyBorder="1" applyAlignment="1">
      <alignment horizontal="center" vertical="center"/>
    </xf>
    <xf numFmtId="0" fontId="96" fillId="0" borderId="96" xfId="0" applyFont="1" applyFill="1" applyBorder="1" applyAlignment="1">
      <alignment horizontal="center" vertical="center"/>
    </xf>
    <xf numFmtId="0" fontId="96" fillId="0" borderId="97" xfId="0" applyFont="1" applyFill="1" applyBorder="1" applyAlignment="1">
      <alignment horizontal="center" vertical="center"/>
    </xf>
    <xf numFmtId="0" fontId="96" fillId="0" borderId="101" xfId="0" applyFont="1" applyFill="1" applyBorder="1" applyAlignment="1">
      <alignment horizontal="center" vertical="center"/>
    </xf>
    <xf numFmtId="0" fontId="96" fillId="0" borderId="0" xfId="0" applyFont="1" applyFill="1" applyBorder="1" applyAlignment="1">
      <alignment horizontal="center" vertical="center"/>
    </xf>
    <xf numFmtId="0" fontId="96" fillId="0" borderId="102" xfId="0" applyFont="1" applyFill="1" applyBorder="1" applyAlignment="1">
      <alignment horizontal="center" vertical="center"/>
    </xf>
    <xf numFmtId="0" fontId="96" fillId="0" borderId="98" xfId="0" applyFont="1" applyFill="1" applyBorder="1" applyAlignment="1">
      <alignment horizontal="center" vertical="center"/>
    </xf>
    <xf numFmtId="0" fontId="96" fillId="0" borderId="99" xfId="0" applyFont="1" applyFill="1" applyBorder="1" applyAlignment="1">
      <alignment horizontal="center" vertical="center"/>
    </xf>
    <xf numFmtId="0" fontId="96" fillId="0" borderId="100" xfId="0" applyFont="1" applyFill="1" applyBorder="1" applyAlignment="1">
      <alignment horizontal="center" vertical="center"/>
    </xf>
    <xf numFmtId="0" fontId="99" fillId="0" borderId="95" xfId="0" applyFont="1" applyFill="1" applyBorder="1" applyAlignment="1">
      <alignment horizontal="left" vertical="center" wrapText="1"/>
    </xf>
    <xf numFmtId="0" fontId="99" fillId="0" borderId="96" xfId="0" applyFont="1" applyFill="1" applyBorder="1" applyAlignment="1">
      <alignment horizontal="left" vertical="center" wrapText="1"/>
    </xf>
    <xf numFmtId="0" fontId="99" fillId="0" borderId="97" xfId="0" applyFont="1" applyFill="1" applyBorder="1" applyAlignment="1">
      <alignment horizontal="left" vertical="center" wrapText="1"/>
    </xf>
    <xf numFmtId="0" fontId="99" fillId="0" borderId="101" xfId="0" applyFont="1" applyFill="1" applyBorder="1" applyAlignment="1">
      <alignment horizontal="left" vertical="center" wrapText="1"/>
    </xf>
    <xf numFmtId="0" fontId="99" fillId="0" borderId="0" xfId="0" applyFont="1" applyFill="1" applyBorder="1" applyAlignment="1">
      <alignment horizontal="left" vertical="center" wrapText="1"/>
    </xf>
    <xf numFmtId="0" fontId="99" fillId="0" borderId="102" xfId="0" applyFont="1" applyFill="1" applyBorder="1" applyAlignment="1">
      <alignment horizontal="left" vertical="center" wrapText="1"/>
    </xf>
    <xf numFmtId="0" fontId="99" fillId="0" borderId="98" xfId="0" applyFont="1" applyFill="1" applyBorder="1" applyAlignment="1">
      <alignment horizontal="left" vertical="center" wrapText="1"/>
    </xf>
    <xf numFmtId="0" fontId="99" fillId="0" borderId="99" xfId="0" applyFont="1" applyFill="1" applyBorder="1" applyAlignment="1">
      <alignment horizontal="left" vertical="center" wrapText="1"/>
    </xf>
    <xf numFmtId="0" fontId="99" fillId="0" borderId="100" xfId="0" applyFont="1" applyFill="1" applyBorder="1" applyAlignment="1">
      <alignment horizontal="left" vertical="center" wrapText="1"/>
    </xf>
    <xf numFmtId="0" fontId="1" fillId="0" borderId="101" xfId="0" applyFont="1" applyFill="1" applyBorder="1" applyAlignment="1">
      <alignment horizontal="center" vertical="center" wrapText="1"/>
    </xf>
    <xf numFmtId="0" fontId="1" fillId="0" borderId="0" xfId="0" applyFont="1" applyFill="1" applyBorder="1" applyAlignment="1">
      <alignment horizontal="center" vertical="center" wrapText="1"/>
    </xf>
    <xf numFmtId="0" fontId="1" fillId="0" borderId="102" xfId="0" applyFont="1" applyFill="1" applyBorder="1" applyAlignment="1">
      <alignment horizontal="center" vertical="center" wrapText="1"/>
    </xf>
    <xf numFmtId="0" fontId="1" fillId="0" borderId="121" xfId="0" applyFont="1" applyFill="1" applyBorder="1" applyAlignment="1">
      <alignment horizontal="center" vertical="center" wrapText="1"/>
    </xf>
    <xf numFmtId="0" fontId="79" fillId="0" borderId="103" xfId="0" applyFont="1" applyBorder="1" applyAlignment="1">
      <alignment horizontal="center" vertical="center" wrapText="1"/>
    </xf>
    <xf numFmtId="0" fontId="79" fillId="0" borderId="104" xfId="0" applyFont="1" applyBorder="1" applyAlignment="1">
      <alignment horizontal="center" vertical="center" wrapText="1"/>
    </xf>
    <xf numFmtId="0" fontId="79" fillId="0" borderId="148" xfId="0" applyFont="1" applyBorder="1" applyAlignment="1">
      <alignment horizontal="center" vertical="center" wrapText="1"/>
    </xf>
    <xf numFmtId="0" fontId="79" fillId="0" borderId="149" xfId="0" applyFont="1" applyBorder="1" applyAlignment="1">
      <alignment horizontal="center" vertical="center" wrapText="1"/>
    </xf>
    <xf numFmtId="0" fontId="84" fillId="18" borderId="126" xfId="0" applyFont="1" applyFill="1" applyBorder="1" applyAlignment="1">
      <alignment horizontal="center" vertical="center" wrapText="1"/>
    </xf>
    <xf numFmtId="0" fontId="84" fillId="18" borderId="243" xfId="0" applyFont="1" applyFill="1" applyBorder="1" applyAlignment="1">
      <alignment horizontal="center" vertical="center" wrapText="1"/>
    </xf>
    <xf numFmtId="0" fontId="84" fillId="18" borderId="127" xfId="0" applyFont="1" applyFill="1" applyBorder="1" applyAlignment="1">
      <alignment horizontal="center" vertical="center" wrapText="1"/>
    </xf>
    <xf numFmtId="0" fontId="94" fillId="0" borderId="145" xfId="0" applyFont="1" applyFill="1" applyBorder="1" applyAlignment="1">
      <alignment horizontal="left" vertical="center" wrapText="1"/>
    </xf>
    <xf numFmtId="0" fontId="94" fillId="0" borderId="110" xfId="0" applyFont="1" applyFill="1" applyBorder="1" applyAlignment="1">
      <alignment horizontal="left" vertical="center" wrapText="1"/>
    </xf>
    <xf numFmtId="0" fontId="94" fillId="0" borderId="111" xfId="0" applyFont="1" applyFill="1" applyBorder="1" applyAlignment="1">
      <alignment horizontal="left" vertical="center" wrapText="1"/>
    </xf>
    <xf numFmtId="0" fontId="94" fillId="0" borderId="144" xfId="0" applyFont="1" applyFill="1" applyBorder="1" applyAlignment="1">
      <alignment horizontal="left" vertical="center" wrapText="1"/>
    </xf>
    <xf numFmtId="0" fontId="94" fillId="0" borderId="120" xfId="0" applyFont="1" applyFill="1" applyBorder="1" applyAlignment="1">
      <alignment horizontal="left" vertical="center" wrapText="1"/>
    </xf>
    <xf numFmtId="0" fontId="94" fillId="0" borderId="153" xfId="0" applyFont="1" applyFill="1" applyBorder="1" applyAlignment="1">
      <alignment horizontal="left" vertical="center" wrapText="1"/>
    </xf>
    <xf numFmtId="0" fontId="94" fillId="0" borderId="114" xfId="0" applyFont="1" applyFill="1" applyBorder="1" applyAlignment="1">
      <alignment horizontal="left" vertical="center" wrapText="1"/>
    </xf>
    <xf numFmtId="0" fontId="94" fillId="0" borderId="115" xfId="0" applyFont="1" applyFill="1" applyBorder="1" applyAlignment="1">
      <alignment horizontal="left" vertical="center" wrapText="1"/>
    </xf>
    <xf numFmtId="0" fontId="84" fillId="17" borderId="151" xfId="0" applyFont="1" applyFill="1" applyBorder="1" applyAlignment="1">
      <alignment horizontal="center" vertical="center" wrapText="1"/>
    </xf>
    <xf numFmtId="0" fontId="84" fillId="17" borderId="244" xfId="0" applyFont="1" applyFill="1" applyBorder="1" applyAlignment="1">
      <alignment horizontal="center" vertical="center" wrapText="1"/>
    </xf>
    <xf numFmtId="0" fontId="84" fillId="17" borderId="152" xfId="0" applyFont="1" applyFill="1" applyBorder="1" applyAlignment="1">
      <alignment horizontal="center" vertical="center" wrapText="1"/>
    </xf>
    <xf numFmtId="0" fontId="100" fillId="0" borderId="110" xfId="0" applyFont="1" applyFill="1" applyBorder="1" applyAlignment="1">
      <alignment horizontal="left" vertical="center" wrapText="1"/>
    </xf>
    <xf numFmtId="0" fontId="100" fillId="0" borderId="0" xfId="0" applyFont="1" applyFill="1" applyBorder="1" applyAlignment="1">
      <alignment horizontal="left" vertical="center" wrapText="1"/>
    </xf>
    <xf numFmtId="0" fontId="100" fillId="0" borderId="114" xfId="0" applyFont="1" applyFill="1" applyBorder="1" applyAlignment="1">
      <alignment horizontal="left" vertical="center" wrapText="1"/>
    </xf>
    <xf numFmtId="0" fontId="22" fillId="10" borderId="126" xfId="0" applyFont="1" applyFill="1" applyBorder="1" applyAlignment="1">
      <alignment horizontal="center"/>
    </xf>
    <xf numFmtId="0" fontId="22" fillId="10" borderId="243" xfId="0" applyFont="1" applyFill="1" applyBorder="1" applyAlignment="1">
      <alignment horizontal="center"/>
    </xf>
    <xf numFmtId="0" fontId="22" fillId="10" borderId="127" xfId="0" applyFont="1" applyFill="1" applyBorder="1" applyAlignment="1">
      <alignment horizontal="center"/>
    </xf>
    <xf numFmtId="0" fontId="92" fillId="0" borderId="110" xfId="0" applyFont="1" applyFill="1" applyBorder="1" applyAlignment="1">
      <alignment horizontal="left" vertical="center"/>
    </xf>
    <xf numFmtId="0" fontId="92" fillId="0" borderId="111" xfId="0" applyFont="1" applyFill="1" applyBorder="1" applyAlignment="1">
      <alignment horizontal="left" vertical="center"/>
    </xf>
    <xf numFmtId="0" fontId="92" fillId="0" borderId="120" xfId="0" applyFont="1" applyFill="1" applyBorder="1" applyAlignment="1">
      <alignment horizontal="left" vertical="center"/>
    </xf>
    <xf numFmtId="0" fontId="92" fillId="0" borderId="114" xfId="0" applyFont="1" applyFill="1" applyBorder="1" applyAlignment="1">
      <alignment horizontal="left" vertical="center"/>
    </xf>
    <xf numFmtId="0" fontId="92" fillId="0" borderId="115" xfId="0" applyFont="1" applyFill="1" applyBorder="1" applyAlignment="1">
      <alignment horizontal="left" vertical="center"/>
    </xf>
    <xf numFmtId="0" fontId="16" fillId="24" borderId="126" xfId="0" applyFont="1" applyFill="1" applyBorder="1" applyAlignment="1">
      <alignment horizontal="center" vertical="center" wrapText="1"/>
    </xf>
    <xf numFmtId="0" fontId="16" fillId="24" borderId="243" xfId="0" applyFont="1" applyFill="1" applyBorder="1" applyAlignment="1">
      <alignment horizontal="center" vertical="center" wrapText="1"/>
    </xf>
    <xf numFmtId="0" fontId="16" fillId="24" borderId="127" xfId="0" applyFont="1" applyFill="1" applyBorder="1" applyAlignment="1">
      <alignment horizontal="center" vertical="center" wrapText="1"/>
    </xf>
    <xf numFmtId="0" fontId="93" fillId="0" borderId="145" xfId="0" applyFont="1" applyFill="1" applyBorder="1" applyAlignment="1">
      <alignment horizontal="left" vertical="center" wrapText="1"/>
    </xf>
    <xf numFmtId="0" fontId="93" fillId="0" borderId="110" xfId="0" applyFont="1" applyFill="1" applyBorder="1" applyAlignment="1">
      <alignment horizontal="left" vertical="center" wrapText="1"/>
    </xf>
    <xf numFmtId="0" fontId="93" fillId="0" borderId="111" xfId="0" applyFont="1" applyFill="1" applyBorder="1" applyAlignment="1">
      <alignment horizontal="left" vertical="center" wrapText="1"/>
    </xf>
    <xf numFmtId="0" fontId="93" fillId="0" borderId="144" xfId="0" applyFont="1" applyFill="1" applyBorder="1" applyAlignment="1">
      <alignment horizontal="left" vertical="center" wrapText="1"/>
    </xf>
    <xf numFmtId="0" fontId="93" fillId="0" borderId="0" xfId="0" applyFont="1" applyFill="1" applyBorder="1" applyAlignment="1">
      <alignment horizontal="left" vertical="center" wrapText="1"/>
    </xf>
    <xf numFmtId="0" fontId="93" fillId="0" borderId="120" xfId="0" applyFont="1" applyFill="1" applyBorder="1" applyAlignment="1">
      <alignment horizontal="left" vertical="center" wrapText="1"/>
    </xf>
    <xf numFmtId="0" fontId="93" fillId="0" borderId="153" xfId="0" applyFont="1" applyFill="1" applyBorder="1" applyAlignment="1">
      <alignment horizontal="left" vertical="center" wrapText="1"/>
    </xf>
    <xf numFmtId="0" fontId="93" fillId="0" borderId="114" xfId="0" applyFont="1" applyFill="1" applyBorder="1" applyAlignment="1">
      <alignment horizontal="left" vertical="center" wrapText="1"/>
    </xf>
    <xf numFmtId="0" fontId="93" fillId="0" borderId="115" xfId="0" applyFont="1" applyFill="1" applyBorder="1" applyAlignment="1">
      <alignment horizontal="left" vertical="center" wrapText="1"/>
    </xf>
    <xf numFmtId="0" fontId="84" fillId="22" borderId="126" xfId="0" applyFont="1" applyFill="1" applyBorder="1" applyAlignment="1">
      <alignment horizontal="center" vertical="center" wrapText="1"/>
    </xf>
    <xf numFmtId="0" fontId="84" fillId="22" borderId="243" xfId="0" applyFont="1" applyFill="1" applyBorder="1" applyAlignment="1">
      <alignment horizontal="center" vertical="center" wrapText="1"/>
    </xf>
    <xf numFmtId="0" fontId="84" fillId="22" borderId="127" xfId="0" applyFont="1" applyFill="1" applyBorder="1" applyAlignment="1">
      <alignment horizontal="center" vertical="center" wrapText="1"/>
    </xf>
    <xf numFmtId="0" fontId="99" fillId="0" borderId="110" xfId="0" applyFont="1" applyFill="1" applyBorder="1" applyAlignment="1">
      <alignment horizontal="left" vertical="center" wrapText="1"/>
    </xf>
    <xf numFmtId="0" fontId="99" fillId="0" borderId="111" xfId="0" applyFont="1" applyFill="1" applyBorder="1" applyAlignment="1">
      <alignment horizontal="left" vertical="center" wrapText="1"/>
    </xf>
    <xf numFmtId="0" fontId="99" fillId="0" borderId="120" xfId="0" applyFont="1" applyFill="1" applyBorder="1" applyAlignment="1">
      <alignment horizontal="left" vertical="center" wrapText="1"/>
    </xf>
    <xf numFmtId="0" fontId="99" fillId="0" borderId="114" xfId="0" applyFont="1" applyFill="1" applyBorder="1" applyAlignment="1">
      <alignment horizontal="left" vertical="center" wrapText="1"/>
    </xf>
    <xf numFmtId="0" fontId="99" fillId="0" borderId="115" xfId="0" applyFont="1" applyFill="1" applyBorder="1" applyAlignment="1">
      <alignment horizontal="left" vertical="center" wrapText="1"/>
    </xf>
    <xf numFmtId="0" fontId="88" fillId="0" borderId="94" xfId="0" applyFont="1" applyFill="1" applyBorder="1" applyAlignment="1" applyProtection="1">
      <alignment horizontal="center" vertical="center"/>
      <protection locked="0"/>
    </xf>
    <xf numFmtId="0" fontId="167" fillId="0" borderId="95" xfId="0" applyFont="1" applyBorder="1" applyAlignment="1">
      <alignment horizontal="left" vertical="center" wrapText="1"/>
    </xf>
    <xf numFmtId="0" fontId="167" fillId="0" borderId="96" xfId="0" applyFont="1" applyBorder="1" applyAlignment="1">
      <alignment horizontal="left" vertical="center" wrapText="1"/>
    </xf>
    <xf numFmtId="0" fontId="167" fillId="0" borderId="97" xfId="0" applyFont="1" applyBorder="1" applyAlignment="1">
      <alignment horizontal="left" vertical="center" wrapText="1"/>
    </xf>
    <xf numFmtId="0" fontId="167" fillId="0" borderId="101" xfId="0" applyFont="1" applyBorder="1" applyAlignment="1">
      <alignment horizontal="left" vertical="center" wrapText="1"/>
    </xf>
    <xf numFmtId="0" fontId="167" fillId="0" borderId="0" xfId="0" applyFont="1" applyBorder="1" applyAlignment="1">
      <alignment horizontal="left" vertical="center" wrapText="1"/>
    </xf>
    <xf numFmtId="0" fontId="167" fillId="0" borderId="102" xfId="0" applyFont="1" applyBorder="1" applyAlignment="1">
      <alignment horizontal="left" vertical="center" wrapText="1"/>
    </xf>
    <xf numFmtId="0" fontId="167" fillId="0" borderId="98" xfId="0" applyFont="1" applyBorder="1" applyAlignment="1">
      <alignment horizontal="left" vertical="center" wrapText="1"/>
    </xf>
    <xf numFmtId="0" fontId="167" fillId="0" borderId="99" xfId="0" applyFont="1" applyBorder="1" applyAlignment="1">
      <alignment horizontal="left" vertical="center" wrapText="1"/>
    </xf>
    <xf numFmtId="0" fontId="167" fillId="0" borderId="100" xfId="0" applyFont="1" applyBorder="1" applyAlignment="1">
      <alignment horizontal="left" vertical="center" wrapText="1"/>
    </xf>
    <xf numFmtId="166" fontId="87" fillId="43" borderId="103" xfId="0" applyNumberFormat="1" applyFont="1" applyFill="1" applyBorder="1" applyAlignment="1">
      <alignment horizontal="center" vertical="center"/>
    </xf>
    <xf numFmtId="0" fontId="79" fillId="0" borderId="118" xfId="0" applyFont="1" applyBorder="1" applyAlignment="1">
      <alignment horizontal="left" vertical="center" wrapText="1"/>
    </xf>
    <xf numFmtId="166" fontId="87" fillId="37" borderId="105" xfId="0" applyNumberFormat="1" applyFont="1" applyFill="1" applyBorder="1" applyAlignment="1">
      <alignment horizontal="center" vertical="center" wrapText="1"/>
    </xf>
    <xf numFmtId="166" fontId="87" fillId="37" borderId="103" xfId="0" applyNumberFormat="1" applyFont="1" applyFill="1" applyBorder="1" applyAlignment="1">
      <alignment horizontal="center" vertical="center" wrapText="1"/>
    </xf>
    <xf numFmtId="166" fontId="87" fillId="43" borderId="105" xfId="0" applyNumberFormat="1" applyFont="1" applyFill="1" applyBorder="1" applyAlignment="1">
      <alignment horizontal="center" vertical="center"/>
    </xf>
    <xf numFmtId="0" fontId="82" fillId="0" borderId="108" xfId="0" applyFont="1" applyBorder="1" applyAlignment="1" applyProtection="1">
      <alignment horizontal="center" vertical="center"/>
      <protection locked="0"/>
    </xf>
    <xf numFmtId="0" fontId="82" fillId="0" borderId="94" xfId="0" applyFont="1" applyBorder="1" applyAlignment="1" applyProtection="1">
      <alignment horizontal="center" vertical="center"/>
      <protection locked="0"/>
    </xf>
    <xf numFmtId="166" fontId="87" fillId="37" borderId="105" xfId="0" applyNumberFormat="1" applyFont="1" applyFill="1" applyBorder="1" applyAlignment="1">
      <alignment horizontal="center" vertical="center"/>
    </xf>
    <xf numFmtId="0" fontId="96" fillId="0" borderId="145" xfId="0" applyFont="1" applyFill="1" applyBorder="1" applyAlignment="1">
      <alignment horizontal="left" vertical="center"/>
    </xf>
    <xf numFmtId="0" fontId="96" fillId="0" borderId="110" xfId="0" applyFont="1" applyFill="1" applyBorder="1" applyAlignment="1">
      <alignment horizontal="left" vertical="center"/>
    </xf>
    <xf numFmtId="0" fontId="96" fillId="0" borderId="111" xfId="0" applyFont="1" applyFill="1" applyBorder="1" applyAlignment="1">
      <alignment horizontal="left" vertical="center"/>
    </xf>
    <xf numFmtId="0" fontId="96" fillId="0" borderId="144" xfId="0" applyFont="1" applyFill="1" applyBorder="1" applyAlignment="1">
      <alignment horizontal="left" vertical="center"/>
    </xf>
    <xf numFmtId="0" fontId="96" fillId="0" borderId="0" xfId="0" applyFont="1" applyFill="1" applyBorder="1" applyAlignment="1">
      <alignment horizontal="left" vertical="center"/>
    </xf>
    <xf numFmtId="0" fontId="96" fillId="0" borderId="120" xfId="0" applyFont="1" applyFill="1" applyBorder="1" applyAlignment="1">
      <alignment horizontal="left" vertical="center"/>
    </xf>
    <xf numFmtId="0" fontId="96" fillId="0" borderId="153" xfId="0" applyFont="1" applyFill="1" applyBorder="1" applyAlignment="1">
      <alignment horizontal="left" vertical="center"/>
    </xf>
    <xf numFmtId="0" fontId="96" fillId="0" borderId="114" xfId="0" applyFont="1" applyFill="1" applyBorder="1" applyAlignment="1">
      <alignment horizontal="left" vertical="center"/>
    </xf>
    <xf numFmtId="0" fontId="96" fillId="0" borderId="115" xfId="0" applyFont="1" applyFill="1" applyBorder="1" applyAlignment="1">
      <alignment horizontal="left" vertical="center"/>
    </xf>
    <xf numFmtId="0" fontId="22" fillId="10" borderId="154" xfId="0" applyFont="1" applyFill="1" applyBorder="1" applyAlignment="1">
      <alignment horizontal="center"/>
    </xf>
    <xf numFmtId="0" fontId="22" fillId="10" borderId="144" xfId="0" applyFont="1" applyFill="1" applyBorder="1" applyAlignment="1">
      <alignment horizontal="center"/>
    </xf>
    <xf numFmtId="0" fontId="22" fillId="10" borderId="155" xfId="0" applyFont="1" applyFill="1" applyBorder="1" applyAlignment="1">
      <alignment horizontal="center"/>
    </xf>
    <xf numFmtId="0" fontId="16" fillId="23" borderId="246" xfId="0" applyFont="1" applyFill="1" applyBorder="1" applyAlignment="1">
      <alignment horizontal="center" vertical="center"/>
    </xf>
    <xf numFmtId="0" fontId="16" fillId="23" borderId="247" xfId="0" applyFont="1" applyFill="1" applyBorder="1" applyAlignment="1">
      <alignment horizontal="center" vertical="center"/>
    </xf>
    <xf numFmtId="0" fontId="16" fillId="23" borderId="248" xfId="0" applyFont="1" applyFill="1" applyBorder="1" applyAlignment="1">
      <alignment horizontal="center" vertical="center"/>
    </xf>
    <xf numFmtId="0" fontId="67" fillId="0" borderId="118" xfId="0" applyFont="1" applyFill="1" applyBorder="1" applyAlignment="1">
      <alignment horizontal="left" vertical="center" wrapText="1"/>
    </xf>
    <xf numFmtId="0" fontId="1" fillId="0" borderId="118" xfId="0" applyFont="1" applyFill="1" applyBorder="1" applyAlignment="1">
      <alignment horizontal="left" vertical="center" wrapText="1"/>
    </xf>
    <xf numFmtId="0" fontId="16" fillId="21" borderId="126" xfId="0" applyFont="1" applyFill="1" applyBorder="1" applyAlignment="1">
      <alignment horizontal="center" vertical="center"/>
    </xf>
    <xf numFmtId="0" fontId="16" fillId="21" borderId="243" xfId="0" applyFont="1" applyFill="1" applyBorder="1" applyAlignment="1">
      <alignment horizontal="center" vertical="center"/>
    </xf>
    <xf numFmtId="0" fontId="16" fillId="21" borderId="127" xfId="0" applyFont="1" applyFill="1" applyBorder="1" applyAlignment="1">
      <alignment horizontal="center" vertical="center"/>
    </xf>
    <xf numFmtId="0" fontId="95" fillId="0" borderId="145" xfId="0" applyFont="1" applyFill="1" applyBorder="1" applyAlignment="1">
      <alignment horizontal="left" vertical="center"/>
    </xf>
    <xf numFmtId="0" fontId="95" fillId="0" borderId="110" xfId="0" applyFont="1" applyFill="1" applyBorder="1" applyAlignment="1">
      <alignment horizontal="left" vertical="center"/>
    </xf>
    <xf numFmtId="0" fontId="95" fillId="0" borderId="111" xfId="0" applyFont="1" applyFill="1" applyBorder="1" applyAlignment="1">
      <alignment horizontal="left" vertical="center"/>
    </xf>
    <xf numFmtId="0" fontId="95" fillId="0" borderId="144" xfId="0" applyFont="1" applyFill="1" applyBorder="1" applyAlignment="1">
      <alignment horizontal="left" vertical="center"/>
    </xf>
    <xf numFmtId="0" fontId="95" fillId="0" borderId="0" xfId="0" applyFont="1" applyFill="1" applyBorder="1" applyAlignment="1">
      <alignment horizontal="left" vertical="center"/>
    </xf>
    <xf numFmtId="0" fontId="95" fillId="0" borderId="120" xfId="0" applyFont="1" applyFill="1" applyBorder="1" applyAlignment="1">
      <alignment horizontal="left" vertical="center"/>
    </xf>
    <xf numFmtId="0" fontId="95" fillId="0" borderId="153" xfId="0" applyFont="1" applyFill="1" applyBorder="1" applyAlignment="1">
      <alignment horizontal="left" vertical="center"/>
    </xf>
    <xf numFmtId="0" fontId="95" fillId="0" borderId="114" xfId="0" applyFont="1" applyFill="1" applyBorder="1" applyAlignment="1">
      <alignment horizontal="left" vertical="center"/>
    </xf>
    <xf numFmtId="0" fontId="95" fillId="0" borderId="115" xfId="0" applyFont="1" applyFill="1" applyBorder="1" applyAlignment="1">
      <alignment horizontal="left" vertical="center"/>
    </xf>
    <xf numFmtId="166" fontId="87" fillId="43" borderId="106" xfId="0" applyNumberFormat="1" applyFont="1" applyFill="1" applyBorder="1" applyAlignment="1">
      <alignment horizontal="center" vertical="center" wrapText="1"/>
    </xf>
    <xf numFmtId="166" fontId="87" fillId="43" borderId="107" xfId="0" applyNumberFormat="1" applyFont="1" applyFill="1" applyBorder="1" applyAlignment="1">
      <alignment horizontal="center" vertical="center" wrapText="1"/>
    </xf>
    <xf numFmtId="166" fontId="87" fillId="43" borderId="108" xfId="0" applyNumberFormat="1" applyFont="1" applyFill="1" applyBorder="1" applyAlignment="1">
      <alignment horizontal="center" vertical="center" wrapText="1"/>
    </xf>
    <xf numFmtId="0" fontId="79" fillId="0" borderId="147" xfId="0" applyFont="1" applyFill="1" applyBorder="1" applyAlignment="1">
      <alignment horizontal="left" vertical="center" wrapText="1"/>
    </xf>
    <xf numFmtId="166" fontId="87" fillId="37" borderId="160" xfId="0" applyNumberFormat="1" applyFont="1" applyFill="1" applyBorder="1" applyAlignment="1">
      <alignment horizontal="center" vertical="center" wrapText="1"/>
    </xf>
    <xf numFmtId="0" fontId="16" fillId="23" borderId="126" xfId="0" applyFont="1" applyFill="1" applyBorder="1" applyAlignment="1">
      <alignment horizontal="center" vertical="center"/>
    </xf>
    <xf numFmtId="0" fontId="16" fillId="23" borderId="243" xfId="0" applyFont="1" applyFill="1" applyBorder="1" applyAlignment="1">
      <alignment horizontal="center" vertical="center"/>
    </xf>
    <xf numFmtId="0" fontId="16" fillId="23" borderId="127" xfId="0" applyFont="1" applyFill="1" applyBorder="1" applyAlignment="1">
      <alignment horizontal="center" vertical="center"/>
    </xf>
    <xf numFmtId="166" fontId="87" fillId="43" borderId="141" xfId="0" applyNumberFormat="1" applyFont="1" applyFill="1" applyBorder="1" applyAlignment="1">
      <alignment horizontal="center" vertical="center" wrapText="1"/>
    </xf>
    <xf numFmtId="166" fontId="87" fillId="43" borderId="142" xfId="0" applyNumberFormat="1" applyFont="1" applyFill="1" applyBorder="1" applyAlignment="1">
      <alignment horizontal="center" vertical="center" wrapText="1"/>
    </xf>
    <xf numFmtId="166" fontId="87" fillId="43" borderId="143" xfId="0" applyNumberFormat="1" applyFont="1" applyFill="1" applyBorder="1" applyAlignment="1">
      <alignment horizontal="center" vertical="center" wrapText="1"/>
    </xf>
    <xf numFmtId="0" fontId="16" fillId="0" borderId="156" xfId="0" applyFont="1" applyFill="1" applyBorder="1" applyAlignment="1">
      <alignment horizontal="center" vertical="center" wrapText="1"/>
    </xf>
    <xf numFmtId="0" fontId="16" fillId="0" borderId="245" xfId="0" applyFont="1" applyFill="1" applyBorder="1" applyAlignment="1">
      <alignment horizontal="center" vertical="center" wrapText="1"/>
    </xf>
    <xf numFmtId="0" fontId="16" fillId="0" borderId="157" xfId="0" applyFont="1" applyFill="1" applyBorder="1" applyAlignment="1">
      <alignment horizontal="center" vertical="center" wrapText="1"/>
    </xf>
    <xf numFmtId="166" fontId="87" fillId="43" borderId="141" xfId="0" applyNumberFormat="1" applyFont="1" applyFill="1" applyBorder="1" applyAlignment="1">
      <alignment horizontal="center" vertical="center"/>
    </xf>
    <xf numFmtId="166" fontId="87" fillId="43" borderId="142" xfId="0" applyNumberFormat="1" applyFont="1" applyFill="1" applyBorder="1" applyAlignment="1">
      <alignment horizontal="center" vertical="center"/>
    </xf>
    <xf numFmtId="166" fontId="87" fillId="43" borderId="143" xfId="0" applyNumberFormat="1" applyFont="1" applyFill="1" applyBorder="1" applyAlignment="1">
      <alignment horizontal="center" vertical="center"/>
    </xf>
    <xf numFmtId="0" fontId="79" fillId="13" borderId="139" xfId="0" applyFont="1" applyFill="1" applyBorder="1" applyAlignment="1">
      <alignment horizontal="left" vertical="center" wrapText="1"/>
    </xf>
    <xf numFmtId="0" fontId="79" fillId="13" borderId="110" xfId="0" applyFont="1" applyFill="1" applyBorder="1" applyAlignment="1">
      <alignment horizontal="left" vertical="center" wrapText="1"/>
    </xf>
    <xf numFmtId="0" fontId="79" fillId="13" borderId="101" xfId="0" applyFont="1" applyFill="1" applyBorder="1" applyAlignment="1">
      <alignment horizontal="left" vertical="center" wrapText="1"/>
    </xf>
    <xf numFmtId="0" fontId="79" fillId="13" borderId="0" xfId="0" applyFont="1" applyFill="1" applyBorder="1" applyAlignment="1">
      <alignment horizontal="left" vertical="center" wrapText="1"/>
    </xf>
    <xf numFmtId="0" fontId="79" fillId="13" borderId="147" xfId="0" applyFont="1" applyFill="1" applyBorder="1" applyAlignment="1">
      <alignment horizontal="left" vertical="center" wrapText="1"/>
    </xf>
    <xf numFmtId="0" fontId="79" fillId="13" borderId="114" xfId="0" applyFont="1" applyFill="1" applyBorder="1" applyAlignment="1">
      <alignment horizontal="left" vertical="center" wrapText="1"/>
    </xf>
    <xf numFmtId="166" fontId="87" fillId="37" borderId="158" xfId="0" applyNumberFormat="1" applyFont="1" applyFill="1" applyBorder="1" applyAlignment="1">
      <alignment horizontal="center" vertical="center" wrapText="1"/>
    </xf>
    <xf numFmtId="166" fontId="87" fillId="37" borderId="142" xfId="0" applyNumberFormat="1" applyFont="1" applyFill="1" applyBorder="1" applyAlignment="1">
      <alignment horizontal="center" vertical="center" wrapText="1"/>
    </xf>
    <xf numFmtId="166" fontId="87" fillId="37" borderId="143" xfId="0" applyNumberFormat="1" applyFont="1" applyFill="1" applyBorder="1" applyAlignment="1">
      <alignment horizontal="center" vertical="center" wrapText="1"/>
    </xf>
    <xf numFmtId="166" fontId="87" fillId="37" borderId="128" xfId="0" applyNumberFormat="1" applyFont="1" applyFill="1" applyBorder="1" applyAlignment="1">
      <alignment horizontal="center" vertical="center" wrapText="1"/>
    </xf>
    <xf numFmtId="166" fontId="87" fillId="37" borderId="117" xfId="0" applyNumberFormat="1" applyFont="1" applyFill="1" applyBorder="1" applyAlignment="1">
      <alignment horizontal="center" vertical="center" wrapText="1"/>
    </xf>
    <xf numFmtId="166" fontId="87" fillId="37" borderId="159" xfId="0" applyNumberFormat="1" applyFont="1" applyFill="1" applyBorder="1" applyAlignment="1">
      <alignment horizontal="center" vertical="center" wrapText="1"/>
    </xf>
    <xf numFmtId="0" fontId="79" fillId="0" borderId="109" xfId="0" applyFont="1" applyBorder="1" applyAlignment="1">
      <alignment horizontal="left" vertical="center" wrapText="1"/>
    </xf>
    <xf numFmtId="166" fontId="87" fillId="42" borderId="141" xfId="0" applyNumberFormat="1" applyFont="1" applyFill="1" applyBorder="1" applyAlignment="1">
      <alignment horizontal="center" vertical="center" wrapText="1"/>
    </xf>
    <xf numFmtId="166" fontId="87" fillId="42" borderId="142" xfId="0" applyNumberFormat="1" applyFont="1" applyFill="1" applyBorder="1" applyAlignment="1">
      <alignment horizontal="center" vertical="center" wrapText="1"/>
    </xf>
    <xf numFmtId="166" fontId="87" fillId="42" borderId="143" xfId="0" applyNumberFormat="1" applyFont="1" applyFill="1" applyBorder="1" applyAlignment="1">
      <alignment horizontal="center" vertical="center" wrapText="1"/>
    </xf>
    <xf numFmtId="166" fontId="87" fillId="37" borderId="141" xfId="0" applyNumberFormat="1" applyFont="1" applyFill="1" applyBorder="1" applyAlignment="1">
      <alignment horizontal="center" vertical="center"/>
    </xf>
    <xf numFmtId="166" fontId="87" fillId="37" borderId="142" xfId="0" applyNumberFormat="1" applyFont="1" applyFill="1" applyBorder="1" applyAlignment="1">
      <alignment horizontal="center" vertical="center"/>
    </xf>
    <xf numFmtId="166" fontId="87" fillId="37" borderId="143" xfId="0" applyNumberFormat="1" applyFont="1" applyFill="1" applyBorder="1" applyAlignment="1">
      <alignment horizontal="center" vertical="center"/>
    </xf>
    <xf numFmtId="0" fontId="79" fillId="0" borderId="109" xfId="0" applyFont="1" applyFill="1" applyBorder="1" applyAlignment="1">
      <alignment horizontal="left" vertical="center" wrapText="1"/>
    </xf>
    <xf numFmtId="0" fontId="92" fillId="0" borderId="145" xfId="0" applyFont="1" applyFill="1" applyBorder="1" applyAlignment="1">
      <alignment horizontal="left" vertical="center"/>
    </xf>
    <xf numFmtId="0" fontId="92" fillId="0" borderId="144" xfId="0" applyFont="1" applyFill="1" applyBorder="1" applyAlignment="1">
      <alignment horizontal="left" vertical="center"/>
    </xf>
    <xf numFmtId="0" fontId="92" fillId="0" borderId="153" xfId="0" applyFont="1" applyFill="1" applyBorder="1" applyAlignment="1">
      <alignment horizontal="left" vertical="center"/>
    </xf>
    <xf numFmtId="0" fontId="16" fillId="13" borderId="156" xfId="0" applyFont="1" applyFill="1" applyBorder="1" applyAlignment="1">
      <alignment horizontal="center" vertical="center" wrapText="1"/>
    </xf>
    <xf numFmtId="0" fontId="16" fillId="13" borderId="245" xfId="0" applyFont="1" applyFill="1" applyBorder="1" applyAlignment="1">
      <alignment horizontal="center" vertical="center" wrapText="1"/>
    </xf>
    <xf numFmtId="0" fontId="16" fillId="13" borderId="157" xfId="0" applyFont="1" applyFill="1" applyBorder="1" applyAlignment="1">
      <alignment horizontal="center" vertical="center" wrapText="1"/>
    </xf>
    <xf numFmtId="166" fontId="87" fillId="37" borderId="141" xfId="0" applyNumberFormat="1" applyFont="1" applyFill="1" applyBorder="1" applyAlignment="1">
      <alignment horizontal="center" vertical="center" wrapText="1"/>
    </xf>
    <xf numFmtId="166" fontId="87" fillId="43" borderId="128" xfId="0" applyNumberFormat="1" applyFont="1" applyFill="1" applyBorder="1" applyAlignment="1">
      <alignment horizontal="center" vertical="center" wrapText="1"/>
    </xf>
    <xf numFmtId="166" fontId="87" fillId="43" borderId="117" xfId="0" applyNumberFormat="1" applyFont="1" applyFill="1" applyBorder="1" applyAlignment="1">
      <alignment horizontal="center" vertical="center" wrapText="1"/>
    </xf>
    <xf numFmtId="166" fontId="87" fillId="43" borderId="159" xfId="0" applyNumberFormat="1" applyFont="1" applyFill="1" applyBorder="1" applyAlignment="1">
      <alignment horizontal="center" vertical="center" wrapText="1"/>
    </xf>
    <xf numFmtId="0" fontId="67" fillId="0" borderId="145" xfId="0" applyFont="1" applyFill="1" applyBorder="1" applyAlignment="1">
      <alignment horizontal="left" vertical="center" wrapText="1"/>
    </xf>
    <xf numFmtId="0" fontId="67" fillId="0" borderId="110" xfId="0" applyFont="1" applyFill="1" applyBorder="1" applyAlignment="1">
      <alignment horizontal="left" vertical="center" wrapText="1"/>
    </xf>
    <xf numFmtId="0" fontId="67" fillId="0" borderId="144" xfId="0" applyFont="1" applyFill="1" applyBorder="1" applyAlignment="1">
      <alignment horizontal="left" vertical="center" wrapText="1"/>
    </xf>
    <xf numFmtId="0" fontId="67" fillId="0" borderId="0" xfId="0" applyFont="1" applyFill="1" applyBorder="1" applyAlignment="1">
      <alignment horizontal="left" vertical="center" wrapText="1"/>
    </xf>
    <xf numFmtId="0" fontId="67" fillId="0" borderId="153" xfId="0" applyFont="1" applyFill="1" applyBorder="1" applyAlignment="1">
      <alignment horizontal="left" vertical="center" wrapText="1"/>
    </xf>
    <xf numFmtId="0" fontId="67" fillId="0" borderId="114" xfId="0" applyFont="1" applyFill="1" applyBorder="1" applyAlignment="1">
      <alignment horizontal="left" vertical="center" wrapText="1"/>
    </xf>
    <xf numFmtId="0" fontId="101" fillId="0" borderId="95" xfId="0" applyFont="1" applyFill="1" applyBorder="1" applyAlignment="1">
      <alignment vertical="center"/>
    </xf>
    <xf numFmtId="0" fontId="101" fillId="0" borderId="96" xfId="0" applyFont="1" applyFill="1" applyBorder="1" applyAlignment="1">
      <alignment vertical="center"/>
    </xf>
    <xf numFmtId="0" fontId="101" fillId="0" borderId="97" xfId="0" applyFont="1" applyFill="1" applyBorder="1" applyAlignment="1">
      <alignment vertical="center"/>
    </xf>
    <xf numFmtId="0" fontId="101" fillId="0" borderId="101" xfId="0" applyFont="1" applyFill="1" applyBorder="1" applyAlignment="1">
      <alignment vertical="center"/>
    </xf>
    <xf numFmtId="0" fontId="101" fillId="0" borderId="0" xfId="0" applyFont="1" applyFill="1" applyBorder="1" applyAlignment="1">
      <alignment vertical="center"/>
    </xf>
    <xf numFmtId="0" fontId="101" fillId="0" borderId="102" xfId="0" applyFont="1" applyFill="1" applyBorder="1" applyAlignment="1">
      <alignment vertical="center"/>
    </xf>
    <xf numFmtId="0" fontId="101" fillId="0" borderId="98" xfId="0" applyFont="1" applyFill="1" applyBorder="1" applyAlignment="1">
      <alignment vertical="center"/>
    </xf>
    <xf numFmtId="0" fontId="101" fillId="0" borderId="99" xfId="0" applyFont="1" applyFill="1" applyBorder="1" applyAlignment="1">
      <alignment vertical="center"/>
    </xf>
    <xf numFmtId="0" fontId="101" fillId="0" borderId="100" xfId="0" applyFont="1" applyFill="1" applyBorder="1" applyAlignment="1">
      <alignment vertical="center"/>
    </xf>
    <xf numFmtId="0" fontId="79" fillId="0" borderId="112" xfId="0" applyFont="1" applyBorder="1" applyAlignment="1">
      <alignment horizontal="left" vertical="center" wrapText="1"/>
    </xf>
    <xf numFmtId="0" fontId="88" fillId="0" borderId="112" xfId="0" applyFont="1" applyBorder="1" applyAlignment="1" applyProtection="1">
      <alignment horizontal="center" vertical="center"/>
      <protection locked="0"/>
    </xf>
    <xf numFmtId="0" fontId="88" fillId="0" borderId="117" xfId="0" applyFont="1" applyBorder="1" applyAlignment="1" applyProtection="1">
      <alignment horizontal="center" vertical="center"/>
      <protection locked="0"/>
    </xf>
    <xf numFmtId="0" fontId="88" fillId="0" borderId="116" xfId="0" applyFont="1" applyBorder="1" applyAlignment="1" applyProtection="1">
      <alignment horizontal="center" vertical="center"/>
      <protection locked="0"/>
    </xf>
    <xf numFmtId="0" fontId="79" fillId="0" borderId="162" xfId="0" applyFont="1" applyBorder="1" applyAlignment="1">
      <alignment horizontal="left" vertical="center" wrapText="1"/>
    </xf>
    <xf numFmtId="0" fontId="79" fillId="0" borderId="161" xfId="0" applyFont="1" applyBorder="1" applyAlignment="1">
      <alignment horizontal="left" vertical="center" wrapText="1"/>
    </xf>
    <xf numFmtId="0" fontId="88" fillId="0" borderId="103" xfId="0" applyFont="1" applyBorder="1" applyAlignment="1" applyProtection="1">
      <alignment horizontal="center" vertical="center"/>
      <protection locked="0"/>
    </xf>
    <xf numFmtId="0" fontId="88" fillId="0" borderId="95" xfId="0" applyFont="1" applyBorder="1" applyAlignment="1" applyProtection="1">
      <alignment horizontal="center" vertical="center"/>
      <protection locked="0"/>
    </xf>
    <xf numFmtId="0" fontId="79" fillId="0" borderId="116" xfId="0" applyFont="1" applyBorder="1" applyAlignment="1">
      <alignment horizontal="left" vertical="center" wrapText="1"/>
    </xf>
    <xf numFmtId="0" fontId="79" fillId="13" borderId="118" xfId="0" applyFont="1" applyFill="1" applyBorder="1" applyAlignment="1">
      <alignment horizontal="left" vertical="center" wrapText="1"/>
    </xf>
    <xf numFmtId="0" fontId="79" fillId="13" borderId="116" xfId="0" applyFont="1" applyFill="1" applyBorder="1" applyAlignment="1">
      <alignment horizontal="left" vertical="center" wrapText="1"/>
    </xf>
    <xf numFmtId="0" fontId="16" fillId="13" borderId="121" xfId="0" applyFont="1" applyFill="1" applyBorder="1" applyAlignment="1">
      <alignment horizontal="center" vertical="center" wrapText="1"/>
    </xf>
    <xf numFmtId="0" fontId="16" fillId="13" borderId="113" xfId="0" applyFont="1" applyFill="1" applyBorder="1" applyAlignment="1">
      <alignment horizontal="center" vertical="center" wrapText="1"/>
    </xf>
    <xf numFmtId="0" fontId="79" fillId="0" borderId="118" xfId="0" applyFont="1" applyFill="1" applyBorder="1" applyAlignment="1">
      <alignment horizontal="left" vertical="center" wrapText="1"/>
    </xf>
    <xf numFmtId="0" fontId="89" fillId="0" borderId="145" xfId="0" applyFont="1" applyFill="1" applyBorder="1" applyAlignment="1">
      <alignment horizontal="left" vertical="center"/>
    </xf>
    <xf numFmtId="0" fontId="89" fillId="0" borderId="110" xfId="0" applyFont="1" applyFill="1" applyBorder="1" applyAlignment="1">
      <alignment horizontal="left" vertical="center"/>
    </xf>
    <xf numFmtId="0" fontId="89" fillId="0" borderId="144" xfId="0" applyFont="1" applyFill="1" applyBorder="1" applyAlignment="1">
      <alignment horizontal="left" vertical="center"/>
    </xf>
    <xf numFmtId="0" fontId="89" fillId="0" borderId="0" xfId="0" applyFont="1" applyFill="1" applyBorder="1" applyAlignment="1">
      <alignment horizontal="left" vertical="center"/>
    </xf>
    <xf numFmtId="0" fontId="89" fillId="0" borderId="153" xfId="0" applyFont="1" applyFill="1" applyBorder="1" applyAlignment="1">
      <alignment horizontal="left" vertical="center"/>
    </xf>
    <xf numFmtId="0" fontId="89" fillId="0" borderId="114" xfId="0" applyFont="1" applyFill="1" applyBorder="1" applyAlignment="1">
      <alignment horizontal="left" vertical="center"/>
    </xf>
    <xf numFmtId="0" fontId="125" fillId="0" borderId="145" xfId="0" applyFont="1" applyFill="1" applyBorder="1" applyAlignment="1">
      <alignment horizontal="left" vertical="center" wrapText="1"/>
    </xf>
    <xf numFmtId="0" fontId="125" fillId="0" borderId="110" xfId="0" applyFont="1" applyFill="1" applyBorder="1" applyAlignment="1">
      <alignment horizontal="left" vertical="center" wrapText="1"/>
    </xf>
    <xf numFmtId="0" fontId="125" fillId="0" borderId="176" xfId="0" applyFont="1" applyFill="1" applyBorder="1" applyAlignment="1">
      <alignment horizontal="left" vertical="center" wrapText="1"/>
    </xf>
    <xf numFmtId="0" fontId="125" fillId="0" borderId="99" xfId="0" applyFont="1" applyFill="1" applyBorder="1" applyAlignment="1">
      <alignment horizontal="left" vertical="center" wrapText="1"/>
    </xf>
    <xf numFmtId="0" fontId="84" fillId="19" borderId="126" xfId="0" applyFont="1" applyFill="1" applyBorder="1" applyAlignment="1">
      <alignment horizontal="center" vertical="center" wrapText="1"/>
    </xf>
    <xf numFmtId="0" fontId="84" fillId="19" borderId="127" xfId="0" applyFont="1" applyFill="1" applyBorder="1" applyAlignment="1">
      <alignment horizontal="center" vertical="center" wrapText="1"/>
    </xf>
    <xf numFmtId="0" fontId="79" fillId="13" borderId="109" xfId="0" applyFont="1" applyFill="1" applyBorder="1" applyAlignment="1">
      <alignment horizontal="left" vertical="center" wrapText="1"/>
    </xf>
    <xf numFmtId="0" fontId="95" fillId="0" borderId="145" xfId="0" applyFont="1" applyFill="1" applyBorder="1" applyAlignment="1">
      <alignment horizontal="left" vertical="center" wrapText="1"/>
    </xf>
    <xf numFmtId="0" fontId="95" fillId="0" borderId="144" xfId="0" applyFont="1" applyFill="1" applyBorder="1" applyAlignment="1">
      <alignment horizontal="left" vertical="center" wrapText="1"/>
    </xf>
    <xf numFmtId="0" fontId="16" fillId="0" borderId="118" xfId="0" applyFont="1" applyFill="1" applyBorder="1" applyAlignment="1">
      <alignment horizontal="center" vertical="center" wrapText="1"/>
    </xf>
    <xf numFmtId="0" fontId="88" fillId="0" borderId="0" xfId="0" applyFont="1" applyFill="1" applyBorder="1" applyAlignment="1" applyProtection="1">
      <alignment horizontal="center" vertical="center"/>
      <protection locked="0"/>
    </xf>
    <xf numFmtId="0" fontId="16" fillId="0" borderId="112" xfId="0" applyFont="1" applyFill="1" applyBorder="1" applyAlignment="1">
      <alignment horizontal="center" vertical="center" wrapText="1"/>
    </xf>
    <xf numFmtId="0" fontId="16" fillId="0" borderId="117" xfId="0" applyFont="1" applyFill="1" applyBorder="1" applyAlignment="1">
      <alignment horizontal="center" vertical="center" wrapText="1"/>
    </xf>
    <xf numFmtId="0" fontId="16" fillId="0" borderId="116" xfId="0" applyFont="1" applyFill="1" applyBorder="1" applyAlignment="1">
      <alignment horizontal="center" vertical="center" wrapText="1"/>
    </xf>
    <xf numFmtId="0" fontId="96" fillId="0" borderId="145" xfId="0" applyFont="1" applyFill="1" applyBorder="1" applyAlignment="1">
      <alignment horizontal="left" vertical="center" wrapText="1"/>
    </xf>
    <xf numFmtId="0" fontId="96" fillId="0" borderId="144" xfId="0" applyFont="1" applyFill="1" applyBorder="1" applyAlignment="1">
      <alignment horizontal="left" vertical="center" wrapText="1"/>
    </xf>
    <xf numFmtId="0" fontId="1" fillId="0" borderId="11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114" xfId="0" applyFont="1" applyFill="1" applyBorder="1" applyAlignment="1">
      <alignment horizontal="left" vertical="center" wrapText="1"/>
    </xf>
    <xf numFmtId="0" fontId="89" fillId="0" borderId="145" xfId="0" applyFont="1" applyFill="1" applyBorder="1" applyAlignment="1">
      <alignment horizontal="left" vertical="center" wrapText="1"/>
    </xf>
    <xf numFmtId="0" fontId="89" fillId="0" borderId="110" xfId="0" applyFont="1" applyFill="1" applyBorder="1" applyAlignment="1">
      <alignment horizontal="left" vertical="center" wrapText="1"/>
    </xf>
    <xf numFmtId="0" fontId="89" fillId="0" borderId="144" xfId="0" applyFont="1" applyFill="1" applyBorder="1" applyAlignment="1">
      <alignment horizontal="left" vertical="center" wrapText="1"/>
    </xf>
    <xf numFmtId="0" fontId="89" fillId="0" borderId="153" xfId="0" applyFont="1" applyFill="1" applyBorder="1" applyAlignment="1">
      <alignment horizontal="left" vertical="center" wrapText="1"/>
    </xf>
    <xf numFmtId="0" fontId="89" fillId="0" borderId="114" xfId="0" applyFont="1" applyFill="1" applyBorder="1" applyAlignment="1">
      <alignment horizontal="left" vertical="center" wrapText="1"/>
    </xf>
    <xf numFmtId="0" fontId="16" fillId="0" borderId="109" xfId="0" applyFont="1" applyFill="1" applyBorder="1" applyAlignment="1">
      <alignment horizontal="center" vertical="center" wrapText="1"/>
    </xf>
    <xf numFmtId="0" fontId="16" fillId="0" borderId="121" xfId="0" applyFont="1" applyFill="1" applyBorder="1" applyAlignment="1">
      <alignment horizontal="center" vertical="center" wrapText="1"/>
    </xf>
    <xf numFmtId="0" fontId="16" fillId="0" borderId="113" xfId="0" applyFont="1" applyFill="1" applyBorder="1" applyAlignment="1">
      <alignment horizontal="center" vertical="center" wrapText="1"/>
    </xf>
    <xf numFmtId="0" fontId="90" fillId="18" borderId="94" xfId="0" applyFont="1" applyFill="1" applyBorder="1" applyAlignment="1" applyProtection="1">
      <alignment horizontal="center" vertical="center" wrapText="1"/>
    </xf>
    <xf numFmtId="0" fontId="94" fillId="0" borderId="147" xfId="0" applyFont="1" applyFill="1" applyBorder="1" applyAlignment="1">
      <alignment horizontal="center" vertical="center" wrapText="1"/>
    </xf>
    <xf numFmtId="0" fontId="94" fillId="0" borderId="114" xfId="0" applyFont="1" applyFill="1" applyBorder="1" applyAlignment="1">
      <alignment horizontal="center" vertical="center" wrapText="1"/>
    </xf>
    <xf numFmtId="0" fontId="16" fillId="0" borderId="119" xfId="0" applyFont="1" applyFill="1" applyBorder="1" applyAlignment="1">
      <alignment horizontal="center" vertical="center" wrapText="1"/>
    </xf>
    <xf numFmtId="166" fontId="87" fillId="43" borderId="168" xfId="0" applyNumberFormat="1" applyFont="1" applyFill="1" applyBorder="1" applyAlignment="1">
      <alignment horizontal="center" vertical="center" wrapText="1"/>
    </xf>
    <xf numFmtId="0" fontId="79" fillId="0" borderId="163" xfId="0" applyFont="1" applyBorder="1" applyAlignment="1">
      <alignment horizontal="left" vertical="center" wrapText="1"/>
    </xf>
    <xf numFmtId="0" fontId="79" fillId="0" borderId="164" xfId="0" applyFont="1" applyBorder="1" applyAlignment="1">
      <alignment horizontal="left" vertical="center" wrapText="1"/>
    </xf>
    <xf numFmtId="0" fontId="79" fillId="0" borderId="165" xfId="0" applyFont="1" applyBorder="1" applyAlignment="1">
      <alignment horizontal="left" vertical="center" wrapText="1"/>
    </xf>
    <xf numFmtId="166" fontId="87" fillId="42" borderId="168" xfId="0" applyNumberFormat="1" applyFont="1" applyFill="1" applyBorder="1" applyAlignment="1">
      <alignment horizontal="center" vertical="center" wrapText="1"/>
    </xf>
    <xf numFmtId="166" fontId="87" fillId="37" borderId="168" xfId="0" applyNumberFormat="1" applyFont="1" applyFill="1" applyBorder="1" applyAlignment="1">
      <alignment horizontal="center" vertical="center" wrapText="1"/>
    </xf>
    <xf numFmtId="0" fontId="16" fillId="0" borderId="159" xfId="0" applyFont="1" applyFill="1" applyBorder="1" applyAlignment="1">
      <alignment horizontal="center" vertical="center" wrapText="1"/>
    </xf>
    <xf numFmtId="0" fontId="22" fillId="10" borderId="166" xfId="0" applyFont="1" applyFill="1" applyBorder="1" applyAlignment="1">
      <alignment horizontal="center"/>
    </xf>
    <xf numFmtId="0" fontId="22" fillId="10" borderId="245" xfId="0" applyFont="1" applyFill="1" applyBorder="1" applyAlignment="1">
      <alignment horizontal="center"/>
    </xf>
    <xf numFmtId="0" fontId="22" fillId="10" borderId="167" xfId="0" applyFont="1" applyFill="1" applyBorder="1" applyAlignment="1">
      <alignment horizontal="center"/>
    </xf>
    <xf numFmtId="0" fontId="26" fillId="15" borderId="95" xfId="0" applyFont="1" applyFill="1" applyBorder="1" applyAlignment="1" applyProtection="1">
      <alignment horizontal="center" vertical="center" wrapText="1"/>
      <protection locked="0"/>
    </xf>
    <xf numFmtId="0" fontId="26" fillId="15" borderId="96" xfId="0" applyFont="1" applyFill="1" applyBorder="1" applyAlignment="1" applyProtection="1">
      <alignment horizontal="center" vertical="center" wrapText="1"/>
      <protection locked="0"/>
    </xf>
    <xf numFmtId="0" fontId="26" fillId="15" borderId="97" xfId="0" applyFont="1" applyFill="1" applyBorder="1" applyAlignment="1" applyProtection="1">
      <alignment horizontal="center" vertical="center" wrapText="1"/>
      <protection locked="0"/>
    </xf>
    <xf numFmtId="0" fontId="26" fillId="15" borderId="98" xfId="0" applyFont="1" applyFill="1" applyBorder="1" applyAlignment="1" applyProtection="1">
      <alignment horizontal="center" vertical="center" wrapText="1"/>
      <protection locked="0"/>
    </xf>
    <xf numFmtId="0" fontId="26" fillId="15" borderId="99" xfId="0" applyFont="1" applyFill="1" applyBorder="1" applyAlignment="1" applyProtection="1">
      <alignment horizontal="center" vertical="center" wrapText="1"/>
      <protection locked="0"/>
    </xf>
    <xf numFmtId="0" fontId="26" fillId="15" borderId="100" xfId="0" applyFont="1" applyFill="1" applyBorder="1" applyAlignment="1" applyProtection="1">
      <alignment horizontal="center" vertical="center" wrapText="1"/>
      <protection locked="0"/>
    </xf>
    <xf numFmtId="0" fontId="145" fillId="0" borderId="145" xfId="0" applyFont="1" applyFill="1" applyBorder="1" applyAlignment="1">
      <alignment horizontal="left" vertical="center" wrapText="1"/>
    </xf>
    <xf numFmtId="0" fontId="145" fillId="0" borderId="110" xfId="0" applyFont="1" applyFill="1" applyBorder="1" applyAlignment="1">
      <alignment horizontal="left" vertical="center" wrapText="1"/>
    </xf>
    <xf numFmtId="0" fontId="145" fillId="0" borderId="144" xfId="0" applyFont="1" applyFill="1" applyBorder="1" applyAlignment="1">
      <alignment horizontal="left" vertical="center" wrapText="1"/>
    </xf>
    <xf numFmtId="0" fontId="145" fillId="0" borderId="0" xfId="0" applyFont="1" applyFill="1" applyBorder="1" applyAlignment="1">
      <alignment horizontal="left" vertical="center" wrapText="1"/>
    </xf>
    <xf numFmtId="0" fontId="145" fillId="0" borderId="153" xfId="0" applyFont="1" applyFill="1" applyBorder="1" applyAlignment="1">
      <alignment horizontal="left" vertical="center" wrapText="1"/>
    </xf>
    <xf numFmtId="0" fontId="145" fillId="0" borderId="114" xfId="0" applyFont="1" applyFill="1" applyBorder="1" applyAlignment="1">
      <alignment horizontal="left" vertical="center" wrapText="1"/>
    </xf>
    <xf numFmtId="166" fontId="87" fillId="42" borderId="95" xfId="0" applyNumberFormat="1" applyFont="1" applyFill="1" applyBorder="1" applyAlignment="1">
      <alignment horizontal="center" vertical="center"/>
    </xf>
    <xf numFmtId="166" fontId="87" fillId="42" borderId="97" xfId="0" applyNumberFormat="1" applyFont="1" applyFill="1" applyBorder="1" applyAlignment="1">
      <alignment horizontal="center" vertical="center"/>
    </xf>
    <xf numFmtId="0" fontId="11" fillId="0" borderId="0" xfId="0" applyFont="1" applyFill="1" applyAlignment="1" applyProtection="1">
      <alignment horizontal="center" vertical="center" wrapText="1"/>
    </xf>
    <xf numFmtId="0" fontId="54" fillId="45" borderId="178" xfId="0" applyFont="1" applyFill="1" applyBorder="1" applyAlignment="1">
      <alignment horizontal="center" vertical="center" wrapText="1"/>
    </xf>
    <xf numFmtId="0" fontId="54" fillId="45" borderId="179" xfId="0" applyFont="1" applyFill="1" applyBorder="1" applyAlignment="1">
      <alignment horizontal="center" vertical="center" wrapText="1"/>
    </xf>
    <xf numFmtId="0" fontId="54" fillId="45" borderId="180" xfId="0" applyFont="1" applyFill="1" applyBorder="1" applyAlignment="1">
      <alignment horizontal="center" vertical="center" wrapText="1"/>
    </xf>
    <xf numFmtId="0" fontId="54" fillId="52" borderId="181" xfId="0" applyFont="1" applyFill="1" applyBorder="1" applyAlignment="1">
      <alignment horizontal="center" vertical="center" wrapText="1"/>
    </xf>
    <xf numFmtId="0" fontId="54" fillId="52" borderId="182" xfId="0" applyFont="1" applyFill="1" applyBorder="1" applyAlignment="1">
      <alignment horizontal="center" vertical="center" wrapText="1"/>
    </xf>
    <xf numFmtId="0" fontId="54" fillId="52" borderId="183" xfId="0" applyFont="1" applyFill="1" applyBorder="1" applyAlignment="1">
      <alignment horizontal="center" vertical="center" wrapText="1"/>
    </xf>
    <xf numFmtId="0" fontId="54" fillId="59" borderId="184" xfId="0" applyFont="1" applyFill="1" applyBorder="1" applyAlignment="1">
      <alignment horizontal="center" vertical="center" wrapText="1"/>
    </xf>
    <xf numFmtId="0" fontId="54" fillId="59" borderId="185" xfId="0" applyFont="1" applyFill="1" applyBorder="1" applyAlignment="1">
      <alignment horizontal="center" vertical="center" wrapText="1"/>
    </xf>
    <xf numFmtId="0" fontId="54" fillId="59" borderId="186" xfId="0" applyFont="1" applyFill="1" applyBorder="1" applyAlignment="1">
      <alignment horizontal="center" vertical="center" wrapText="1"/>
    </xf>
    <xf numFmtId="0" fontId="54" fillId="66" borderId="187" xfId="0" applyFont="1" applyFill="1" applyBorder="1" applyAlignment="1">
      <alignment horizontal="center" vertical="center" wrapText="1"/>
    </xf>
    <xf numFmtId="0" fontId="54" fillId="66" borderId="188" xfId="0" applyFont="1" applyFill="1" applyBorder="1" applyAlignment="1">
      <alignment horizontal="center" vertical="center" wrapText="1"/>
    </xf>
    <xf numFmtId="0" fontId="54" fillId="66" borderId="189" xfId="0" applyFont="1" applyFill="1" applyBorder="1" applyAlignment="1">
      <alignment horizontal="center" vertical="center" wrapText="1"/>
    </xf>
    <xf numFmtId="0" fontId="10" fillId="0" borderId="0" xfId="0" applyFont="1" applyFill="1" applyAlignment="1" applyProtection="1">
      <alignment horizontal="center" vertical="center" wrapText="1"/>
    </xf>
    <xf numFmtId="0" fontId="5" fillId="0" borderId="118" xfId="0" applyFont="1" applyBorder="1" applyAlignment="1" applyProtection="1">
      <alignment horizontal="center" vertical="center" textRotation="90" wrapText="1"/>
    </xf>
    <xf numFmtId="0" fontId="12" fillId="12" borderId="0" xfId="0" applyFont="1" applyFill="1" applyAlignment="1" applyProtection="1">
      <alignment horizontal="center" vertical="center"/>
      <protection hidden="1"/>
    </xf>
    <xf numFmtId="0" fontId="3" fillId="8" borderId="0" xfId="0" applyFont="1" applyFill="1" applyBorder="1" applyAlignment="1" applyProtection="1">
      <alignment horizontal="center" vertical="center"/>
      <protection hidden="1"/>
    </xf>
    <xf numFmtId="0" fontId="1" fillId="3" borderId="0" xfId="0" applyFont="1" applyFill="1" applyAlignment="1" applyProtection="1">
      <alignment horizontal="center" vertical="center"/>
      <protection hidden="1"/>
    </xf>
    <xf numFmtId="0" fontId="1" fillId="0" borderId="0" xfId="0" applyFont="1" applyFill="1" applyAlignment="1" applyProtection="1">
      <alignment horizontal="center" vertical="center"/>
    </xf>
    <xf numFmtId="2" fontId="8" fillId="0" borderId="19" xfId="0" applyNumberFormat="1" applyFont="1" applyBorder="1" applyAlignment="1" applyProtection="1">
      <alignment horizontal="center" vertical="center"/>
    </xf>
    <xf numFmtId="2" fontId="8" fillId="0" borderId="20" xfId="0" applyNumberFormat="1" applyFont="1" applyBorder="1" applyAlignment="1" applyProtection="1">
      <alignment horizontal="center" vertical="center"/>
    </xf>
    <xf numFmtId="0" fontId="12" fillId="12" borderId="0" xfId="0" applyFont="1" applyFill="1" applyAlignment="1" applyProtection="1">
      <alignment horizontal="center" vertical="center"/>
    </xf>
    <xf numFmtId="0" fontId="1" fillId="3" borderId="0" xfId="0" applyFont="1" applyFill="1" applyAlignment="1" applyProtection="1">
      <alignment horizontal="center" vertical="center"/>
    </xf>
    <xf numFmtId="0" fontId="7" fillId="0" borderId="192" xfId="0" applyFont="1" applyBorder="1" applyAlignment="1" applyProtection="1">
      <alignment horizontal="center" vertical="center"/>
    </xf>
    <xf numFmtId="0" fontId="7" fillId="0" borderId="31" xfId="0" applyFont="1" applyBorder="1" applyAlignment="1" applyProtection="1">
      <alignment horizontal="center" vertical="center"/>
    </xf>
    <xf numFmtId="0" fontId="7" fillId="0" borderId="193" xfId="0" applyFont="1" applyBorder="1" applyAlignment="1" applyProtection="1">
      <alignment horizontal="center" vertical="center"/>
    </xf>
    <xf numFmtId="0" fontId="7" fillId="0" borderId="114" xfId="0" applyFont="1" applyBorder="1" applyAlignment="1" applyProtection="1">
      <alignment horizontal="center" vertical="center"/>
    </xf>
    <xf numFmtId="0" fontId="103" fillId="0" borderId="234" xfId="0" applyFont="1" applyBorder="1" applyAlignment="1">
      <alignment horizontal="center" vertical="center"/>
    </xf>
    <xf numFmtId="0" fontId="103" fillId="0" borderId="235" xfId="0" applyFont="1" applyBorder="1" applyAlignment="1">
      <alignment horizontal="center" vertical="center"/>
    </xf>
    <xf numFmtId="0" fontId="103" fillId="0" borderId="236" xfId="0" applyFont="1" applyBorder="1" applyAlignment="1">
      <alignment horizontal="center" vertical="center"/>
    </xf>
    <xf numFmtId="0" fontId="103" fillId="0" borderId="237" xfId="0" applyFont="1" applyBorder="1" applyAlignment="1">
      <alignment horizontal="center" vertical="center"/>
    </xf>
    <xf numFmtId="0" fontId="103" fillId="0" borderId="0" xfId="0" applyFont="1" applyBorder="1" applyAlignment="1">
      <alignment horizontal="center" vertical="center"/>
    </xf>
    <xf numFmtId="0" fontId="103" fillId="0" borderId="238" xfId="0" applyFont="1" applyBorder="1" applyAlignment="1">
      <alignment horizontal="center" vertical="center"/>
    </xf>
    <xf numFmtId="0" fontId="103" fillId="0" borderId="239" xfId="0" applyFont="1" applyBorder="1" applyAlignment="1">
      <alignment horizontal="center" vertical="center"/>
    </xf>
    <xf numFmtId="0" fontId="103" fillId="0" borderId="240" xfId="0" applyFont="1" applyBorder="1" applyAlignment="1">
      <alignment horizontal="center" vertical="center"/>
    </xf>
    <xf numFmtId="0" fontId="103" fillId="0" borderId="241" xfId="0" applyFont="1" applyBorder="1" applyAlignment="1">
      <alignment horizontal="center" vertical="center"/>
    </xf>
    <xf numFmtId="0" fontId="24" fillId="0" borderId="94" xfId="0" applyFont="1" applyFill="1" applyBorder="1" applyAlignment="1">
      <alignment horizontal="center" vertical="center" wrapText="1"/>
    </xf>
    <xf numFmtId="0" fontId="24" fillId="0" borderId="106" xfId="0" applyFont="1" applyFill="1" applyBorder="1" applyAlignment="1">
      <alignment horizontal="center" vertical="center" wrapText="1"/>
    </xf>
    <xf numFmtId="0" fontId="24" fillId="0" borderId="107" xfId="0" applyFont="1" applyFill="1" applyBorder="1" applyAlignment="1">
      <alignment horizontal="center" vertical="center" wrapText="1"/>
    </xf>
    <xf numFmtId="0" fontId="24" fillId="0" borderId="108" xfId="0" applyFont="1" applyFill="1" applyBorder="1" applyAlignment="1">
      <alignment horizontal="center" vertical="center" wrapText="1"/>
    </xf>
    <xf numFmtId="0" fontId="15" fillId="0" borderId="95" xfId="0" applyFont="1" applyFill="1" applyBorder="1" applyAlignment="1">
      <alignment horizontal="left" vertical="center" wrapText="1"/>
    </xf>
    <xf numFmtId="0" fontId="15" fillId="0" borderId="96" xfId="0" applyFont="1" applyFill="1" applyBorder="1" applyAlignment="1">
      <alignment horizontal="left" vertical="center" wrapText="1"/>
    </xf>
    <xf numFmtId="0" fontId="15" fillId="0" borderId="97" xfId="0" applyFont="1" applyFill="1" applyBorder="1" applyAlignment="1">
      <alignment horizontal="left" vertical="center" wrapText="1"/>
    </xf>
    <xf numFmtId="0" fontId="15" fillId="0" borderId="101" xfId="0" applyFont="1" applyFill="1" applyBorder="1" applyAlignment="1">
      <alignment horizontal="left" vertical="center" wrapText="1"/>
    </xf>
    <xf numFmtId="0" fontId="15" fillId="0" borderId="0" xfId="0" applyFont="1" applyFill="1" applyBorder="1" applyAlignment="1">
      <alignment horizontal="left" vertical="center" wrapText="1"/>
    </xf>
    <xf numFmtId="0" fontId="15" fillId="0" borderId="102" xfId="0" applyFont="1" applyFill="1" applyBorder="1" applyAlignment="1">
      <alignment horizontal="left" vertical="center" wrapText="1"/>
    </xf>
    <xf numFmtId="0" fontId="15" fillId="0" borderId="98" xfId="0" applyFont="1" applyFill="1" applyBorder="1" applyAlignment="1">
      <alignment horizontal="left" vertical="center" wrapText="1"/>
    </xf>
    <xf numFmtId="0" fontId="15" fillId="0" borderId="99" xfId="0" applyFont="1" applyFill="1" applyBorder="1" applyAlignment="1">
      <alignment horizontal="left" vertical="center" wrapText="1"/>
    </xf>
    <xf numFmtId="0" fontId="15" fillId="0" borderId="100" xfId="0" applyFont="1" applyFill="1" applyBorder="1" applyAlignment="1">
      <alignment horizontal="left" vertical="center" wrapText="1"/>
    </xf>
    <xf numFmtId="0" fontId="88" fillId="0" borderId="107" xfId="0" applyFont="1" applyBorder="1" applyAlignment="1" applyProtection="1">
      <alignment horizontal="center" vertical="center"/>
      <protection locked="0"/>
    </xf>
    <xf numFmtId="0" fontId="111" fillId="0" borderId="94" xfId="0" applyFont="1" applyBorder="1" applyAlignment="1">
      <alignment horizontal="center" vertical="center" wrapText="1"/>
    </xf>
    <xf numFmtId="0" fontId="84" fillId="23" borderId="126" xfId="0" applyFont="1" applyFill="1" applyBorder="1" applyAlignment="1">
      <alignment horizontal="center" vertical="center" wrapText="1"/>
    </xf>
    <xf numFmtId="0" fontId="84" fillId="23" borderId="127" xfId="0" applyFont="1" applyFill="1" applyBorder="1" applyAlignment="1">
      <alignment horizontal="center" vertical="center" wrapText="1"/>
    </xf>
    <xf numFmtId="0" fontId="106" fillId="13" borderId="110" xfId="0" applyFont="1" applyFill="1" applyBorder="1" applyAlignment="1">
      <alignment horizontal="left" vertical="center" wrapText="1"/>
    </xf>
    <xf numFmtId="0" fontId="106" fillId="13" borderId="111" xfId="0" applyFont="1" applyFill="1" applyBorder="1" applyAlignment="1">
      <alignment horizontal="left" vertical="center" wrapText="1"/>
    </xf>
    <xf numFmtId="0" fontId="106" fillId="13" borderId="114" xfId="0" applyFont="1" applyFill="1" applyBorder="1" applyAlignment="1">
      <alignment horizontal="left" vertical="center" wrapText="1"/>
    </xf>
    <xf numFmtId="0" fontId="106" fillId="13" borderId="115" xfId="0" applyFont="1" applyFill="1" applyBorder="1" applyAlignment="1">
      <alignment horizontal="left" vertical="center" wrapText="1"/>
    </xf>
    <xf numFmtId="0" fontId="42" fillId="0" borderId="118" xfId="0" applyFont="1" applyFill="1" applyBorder="1" applyAlignment="1">
      <alignment horizontal="center" vertical="center" wrapText="1"/>
    </xf>
    <xf numFmtId="0" fontId="84" fillId="20" borderId="126" xfId="0" applyFont="1" applyFill="1" applyBorder="1" applyAlignment="1">
      <alignment horizontal="center" vertical="center" wrapText="1"/>
    </xf>
    <xf numFmtId="0" fontId="84" fillId="20" borderId="127" xfId="0" applyFont="1" applyFill="1" applyBorder="1" applyAlignment="1">
      <alignment horizontal="center" vertical="center" wrapText="1"/>
    </xf>
    <xf numFmtId="0" fontId="109" fillId="0" borderId="0" xfId="0" applyFont="1" applyAlignment="1">
      <alignment horizontal="left" vertical="center"/>
    </xf>
    <xf numFmtId="0" fontId="14" fillId="30" borderId="126" xfId="0" applyFont="1" applyFill="1" applyBorder="1" applyAlignment="1">
      <alignment horizontal="center" vertical="center" wrapText="1"/>
    </xf>
    <xf numFmtId="0" fontId="14" fillId="30" borderId="127" xfId="0" applyFont="1" applyFill="1" applyBorder="1" applyAlignment="1">
      <alignment horizontal="center" vertical="center" wrapText="1"/>
    </xf>
    <xf numFmtId="0" fontId="108" fillId="0" borderId="118" xfId="0" applyFont="1" applyBorder="1" applyAlignment="1" applyProtection="1">
      <alignment horizontal="center" vertical="center"/>
      <protection locked="0"/>
    </xf>
    <xf numFmtId="0" fontId="15" fillId="0" borderId="116" xfId="0" applyFont="1" applyBorder="1" applyAlignment="1">
      <alignment horizontal="left" vertical="center" wrapText="1"/>
    </xf>
    <xf numFmtId="0" fontId="15" fillId="0" borderId="118" xfId="0" applyFont="1" applyBorder="1" applyAlignment="1">
      <alignment horizontal="left" vertical="center" wrapText="1"/>
    </xf>
    <xf numFmtId="0" fontId="108" fillId="15" borderId="118" xfId="0" applyFont="1" applyFill="1" applyBorder="1" applyAlignment="1" applyProtection="1">
      <alignment horizontal="center" vertical="center"/>
      <protection locked="0"/>
    </xf>
    <xf numFmtId="0" fontId="15" fillId="0" borderId="112" xfId="0" applyFont="1" applyBorder="1" applyAlignment="1">
      <alignment horizontal="left" vertical="center" wrapText="1"/>
    </xf>
    <xf numFmtId="0" fontId="84" fillId="21" borderId="126" xfId="0" applyFont="1" applyFill="1" applyBorder="1" applyAlignment="1">
      <alignment horizontal="center" vertical="center" wrapText="1"/>
    </xf>
    <xf numFmtId="0" fontId="84" fillId="21" borderId="127" xfId="0" applyFont="1" applyFill="1" applyBorder="1" applyAlignment="1">
      <alignment horizontal="center" vertical="center" wrapText="1"/>
    </xf>
    <xf numFmtId="0" fontId="84" fillId="17" borderId="126" xfId="0" applyFont="1" applyFill="1" applyBorder="1" applyAlignment="1">
      <alignment horizontal="center" vertical="center" wrapText="1"/>
    </xf>
    <xf numFmtId="0" fontId="84" fillId="17" borderId="127" xfId="0" applyFont="1" applyFill="1" applyBorder="1" applyAlignment="1">
      <alignment horizontal="center" vertical="center" wrapText="1"/>
    </xf>
    <xf numFmtId="0" fontId="84" fillId="10" borderId="126" xfId="0" applyFont="1" applyFill="1" applyBorder="1" applyAlignment="1">
      <alignment horizontal="center" vertical="center" wrapText="1"/>
    </xf>
    <xf numFmtId="0" fontId="84" fillId="10" borderId="127" xfId="0" applyFont="1" applyFill="1" applyBorder="1" applyAlignment="1">
      <alignment horizontal="center" vertical="center" wrapText="1"/>
    </xf>
    <xf numFmtId="0" fontId="15" fillId="0" borderId="121" xfId="0" applyFont="1" applyBorder="1" applyAlignment="1">
      <alignment horizontal="left" vertical="center" wrapText="1"/>
    </xf>
    <xf numFmtId="0" fontId="15" fillId="0" borderId="0" xfId="0" applyFont="1" applyBorder="1" applyAlignment="1">
      <alignment horizontal="left" vertical="center" wrapText="1"/>
    </xf>
    <xf numFmtId="0" fontId="15" fillId="0" borderId="120" xfId="0" applyFont="1" applyBorder="1" applyAlignment="1">
      <alignment horizontal="left" vertical="center" wrapText="1"/>
    </xf>
    <xf numFmtId="0" fontId="15" fillId="0" borderId="113" xfId="0" applyFont="1" applyBorder="1" applyAlignment="1">
      <alignment horizontal="left" vertical="center" wrapText="1"/>
    </xf>
    <xf numFmtId="0" fontId="15" fillId="0" borderId="114" xfId="0" applyFont="1" applyBorder="1" applyAlignment="1">
      <alignment horizontal="left" vertical="center" wrapText="1"/>
    </xf>
    <xf numFmtId="0" fontId="15" fillId="0" borderId="115" xfId="0" applyFont="1" applyBorder="1" applyAlignment="1">
      <alignment horizontal="left" vertical="center" wrapText="1"/>
    </xf>
    <xf numFmtId="0" fontId="108" fillId="15" borderId="112" xfId="0" applyFont="1" applyFill="1" applyBorder="1" applyAlignment="1" applyProtection="1">
      <alignment horizontal="center" vertical="center"/>
      <protection locked="0"/>
    </xf>
    <xf numFmtId="0" fontId="108" fillId="15" borderId="117" xfId="0" applyFont="1" applyFill="1" applyBorder="1" applyAlignment="1" applyProtection="1">
      <alignment horizontal="center" vertical="center"/>
      <protection locked="0"/>
    </xf>
    <xf numFmtId="0" fontId="108" fillId="15" borderId="116" xfId="0" applyFont="1" applyFill="1" applyBorder="1" applyAlignment="1" applyProtection="1">
      <alignment horizontal="center" vertical="center"/>
      <protection locked="0"/>
    </xf>
    <xf numFmtId="0" fontId="108" fillId="0" borderId="112" xfId="0" applyFont="1" applyBorder="1" applyAlignment="1" applyProtection="1">
      <alignment horizontal="center" vertical="center"/>
      <protection locked="0"/>
    </xf>
    <xf numFmtId="0" fontId="108" fillId="0" borderId="117" xfId="0" applyFont="1" applyBorder="1" applyAlignment="1" applyProtection="1">
      <alignment horizontal="center" vertical="center"/>
      <protection locked="0"/>
    </xf>
    <xf numFmtId="0" fontId="108" fillId="0" borderId="116" xfId="0" applyFont="1" applyBorder="1" applyAlignment="1" applyProtection="1">
      <alignment horizontal="center" vertical="center"/>
      <protection locked="0"/>
    </xf>
    <xf numFmtId="0" fontId="15" fillId="0" borderId="109" xfId="0" applyFont="1" applyBorder="1" applyAlignment="1">
      <alignment horizontal="left" vertical="center" wrapText="1"/>
    </xf>
    <xf numFmtId="0" fontId="15" fillId="0" borderId="110" xfId="0" applyFont="1" applyBorder="1" applyAlignment="1">
      <alignment horizontal="left" vertical="center" wrapText="1"/>
    </xf>
    <xf numFmtId="0" fontId="15" fillId="0" borderId="111" xfId="0" applyFont="1" applyBorder="1" applyAlignment="1">
      <alignment horizontal="left" vertical="center" wrapText="1"/>
    </xf>
    <xf numFmtId="0" fontId="84" fillId="16" borderId="126" xfId="0" applyFont="1" applyFill="1" applyBorder="1" applyAlignment="1">
      <alignment horizontal="center" vertical="center" wrapText="1"/>
    </xf>
    <xf numFmtId="0" fontId="84" fillId="16" borderId="127" xfId="0" applyFont="1" applyFill="1" applyBorder="1" applyAlignment="1">
      <alignment horizontal="center" vertical="center" wrapText="1"/>
    </xf>
    <xf numFmtId="0" fontId="15" fillId="13" borderId="116" xfId="0" applyFont="1" applyFill="1" applyBorder="1" applyAlignment="1">
      <alignment horizontal="left" vertical="center" wrapText="1"/>
    </xf>
    <xf numFmtId="0" fontId="15" fillId="13" borderId="118" xfId="0" applyFont="1" applyFill="1" applyBorder="1" applyAlignment="1">
      <alignment horizontal="left" vertical="center" wrapText="1"/>
    </xf>
    <xf numFmtId="0" fontId="1" fillId="0" borderId="112" xfId="0" applyFont="1" applyBorder="1" applyAlignment="1" applyProtection="1">
      <alignment horizontal="center" vertical="center"/>
      <protection locked="0"/>
    </xf>
    <xf numFmtId="0" fontId="1" fillId="0" borderId="117" xfId="0" applyFont="1" applyBorder="1" applyAlignment="1" applyProtection="1">
      <alignment horizontal="center" vertical="center"/>
      <protection locked="0"/>
    </xf>
    <xf numFmtId="0" fontId="1" fillId="0" borderId="116" xfId="0" applyFont="1" applyBorder="1" applyAlignment="1" applyProtection="1">
      <alignment horizontal="center" vertical="center"/>
      <protection locked="0"/>
    </xf>
    <xf numFmtId="0" fontId="84" fillId="18" borderId="94" xfId="0" applyFont="1" applyFill="1" applyBorder="1" applyAlignment="1">
      <alignment horizontal="center" vertical="center" wrapText="1"/>
    </xf>
    <xf numFmtId="0" fontId="84" fillId="38" borderId="94" xfId="0" applyFont="1" applyFill="1" applyBorder="1" applyAlignment="1">
      <alignment horizontal="center" vertical="center" wrapText="1"/>
    </xf>
    <xf numFmtId="0" fontId="43" fillId="13" borderId="94" xfId="0" applyFont="1" applyFill="1" applyBorder="1" applyAlignment="1">
      <alignment horizontal="left" vertical="center" wrapText="1"/>
    </xf>
    <xf numFmtId="0" fontId="84" fillId="17" borderId="94" xfId="0" applyFont="1" applyFill="1" applyBorder="1" applyAlignment="1">
      <alignment horizontal="center" vertical="center" wrapText="1"/>
    </xf>
    <xf numFmtId="0" fontId="84" fillId="21" borderId="94" xfId="0" applyFont="1" applyFill="1" applyBorder="1" applyAlignment="1">
      <alignment horizontal="center" vertical="center" wrapText="1"/>
    </xf>
    <xf numFmtId="0" fontId="15" fillId="13" borderId="112" xfId="0" applyFont="1" applyFill="1" applyBorder="1" applyAlignment="1">
      <alignment horizontal="left" vertical="center" wrapText="1"/>
    </xf>
    <xf numFmtId="0" fontId="1" fillId="0" borderId="128" xfId="0" applyFont="1" applyBorder="1" applyAlignment="1" applyProtection="1">
      <alignment horizontal="center" vertical="center"/>
      <protection locked="0"/>
    </xf>
    <xf numFmtId="0" fontId="84" fillId="16" borderId="94" xfId="0" applyFont="1" applyFill="1" applyBorder="1" applyAlignment="1">
      <alignment horizontal="center" vertical="center" wrapText="1"/>
    </xf>
    <xf numFmtId="0" fontId="84" fillId="22" borderId="94" xfId="0" applyFont="1" applyFill="1" applyBorder="1" applyAlignment="1">
      <alignment horizontal="center" vertical="center" wrapText="1"/>
    </xf>
    <xf numFmtId="0" fontId="1" fillId="0" borderId="94" xfId="0" applyFont="1" applyFill="1" applyBorder="1" applyAlignment="1" applyProtection="1">
      <alignment horizontal="center" vertical="center" wrapText="1"/>
      <protection locked="0"/>
    </xf>
    <xf numFmtId="0" fontId="84" fillId="20" borderId="94" xfId="0" applyFont="1" applyFill="1" applyBorder="1" applyAlignment="1">
      <alignment horizontal="center" vertical="center" wrapText="1"/>
    </xf>
    <xf numFmtId="0" fontId="84" fillId="19" borderId="94" xfId="0" applyFont="1" applyFill="1" applyBorder="1" applyAlignment="1">
      <alignment horizontal="center" vertical="center" wrapText="1"/>
    </xf>
    <xf numFmtId="0" fontId="15" fillId="0" borderId="94" xfId="0" applyFont="1" applyBorder="1" applyAlignment="1" applyProtection="1">
      <alignment horizontal="left" vertical="top" wrapText="1"/>
      <protection locked="0"/>
    </xf>
    <xf numFmtId="0" fontId="84" fillId="25" borderId="94" xfId="0" applyFont="1" applyFill="1" applyBorder="1" applyAlignment="1">
      <alignment horizontal="center" vertical="center" wrapText="1"/>
    </xf>
    <xf numFmtId="0" fontId="15" fillId="13" borderId="109" xfId="0" applyFont="1" applyFill="1" applyBorder="1" applyAlignment="1">
      <alignment horizontal="left" vertical="center" wrapText="1"/>
    </xf>
    <xf numFmtId="0" fontId="15" fillId="13" borderId="110" xfId="0" applyFont="1" applyFill="1" applyBorder="1" applyAlignment="1">
      <alignment horizontal="left" vertical="center" wrapText="1"/>
    </xf>
    <xf numFmtId="0" fontId="15" fillId="13" borderId="111" xfId="0" applyFont="1" applyFill="1" applyBorder="1" applyAlignment="1">
      <alignment horizontal="left" vertical="center" wrapText="1"/>
    </xf>
    <xf numFmtId="0" fontId="15" fillId="13" borderId="121" xfId="0" applyFont="1" applyFill="1" applyBorder="1" applyAlignment="1">
      <alignment horizontal="left" vertical="center" wrapText="1"/>
    </xf>
    <xf numFmtId="0" fontId="15" fillId="13" borderId="0" xfId="0" applyFont="1" applyFill="1" applyBorder="1" applyAlignment="1">
      <alignment horizontal="left" vertical="center" wrapText="1"/>
    </xf>
    <xf numFmtId="0" fontId="15" fillId="13" borderId="120" xfId="0" applyFont="1" applyFill="1" applyBorder="1" applyAlignment="1">
      <alignment horizontal="left" vertical="center" wrapText="1"/>
    </xf>
    <xf numFmtId="0" fontId="15" fillId="13" borderId="113" xfId="0" applyFont="1" applyFill="1" applyBorder="1" applyAlignment="1">
      <alignment horizontal="left" vertical="center" wrapText="1"/>
    </xf>
    <xf numFmtId="0" fontId="15" fillId="13" borderId="114" xfId="0" applyFont="1" applyFill="1" applyBorder="1" applyAlignment="1">
      <alignment horizontal="left" vertical="center" wrapText="1"/>
    </xf>
    <xf numFmtId="0" fontId="15" fillId="13" borderId="115" xfId="0" applyFont="1" applyFill="1" applyBorder="1" applyAlignment="1">
      <alignment horizontal="left" vertical="center" wrapText="1"/>
    </xf>
    <xf numFmtId="0" fontId="84" fillId="10" borderId="94" xfId="0" applyFont="1" applyFill="1" applyBorder="1" applyAlignment="1">
      <alignment horizontal="center" vertical="center" wrapText="1"/>
    </xf>
    <xf numFmtId="0" fontId="84" fillId="39" borderId="94" xfId="0" applyFont="1" applyFill="1" applyBorder="1" applyAlignment="1">
      <alignment horizontal="center" vertical="center" wrapText="1"/>
    </xf>
    <xf numFmtId="0" fontId="165" fillId="0" borderId="0" xfId="0" applyFont="1" applyAlignment="1">
      <alignment horizontal="right" vertical="center" indent="1"/>
    </xf>
    <xf numFmtId="0" fontId="165" fillId="0" borderId="114" xfId="0" applyFont="1" applyBorder="1" applyAlignment="1">
      <alignment horizontal="right" vertical="center" indent="1"/>
    </xf>
    <xf numFmtId="0" fontId="129" fillId="0" borderId="0" xfId="0" applyFont="1" applyAlignment="1" applyProtection="1">
      <alignment horizontal="center" vertical="center"/>
      <protection locked="0"/>
    </xf>
    <xf numFmtId="0" fontId="2" fillId="0" borderId="0" xfId="0" applyFont="1" applyAlignment="1" applyProtection="1">
      <alignment horizontal="right" vertical="center"/>
    </xf>
    <xf numFmtId="2" fontId="2" fillId="0" borderId="0" xfId="0" applyNumberFormat="1" applyFont="1" applyAlignment="1" applyProtection="1">
      <alignment horizontal="center" vertical="center"/>
    </xf>
    <xf numFmtId="0" fontId="2" fillId="0" borderId="0" xfId="0" applyFont="1" applyAlignment="1" applyProtection="1">
      <alignment horizontal="center" vertical="center"/>
    </xf>
    <xf numFmtId="0" fontId="2" fillId="0" borderId="242" xfId="0" applyFont="1" applyBorder="1" applyAlignment="1" applyProtection="1">
      <alignment horizontal="center" vertical="center"/>
    </xf>
    <xf numFmtId="0" fontId="2" fillId="0" borderId="242" xfId="0" applyFont="1" applyBorder="1" applyAlignment="1">
      <alignment horizontal="center" vertical="center"/>
    </xf>
    <xf numFmtId="0" fontId="27" fillId="0" borderId="242" xfId="0" applyFont="1" applyBorder="1" applyAlignment="1" applyProtection="1">
      <alignment horizontal="center" vertical="center" wrapText="1"/>
    </xf>
    <xf numFmtId="2" fontId="6" fillId="0" borderId="0" xfId="1" applyNumberFormat="1" applyFont="1" applyFill="1" applyBorder="1" applyAlignment="1" applyProtection="1">
      <alignment horizontal="right" vertical="center" wrapText="1"/>
      <protection hidden="1"/>
    </xf>
    <xf numFmtId="1" fontId="6" fillId="7" borderId="2" xfId="1" applyNumberFormat="1" applyFont="1" applyFill="1" applyBorder="1" applyAlignment="1" applyProtection="1">
      <alignment horizontal="center" vertical="center" wrapText="1"/>
      <protection hidden="1"/>
    </xf>
    <xf numFmtId="1" fontId="6" fillId="7" borderId="3" xfId="1" applyNumberFormat="1" applyFont="1" applyFill="1" applyBorder="1" applyAlignment="1" applyProtection="1">
      <alignment horizontal="center" vertical="center" wrapText="1"/>
      <protection hidden="1"/>
    </xf>
    <xf numFmtId="1" fontId="6" fillId="7" borderId="1" xfId="1" applyNumberFormat="1" applyFont="1" applyFill="1" applyBorder="1" applyAlignment="1" applyProtection="1">
      <alignment horizontal="center" vertical="center" wrapText="1"/>
      <protection hidden="1"/>
    </xf>
    <xf numFmtId="0" fontId="27" fillId="0" borderId="0" xfId="0" applyFont="1" applyAlignment="1" applyProtection="1">
      <alignment horizontal="right" vertical="center"/>
    </xf>
    <xf numFmtId="0" fontId="27" fillId="0" borderId="28" xfId="0" applyFont="1" applyBorder="1" applyAlignment="1" applyProtection="1">
      <alignment horizontal="right" vertical="center" wrapText="1"/>
    </xf>
    <xf numFmtId="0" fontId="27" fillId="0" borderId="0" xfId="0" applyFont="1" applyAlignment="1" applyProtection="1">
      <alignment horizontal="right" vertical="center" wrapText="1"/>
    </xf>
    <xf numFmtId="0" fontId="27" fillId="0" borderId="27" xfId="0" applyFont="1" applyBorder="1" applyAlignment="1" applyProtection="1">
      <alignment horizontal="right" vertical="center" wrapText="1"/>
    </xf>
    <xf numFmtId="1" fontId="6" fillId="14" borderId="2" xfId="1" applyNumberFormat="1" applyFont="1" applyFill="1" applyBorder="1" applyAlignment="1" applyProtection="1">
      <alignment horizontal="center" vertical="center" wrapText="1"/>
      <protection hidden="1"/>
    </xf>
    <xf numFmtId="1" fontId="6" fillId="14" borderId="3" xfId="1" applyNumberFormat="1" applyFont="1" applyFill="1" applyBorder="1" applyAlignment="1" applyProtection="1">
      <alignment horizontal="center" vertical="center" wrapText="1"/>
      <protection hidden="1"/>
    </xf>
    <xf numFmtId="1" fontId="6" fillId="14" borderId="1" xfId="1" applyNumberFormat="1" applyFont="1" applyFill="1" applyBorder="1" applyAlignment="1" applyProtection="1">
      <alignment horizontal="center" vertical="center" wrapText="1"/>
      <protection hidden="1"/>
    </xf>
    <xf numFmtId="0" fontId="175" fillId="0" borderId="242" xfId="0" applyFont="1" applyBorder="1" applyAlignment="1">
      <alignment horizontal="center" vertical="center" wrapText="1"/>
    </xf>
    <xf numFmtId="0" fontId="175" fillId="0" borderId="242" xfId="0" applyFont="1" applyBorder="1" applyAlignment="1">
      <alignment horizontal="center" vertical="center"/>
    </xf>
    <xf numFmtId="0" fontId="168" fillId="0" borderId="25" xfId="0" applyFont="1" applyFill="1" applyBorder="1" applyAlignment="1">
      <alignment horizontal="center" vertical="center" wrapText="1"/>
    </xf>
    <xf numFmtId="0" fontId="168" fillId="0" borderId="1" xfId="0" applyFont="1" applyFill="1" applyBorder="1" applyAlignment="1">
      <alignment horizontal="center" vertical="center" wrapText="1"/>
    </xf>
    <xf numFmtId="0" fontId="25" fillId="0" borderId="0" xfId="0" applyFont="1" applyBorder="1" applyAlignment="1">
      <alignment horizontal="left" vertical="center"/>
    </xf>
    <xf numFmtId="0" fontId="25" fillId="13" borderId="0" xfId="0" applyFont="1" applyFill="1" applyBorder="1" applyAlignment="1" applyProtection="1">
      <alignment horizontal="left" vertical="center"/>
    </xf>
    <xf numFmtId="0" fontId="35" fillId="0" borderId="0" xfId="0" applyFont="1" applyAlignment="1">
      <alignment horizontal="left"/>
    </xf>
    <xf numFmtId="0" fontId="3" fillId="67" borderId="250" xfId="0" applyFont="1" applyFill="1" applyBorder="1" applyAlignment="1">
      <alignment horizontal="center" vertical="center"/>
    </xf>
    <xf numFmtId="0" fontId="121" fillId="66" borderId="250" xfId="0" applyFont="1" applyFill="1" applyBorder="1" applyAlignment="1">
      <alignment horizontal="center" vertical="center"/>
    </xf>
    <xf numFmtId="0" fontId="3" fillId="46" borderId="170" xfId="0" applyFont="1" applyFill="1" applyBorder="1" applyAlignment="1">
      <alignment horizontal="center" vertical="center"/>
    </xf>
    <xf numFmtId="0" fontId="122" fillId="45" borderId="170" xfId="0" applyFont="1" applyFill="1" applyBorder="1" applyAlignment="1">
      <alignment horizontal="center" vertical="center"/>
    </xf>
    <xf numFmtId="0" fontId="121" fillId="52" borderId="171" xfId="0" applyFont="1" applyFill="1" applyBorder="1" applyAlignment="1">
      <alignment horizontal="center"/>
    </xf>
    <xf numFmtId="0" fontId="3" fillId="53" borderId="171" xfId="0" applyFont="1" applyFill="1" applyBorder="1" applyAlignment="1">
      <alignment horizontal="center" vertical="center"/>
    </xf>
    <xf numFmtId="0" fontId="3" fillId="60" borderId="174" xfId="0" applyFont="1" applyFill="1" applyBorder="1" applyAlignment="1">
      <alignment horizontal="center"/>
    </xf>
    <xf numFmtId="0" fontId="121" fillId="59" borderId="174" xfId="0" applyFont="1" applyFill="1" applyBorder="1" applyAlignment="1">
      <alignment horizontal="center"/>
    </xf>
    <xf numFmtId="0" fontId="3" fillId="67" borderId="7" xfId="0" applyFont="1" applyFill="1" applyBorder="1" applyAlignment="1">
      <alignment horizontal="center" vertical="center"/>
    </xf>
    <xf numFmtId="0" fontId="121" fillId="66" borderId="173" xfId="0" applyFont="1" applyFill="1" applyBorder="1" applyAlignment="1">
      <alignment horizontal="center" vertical="center"/>
    </xf>
    <xf numFmtId="0" fontId="3" fillId="60" borderId="174" xfId="0" applyFont="1" applyFill="1" applyBorder="1" applyAlignment="1">
      <alignment horizontal="center" vertical="center"/>
    </xf>
  </cellXfs>
  <cellStyles count="4">
    <cellStyle name="Hyperlink" xfId="3" builtinId="8"/>
    <cellStyle name="Normal" xfId="0" builtinId="0"/>
    <cellStyle name="Normal 2" xfId="1" xr:uid="{00000000-0005-0000-0000-000002000000}"/>
    <cellStyle name="Normal 3" xfId="2" xr:uid="{00000000-0005-0000-0000-000003000000}"/>
  </cellStyles>
  <dxfs count="10755">
    <dxf>
      <fill>
        <patternFill>
          <bgColor rgb="FFFF0000"/>
        </patternFill>
      </fill>
    </dxf>
    <dxf>
      <fill>
        <patternFill>
          <bgColor rgb="FF00FF00"/>
        </patternFill>
      </fill>
    </dxf>
    <dxf>
      <fill>
        <patternFill>
          <bgColor rgb="FFFF00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B8CBE2"/>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D89494"/>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B2A1C6"/>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fgColor indexed="64"/>
          <bgColor rgb="FF93C95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66FF33"/>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66FF33"/>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66FF33"/>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theme="5" tint="0.39994506668294322"/>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rgb="FFFF0000"/>
        </patternFill>
      </fill>
    </dxf>
    <dxf>
      <fill>
        <patternFill>
          <bgColor rgb="FFFF9900"/>
        </patternFill>
      </fill>
    </dxf>
    <dxf>
      <fill>
        <patternFill>
          <bgColor rgb="FFFFFF00"/>
        </patternFill>
      </fill>
    </dxf>
    <dxf>
      <fill>
        <patternFill>
          <bgColor rgb="FF00FF00"/>
        </patternFill>
      </fill>
    </dxf>
    <dxf>
      <fill>
        <patternFill>
          <bgColor rgb="FF00B0F0"/>
        </patternFill>
      </fill>
    </dxf>
    <dxf>
      <fill>
        <patternFill>
          <bgColor theme="5" tint="0.39994506668294322"/>
        </patternFill>
      </fill>
    </dxf>
    <dxf>
      <fill>
        <patternFill>
          <bgColor rgb="FFFF0000"/>
        </patternFill>
      </fill>
    </dxf>
    <dxf>
      <fill>
        <patternFill>
          <bgColor rgb="FFFF9900"/>
        </patternFill>
      </fill>
    </dxf>
    <dxf>
      <fill>
        <patternFill>
          <bgColor rgb="FFFFFF00"/>
        </patternFill>
      </fill>
    </dxf>
    <dxf>
      <fill>
        <patternFill>
          <bgColor rgb="FF66FF33"/>
        </patternFill>
      </fill>
    </dxf>
    <dxf>
      <fill>
        <patternFill>
          <bgColor rgb="FF00B0F0"/>
        </patternFill>
      </fill>
    </dxf>
    <dxf>
      <font>
        <color rgb="FFFF0000"/>
      </font>
    </dxf>
    <dxf>
      <font>
        <color rgb="FFFFC000"/>
      </font>
    </dxf>
    <dxf>
      <font>
        <color rgb="FF00B0F0"/>
      </font>
    </dxf>
    <dxf>
      <font>
        <color theme="0" tint="-0.14996795556505021"/>
      </font>
      <fill>
        <patternFill patternType="none">
          <bgColor auto="1"/>
        </patternFill>
      </fill>
    </dxf>
    <dxf>
      <font>
        <color theme="0"/>
      </font>
      <fill>
        <patternFill patternType="solid">
          <bgColor theme="0"/>
        </patternFill>
      </fill>
      <border>
        <left/>
        <right/>
        <top/>
        <bottom/>
        <vertical/>
        <horizontal/>
      </border>
    </dxf>
    <dxf>
      <fill>
        <patternFill>
          <bgColor rgb="FFFFC000"/>
        </patternFill>
      </fill>
    </dxf>
    <dxf>
      <fill>
        <patternFill>
          <bgColor rgb="FFFF0000"/>
        </patternFill>
      </fill>
    </dxf>
    <dxf>
      <fill>
        <patternFill>
          <bgColor rgb="FF00B0F0"/>
        </patternFill>
      </fill>
    </dxf>
    <dxf>
      <font>
        <color theme="0" tint="-0.14996795556505021"/>
      </font>
      <fill>
        <patternFill patternType="none">
          <bgColor auto="1"/>
        </patternFill>
      </fill>
    </dxf>
    <dxf>
      <fill>
        <patternFill>
          <bgColor rgb="FFFF0000"/>
        </patternFill>
      </fill>
    </dxf>
    <dxf>
      <fill>
        <patternFill>
          <bgColor rgb="FFFFC000"/>
        </patternFill>
      </fill>
    </dxf>
    <dxf>
      <fill>
        <patternFill>
          <bgColor rgb="FF00B050"/>
        </patternFill>
      </fill>
    </dxf>
    <dxf>
      <fill>
        <patternFill>
          <bgColor rgb="FF00B0F0"/>
        </patternFill>
      </fill>
    </dxf>
    <dxf>
      <fill>
        <patternFill>
          <bgColor rgb="FFFF0000"/>
        </patternFill>
      </fill>
    </dxf>
    <dxf>
      <fill>
        <patternFill>
          <bgColor rgb="FFFFC000"/>
        </patternFill>
      </fill>
    </dxf>
    <dxf>
      <fill>
        <patternFill>
          <bgColor rgb="FF00B050"/>
        </patternFill>
      </fill>
    </dxf>
    <dxf>
      <fill>
        <patternFill>
          <bgColor rgb="FF00B0F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93C953"/>
      <color rgb="FF00B04F"/>
      <color rgb="FF6F3995"/>
      <color rgb="FFBF2025"/>
      <color rgb="FF00BFFF"/>
      <color rgb="FFE7E3D7"/>
      <color rgb="FF6B8E23"/>
      <color rgb="FFFF0000"/>
      <color rgb="FFB5AF9E"/>
      <color rgb="FFB2A1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a:lstStyle/>
          <a:p>
            <a:pPr>
              <a:defRPr sz="1200">
                <a:solidFill>
                  <a:schemeClr val="accent2"/>
                </a:solidFill>
                <a:latin typeface="Arial" panose="020B0604020202020204" pitchFamily="34" charset="0"/>
                <a:cs typeface="Arial" panose="020B0604020202020204" pitchFamily="34" charset="0"/>
              </a:defRPr>
            </a:pPr>
            <a:r>
              <a:rPr lang="en-US" sz="1200">
                <a:solidFill>
                  <a:schemeClr val="accent2"/>
                </a:solidFill>
                <a:latin typeface="Arial" panose="020B0604020202020204" pitchFamily="34" charset="0"/>
                <a:cs typeface="Arial" panose="020B0604020202020204" pitchFamily="34" charset="0"/>
              </a:rPr>
              <a:t>Customer Service Orientation</a:t>
            </a:r>
          </a:p>
        </c:rich>
      </c:tx>
      <c:overlay val="0"/>
    </c:title>
    <c:autoTitleDeleted val="0"/>
    <c:plotArea>
      <c:layout/>
      <c:scatterChart>
        <c:scatterStyle val="lineMarker"/>
        <c:varyColors val="0"/>
        <c:ser>
          <c:idx val="0"/>
          <c:order val="0"/>
          <c:yVal>
            <c:numRef>
              <c:f>('D3-D14 Score'!$B$19,'D3-D14 Score'!$E$19,'D3-D14 Score'!$H$19,'D3-D14 Score'!$K$19,'D3-D14 Score'!$N$19,'D3-D14 Score'!$R$19,'D3-D14 Score'!$AP$19,'D3-D14 Score'!$AD$19,'D3-D14 Score'!$X$19,'D3-D14 Score'!$BB$19,'D3-D14 Score'!$BE$19,'D3-D14 Score'!$BH$19)</c:f>
              <c:numCache>
                <c:formatCode>General</c:formatCode>
                <c:ptCount val="12"/>
                <c:pt idx="0">
                  <c:v>0</c:v>
                </c:pt>
                <c:pt idx="1">
                  <c:v>0</c:v>
                </c:pt>
                <c:pt idx="2">
                  <c:v>2</c:v>
                </c:pt>
                <c:pt idx="3">
                  <c:v>2</c:v>
                </c:pt>
                <c:pt idx="4">
                  <c:v>2</c:v>
                </c:pt>
                <c:pt idx="5">
                  <c:v>2</c:v>
                </c:pt>
                <c:pt idx="6">
                  <c:v>2</c:v>
                </c:pt>
                <c:pt idx="7">
                  <c:v>2</c:v>
                </c:pt>
                <c:pt idx="8">
                  <c:v>2</c:v>
                </c:pt>
                <c:pt idx="9">
                  <c:v>0</c:v>
                </c:pt>
                <c:pt idx="10">
                  <c:v>0</c:v>
                </c:pt>
                <c:pt idx="11">
                  <c:v>0</c:v>
                </c:pt>
              </c:numCache>
            </c:numRef>
          </c:yVal>
          <c:smooth val="0"/>
          <c:extLst>
            <c:ext xmlns:c16="http://schemas.microsoft.com/office/drawing/2014/chart" uri="{C3380CC4-5D6E-409C-BE32-E72D297353CC}">
              <c16:uniqueId val="{00000000-581E-4BA9-9269-A775EC009ED3}"/>
            </c:ext>
          </c:extLst>
        </c:ser>
        <c:dLbls>
          <c:showLegendKey val="0"/>
          <c:showVal val="0"/>
          <c:showCatName val="0"/>
          <c:showSerName val="0"/>
          <c:showPercent val="0"/>
          <c:showBubbleSize val="0"/>
        </c:dLbls>
        <c:axId val="237703352"/>
        <c:axId val="237703744"/>
      </c:scatterChart>
      <c:valAx>
        <c:axId val="237703352"/>
        <c:scaling>
          <c:orientation val="minMax"/>
          <c:max val="12"/>
          <c:min val="1"/>
        </c:scaling>
        <c:delete val="0"/>
        <c:axPos val="b"/>
        <c:title>
          <c:tx>
            <c:rich>
              <a:bodyPr/>
              <a:lstStyle/>
              <a:p>
                <a:pPr>
                  <a:defRPr/>
                </a:pPr>
                <a:r>
                  <a:rPr lang="en-US"/>
                  <a:t>DAY</a:t>
                </a:r>
              </a:p>
            </c:rich>
          </c:tx>
          <c:overlay val="0"/>
        </c:title>
        <c:majorTickMark val="none"/>
        <c:minorTickMark val="none"/>
        <c:tickLblPos val="nextTo"/>
        <c:crossAx val="237703744"/>
        <c:crosses val="autoZero"/>
        <c:crossBetween val="midCat"/>
        <c:majorUnit val="1"/>
      </c:valAx>
      <c:valAx>
        <c:axId val="237703744"/>
        <c:scaling>
          <c:orientation val="minMax"/>
        </c:scaling>
        <c:delete val="0"/>
        <c:axPos val="l"/>
        <c:majorGridlines/>
        <c:numFmt formatCode="General" sourceLinked="1"/>
        <c:majorTickMark val="none"/>
        <c:minorTickMark val="none"/>
        <c:tickLblPos val="nextTo"/>
        <c:crossAx val="237703352"/>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a:lstStyle/>
          <a:p>
            <a:pPr>
              <a:defRPr sz="1200">
                <a:solidFill>
                  <a:schemeClr val="accent4"/>
                </a:solidFill>
                <a:latin typeface="Arial" panose="020B0604020202020204" pitchFamily="34" charset="0"/>
                <a:cs typeface="Arial" panose="020B0604020202020204" pitchFamily="34" charset="0"/>
              </a:defRPr>
            </a:pPr>
            <a:r>
              <a:rPr lang="en-US" sz="1200">
                <a:solidFill>
                  <a:schemeClr val="accent4"/>
                </a:solidFill>
                <a:latin typeface="Arial" panose="020B0604020202020204" pitchFamily="34" charset="0"/>
                <a:cs typeface="Arial" panose="020B0604020202020204" pitchFamily="34" charset="0"/>
              </a:rPr>
              <a:t>Teamwork</a:t>
            </a:r>
          </a:p>
        </c:rich>
      </c:tx>
      <c:overlay val="0"/>
    </c:title>
    <c:autoTitleDeleted val="0"/>
    <c:plotArea>
      <c:layout/>
      <c:scatterChart>
        <c:scatterStyle val="lineMarker"/>
        <c:varyColors val="0"/>
        <c:ser>
          <c:idx val="0"/>
          <c:order val="0"/>
          <c:yVal>
            <c:numRef>
              <c:f>('D3-D14 Score'!$B$25,'D3-D14 Score'!$E$25,'D3-D14 Score'!$H$25,'D3-D14 Score'!$K$25,'D3-D14 Score'!$N$25,'D3-D14 Score'!$R$25,'D3-D14 Score'!$AP$25,'D3-D14 Score'!$AD$25,'D3-D14 Score'!$X$25,'D3-D14 Score'!$BB$25,'D3-D14 Score'!$BE$25,'D3-D14 Score'!$BH$25)</c:f>
              <c:numCache>
                <c:formatCode>General</c:formatCode>
                <c:ptCount val="12"/>
                <c:pt idx="0">
                  <c:v>2</c:v>
                </c:pt>
                <c:pt idx="1">
                  <c:v>2</c:v>
                </c:pt>
                <c:pt idx="2">
                  <c:v>2</c:v>
                </c:pt>
                <c:pt idx="3">
                  <c:v>2</c:v>
                </c:pt>
                <c:pt idx="4">
                  <c:v>2</c:v>
                </c:pt>
                <c:pt idx="5">
                  <c:v>2</c:v>
                </c:pt>
                <c:pt idx="6">
                  <c:v>2</c:v>
                </c:pt>
                <c:pt idx="7">
                  <c:v>2</c:v>
                </c:pt>
                <c:pt idx="8">
                  <c:v>2</c:v>
                </c:pt>
                <c:pt idx="9">
                  <c:v>2</c:v>
                </c:pt>
                <c:pt idx="10">
                  <c:v>2</c:v>
                </c:pt>
                <c:pt idx="11">
                  <c:v>2</c:v>
                </c:pt>
              </c:numCache>
            </c:numRef>
          </c:yVal>
          <c:smooth val="0"/>
          <c:extLst>
            <c:ext xmlns:c16="http://schemas.microsoft.com/office/drawing/2014/chart" uri="{C3380CC4-5D6E-409C-BE32-E72D297353CC}">
              <c16:uniqueId val="{00000000-BB1C-4DA4-9472-B5B37F847578}"/>
            </c:ext>
          </c:extLst>
        </c:ser>
        <c:dLbls>
          <c:showLegendKey val="0"/>
          <c:showVal val="0"/>
          <c:showCatName val="0"/>
          <c:showSerName val="0"/>
          <c:showPercent val="0"/>
          <c:showBubbleSize val="0"/>
        </c:dLbls>
        <c:axId val="237704528"/>
        <c:axId val="237704920"/>
      </c:scatterChart>
      <c:valAx>
        <c:axId val="237704528"/>
        <c:scaling>
          <c:orientation val="minMax"/>
          <c:max val="12"/>
          <c:min val="1"/>
        </c:scaling>
        <c:delete val="0"/>
        <c:axPos val="b"/>
        <c:title>
          <c:tx>
            <c:rich>
              <a:bodyPr/>
              <a:lstStyle/>
              <a:p>
                <a:pPr>
                  <a:defRPr/>
                </a:pPr>
                <a:r>
                  <a:rPr lang="en-US"/>
                  <a:t>DAY</a:t>
                </a:r>
              </a:p>
            </c:rich>
          </c:tx>
          <c:overlay val="0"/>
        </c:title>
        <c:majorTickMark val="none"/>
        <c:minorTickMark val="none"/>
        <c:tickLblPos val="nextTo"/>
        <c:crossAx val="237704920"/>
        <c:crossesAt val="0"/>
        <c:crossBetween val="midCat"/>
        <c:majorUnit val="1"/>
      </c:valAx>
      <c:valAx>
        <c:axId val="237704920"/>
        <c:scaling>
          <c:orientation val="minMax"/>
          <c:max val="4"/>
          <c:min val="0"/>
        </c:scaling>
        <c:delete val="0"/>
        <c:axPos val="l"/>
        <c:majorGridlines/>
        <c:numFmt formatCode="General" sourceLinked="1"/>
        <c:majorTickMark val="none"/>
        <c:minorTickMark val="none"/>
        <c:tickLblPos val="nextTo"/>
        <c:crossAx val="237704528"/>
        <c:crosses val="autoZero"/>
        <c:crossBetween val="midCat"/>
        <c:majorUnit val="0.5"/>
        <c:minorUnit val="0.1"/>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a:lstStyle/>
          <a:p>
            <a:pPr>
              <a:defRPr sz="1200">
                <a:solidFill>
                  <a:schemeClr val="accent5"/>
                </a:solidFill>
                <a:latin typeface="Arial" panose="020B0604020202020204" pitchFamily="34" charset="0"/>
                <a:cs typeface="Arial" panose="020B0604020202020204" pitchFamily="34" charset="0"/>
              </a:defRPr>
            </a:pPr>
            <a:r>
              <a:rPr lang="en-US" sz="1200">
                <a:solidFill>
                  <a:schemeClr val="accent5"/>
                </a:solidFill>
                <a:latin typeface="Arial" panose="020B0604020202020204" pitchFamily="34" charset="0"/>
                <a:cs typeface="Arial" panose="020B0604020202020204" pitchFamily="34" charset="0"/>
              </a:rPr>
              <a:t>Professionalism</a:t>
            </a:r>
          </a:p>
        </c:rich>
      </c:tx>
      <c:overlay val="0"/>
    </c:title>
    <c:autoTitleDeleted val="0"/>
    <c:plotArea>
      <c:layout/>
      <c:scatterChart>
        <c:scatterStyle val="lineMarker"/>
        <c:varyColors val="0"/>
        <c:ser>
          <c:idx val="0"/>
          <c:order val="0"/>
          <c:yVal>
            <c:numRef>
              <c:f>('D3-D14 Score'!$B$12,'D3-D14 Score'!$E$12,'D3-D14 Score'!$H$12,'D3-D14 Score'!$K$12,'D3-D14 Score'!$N$12,'D3-D14 Score'!$R$12,'D3-D14 Score'!$AP$12,'D3-D14 Score'!$AD$12,'D3-D14 Score'!$X$12,'D3-D14 Score'!$BB$12,'D3-D14 Score'!$BE$12,'D3-D14 Score'!$BH$12)</c:f>
              <c:numCache>
                <c:formatCode>0.00</c:formatCode>
                <c:ptCount val="12"/>
                <c:pt idx="0">
                  <c:v>2</c:v>
                </c:pt>
                <c:pt idx="1">
                  <c:v>2</c:v>
                </c:pt>
                <c:pt idx="2">
                  <c:v>2</c:v>
                </c:pt>
                <c:pt idx="3">
                  <c:v>2</c:v>
                </c:pt>
                <c:pt idx="4">
                  <c:v>2</c:v>
                </c:pt>
                <c:pt idx="5">
                  <c:v>2</c:v>
                </c:pt>
                <c:pt idx="6">
                  <c:v>2</c:v>
                </c:pt>
                <c:pt idx="7">
                  <c:v>2</c:v>
                </c:pt>
                <c:pt idx="8">
                  <c:v>2</c:v>
                </c:pt>
                <c:pt idx="9">
                  <c:v>2</c:v>
                </c:pt>
                <c:pt idx="10">
                  <c:v>2</c:v>
                </c:pt>
                <c:pt idx="11">
                  <c:v>2</c:v>
                </c:pt>
              </c:numCache>
            </c:numRef>
          </c:yVal>
          <c:smooth val="0"/>
          <c:extLst>
            <c:ext xmlns:c16="http://schemas.microsoft.com/office/drawing/2014/chart" uri="{C3380CC4-5D6E-409C-BE32-E72D297353CC}">
              <c16:uniqueId val="{00000000-43DA-4387-A494-306774D2CA8A}"/>
            </c:ext>
          </c:extLst>
        </c:ser>
        <c:dLbls>
          <c:showLegendKey val="0"/>
          <c:showVal val="0"/>
          <c:showCatName val="0"/>
          <c:showSerName val="0"/>
          <c:showPercent val="0"/>
          <c:showBubbleSize val="0"/>
        </c:dLbls>
        <c:axId val="237705704"/>
        <c:axId val="237706096"/>
      </c:scatterChart>
      <c:valAx>
        <c:axId val="237705704"/>
        <c:scaling>
          <c:orientation val="minMax"/>
          <c:max val="12"/>
          <c:min val="1"/>
        </c:scaling>
        <c:delete val="0"/>
        <c:axPos val="b"/>
        <c:title>
          <c:tx>
            <c:rich>
              <a:bodyPr/>
              <a:lstStyle/>
              <a:p>
                <a:pPr>
                  <a:defRPr/>
                </a:pPr>
                <a:r>
                  <a:rPr lang="en-US"/>
                  <a:t>DAY</a:t>
                </a:r>
              </a:p>
            </c:rich>
          </c:tx>
          <c:overlay val="0"/>
        </c:title>
        <c:majorTickMark val="none"/>
        <c:minorTickMark val="none"/>
        <c:tickLblPos val="nextTo"/>
        <c:crossAx val="237706096"/>
        <c:crosses val="autoZero"/>
        <c:crossBetween val="midCat"/>
        <c:majorUnit val="1"/>
      </c:valAx>
      <c:valAx>
        <c:axId val="237706096"/>
        <c:scaling>
          <c:orientation val="minMax"/>
          <c:max val="4"/>
          <c:min val="0"/>
        </c:scaling>
        <c:delete val="0"/>
        <c:axPos val="l"/>
        <c:majorGridlines/>
        <c:numFmt formatCode="0.00" sourceLinked="1"/>
        <c:majorTickMark val="none"/>
        <c:minorTickMark val="none"/>
        <c:tickLblPos val="nextTo"/>
        <c:crossAx val="237705704"/>
        <c:crosses val="autoZero"/>
        <c:crossBetween val="midCat"/>
        <c:minorUnit val="0.01"/>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1200">
                <a:solidFill>
                  <a:schemeClr val="accent3"/>
                </a:solidFill>
                <a:latin typeface="Arial" panose="020B0604020202020204" pitchFamily="34" charset="0"/>
                <a:cs typeface="Arial" panose="020B0604020202020204" pitchFamily="34" charset="0"/>
              </a:defRPr>
            </a:pPr>
            <a:r>
              <a:rPr lang="en-US" sz="1200">
                <a:solidFill>
                  <a:schemeClr val="accent3"/>
                </a:solidFill>
                <a:latin typeface="Arial" panose="020B0604020202020204" pitchFamily="34" charset="0"/>
                <a:cs typeface="Arial" panose="020B0604020202020204" pitchFamily="34" charset="0"/>
              </a:rPr>
              <a:t>Organising For Results</a:t>
            </a:r>
          </a:p>
        </c:rich>
      </c:tx>
      <c:overlay val="0"/>
    </c:title>
    <c:autoTitleDeleted val="0"/>
    <c:plotArea>
      <c:layout/>
      <c:scatterChart>
        <c:scatterStyle val="lineMarker"/>
        <c:varyColors val="0"/>
        <c:ser>
          <c:idx val="0"/>
          <c:order val="0"/>
          <c:yVal>
            <c:numRef>
              <c:f>('D3-D14 Score'!$B$32,'D3-D14 Score'!$E$32,'D3-D14 Score'!$H$32,'D3-D14 Score'!$K$32,'D3-D14 Score'!$N$32,'D3-D14 Score'!$R$32,'D3-D14 Score'!$AP$32,'D3-D14 Score'!$AD$32,'D3-D14 Score'!$X$32,'D3-D14 Score'!$BB$32,'D3-D14 Score'!$BE$32,'D3-D14 Score'!$BH$32)</c:f>
              <c:numCache>
                <c:formatCode>General</c:formatCode>
                <c:ptCount val="12"/>
                <c:pt idx="0">
                  <c:v>2</c:v>
                </c:pt>
                <c:pt idx="1">
                  <c:v>2</c:v>
                </c:pt>
                <c:pt idx="2">
                  <c:v>2</c:v>
                </c:pt>
                <c:pt idx="3">
                  <c:v>2</c:v>
                </c:pt>
                <c:pt idx="4">
                  <c:v>2</c:v>
                </c:pt>
                <c:pt idx="5">
                  <c:v>2</c:v>
                </c:pt>
                <c:pt idx="6">
                  <c:v>2</c:v>
                </c:pt>
                <c:pt idx="7">
                  <c:v>2</c:v>
                </c:pt>
                <c:pt idx="8">
                  <c:v>2</c:v>
                </c:pt>
                <c:pt idx="9">
                  <c:v>2</c:v>
                </c:pt>
                <c:pt idx="10">
                  <c:v>2</c:v>
                </c:pt>
                <c:pt idx="11">
                  <c:v>2</c:v>
                </c:pt>
              </c:numCache>
            </c:numRef>
          </c:yVal>
          <c:smooth val="0"/>
          <c:extLst>
            <c:ext xmlns:c16="http://schemas.microsoft.com/office/drawing/2014/chart" uri="{C3380CC4-5D6E-409C-BE32-E72D297353CC}">
              <c16:uniqueId val="{00000000-B16F-48C9-A047-9F3D12CEFF27}"/>
            </c:ext>
          </c:extLst>
        </c:ser>
        <c:dLbls>
          <c:showLegendKey val="0"/>
          <c:showVal val="0"/>
          <c:showCatName val="0"/>
          <c:showSerName val="0"/>
          <c:showPercent val="0"/>
          <c:showBubbleSize val="0"/>
        </c:dLbls>
        <c:axId val="429098528"/>
        <c:axId val="429098920"/>
      </c:scatterChart>
      <c:valAx>
        <c:axId val="429098528"/>
        <c:scaling>
          <c:orientation val="minMax"/>
          <c:max val="12"/>
          <c:min val="1"/>
        </c:scaling>
        <c:delete val="0"/>
        <c:axPos val="b"/>
        <c:title>
          <c:tx>
            <c:rich>
              <a:bodyPr/>
              <a:lstStyle/>
              <a:p>
                <a:pPr>
                  <a:defRPr/>
                </a:pPr>
                <a:r>
                  <a:rPr lang="en-US"/>
                  <a:t>DAY</a:t>
                </a:r>
              </a:p>
            </c:rich>
          </c:tx>
          <c:overlay val="0"/>
        </c:title>
        <c:majorTickMark val="none"/>
        <c:minorTickMark val="none"/>
        <c:tickLblPos val="nextTo"/>
        <c:crossAx val="429098920"/>
        <c:crosses val="autoZero"/>
        <c:crossBetween val="midCat"/>
        <c:majorUnit val="1"/>
      </c:valAx>
      <c:valAx>
        <c:axId val="429098920"/>
        <c:scaling>
          <c:orientation val="minMax"/>
          <c:max val="4"/>
          <c:min val="0"/>
        </c:scaling>
        <c:delete val="0"/>
        <c:axPos val="l"/>
        <c:majorGridlines/>
        <c:numFmt formatCode="General" sourceLinked="1"/>
        <c:majorTickMark val="none"/>
        <c:minorTickMark val="none"/>
        <c:tickLblPos val="nextTo"/>
        <c:crossAx val="429098528"/>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07/relationships/hdphoto" Target="../media/hdphoto1.wdp"/><Relationship Id="rId1" Type="http://schemas.openxmlformats.org/officeDocument/2006/relationships/image" Target="../media/image4.png"/><Relationship Id="rId4" Type="http://schemas.microsoft.com/office/2007/relationships/hdphoto" Target="../media/hdphoto2.wdp"/></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57</xdr:col>
      <xdr:colOff>177800</xdr:colOff>
      <xdr:row>0</xdr:row>
      <xdr:rowOff>19050</xdr:rowOff>
    </xdr:from>
    <xdr:to>
      <xdr:col>60</xdr:col>
      <xdr:colOff>120650</xdr:colOff>
      <xdr:row>2</xdr:row>
      <xdr:rowOff>200025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93375" y="19050"/>
          <a:ext cx="485775"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58</xdr:col>
      <xdr:colOff>28575</xdr:colOff>
      <xdr:row>170</xdr:row>
      <xdr:rowOff>31750</xdr:rowOff>
    </xdr:from>
    <xdr:ext cx="476250" cy="67627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525125" y="42132250"/>
          <a:ext cx="4762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17</xdr:col>
      <xdr:colOff>337606</xdr:colOff>
      <xdr:row>0</xdr:row>
      <xdr:rowOff>0</xdr:rowOff>
    </xdr:from>
    <xdr:to>
      <xdr:col>18</xdr:col>
      <xdr:colOff>352529</xdr:colOff>
      <xdr:row>0</xdr:row>
      <xdr:rowOff>714375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271931" y="0"/>
          <a:ext cx="481648" cy="714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56</xdr:col>
      <xdr:colOff>104775</xdr:colOff>
      <xdr:row>0</xdr:row>
      <xdr:rowOff>9525</xdr:rowOff>
    </xdr:from>
    <xdr:to>
      <xdr:col>59</xdr:col>
      <xdr:colOff>38100</xdr:colOff>
      <xdr:row>2</xdr:row>
      <xdr:rowOff>190500</xdr:rowOff>
    </xdr:to>
    <xdr:pic>
      <xdr:nvPicPr>
        <xdr:cNvPr id="2" name="Picture 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39375" y="9525"/>
          <a:ext cx="4762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56</xdr:col>
      <xdr:colOff>104775</xdr:colOff>
      <xdr:row>0</xdr:row>
      <xdr:rowOff>9525</xdr:rowOff>
    </xdr:from>
    <xdr:to>
      <xdr:col>59</xdr:col>
      <xdr:colOff>38100</xdr:colOff>
      <xdr:row>2</xdr:row>
      <xdr:rowOff>190500</xdr:rowOff>
    </xdr:to>
    <xdr:pic>
      <xdr:nvPicPr>
        <xdr:cNvPr id="3" name="Picture 2">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39375" y="9525"/>
          <a:ext cx="4762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22412</xdr:colOff>
      <xdr:row>0</xdr:row>
      <xdr:rowOff>22412</xdr:rowOff>
    </xdr:from>
    <xdr:to>
      <xdr:col>5</xdr:col>
      <xdr:colOff>156881</xdr:colOff>
      <xdr:row>4</xdr:row>
      <xdr:rowOff>186326</xdr:rowOff>
    </xdr:to>
    <xdr:pic>
      <xdr:nvPicPr>
        <xdr:cNvPr id="2" name="LearnerPhoto">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12" y="22412"/>
          <a:ext cx="1030940" cy="10827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38</xdr:col>
      <xdr:colOff>11206</xdr:colOff>
      <xdr:row>13</xdr:row>
      <xdr:rowOff>22412</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7014882" y="23084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63</xdr:col>
      <xdr:colOff>112060</xdr:colOff>
      <xdr:row>2</xdr:row>
      <xdr:rowOff>67233</xdr:rowOff>
    </xdr:from>
    <xdr:to>
      <xdr:col>64</xdr:col>
      <xdr:colOff>168088</xdr:colOff>
      <xdr:row>3</xdr:row>
      <xdr:rowOff>112056</xdr:rowOff>
    </xdr:to>
    <xdr:pic macro="[0]!Sheet19.autotickImageClicked">
      <xdr:nvPicPr>
        <xdr:cNvPr id="2" name="AutoTickYesImage">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saturation sat="66000"/>
                  </a14:imgEffect>
                </a14:imgLayer>
              </a14:imgProps>
            </a:ext>
            <a:ext uri="{28A0092B-C50C-407E-A947-70E740481C1C}">
              <a14:useLocalDpi xmlns:a14="http://schemas.microsoft.com/office/drawing/2010/main" val="0"/>
            </a:ext>
          </a:extLst>
        </a:blip>
        <a:stretch>
          <a:fillRect/>
        </a:stretch>
      </xdr:blipFill>
      <xdr:spPr>
        <a:xfrm>
          <a:off x="11407589" y="448233"/>
          <a:ext cx="235323" cy="235323"/>
        </a:xfrm>
        <a:prstGeom prst="rect">
          <a:avLst/>
        </a:prstGeom>
        <a:noFill/>
      </xdr:spPr>
    </xdr:pic>
    <xdr:clientData fPrintsWithSheet="0"/>
  </xdr:twoCellAnchor>
  <xdr:twoCellAnchor editAs="oneCell">
    <xdr:from>
      <xdr:col>63</xdr:col>
      <xdr:colOff>112060</xdr:colOff>
      <xdr:row>2</xdr:row>
      <xdr:rowOff>67233</xdr:rowOff>
    </xdr:from>
    <xdr:to>
      <xdr:col>64</xdr:col>
      <xdr:colOff>168448</xdr:colOff>
      <xdr:row>3</xdr:row>
      <xdr:rowOff>110733</xdr:rowOff>
    </xdr:to>
    <xdr:pic macro="[0]!Sheet19.autotickImageClicked">
      <xdr:nvPicPr>
        <xdr:cNvPr id="3" name="AutoTickNoImage" hidden="1">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saturation sat="66000"/>
                  </a14:imgEffect>
                </a14:imgLayer>
              </a14:imgProps>
            </a:ext>
            <a:ext uri="{28A0092B-C50C-407E-A947-70E740481C1C}">
              <a14:useLocalDpi xmlns:a14="http://schemas.microsoft.com/office/drawing/2010/main" val="0"/>
            </a:ext>
          </a:extLst>
        </a:blip>
        <a:stretch>
          <a:fillRect/>
        </a:stretch>
      </xdr:blipFill>
      <xdr:spPr>
        <a:xfrm>
          <a:off x="11513485" y="448233"/>
          <a:ext cx="237363" cy="234000"/>
        </a:xfrm>
        <a:prstGeom prst="rect">
          <a:avLst/>
        </a:prstGeom>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3</xdr:row>
      <xdr:rowOff>0</xdr:rowOff>
    </xdr:from>
    <xdr:to>
      <xdr:col>9</xdr:col>
      <xdr:colOff>0</xdr:colOff>
      <xdr:row>17</xdr:row>
      <xdr:rowOff>76200</xdr:rowOff>
    </xdr:to>
    <xdr:graphicFrame macro="">
      <xdr:nvGraphicFramePr>
        <xdr:cNvPr id="7" name="Chart 6">
          <a:extLst>
            <a:ext uri="{FF2B5EF4-FFF2-40B4-BE49-F238E27FC236}">
              <a16:creationId xmlns:a16="http://schemas.microsoft.com/office/drawing/2014/main" id="{00000000-0008-0000-1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104775</xdr:rowOff>
    </xdr:from>
    <xdr:to>
      <xdr:col>9</xdr:col>
      <xdr:colOff>0</xdr:colOff>
      <xdr:row>31</xdr:row>
      <xdr:rowOff>180975</xdr:rowOff>
    </xdr:to>
    <xdr:graphicFrame macro="">
      <xdr:nvGraphicFramePr>
        <xdr:cNvPr id="8" name="Chart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47625</xdr:colOff>
      <xdr:row>3</xdr:row>
      <xdr:rowOff>0</xdr:rowOff>
    </xdr:from>
    <xdr:to>
      <xdr:col>18</xdr:col>
      <xdr:colOff>47625</xdr:colOff>
      <xdr:row>17</xdr:row>
      <xdr:rowOff>76200</xdr:rowOff>
    </xdr:to>
    <xdr:graphicFrame macro="">
      <xdr:nvGraphicFramePr>
        <xdr:cNvPr id="9" name="Chart 8">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17</xdr:row>
      <xdr:rowOff>95250</xdr:rowOff>
    </xdr:from>
    <xdr:to>
      <xdr:col>18</xdr:col>
      <xdr:colOff>38100</xdr:colOff>
      <xdr:row>31</xdr:row>
      <xdr:rowOff>171450</xdr:rowOff>
    </xdr:to>
    <xdr:graphicFrame macro="">
      <xdr:nvGraphicFramePr>
        <xdr:cNvPr id="10" name="Chart 9">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CCT%20-%20Service%20Training%20-%20PM%20-%20Development/Marvin/Abinitio%20Matrix/Electronic%20Template%20Marvin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rvice Review"/>
      <sheetName val="Report"/>
      <sheetName val="Drop Down List"/>
      <sheetName val="OAS"/>
      <sheetName val="D3-D14 Score"/>
      <sheetName val="D3 to D14"/>
      <sheetName val="PRC | KHI"/>
      <sheetName val="DEL"/>
      <sheetName val="BKK"/>
      <sheetName val="LHR AT"/>
      <sheetName val="LHR LU"/>
      <sheetName val="JFK LU"/>
      <sheetName val="JFK LB | BF"/>
      <sheetName val="PRC | KHI AS"/>
      <sheetName val="DEL AS"/>
      <sheetName val="BKK AS"/>
      <sheetName val="LHR AT AS"/>
      <sheetName val="LHR LU AS"/>
      <sheetName val="JFK LU AS"/>
      <sheetName val="JFK LB | BF AS"/>
      <sheetName val="Profiles | Scenarios"/>
      <sheetName val="KA"/>
      <sheetName val="Graph"/>
      <sheetName val="Rubric"/>
      <sheetName val="Rubric (.)"/>
      <sheetName val="MFP Colors"/>
    </sheetNames>
    <sheetDataSet>
      <sheetData sheetId="0" refreshError="1"/>
      <sheetData sheetId="1">
        <row r="2">
          <cell r="L2" t="str">
            <v>Alexander Gonzalez Robles</v>
          </cell>
          <cell r="AR2">
            <v>456652</v>
          </cell>
        </row>
        <row r="3">
          <cell r="L3" t="str">
            <v>Sonia Gopaul / Kristie Brusnahan</v>
          </cell>
          <cell r="AR3" t="str">
            <v>AB 3349</v>
          </cell>
        </row>
        <row r="4">
          <cell r="L4" t="str">
            <v>Michelle Tucker</v>
          </cell>
          <cell r="AR4" t="str">
            <v>02/03/17 to 19/03/17</v>
          </cell>
        </row>
      </sheetData>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5">
          <cell r="A5" t="str">
            <v>Customer Profiles</v>
          </cell>
        </row>
        <row r="55">
          <cell r="A55" t="str">
            <v>Customer Scenariors</v>
          </cell>
        </row>
      </sheetData>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autoPageBreaks="0"/>
  </sheetPr>
  <dimension ref="A1:DS239"/>
  <sheetViews>
    <sheetView zoomScaleNormal="100" workbookViewId="0">
      <selection activeCell="L2" sqref="L2:AK2"/>
    </sheetView>
  </sheetViews>
  <sheetFormatPr baseColWidth="10" defaultColWidth="0" defaultRowHeight="20" customHeight="1" zeroHeight="1"/>
  <cols>
    <col min="1" max="62" width="2.6640625" style="32" customWidth="1"/>
    <col min="63" max="123" width="0" style="32" hidden="1" customWidth="1"/>
    <col min="124" max="16384" width="9.1640625" style="32" hidden="1"/>
  </cols>
  <sheetData>
    <row r="1" spans="1:61" ht="20" customHeight="1">
      <c r="A1" s="680" t="s">
        <v>211</v>
      </c>
      <c r="B1" s="680"/>
      <c r="C1" s="680"/>
      <c r="D1" s="680"/>
      <c r="E1" s="680"/>
      <c r="F1" s="680"/>
      <c r="G1" s="680"/>
      <c r="H1" s="680"/>
      <c r="I1" s="680"/>
      <c r="J1" s="680"/>
      <c r="K1" s="680"/>
      <c r="L1" s="680"/>
      <c r="M1" s="680"/>
      <c r="N1" s="680"/>
      <c r="O1" s="680"/>
      <c r="P1" s="680"/>
      <c r="Q1" s="680"/>
      <c r="R1" s="680"/>
      <c r="S1" s="680"/>
      <c r="T1" s="680"/>
      <c r="U1" s="680"/>
      <c r="V1" s="680"/>
      <c r="W1" s="680"/>
      <c r="X1" s="680"/>
      <c r="Y1" s="680"/>
      <c r="Z1" s="680"/>
      <c r="AA1" s="680"/>
      <c r="AB1" s="680"/>
      <c r="AC1" s="680"/>
      <c r="AD1" s="680"/>
      <c r="AE1" s="680"/>
      <c r="AF1" s="680"/>
      <c r="AG1" s="680"/>
      <c r="AH1" s="680"/>
      <c r="AI1" s="680"/>
      <c r="AJ1" s="680"/>
      <c r="AK1" s="680"/>
      <c r="AL1" s="680"/>
      <c r="AM1" s="680"/>
      <c r="AN1" s="680"/>
      <c r="AO1" s="680"/>
      <c r="AP1" s="680"/>
      <c r="AQ1" s="680"/>
      <c r="AR1" s="680"/>
      <c r="AS1" s="680"/>
      <c r="AT1" s="680"/>
      <c r="AU1" s="680"/>
      <c r="AV1" s="680"/>
      <c r="AW1" s="680"/>
      <c r="AX1" s="680"/>
      <c r="AY1" s="680"/>
      <c r="AZ1" s="680"/>
      <c r="BA1" s="680"/>
      <c r="BB1" s="680"/>
      <c r="BC1" s="680"/>
      <c r="BD1" s="680"/>
      <c r="BE1" s="680"/>
      <c r="BF1" s="680"/>
      <c r="BG1" s="680"/>
      <c r="BH1" s="680"/>
    </row>
    <row r="2" spans="1:61" ht="20" customHeight="1">
      <c r="A2" s="671" t="s">
        <v>42</v>
      </c>
      <c r="B2" s="671"/>
      <c r="C2" s="671"/>
      <c r="D2" s="671"/>
      <c r="E2" s="671"/>
      <c r="F2" s="671"/>
      <c r="G2" s="671"/>
      <c r="H2" s="671"/>
      <c r="I2" s="671"/>
      <c r="J2" s="671"/>
      <c r="K2" s="177" t="s">
        <v>43</v>
      </c>
      <c r="L2" s="672">
        <f>Name</f>
        <v>0</v>
      </c>
      <c r="M2" s="672"/>
      <c r="N2" s="672"/>
      <c r="O2" s="672"/>
      <c r="P2" s="672"/>
      <c r="Q2" s="672"/>
      <c r="R2" s="672"/>
      <c r="S2" s="672"/>
      <c r="T2" s="672"/>
      <c r="U2" s="672"/>
      <c r="V2" s="672"/>
      <c r="W2" s="672"/>
      <c r="X2" s="672"/>
      <c r="Y2" s="672"/>
      <c r="Z2" s="672"/>
      <c r="AA2" s="672"/>
      <c r="AB2" s="672"/>
      <c r="AC2" s="672"/>
      <c r="AD2" s="672"/>
      <c r="AE2" s="672"/>
      <c r="AF2" s="672"/>
      <c r="AG2" s="672"/>
      <c r="AH2" s="672"/>
      <c r="AI2" s="672"/>
      <c r="AJ2" s="672"/>
      <c r="AK2" s="672"/>
      <c r="AL2" s="671" t="s">
        <v>44</v>
      </c>
      <c r="AM2" s="671"/>
      <c r="AN2" s="671"/>
      <c r="AO2" s="671"/>
      <c r="AP2" s="671"/>
      <c r="AQ2" s="177" t="s">
        <v>43</v>
      </c>
      <c r="AR2" s="672">
        <f>StaffNumber</f>
        <v>0</v>
      </c>
      <c r="AS2" s="672"/>
      <c r="AT2" s="672"/>
      <c r="AU2" s="672"/>
      <c r="AV2" s="672"/>
      <c r="AW2" s="672"/>
      <c r="AX2" s="672"/>
      <c r="AY2" s="672"/>
      <c r="AZ2" s="672"/>
      <c r="BA2" s="672"/>
      <c r="BB2" s="672"/>
      <c r="BC2" s="672"/>
      <c r="BD2" s="672"/>
      <c r="BE2" s="162"/>
      <c r="BF2" s="162"/>
      <c r="BG2" s="162"/>
      <c r="BH2" s="162"/>
    </row>
    <row r="3" spans="1:61" ht="20" customHeight="1">
      <c r="A3" s="671" t="s">
        <v>208</v>
      </c>
      <c r="B3" s="671"/>
      <c r="C3" s="671"/>
      <c r="D3" s="671"/>
      <c r="E3" s="671"/>
      <c r="F3" s="671"/>
      <c r="G3" s="671"/>
      <c r="H3" s="671"/>
      <c r="I3" s="671"/>
      <c r="J3" s="671"/>
      <c r="K3" s="177" t="s">
        <v>43</v>
      </c>
      <c r="L3" s="672" t="s">
        <v>267</v>
      </c>
      <c r="M3" s="672"/>
      <c r="N3" s="672"/>
      <c r="O3" s="672"/>
      <c r="P3" s="672"/>
      <c r="Q3" s="672"/>
      <c r="R3" s="672"/>
      <c r="S3" s="672"/>
      <c r="T3" s="672"/>
      <c r="U3" s="672"/>
      <c r="V3" s="672"/>
      <c r="W3" s="672"/>
      <c r="X3" s="672"/>
      <c r="Y3" s="672"/>
      <c r="Z3" s="672"/>
      <c r="AA3" s="672"/>
      <c r="AB3" s="672"/>
      <c r="AC3" s="672"/>
      <c r="AD3" s="672"/>
      <c r="AE3" s="672"/>
      <c r="AF3" s="672"/>
      <c r="AG3" s="672"/>
      <c r="AH3" s="672"/>
      <c r="AI3" s="672"/>
      <c r="AJ3" s="672"/>
      <c r="AK3" s="672"/>
      <c r="AL3" s="671" t="s">
        <v>207</v>
      </c>
      <c r="AM3" s="671"/>
      <c r="AN3" s="671"/>
      <c r="AO3" s="671"/>
      <c r="AP3" s="671"/>
      <c r="AQ3" s="177" t="s">
        <v>43</v>
      </c>
      <c r="AR3" s="672" t="s">
        <v>223</v>
      </c>
      <c r="AS3" s="672"/>
      <c r="AT3" s="672"/>
      <c r="AU3" s="672"/>
      <c r="AV3" s="672"/>
      <c r="AW3" s="672"/>
      <c r="AX3" s="672"/>
      <c r="AY3" s="672"/>
      <c r="AZ3" s="672"/>
      <c r="BA3" s="672"/>
      <c r="BB3" s="672"/>
      <c r="BC3" s="672"/>
      <c r="BD3" s="672"/>
      <c r="BE3" s="162"/>
      <c r="BF3" s="162"/>
      <c r="BG3" s="162"/>
      <c r="BH3" s="162"/>
    </row>
    <row r="4" spans="1:61" s="164" customFormat="1" ht="20" customHeight="1">
      <c r="A4" s="671" t="s">
        <v>47</v>
      </c>
      <c r="B4" s="671"/>
      <c r="C4" s="671"/>
      <c r="D4" s="671"/>
      <c r="E4" s="671"/>
      <c r="F4" s="671"/>
      <c r="G4" s="671"/>
      <c r="H4" s="671"/>
      <c r="I4" s="671"/>
      <c r="J4" s="671"/>
      <c r="K4" s="177" t="s">
        <v>43</v>
      </c>
      <c r="L4" s="672">
        <f>CCM</f>
        <v>0</v>
      </c>
      <c r="M4" s="672"/>
      <c r="N4" s="672"/>
      <c r="O4" s="672"/>
      <c r="P4" s="672"/>
      <c r="Q4" s="672"/>
      <c r="R4" s="672"/>
      <c r="S4" s="672"/>
      <c r="T4" s="672"/>
      <c r="U4" s="672"/>
      <c r="V4" s="672"/>
      <c r="W4" s="672"/>
      <c r="X4" s="672"/>
      <c r="Y4" s="672"/>
      <c r="Z4" s="672"/>
      <c r="AA4" s="672"/>
      <c r="AB4" s="672"/>
      <c r="AC4" s="672"/>
      <c r="AD4" s="672"/>
      <c r="AE4" s="672"/>
      <c r="AF4" s="672"/>
      <c r="AG4" s="672"/>
      <c r="AH4" s="672"/>
      <c r="AI4" s="672"/>
      <c r="AJ4" s="672"/>
      <c r="AK4" s="672"/>
      <c r="AL4" s="671" t="s">
        <v>206</v>
      </c>
      <c r="AM4" s="671"/>
      <c r="AN4" s="671"/>
      <c r="AO4" s="671"/>
      <c r="AP4" s="671"/>
      <c r="AQ4" s="177" t="s">
        <v>43</v>
      </c>
      <c r="AR4" s="681" t="s">
        <v>225</v>
      </c>
      <c r="AS4" s="681"/>
      <c r="AT4" s="681"/>
      <c r="AU4" s="681"/>
      <c r="AV4" s="681"/>
      <c r="AW4" s="681"/>
      <c r="AX4" s="681"/>
      <c r="AY4" s="681"/>
      <c r="AZ4" s="681"/>
      <c r="BA4" s="681"/>
      <c r="BB4" s="681"/>
      <c r="BC4" s="681"/>
      <c r="BD4" s="681"/>
      <c r="BE4" s="163"/>
      <c r="BF4" s="163"/>
      <c r="BG4" s="163"/>
      <c r="BH4" s="163"/>
    </row>
    <row r="5" spans="1:61" s="164" customFormat="1" ht="20" customHeight="1">
      <c r="A5" s="671" t="s">
        <v>209</v>
      </c>
      <c r="B5" s="671"/>
      <c r="C5" s="671"/>
      <c r="D5" s="671"/>
      <c r="E5" s="671"/>
      <c r="F5" s="671"/>
      <c r="G5" s="671"/>
      <c r="H5" s="671"/>
      <c r="I5" s="671"/>
      <c r="J5" s="671"/>
      <c r="K5" s="177" t="s">
        <v>43</v>
      </c>
      <c r="L5" s="672" t="s">
        <v>210</v>
      </c>
      <c r="M5" s="672"/>
      <c r="N5" s="672"/>
      <c r="O5" s="672"/>
      <c r="P5" s="672"/>
      <c r="Q5" s="672"/>
      <c r="R5" s="672"/>
      <c r="S5" s="672"/>
      <c r="T5" s="672"/>
      <c r="U5" s="672"/>
      <c r="V5" s="672"/>
      <c r="W5" s="672"/>
      <c r="X5" s="672"/>
      <c r="Y5" s="672"/>
      <c r="Z5" s="672"/>
      <c r="AA5" s="672"/>
      <c r="AB5" s="672"/>
      <c r="AC5" s="672"/>
      <c r="AD5" s="672"/>
      <c r="AE5" s="672"/>
      <c r="AF5" s="672"/>
      <c r="AG5" s="672"/>
      <c r="AH5" s="672"/>
      <c r="AI5" s="672"/>
      <c r="AJ5" s="672"/>
      <c r="AK5" s="672"/>
      <c r="AL5" s="671"/>
      <c r="AM5" s="671"/>
      <c r="AN5" s="671"/>
      <c r="AO5" s="671"/>
      <c r="AP5" s="671"/>
      <c r="AQ5" s="177"/>
      <c r="AR5" s="673"/>
      <c r="AS5" s="673"/>
      <c r="AT5" s="673"/>
      <c r="AU5" s="673"/>
      <c r="AV5" s="673"/>
      <c r="AW5" s="673"/>
      <c r="AX5" s="673"/>
      <c r="AY5" s="673"/>
      <c r="AZ5" s="673"/>
      <c r="BA5" s="673"/>
      <c r="BB5" s="673"/>
      <c r="BC5" s="673"/>
      <c r="BD5" s="673"/>
      <c r="BE5" s="163"/>
      <c r="BF5" s="163"/>
      <c r="BG5" s="163"/>
      <c r="BH5" s="163"/>
    </row>
    <row r="6" spans="1:61" s="164" customFormat="1" ht="20" customHeight="1">
      <c r="A6" s="671"/>
      <c r="B6" s="671"/>
      <c r="C6" s="671"/>
      <c r="D6" s="671"/>
      <c r="E6" s="671"/>
      <c r="F6" s="671"/>
      <c r="G6" s="671"/>
      <c r="H6" s="671"/>
      <c r="I6" s="671"/>
      <c r="J6" s="671"/>
      <c r="K6" s="177"/>
      <c r="L6" s="675"/>
      <c r="M6" s="675"/>
      <c r="N6" s="675"/>
      <c r="O6" s="675"/>
      <c r="P6" s="675"/>
      <c r="Q6" s="675"/>
      <c r="R6" s="675"/>
      <c r="S6" s="675"/>
      <c r="T6" s="675"/>
      <c r="U6" s="675"/>
      <c r="V6" s="675"/>
      <c r="W6" s="675"/>
      <c r="X6" s="675"/>
      <c r="Y6" s="675"/>
      <c r="Z6" s="675"/>
      <c r="AA6" s="675"/>
      <c r="AB6" s="675"/>
      <c r="AC6" s="675"/>
      <c r="AD6" s="675"/>
      <c r="AE6" s="675"/>
      <c r="AF6" s="675"/>
      <c r="AG6" s="675"/>
      <c r="AH6" s="675"/>
      <c r="AI6" s="675"/>
      <c r="AJ6" s="675"/>
      <c r="AK6" s="675"/>
      <c r="AL6" s="671"/>
      <c r="AM6" s="671"/>
      <c r="AN6" s="671"/>
      <c r="AO6" s="671"/>
      <c r="AP6" s="671"/>
      <c r="AQ6" s="177"/>
      <c r="AR6" s="673"/>
      <c r="AS6" s="673"/>
      <c r="AT6" s="673"/>
      <c r="AU6" s="673"/>
      <c r="AV6" s="673"/>
      <c r="AW6" s="673"/>
      <c r="AX6" s="673"/>
      <c r="AY6" s="673"/>
      <c r="AZ6" s="673"/>
      <c r="BA6" s="673"/>
      <c r="BB6" s="673"/>
      <c r="BC6" s="673"/>
      <c r="BD6" s="673"/>
      <c r="BE6" s="163"/>
      <c r="BF6" s="163"/>
      <c r="BG6" s="163"/>
      <c r="BH6" s="163"/>
    </row>
    <row r="7" spans="1:61" s="164" customFormat="1" ht="20" customHeight="1">
      <c r="A7" s="676">
        <v>1</v>
      </c>
      <c r="B7" s="676"/>
      <c r="C7" s="175" t="s">
        <v>254</v>
      </c>
      <c r="D7" s="175"/>
      <c r="E7" s="175"/>
      <c r="F7" s="175"/>
      <c r="G7" s="175"/>
      <c r="H7" s="175"/>
      <c r="I7" s="175"/>
      <c r="J7" s="175"/>
      <c r="K7" s="170"/>
      <c r="L7" s="668"/>
      <c r="M7" s="668"/>
      <c r="N7" s="668"/>
      <c r="O7" s="668"/>
      <c r="P7" s="668"/>
      <c r="Q7" s="668"/>
      <c r="R7" s="668"/>
      <c r="S7" s="668"/>
      <c r="T7" s="668"/>
      <c r="U7" s="668"/>
      <c r="V7" s="668"/>
      <c r="W7" s="668"/>
      <c r="X7" s="668"/>
      <c r="Y7" s="668"/>
      <c r="Z7" s="668"/>
      <c r="AA7" s="668"/>
      <c r="AB7" s="668"/>
      <c r="AC7" s="668"/>
      <c r="AD7" s="668"/>
      <c r="AE7" s="668"/>
      <c r="AF7" s="668"/>
      <c r="AG7" s="668"/>
      <c r="AH7" s="668"/>
      <c r="AI7" s="668"/>
      <c r="AJ7" s="668"/>
      <c r="AK7" s="668"/>
      <c r="AL7" s="669"/>
      <c r="AM7" s="669"/>
      <c r="AN7" s="669"/>
      <c r="AO7" s="669"/>
      <c r="AP7" s="669"/>
      <c r="AQ7" s="170"/>
      <c r="AR7" s="670"/>
      <c r="AS7" s="670"/>
      <c r="AT7" s="670"/>
      <c r="AU7" s="670"/>
      <c r="AV7" s="670"/>
      <c r="AW7" s="670"/>
      <c r="AX7" s="670"/>
      <c r="AY7" s="670"/>
      <c r="AZ7" s="670"/>
      <c r="BA7" s="670"/>
      <c r="BB7" s="670"/>
      <c r="BC7" s="670"/>
      <c r="BD7" s="670"/>
      <c r="BE7" s="171"/>
      <c r="BF7" s="171"/>
      <c r="BG7" s="171"/>
      <c r="BH7" s="171"/>
      <c r="BI7" s="171"/>
    </row>
    <row r="8" spans="1:61" s="164" customFormat="1" ht="20" customHeight="1">
      <c r="A8" s="172" t="s">
        <v>265</v>
      </c>
      <c r="B8" s="172"/>
      <c r="C8" s="172"/>
      <c r="D8" s="172"/>
      <c r="E8" s="172"/>
      <c r="F8" s="172"/>
      <c r="G8" s="172"/>
      <c r="H8" s="172"/>
      <c r="I8" s="172"/>
      <c r="J8" s="172"/>
      <c r="K8" s="177"/>
      <c r="L8" s="178"/>
      <c r="M8" s="178"/>
      <c r="N8" s="178"/>
      <c r="O8" s="178"/>
      <c r="P8" s="178"/>
      <c r="Q8" s="178"/>
      <c r="R8" s="178"/>
      <c r="S8" s="178"/>
      <c r="T8" s="178"/>
      <c r="U8" s="178"/>
      <c r="V8" s="178"/>
      <c r="W8" s="178"/>
      <c r="X8" s="178"/>
      <c r="Y8" s="178"/>
      <c r="Z8" s="178"/>
      <c r="AA8" s="178"/>
      <c r="AB8" s="178"/>
      <c r="AC8" s="178"/>
      <c r="AD8" s="178"/>
      <c r="AE8" s="178"/>
      <c r="AF8" s="178"/>
      <c r="AG8" s="177" t="s">
        <v>43</v>
      </c>
      <c r="AH8" s="672" t="s">
        <v>281</v>
      </c>
      <c r="AI8" s="672"/>
      <c r="AJ8" s="672"/>
      <c r="AK8" s="672"/>
      <c r="AL8" s="672"/>
      <c r="AM8" s="672"/>
      <c r="AN8" s="672"/>
      <c r="AO8" s="672"/>
      <c r="AP8" s="672"/>
      <c r="AQ8" s="672"/>
      <c r="AR8" s="672"/>
      <c r="AS8" s="672"/>
      <c r="AT8" s="672"/>
      <c r="AU8" s="672"/>
      <c r="AV8" s="672"/>
      <c r="AW8" s="672"/>
      <c r="AX8" s="672"/>
      <c r="AY8" s="672"/>
      <c r="AZ8" s="672"/>
      <c r="BA8" s="672"/>
      <c r="BB8" s="672"/>
      <c r="BC8" s="672"/>
      <c r="BD8" s="672"/>
      <c r="BE8" s="672"/>
      <c r="BF8" s="672"/>
      <c r="BG8" s="672"/>
      <c r="BH8" s="672"/>
      <c r="BI8" s="672"/>
    </row>
    <row r="9" spans="1:61" s="164" customFormat="1" ht="20" customHeight="1">
      <c r="A9" s="172" t="s">
        <v>610</v>
      </c>
      <c r="B9" s="172"/>
      <c r="C9" s="172"/>
      <c r="D9" s="172"/>
      <c r="E9" s="172"/>
      <c r="F9" s="172"/>
      <c r="G9" s="172"/>
      <c r="H9" s="172"/>
      <c r="I9" s="172"/>
      <c r="J9" s="172"/>
      <c r="K9" s="177"/>
      <c r="L9" s="178"/>
      <c r="M9" s="178"/>
      <c r="N9" s="178"/>
      <c r="O9" s="178"/>
      <c r="P9" s="178"/>
      <c r="Q9" s="178"/>
      <c r="R9" s="178"/>
      <c r="S9" s="178"/>
      <c r="T9" s="178"/>
      <c r="U9" s="178"/>
      <c r="V9" s="178"/>
      <c r="W9" s="178"/>
      <c r="X9" s="178"/>
      <c r="Y9" s="178"/>
      <c r="Z9" s="178"/>
      <c r="AA9" s="178"/>
      <c r="AB9" s="178"/>
      <c r="AC9" s="178"/>
      <c r="AD9" s="178"/>
      <c r="AE9" s="178"/>
      <c r="AF9" s="178"/>
      <c r="AG9" s="177" t="s">
        <v>43</v>
      </c>
      <c r="AH9" s="672" t="s">
        <v>283</v>
      </c>
      <c r="AI9" s="672"/>
      <c r="AJ9" s="672"/>
      <c r="AK9" s="672"/>
      <c r="AL9" s="672"/>
      <c r="AM9" s="672"/>
      <c r="AN9" s="672"/>
      <c r="AO9" s="672"/>
      <c r="AP9" s="672"/>
      <c r="AQ9" s="672"/>
      <c r="AR9" s="672"/>
      <c r="AS9" s="672"/>
      <c r="AT9" s="672"/>
      <c r="AU9" s="672"/>
      <c r="AV9" s="672"/>
      <c r="AW9" s="672"/>
      <c r="AX9" s="672"/>
      <c r="AY9" s="672"/>
      <c r="AZ9" s="672"/>
      <c r="BA9" s="672"/>
      <c r="BB9" s="672"/>
      <c r="BC9" s="672"/>
      <c r="BD9" s="672"/>
      <c r="BE9" s="672"/>
      <c r="BF9" s="672"/>
      <c r="BG9" s="672"/>
      <c r="BH9" s="672"/>
      <c r="BI9" s="672"/>
    </row>
    <row r="10" spans="1:61" s="164" customFormat="1" ht="20" customHeight="1">
      <c r="A10" s="172" t="s">
        <v>263</v>
      </c>
      <c r="AG10" s="177" t="s">
        <v>43</v>
      </c>
    </row>
    <row r="11" spans="1:61" s="164" customFormat="1" ht="20" customHeight="1">
      <c r="A11" s="677" t="s">
        <v>277</v>
      </c>
      <c r="B11" s="677"/>
      <c r="C11" s="677"/>
      <c r="D11" s="677"/>
      <c r="E11" s="677"/>
      <c r="F11" s="677"/>
      <c r="G11" s="677"/>
      <c r="H11" s="677"/>
      <c r="I11" s="677"/>
      <c r="J11" s="677"/>
      <c r="K11" s="677"/>
      <c r="L11" s="677"/>
      <c r="M11" s="677"/>
      <c r="N11" s="677"/>
      <c r="O11" s="677"/>
      <c r="P11" s="677"/>
      <c r="Q11" s="677"/>
      <c r="R11" s="677"/>
      <c r="S11" s="677"/>
      <c r="T11" s="677"/>
      <c r="U11" s="677"/>
      <c r="V11" s="677"/>
      <c r="W11" s="677"/>
      <c r="X11" s="677"/>
      <c r="Y11" s="677"/>
      <c r="Z11" s="677"/>
      <c r="AA11" s="677"/>
      <c r="AB11" s="677"/>
      <c r="AC11" s="677"/>
      <c r="AD11" s="677"/>
      <c r="AE11" s="677"/>
      <c r="AF11" s="677"/>
      <c r="AG11" s="677"/>
      <c r="AH11" s="677"/>
      <c r="AI11" s="677"/>
      <c r="AJ11" s="677"/>
      <c r="AK11" s="677"/>
      <c r="AL11" s="677"/>
      <c r="AM11" s="677"/>
      <c r="AN11" s="677"/>
      <c r="AO11" s="677"/>
      <c r="AP11" s="677"/>
      <c r="AQ11" s="677"/>
      <c r="AR11" s="677"/>
      <c r="AS11" s="677"/>
      <c r="AT11" s="677"/>
      <c r="AU11" s="677"/>
      <c r="AV11" s="677"/>
      <c r="AW11" s="677"/>
      <c r="AX11" s="677"/>
      <c r="AY11" s="677"/>
      <c r="AZ11" s="677"/>
      <c r="BA11" s="677"/>
      <c r="BB11" s="677"/>
      <c r="BC11" s="677"/>
      <c r="BD11" s="677"/>
      <c r="BE11" s="677"/>
      <c r="BF11" s="677"/>
      <c r="BG11" s="677"/>
      <c r="BH11" s="677"/>
      <c r="BI11" s="677"/>
    </row>
    <row r="12" spans="1:61" s="164" customFormat="1" ht="20" customHeight="1">
      <c r="A12" s="677"/>
      <c r="B12" s="677"/>
      <c r="C12" s="677"/>
      <c r="D12" s="677"/>
      <c r="E12" s="677"/>
      <c r="F12" s="677"/>
      <c r="G12" s="677"/>
      <c r="H12" s="677"/>
      <c r="I12" s="677"/>
      <c r="J12" s="677"/>
      <c r="K12" s="677"/>
      <c r="L12" s="677"/>
      <c r="M12" s="677"/>
      <c r="N12" s="677"/>
      <c r="O12" s="677"/>
      <c r="P12" s="677"/>
      <c r="Q12" s="677"/>
      <c r="R12" s="677"/>
      <c r="S12" s="677"/>
      <c r="T12" s="677"/>
      <c r="U12" s="677"/>
      <c r="V12" s="677"/>
      <c r="W12" s="677"/>
      <c r="X12" s="677"/>
      <c r="Y12" s="677"/>
      <c r="Z12" s="677"/>
      <c r="AA12" s="677"/>
      <c r="AB12" s="677"/>
      <c r="AC12" s="677"/>
      <c r="AD12" s="677"/>
      <c r="AE12" s="677"/>
      <c r="AF12" s="677"/>
      <c r="AG12" s="677"/>
      <c r="AH12" s="677"/>
      <c r="AI12" s="677"/>
      <c r="AJ12" s="677"/>
      <c r="AK12" s="677"/>
      <c r="AL12" s="677"/>
      <c r="AM12" s="677"/>
      <c r="AN12" s="677"/>
      <c r="AO12" s="677"/>
      <c r="AP12" s="677"/>
      <c r="AQ12" s="677"/>
      <c r="AR12" s="677"/>
      <c r="AS12" s="677"/>
      <c r="AT12" s="677"/>
      <c r="AU12" s="677"/>
      <c r="AV12" s="677"/>
      <c r="AW12" s="677"/>
      <c r="AX12" s="677"/>
      <c r="AY12" s="677"/>
      <c r="AZ12" s="677"/>
      <c r="BA12" s="677"/>
      <c r="BB12" s="677"/>
      <c r="BC12" s="677"/>
      <c r="BD12" s="677"/>
      <c r="BE12" s="677"/>
      <c r="BF12" s="677"/>
      <c r="BG12" s="677"/>
      <c r="BH12" s="677"/>
      <c r="BI12" s="677"/>
    </row>
    <row r="13" spans="1:61" s="164" customFormat="1" ht="20" customHeight="1">
      <c r="A13" s="172" t="e">
        <f>"Was "&amp;FirstName&amp;" able to state the reason for placement on Service Review"</f>
        <v>#VALUE!</v>
      </c>
      <c r="B13" s="172"/>
      <c r="C13" s="172"/>
      <c r="D13" s="172"/>
      <c r="E13" s="172"/>
      <c r="F13" s="172"/>
      <c r="G13" s="172"/>
      <c r="H13" s="172"/>
      <c r="I13" s="172"/>
      <c r="J13" s="172"/>
      <c r="K13" s="177"/>
      <c r="L13" s="178"/>
      <c r="M13" s="178"/>
      <c r="N13" s="178"/>
      <c r="O13" s="178"/>
      <c r="P13" s="178"/>
      <c r="Q13" s="178"/>
      <c r="R13" s="178"/>
      <c r="S13" s="178"/>
      <c r="T13" s="178"/>
      <c r="U13" s="178"/>
      <c r="V13" s="178"/>
      <c r="W13" s="178"/>
      <c r="X13" s="178"/>
      <c r="Y13" s="178"/>
      <c r="Z13" s="178"/>
      <c r="AA13" s="178"/>
      <c r="AB13" s="178"/>
      <c r="AC13" s="178"/>
      <c r="AD13" s="178"/>
      <c r="AE13" s="178"/>
      <c r="AF13" s="178"/>
      <c r="AG13" s="177" t="s">
        <v>43</v>
      </c>
      <c r="AH13" s="672" t="s">
        <v>93</v>
      </c>
      <c r="AI13" s="672"/>
      <c r="AJ13" s="672"/>
      <c r="AK13" s="672"/>
      <c r="AL13" s="672"/>
      <c r="AM13" s="672"/>
      <c r="AN13" s="672"/>
      <c r="AO13" s="672"/>
      <c r="AP13" s="672"/>
      <c r="AQ13" s="672"/>
      <c r="AR13" s="672"/>
      <c r="AS13" s="672"/>
      <c r="AT13" s="672"/>
      <c r="AU13" s="672"/>
      <c r="AV13" s="672"/>
      <c r="AW13" s="672"/>
      <c r="AX13" s="672"/>
      <c r="AY13" s="672"/>
      <c r="AZ13" s="672"/>
      <c r="BA13" s="672"/>
      <c r="BB13" s="672"/>
      <c r="BC13" s="672"/>
      <c r="BD13" s="672"/>
      <c r="BE13" s="672"/>
      <c r="BF13" s="672"/>
      <c r="BG13" s="672"/>
      <c r="BH13" s="672"/>
      <c r="BI13" s="672"/>
    </row>
    <row r="14" spans="1:61" s="164" customFormat="1" ht="20" customHeight="1">
      <c r="A14" s="172" t="e">
        <f>"Was "&amp;FirstName&amp;" able to share areas of strength &amp; development from training college?"</f>
        <v>#VALUE!</v>
      </c>
      <c r="B14" s="172"/>
      <c r="C14" s="172"/>
      <c r="D14" s="172"/>
      <c r="E14" s="172"/>
      <c r="F14" s="172"/>
      <c r="G14" s="172"/>
      <c r="H14" s="172"/>
      <c r="I14" s="172"/>
      <c r="J14" s="172"/>
      <c r="K14" s="177"/>
      <c r="L14" s="178"/>
      <c r="M14" s="178"/>
      <c r="N14" s="178"/>
      <c r="O14" s="178"/>
      <c r="P14" s="178"/>
      <c r="Q14" s="178"/>
      <c r="R14" s="178"/>
      <c r="S14" s="178"/>
      <c r="T14" s="178"/>
      <c r="U14" s="178"/>
      <c r="V14" s="178"/>
      <c r="W14" s="178"/>
      <c r="X14" s="178"/>
      <c r="Y14" s="178"/>
      <c r="Z14" s="178"/>
      <c r="AA14" s="178"/>
      <c r="AB14" s="178"/>
      <c r="AC14" s="178"/>
      <c r="AD14" s="178"/>
      <c r="AE14" s="178"/>
      <c r="AF14" s="178"/>
      <c r="AG14" s="177" t="s">
        <v>43</v>
      </c>
      <c r="AH14" s="672" t="s">
        <v>93</v>
      </c>
      <c r="AI14" s="672"/>
      <c r="AJ14" s="672"/>
      <c r="AK14" s="672"/>
      <c r="AL14" s="672"/>
      <c r="AM14" s="672"/>
      <c r="AN14" s="672"/>
      <c r="AO14" s="672"/>
      <c r="AP14" s="672"/>
      <c r="AQ14" s="672"/>
      <c r="AR14" s="672"/>
      <c r="AS14" s="672"/>
      <c r="AT14" s="672"/>
      <c r="AU14" s="672"/>
      <c r="AV14" s="672"/>
      <c r="AW14" s="672"/>
      <c r="AX14" s="672"/>
      <c r="AY14" s="672"/>
      <c r="AZ14" s="672"/>
      <c r="BA14" s="672"/>
      <c r="BB14" s="672"/>
      <c r="BC14" s="672"/>
      <c r="BD14" s="672"/>
      <c r="BE14" s="672"/>
      <c r="BF14" s="672"/>
      <c r="BG14" s="672"/>
      <c r="BH14" s="672"/>
      <c r="BI14" s="672"/>
    </row>
    <row r="15" spans="1:61" s="164" customFormat="1" ht="20" customHeight="1">
      <c r="A15" s="172" t="e">
        <f>"Areas of Strength as identified by "&amp;FirstName&amp;""</f>
        <v>#VALUE!</v>
      </c>
      <c r="B15" s="172"/>
      <c r="C15" s="172"/>
      <c r="D15" s="172"/>
      <c r="E15" s="172"/>
      <c r="F15" s="172"/>
      <c r="G15" s="172"/>
      <c r="H15" s="172"/>
      <c r="I15" s="172"/>
      <c r="J15" s="172"/>
      <c r="K15" s="177"/>
      <c r="L15" s="178"/>
      <c r="M15" s="178"/>
      <c r="N15" s="178"/>
      <c r="O15" s="178"/>
      <c r="P15" s="178"/>
      <c r="Q15" s="178"/>
      <c r="R15" s="178"/>
      <c r="S15" s="178"/>
      <c r="T15" s="178"/>
      <c r="U15" s="178"/>
      <c r="V15" s="178"/>
      <c r="W15" s="178"/>
      <c r="X15" s="178"/>
      <c r="Y15" s="178"/>
      <c r="Z15" s="178"/>
      <c r="AA15" s="178"/>
      <c r="AB15" s="178"/>
      <c r="AC15" s="178"/>
      <c r="AD15" s="178"/>
      <c r="AE15" s="178"/>
      <c r="AF15" s="178"/>
      <c r="AG15" s="177" t="s">
        <v>43</v>
      </c>
      <c r="AH15" s="678" t="s">
        <v>608</v>
      </c>
      <c r="AI15" s="678"/>
      <c r="AJ15" s="678"/>
      <c r="AK15" s="678"/>
      <c r="AL15" s="678"/>
      <c r="AM15" s="678"/>
      <c r="AN15" s="678"/>
      <c r="AO15" s="679"/>
      <c r="AP15" s="679"/>
      <c r="AQ15" s="679"/>
      <c r="AR15" s="679"/>
      <c r="AS15" s="679"/>
      <c r="AT15" s="679"/>
      <c r="AU15" s="679"/>
      <c r="AV15" s="679"/>
      <c r="AW15" s="679"/>
      <c r="AX15" s="679"/>
      <c r="AY15" s="679"/>
      <c r="AZ15" s="679"/>
      <c r="BA15" s="679"/>
      <c r="BB15" s="679"/>
      <c r="BC15" s="679"/>
      <c r="BD15" s="679"/>
      <c r="BE15" s="679"/>
      <c r="BF15" s="679"/>
      <c r="BG15" s="679"/>
      <c r="BH15" s="679"/>
      <c r="BI15" s="679"/>
    </row>
    <row r="16" spans="1:61" s="164" customFormat="1" ht="20" customHeight="1">
      <c r="A16" s="172" t="s">
        <v>263</v>
      </c>
      <c r="B16" s="181"/>
      <c r="C16" s="181"/>
      <c r="D16" s="181"/>
      <c r="E16" s="181"/>
      <c r="F16" s="181"/>
      <c r="G16" s="181"/>
      <c r="H16" s="181"/>
      <c r="I16" s="1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c r="AG16" s="177" t="s">
        <v>43</v>
      </c>
      <c r="AH16" s="678"/>
      <c r="AI16" s="678"/>
      <c r="AJ16" s="678"/>
      <c r="AK16" s="678"/>
      <c r="AL16" s="678"/>
      <c r="AM16" s="678"/>
      <c r="AN16" s="678"/>
      <c r="AO16" s="679"/>
      <c r="AP16" s="679"/>
      <c r="AQ16" s="679"/>
      <c r="AR16" s="679"/>
      <c r="AS16" s="679"/>
      <c r="AT16" s="679"/>
      <c r="AU16" s="679"/>
      <c r="AV16" s="679"/>
      <c r="AW16" s="679"/>
      <c r="AX16" s="679"/>
      <c r="AY16" s="679"/>
      <c r="AZ16" s="679"/>
      <c r="BA16" s="679"/>
      <c r="BB16" s="679"/>
      <c r="BC16" s="679"/>
      <c r="BD16" s="679"/>
      <c r="BE16" s="679"/>
      <c r="BF16" s="679"/>
      <c r="BG16" s="679"/>
      <c r="BH16" s="679"/>
      <c r="BI16" s="679"/>
    </row>
    <row r="17" spans="1:123" s="164" customFormat="1" ht="20" customHeight="1">
      <c r="A17" s="674" t="s">
        <v>274</v>
      </c>
      <c r="B17" s="674"/>
      <c r="C17" s="674"/>
      <c r="D17" s="674"/>
      <c r="E17" s="674"/>
      <c r="F17" s="674"/>
      <c r="G17" s="674"/>
      <c r="H17" s="674"/>
      <c r="I17" s="674"/>
      <c r="J17" s="674"/>
      <c r="K17" s="674"/>
      <c r="L17" s="674"/>
      <c r="M17" s="674"/>
      <c r="N17" s="674"/>
      <c r="O17" s="674"/>
      <c r="P17" s="674"/>
      <c r="Q17" s="674"/>
      <c r="R17" s="674"/>
      <c r="S17" s="674"/>
      <c r="T17" s="674"/>
      <c r="U17" s="674"/>
      <c r="V17" s="674"/>
      <c r="W17" s="674"/>
      <c r="X17" s="674"/>
      <c r="Y17" s="674"/>
      <c r="Z17" s="674"/>
      <c r="AA17" s="674"/>
      <c r="AB17" s="674"/>
      <c r="AC17" s="674"/>
      <c r="AD17" s="674"/>
      <c r="AE17" s="674"/>
      <c r="AF17" s="674"/>
      <c r="AG17" s="674"/>
      <c r="AH17" s="674"/>
      <c r="AI17" s="674"/>
      <c r="AJ17" s="674"/>
      <c r="AK17" s="674"/>
      <c r="AL17" s="674"/>
      <c r="AM17" s="674"/>
      <c r="AN17" s="674"/>
      <c r="AO17" s="674"/>
      <c r="AP17" s="674"/>
      <c r="AQ17" s="674"/>
      <c r="AR17" s="674"/>
      <c r="AS17" s="674"/>
      <c r="AT17" s="674"/>
      <c r="AU17" s="674"/>
      <c r="AV17" s="674"/>
      <c r="AW17" s="674"/>
      <c r="AX17" s="674"/>
      <c r="AY17" s="674"/>
      <c r="AZ17" s="674"/>
      <c r="BA17" s="674"/>
      <c r="BB17" s="674"/>
      <c r="BC17" s="674"/>
      <c r="BD17" s="674"/>
      <c r="BE17" s="674"/>
      <c r="BF17" s="674"/>
      <c r="BG17" s="674"/>
      <c r="BH17" s="674"/>
      <c r="BI17" s="674"/>
      <c r="DS17" s="183"/>
    </row>
    <row r="18" spans="1:123" s="164" customFormat="1" ht="20" customHeight="1">
      <c r="A18" s="674"/>
      <c r="B18" s="674"/>
      <c r="C18" s="674"/>
      <c r="D18" s="674"/>
      <c r="E18" s="674"/>
      <c r="F18" s="674"/>
      <c r="G18" s="674"/>
      <c r="H18" s="674"/>
      <c r="I18" s="674"/>
      <c r="J18" s="674"/>
      <c r="K18" s="674"/>
      <c r="L18" s="674"/>
      <c r="M18" s="674"/>
      <c r="N18" s="674"/>
      <c r="O18" s="674"/>
      <c r="P18" s="674"/>
      <c r="Q18" s="674"/>
      <c r="R18" s="674"/>
      <c r="S18" s="674"/>
      <c r="T18" s="674"/>
      <c r="U18" s="674"/>
      <c r="V18" s="674"/>
      <c r="W18" s="674"/>
      <c r="X18" s="674"/>
      <c r="Y18" s="674"/>
      <c r="Z18" s="674"/>
      <c r="AA18" s="674"/>
      <c r="AB18" s="674"/>
      <c r="AC18" s="674"/>
      <c r="AD18" s="674"/>
      <c r="AE18" s="674"/>
      <c r="AF18" s="674"/>
      <c r="AG18" s="674"/>
      <c r="AH18" s="674"/>
      <c r="AI18" s="674"/>
      <c r="AJ18" s="674"/>
      <c r="AK18" s="674"/>
      <c r="AL18" s="674"/>
      <c r="AM18" s="674"/>
      <c r="AN18" s="674"/>
      <c r="AO18" s="674"/>
      <c r="AP18" s="674"/>
      <c r="AQ18" s="674"/>
      <c r="AR18" s="674"/>
      <c r="AS18" s="674"/>
      <c r="AT18" s="674"/>
      <c r="AU18" s="674"/>
      <c r="AV18" s="674"/>
      <c r="AW18" s="674"/>
      <c r="AX18" s="674"/>
      <c r="AY18" s="674"/>
      <c r="AZ18" s="674"/>
      <c r="BA18" s="674"/>
      <c r="BB18" s="674"/>
      <c r="BC18" s="674"/>
      <c r="BD18" s="674"/>
      <c r="BE18" s="674"/>
      <c r="BF18" s="674"/>
      <c r="BG18" s="674"/>
      <c r="BH18" s="674"/>
      <c r="BI18" s="674"/>
      <c r="DS18" s="183"/>
    </row>
    <row r="19" spans="1:123" s="164" customFormat="1" ht="20" customHeight="1">
      <c r="A19" s="674"/>
      <c r="B19" s="674"/>
      <c r="C19" s="674"/>
      <c r="D19" s="674"/>
      <c r="E19" s="674"/>
      <c r="F19" s="674"/>
      <c r="G19" s="674"/>
      <c r="H19" s="674"/>
      <c r="I19" s="674"/>
      <c r="J19" s="674"/>
      <c r="K19" s="674"/>
      <c r="L19" s="674"/>
      <c r="M19" s="674"/>
      <c r="N19" s="674"/>
      <c r="O19" s="674"/>
      <c r="P19" s="674"/>
      <c r="Q19" s="674"/>
      <c r="R19" s="674"/>
      <c r="S19" s="674"/>
      <c r="T19" s="674"/>
      <c r="U19" s="674"/>
      <c r="V19" s="674"/>
      <c r="W19" s="674"/>
      <c r="X19" s="674"/>
      <c r="Y19" s="674"/>
      <c r="Z19" s="674"/>
      <c r="AA19" s="674"/>
      <c r="AB19" s="674"/>
      <c r="AC19" s="674"/>
      <c r="AD19" s="674"/>
      <c r="AE19" s="674"/>
      <c r="AF19" s="674"/>
      <c r="AG19" s="674"/>
      <c r="AH19" s="674"/>
      <c r="AI19" s="674"/>
      <c r="AJ19" s="674"/>
      <c r="AK19" s="674"/>
      <c r="AL19" s="674"/>
      <c r="AM19" s="674"/>
      <c r="AN19" s="674"/>
      <c r="AO19" s="674"/>
      <c r="AP19" s="674"/>
      <c r="AQ19" s="674"/>
      <c r="AR19" s="674"/>
      <c r="AS19" s="674"/>
      <c r="AT19" s="674"/>
      <c r="AU19" s="674"/>
      <c r="AV19" s="674"/>
      <c r="AW19" s="674"/>
      <c r="AX19" s="674"/>
      <c r="AY19" s="674"/>
      <c r="AZ19" s="674"/>
      <c r="BA19" s="674"/>
      <c r="BB19" s="674"/>
      <c r="BC19" s="674"/>
      <c r="BD19" s="674"/>
      <c r="BE19" s="674"/>
      <c r="BF19" s="674"/>
      <c r="BG19" s="674"/>
      <c r="BH19" s="674"/>
      <c r="BI19" s="674"/>
      <c r="DS19" s="181"/>
    </row>
    <row r="20" spans="1:123" s="164" customFormat="1" ht="20" customHeight="1">
      <c r="A20" s="674"/>
      <c r="B20" s="674"/>
      <c r="C20" s="674"/>
      <c r="D20" s="674"/>
      <c r="E20" s="674"/>
      <c r="F20" s="674"/>
      <c r="G20" s="674"/>
      <c r="H20" s="674"/>
      <c r="I20" s="674"/>
      <c r="J20" s="674"/>
      <c r="K20" s="674"/>
      <c r="L20" s="674"/>
      <c r="M20" s="674"/>
      <c r="N20" s="674"/>
      <c r="O20" s="674"/>
      <c r="P20" s="674"/>
      <c r="Q20" s="674"/>
      <c r="R20" s="674"/>
      <c r="S20" s="674"/>
      <c r="T20" s="674"/>
      <c r="U20" s="674"/>
      <c r="V20" s="674"/>
      <c r="W20" s="674"/>
      <c r="X20" s="674"/>
      <c r="Y20" s="674"/>
      <c r="Z20" s="674"/>
      <c r="AA20" s="674"/>
      <c r="AB20" s="674"/>
      <c r="AC20" s="674"/>
      <c r="AD20" s="674"/>
      <c r="AE20" s="674"/>
      <c r="AF20" s="674"/>
      <c r="AG20" s="674"/>
      <c r="AH20" s="674"/>
      <c r="AI20" s="674"/>
      <c r="AJ20" s="674"/>
      <c r="AK20" s="674"/>
      <c r="AL20" s="674"/>
      <c r="AM20" s="674"/>
      <c r="AN20" s="674"/>
      <c r="AO20" s="674"/>
      <c r="AP20" s="674"/>
      <c r="AQ20" s="674"/>
      <c r="AR20" s="674"/>
      <c r="AS20" s="674"/>
      <c r="AT20" s="674"/>
      <c r="AU20" s="674"/>
      <c r="AV20" s="674"/>
      <c r="AW20" s="674"/>
      <c r="AX20" s="674"/>
      <c r="AY20" s="674"/>
      <c r="AZ20" s="674"/>
      <c r="BA20" s="674"/>
      <c r="BB20" s="674"/>
      <c r="BC20" s="674"/>
      <c r="BD20" s="674"/>
      <c r="BE20" s="674"/>
      <c r="BF20" s="674"/>
      <c r="BG20" s="674"/>
      <c r="BH20" s="674"/>
      <c r="BI20" s="674"/>
      <c r="DS20" s="181"/>
    </row>
    <row r="21" spans="1:123" s="164" customFormat="1" ht="20" customHeight="1">
      <c r="A21" s="172" t="e">
        <f>"Areas of Development as identified by "&amp;FirstName&amp;""</f>
        <v>#VALUE!</v>
      </c>
      <c r="B21" s="172"/>
      <c r="C21" s="172"/>
      <c r="D21" s="172"/>
      <c r="E21" s="172"/>
      <c r="AG21" s="177" t="s">
        <v>43</v>
      </c>
      <c r="AH21" s="678" t="s">
        <v>608</v>
      </c>
      <c r="AI21" s="678"/>
      <c r="AJ21" s="678"/>
      <c r="AK21" s="678"/>
      <c r="AL21" s="678"/>
      <c r="AM21" s="678"/>
      <c r="AN21" s="678"/>
      <c r="AO21" s="679"/>
      <c r="AP21" s="679"/>
      <c r="AQ21" s="679"/>
      <c r="AR21" s="679"/>
      <c r="AS21" s="679"/>
      <c r="AT21" s="679"/>
      <c r="AU21" s="679"/>
      <c r="AV21" s="679"/>
      <c r="AW21" s="679"/>
      <c r="AX21" s="679"/>
      <c r="AY21" s="679"/>
      <c r="AZ21" s="679"/>
      <c r="BA21" s="679"/>
      <c r="BB21" s="679"/>
      <c r="BC21" s="679"/>
      <c r="BD21" s="679"/>
      <c r="BE21" s="679"/>
      <c r="BF21" s="679"/>
      <c r="BG21" s="679"/>
      <c r="BH21" s="679"/>
      <c r="BI21" s="679"/>
    </row>
    <row r="22" spans="1:123" s="164" customFormat="1" ht="20" customHeight="1">
      <c r="A22" s="172" t="s">
        <v>263</v>
      </c>
      <c r="B22" s="181"/>
      <c r="C22" s="181"/>
      <c r="D22" s="181"/>
      <c r="E22" s="181"/>
      <c r="AG22" s="177" t="s">
        <v>43</v>
      </c>
      <c r="AH22" s="678"/>
      <c r="AI22" s="678"/>
      <c r="AJ22" s="678"/>
      <c r="AK22" s="678"/>
      <c r="AL22" s="678"/>
      <c r="AM22" s="678"/>
      <c r="AN22" s="678"/>
      <c r="AO22" s="679"/>
      <c r="AP22" s="679"/>
      <c r="AQ22" s="679"/>
      <c r="AR22" s="679"/>
      <c r="AS22" s="679"/>
      <c r="AT22" s="679"/>
      <c r="AU22" s="679"/>
      <c r="AV22" s="679"/>
      <c r="AW22" s="679"/>
      <c r="AX22" s="679"/>
      <c r="AY22" s="679"/>
      <c r="AZ22" s="679"/>
      <c r="BA22" s="679"/>
      <c r="BB22" s="679"/>
      <c r="BC22" s="679"/>
      <c r="BD22" s="679"/>
      <c r="BE22" s="679"/>
      <c r="BF22" s="679"/>
      <c r="BG22" s="679"/>
      <c r="BH22" s="679"/>
      <c r="BI22" s="679"/>
    </row>
    <row r="23" spans="1:123" s="164" customFormat="1" ht="20" customHeight="1">
      <c r="A23" s="674" t="s">
        <v>276</v>
      </c>
      <c r="B23" s="674"/>
      <c r="C23" s="674"/>
      <c r="D23" s="674"/>
      <c r="E23" s="674"/>
      <c r="F23" s="674"/>
      <c r="G23" s="674"/>
      <c r="H23" s="674"/>
      <c r="I23" s="674"/>
      <c r="J23" s="674"/>
      <c r="K23" s="674"/>
      <c r="L23" s="674"/>
      <c r="M23" s="674"/>
      <c r="N23" s="674"/>
      <c r="O23" s="674"/>
      <c r="P23" s="674"/>
      <c r="Q23" s="674"/>
      <c r="R23" s="674"/>
      <c r="S23" s="674"/>
      <c r="T23" s="674"/>
      <c r="U23" s="674"/>
      <c r="V23" s="674"/>
      <c r="W23" s="674"/>
      <c r="X23" s="674"/>
      <c r="Y23" s="674"/>
      <c r="Z23" s="674"/>
      <c r="AA23" s="674"/>
      <c r="AB23" s="674"/>
      <c r="AC23" s="674"/>
      <c r="AD23" s="674"/>
      <c r="AE23" s="674"/>
      <c r="AF23" s="674"/>
      <c r="AG23" s="674"/>
      <c r="AH23" s="674"/>
      <c r="AI23" s="674"/>
      <c r="AJ23" s="674"/>
      <c r="AK23" s="674"/>
      <c r="AL23" s="674"/>
      <c r="AM23" s="674"/>
      <c r="AN23" s="674"/>
      <c r="AO23" s="674"/>
      <c r="AP23" s="674"/>
      <c r="AQ23" s="674"/>
      <c r="AR23" s="674"/>
      <c r="AS23" s="674"/>
      <c r="AT23" s="674"/>
      <c r="AU23" s="674"/>
      <c r="AV23" s="674"/>
      <c r="AW23" s="674"/>
      <c r="AX23" s="674"/>
      <c r="AY23" s="674"/>
      <c r="AZ23" s="674"/>
      <c r="BA23" s="674"/>
      <c r="BB23" s="674"/>
      <c r="BC23" s="674"/>
      <c r="BD23" s="674"/>
      <c r="BE23" s="674"/>
      <c r="BF23" s="674"/>
      <c r="BG23" s="674"/>
      <c r="BH23" s="674"/>
      <c r="BI23" s="674"/>
    </row>
    <row r="24" spans="1:123" s="164" customFormat="1" ht="20" customHeight="1">
      <c r="A24" s="674"/>
      <c r="B24" s="674"/>
      <c r="C24" s="674"/>
      <c r="D24" s="674"/>
      <c r="E24" s="674"/>
      <c r="F24" s="674"/>
      <c r="G24" s="674"/>
      <c r="H24" s="674"/>
      <c r="I24" s="674"/>
      <c r="J24" s="674"/>
      <c r="K24" s="674"/>
      <c r="L24" s="674"/>
      <c r="M24" s="674"/>
      <c r="N24" s="674"/>
      <c r="O24" s="674"/>
      <c r="P24" s="674"/>
      <c r="Q24" s="674"/>
      <c r="R24" s="674"/>
      <c r="S24" s="674"/>
      <c r="T24" s="674"/>
      <c r="U24" s="674"/>
      <c r="V24" s="674"/>
      <c r="W24" s="674"/>
      <c r="X24" s="674"/>
      <c r="Y24" s="674"/>
      <c r="Z24" s="674"/>
      <c r="AA24" s="674"/>
      <c r="AB24" s="674"/>
      <c r="AC24" s="674"/>
      <c r="AD24" s="674"/>
      <c r="AE24" s="674"/>
      <c r="AF24" s="674"/>
      <c r="AG24" s="674"/>
      <c r="AH24" s="674"/>
      <c r="AI24" s="674"/>
      <c r="AJ24" s="674"/>
      <c r="AK24" s="674"/>
      <c r="AL24" s="674"/>
      <c r="AM24" s="674"/>
      <c r="AN24" s="674"/>
      <c r="AO24" s="674"/>
      <c r="AP24" s="674"/>
      <c r="AQ24" s="674"/>
      <c r="AR24" s="674"/>
      <c r="AS24" s="674"/>
      <c r="AT24" s="674"/>
      <c r="AU24" s="674"/>
      <c r="AV24" s="674"/>
      <c r="AW24" s="674"/>
      <c r="AX24" s="674"/>
      <c r="AY24" s="674"/>
      <c r="AZ24" s="674"/>
      <c r="BA24" s="674"/>
      <c r="BB24" s="674"/>
      <c r="BC24" s="674"/>
      <c r="BD24" s="674"/>
      <c r="BE24" s="674"/>
      <c r="BF24" s="674"/>
      <c r="BG24" s="674"/>
      <c r="BH24" s="674"/>
      <c r="BI24" s="674"/>
    </row>
    <row r="25" spans="1:123" s="164" customFormat="1" ht="20" customHeight="1">
      <c r="A25" s="674"/>
      <c r="B25" s="674"/>
      <c r="C25" s="674"/>
      <c r="D25" s="674"/>
      <c r="E25" s="674"/>
      <c r="F25" s="674"/>
      <c r="G25" s="674"/>
      <c r="H25" s="674"/>
      <c r="I25" s="674"/>
      <c r="J25" s="674"/>
      <c r="K25" s="674"/>
      <c r="L25" s="674"/>
      <c r="M25" s="674"/>
      <c r="N25" s="674"/>
      <c r="O25" s="674"/>
      <c r="P25" s="674"/>
      <c r="Q25" s="674"/>
      <c r="R25" s="674"/>
      <c r="S25" s="674"/>
      <c r="T25" s="674"/>
      <c r="U25" s="674"/>
      <c r="V25" s="674"/>
      <c r="W25" s="674"/>
      <c r="X25" s="674"/>
      <c r="Y25" s="674"/>
      <c r="Z25" s="674"/>
      <c r="AA25" s="674"/>
      <c r="AB25" s="674"/>
      <c r="AC25" s="674"/>
      <c r="AD25" s="674"/>
      <c r="AE25" s="674"/>
      <c r="AF25" s="674"/>
      <c r="AG25" s="674"/>
      <c r="AH25" s="674"/>
      <c r="AI25" s="674"/>
      <c r="AJ25" s="674"/>
      <c r="AK25" s="674"/>
      <c r="AL25" s="674"/>
      <c r="AM25" s="674"/>
      <c r="AN25" s="674"/>
      <c r="AO25" s="674"/>
      <c r="AP25" s="674"/>
      <c r="AQ25" s="674"/>
      <c r="AR25" s="674"/>
      <c r="AS25" s="674"/>
      <c r="AT25" s="674"/>
      <c r="AU25" s="674"/>
      <c r="AV25" s="674"/>
      <c r="AW25" s="674"/>
      <c r="AX25" s="674"/>
      <c r="AY25" s="674"/>
      <c r="AZ25" s="674"/>
      <c r="BA25" s="674"/>
      <c r="BB25" s="674"/>
      <c r="BC25" s="674"/>
      <c r="BD25" s="674"/>
      <c r="BE25" s="674"/>
      <c r="BF25" s="674"/>
      <c r="BG25" s="674"/>
      <c r="BH25" s="674"/>
      <c r="BI25" s="674"/>
    </row>
    <row r="26" spans="1:123" s="164" customFormat="1" ht="20" customHeight="1">
      <c r="A26" s="674"/>
      <c r="B26" s="674"/>
      <c r="C26" s="674"/>
      <c r="D26" s="674"/>
      <c r="E26" s="674"/>
      <c r="F26" s="674"/>
      <c r="G26" s="674"/>
      <c r="H26" s="674"/>
      <c r="I26" s="674"/>
      <c r="J26" s="674"/>
      <c r="K26" s="674"/>
      <c r="L26" s="674"/>
      <c r="M26" s="674"/>
      <c r="N26" s="674"/>
      <c r="O26" s="674"/>
      <c r="P26" s="674"/>
      <c r="Q26" s="674"/>
      <c r="R26" s="674"/>
      <c r="S26" s="674"/>
      <c r="T26" s="674"/>
      <c r="U26" s="674"/>
      <c r="V26" s="674"/>
      <c r="W26" s="674"/>
      <c r="X26" s="674"/>
      <c r="Y26" s="674"/>
      <c r="Z26" s="674"/>
      <c r="AA26" s="674"/>
      <c r="AB26" s="674"/>
      <c r="AC26" s="674"/>
      <c r="AD26" s="674"/>
      <c r="AE26" s="674"/>
      <c r="AF26" s="674"/>
      <c r="AG26" s="674"/>
      <c r="AH26" s="674"/>
      <c r="AI26" s="674"/>
      <c r="AJ26" s="674"/>
      <c r="AK26" s="674"/>
      <c r="AL26" s="674"/>
      <c r="AM26" s="674"/>
      <c r="AN26" s="674"/>
      <c r="AO26" s="674"/>
      <c r="AP26" s="674"/>
      <c r="AQ26" s="674"/>
      <c r="AR26" s="674"/>
      <c r="AS26" s="674"/>
      <c r="AT26" s="674"/>
      <c r="AU26" s="674"/>
      <c r="AV26" s="674"/>
      <c r="AW26" s="674"/>
      <c r="AX26" s="674"/>
      <c r="AY26" s="674"/>
      <c r="AZ26" s="674"/>
      <c r="BA26" s="674"/>
      <c r="BB26" s="674"/>
      <c r="BC26" s="674"/>
      <c r="BD26" s="674"/>
      <c r="BE26" s="674"/>
      <c r="BF26" s="674"/>
      <c r="BG26" s="674"/>
      <c r="BH26" s="674"/>
      <c r="BI26" s="674"/>
    </row>
    <row r="27" spans="1:123" s="164" customFormat="1" ht="20" customHeight="1">
      <c r="A27" s="676">
        <v>2</v>
      </c>
      <c r="B27" s="676"/>
      <c r="C27" s="175" t="s">
        <v>239</v>
      </c>
      <c r="D27" s="175"/>
      <c r="E27" s="175"/>
      <c r="F27" s="175"/>
      <c r="G27" s="175"/>
      <c r="H27" s="175"/>
      <c r="I27" s="175"/>
      <c r="J27" s="175"/>
      <c r="K27" s="170"/>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5"/>
      <c r="AM27" s="175"/>
      <c r="AN27" s="175"/>
      <c r="AO27" s="175"/>
      <c r="AP27" s="175"/>
      <c r="AQ27" s="170"/>
      <c r="AR27" s="176"/>
      <c r="AS27" s="176"/>
      <c r="AT27" s="176"/>
      <c r="AU27" s="176"/>
      <c r="AV27" s="176"/>
      <c r="AW27" s="176"/>
      <c r="AX27" s="176"/>
      <c r="AY27" s="176"/>
      <c r="AZ27" s="176"/>
      <c r="BA27" s="176"/>
      <c r="BB27" s="176"/>
      <c r="BC27" s="176"/>
      <c r="BD27" s="176"/>
      <c r="BE27" s="171"/>
      <c r="BF27" s="171"/>
      <c r="BG27" s="171"/>
      <c r="BH27" s="171"/>
      <c r="BI27" s="171"/>
    </row>
    <row r="28" spans="1:123" s="164" customFormat="1" ht="20" customHeight="1">
      <c r="A28" s="172" t="e">
        <f>"Did "&amp;FirstName&amp;" bring the portfolio?"</f>
        <v>#VALUE!</v>
      </c>
      <c r="B28" s="172"/>
      <c r="C28" s="172"/>
      <c r="D28" s="172"/>
      <c r="E28" s="172"/>
      <c r="F28" s="172"/>
      <c r="G28" s="172"/>
      <c r="H28" s="172"/>
      <c r="I28" s="172"/>
      <c r="J28" s="172"/>
      <c r="K28" s="177"/>
      <c r="L28" s="178"/>
      <c r="M28" s="178"/>
      <c r="N28" s="178"/>
      <c r="O28" s="178"/>
      <c r="P28" s="178"/>
      <c r="Q28" s="178"/>
      <c r="R28" s="178"/>
      <c r="S28" s="178"/>
      <c r="T28" s="178"/>
      <c r="U28" s="178"/>
      <c r="V28" s="178"/>
      <c r="W28" s="178"/>
      <c r="X28" s="178"/>
      <c r="Y28" s="178"/>
      <c r="Z28" s="178"/>
      <c r="AA28" s="178"/>
      <c r="AB28" s="178"/>
      <c r="AC28" s="178"/>
      <c r="AD28" s="178"/>
      <c r="AE28" s="178"/>
      <c r="AF28" s="178"/>
      <c r="AG28" s="177" t="s">
        <v>43</v>
      </c>
      <c r="AH28" s="672" t="s">
        <v>93</v>
      </c>
      <c r="AI28" s="672"/>
      <c r="AJ28" s="672"/>
      <c r="AK28" s="672"/>
      <c r="AL28" s="672"/>
      <c r="AM28" s="672"/>
      <c r="AN28" s="672"/>
      <c r="AO28" s="672"/>
      <c r="AP28" s="672"/>
      <c r="AQ28" s="672"/>
      <c r="AR28" s="672"/>
      <c r="AS28" s="672"/>
      <c r="AT28" s="672"/>
      <c r="AU28" s="672"/>
      <c r="AV28" s="672"/>
      <c r="AW28" s="672"/>
      <c r="AX28" s="672"/>
      <c r="AY28" s="672"/>
      <c r="AZ28" s="672"/>
      <c r="BA28" s="672"/>
      <c r="BB28" s="672"/>
      <c r="BC28" s="672"/>
      <c r="BD28" s="672"/>
      <c r="BE28" s="672"/>
      <c r="BF28" s="672"/>
      <c r="BG28" s="672"/>
      <c r="BH28" s="672"/>
      <c r="BI28" s="672"/>
    </row>
    <row r="29" spans="1:123" s="164" customFormat="1" ht="20" customHeight="1">
      <c r="A29" s="172" t="s">
        <v>226</v>
      </c>
      <c r="B29" s="172"/>
      <c r="C29" s="172"/>
      <c r="D29" s="172"/>
      <c r="E29" s="172"/>
      <c r="F29" s="172"/>
      <c r="G29" s="172"/>
      <c r="H29" s="172"/>
      <c r="I29" s="172"/>
      <c r="J29" s="172"/>
      <c r="K29" s="177"/>
      <c r="L29" s="178"/>
      <c r="M29" s="178"/>
      <c r="N29" s="178"/>
      <c r="O29" s="178"/>
      <c r="P29" s="178"/>
      <c r="Q29" s="178"/>
      <c r="R29" s="178"/>
      <c r="S29" s="178"/>
      <c r="T29" s="178"/>
      <c r="U29" s="178"/>
      <c r="V29" s="178"/>
      <c r="W29" s="178"/>
      <c r="X29" s="178"/>
      <c r="Y29" s="178"/>
      <c r="Z29" s="178"/>
      <c r="AA29" s="178"/>
      <c r="AB29" s="178"/>
      <c r="AC29" s="178"/>
      <c r="AD29" s="178"/>
      <c r="AE29" s="178"/>
      <c r="AF29" s="178"/>
      <c r="AG29" s="177" t="s">
        <v>43</v>
      </c>
      <c r="AH29" s="672" t="s">
        <v>235</v>
      </c>
      <c r="AI29" s="672"/>
      <c r="AJ29" s="672"/>
      <c r="AK29" s="672"/>
      <c r="AL29" s="672"/>
      <c r="AM29" s="672"/>
      <c r="AN29" s="672"/>
      <c r="AO29" s="672"/>
      <c r="AP29" s="672"/>
      <c r="AQ29" s="672"/>
      <c r="AR29" s="672"/>
      <c r="AS29" s="672"/>
      <c r="AT29" s="672"/>
      <c r="AU29" s="672"/>
      <c r="AV29" s="672"/>
      <c r="AW29" s="672"/>
      <c r="AX29" s="672"/>
      <c r="AY29" s="672"/>
      <c r="AZ29" s="672"/>
      <c r="BA29" s="672"/>
      <c r="BB29" s="672"/>
      <c r="BC29" s="672"/>
      <c r="BD29" s="672"/>
      <c r="BE29" s="672"/>
      <c r="BF29" s="672"/>
      <c r="BG29" s="672"/>
      <c r="BH29" s="672"/>
      <c r="BI29" s="672"/>
    </row>
    <row r="30" spans="1:123" s="164" customFormat="1" ht="20" customHeight="1">
      <c r="A30" s="674" t="s">
        <v>275</v>
      </c>
      <c r="B30" s="674"/>
      <c r="C30" s="674"/>
      <c r="D30" s="674"/>
      <c r="E30" s="674"/>
      <c r="F30" s="674"/>
      <c r="G30" s="674"/>
      <c r="H30" s="674"/>
      <c r="I30" s="674"/>
      <c r="J30" s="674"/>
      <c r="K30" s="674"/>
      <c r="L30" s="674"/>
      <c r="M30" s="674"/>
      <c r="N30" s="674"/>
      <c r="O30" s="674"/>
      <c r="P30" s="674"/>
      <c r="Q30" s="674"/>
      <c r="R30" s="674"/>
      <c r="S30" s="674"/>
      <c r="T30" s="674"/>
      <c r="U30" s="674"/>
      <c r="V30" s="674"/>
      <c r="W30" s="674"/>
      <c r="X30" s="674"/>
      <c r="Y30" s="674"/>
      <c r="Z30" s="674"/>
      <c r="AA30" s="674"/>
      <c r="AB30" s="674"/>
      <c r="AC30" s="674"/>
      <c r="AD30" s="674"/>
      <c r="AE30" s="674"/>
      <c r="AF30" s="674"/>
      <c r="AG30" s="674"/>
      <c r="AH30" s="674"/>
      <c r="AI30" s="674"/>
      <c r="AJ30" s="674"/>
      <c r="AK30" s="674"/>
      <c r="AL30" s="674"/>
      <c r="AM30" s="674"/>
      <c r="AN30" s="674"/>
      <c r="AO30" s="674"/>
      <c r="AP30" s="674"/>
      <c r="AQ30" s="674"/>
      <c r="AR30" s="674"/>
      <c r="AS30" s="674"/>
      <c r="AT30" s="674"/>
      <c r="AU30" s="674"/>
      <c r="AV30" s="674"/>
      <c r="AW30" s="674"/>
      <c r="AX30" s="674"/>
      <c r="AY30" s="674"/>
      <c r="AZ30" s="674"/>
      <c r="BA30" s="674"/>
      <c r="BB30" s="674"/>
      <c r="BC30" s="674"/>
      <c r="BD30" s="674"/>
      <c r="BE30" s="674"/>
      <c r="BF30" s="674"/>
      <c r="BG30" s="674"/>
      <c r="BH30" s="674"/>
      <c r="BI30" s="674"/>
    </row>
    <row r="31" spans="1:123" s="164" customFormat="1" ht="20" customHeight="1">
      <c r="A31" s="674"/>
      <c r="B31" s="674"/>
      <c r="C31" s="674"/>
      <c r="D31" s="674"/>
      <c r="E31" s="674"/>
      <c r="F31" s="674"/>
      <c r="G31" s="674"/>
      <c r="H31" s="674"/>
      <c r="I31" s="674"/>
      <c r="J31" s="674"/>
      <c r="K31" s="674"/>
      <c r="L31" s="674"/>
      <c r="M31" s="674"/>
      <c r="N31" s="674"/>
      <c r="O31" s="674"/>
      <c r="P31" s="674"/>
      <c r="Q31" s="674"/>
      <c r="R31" s="674"/>
      <c r="S31" s="674"/>
      <c r="T31" s="674"/>
      <c r="U31" s="674"/>
      <c r="V31" s="674"/>
      <c r="W31" s="674"/>
      <c r="X31" s="674"/>
      <c r="Y31" s="674"/>
      <c r="Z31" s="674"/>
      <c r="AA31" s="674"/>
      <c r="AB31" s="674"/>
      <c r="AC31" s="674"/>
      <c r="AD31" s="674"/>
      <c r="AE31" s="674"/>
      <c r="AF31" s="674"/>
      <c r="AG31" s="674"/>
      <c r="AH31" s="674"/>
      <c r="AI31" s="674"/>
      <c r="AJ31" s="674"/>
      <c r="AK31" s="674"/>
      <c r="AL31" s="674"/>
      <c r="AM31" s="674"/>
      <c r="AN31" s="674"/>
      <c r="AO31" s="674"/>
      <c r="AP31" s="674"/>
      <c r="AQ31" s="674"/>
      <c r="AR31" s="674"/>
      <c r="AS31" s="674"/>
      <c r="AT31" s="674"/>
      <c r="AU31" s="674"/>
      <c r="AV31" s="674"/>
      <c r="AW31" s="674"/>
      <c r="AX31" s="674"/>
      <c r="AY31" s="674"/>
      <c r="AZ31" s="674"/>
      <c r="BA31" s="674"/>
      <c r="BB31" s="674"/>
      <c r="BC31" s="674"/>
      <c r="BD31" s="674"/>
      <c r="BE31" s="674"/>
      <c r="BF31" s="674"/>
      <c r="BG31" s="674"/>
      <c r="BH31" s="674"/>
      <c r="BI31" s="674"/>
    </row>
    <row r="32" spans="1:123" s="164" customFormat="1" ht="20" customHeight="1">
      <c r="A32" s="674"/>
      <c r="B32" s="674"/>
      <c r="C32" s="674"/>
      <c r="D32" s="674"/>
      <c r="E32" s="674"/>
      <c r="F32" s="674"/>
      <c r="G32" s="674"/>
      <c r="H32" s="674"/>
      <c r="I32" s="674"/>
      <c r="J32" s="674"/>
      <c r="K32" s="674"/>
      <c r="L32" s="674"/>
      <c r="M32" s="674"/>
      <c r="N32" s="674"/>
      <c r="O32" s="674"/>
      <c r="P32" s="674"/>
      <c r="Q32" s="674"/>
      <c r="R32" s="674"/>
      <c r="S32" s="674"/>
      <c r="T32" s="674"/>
      <c r="U32" s="674"/>
      <c r="V32" s="674"/>
      <c r="W32" s="674"/>
      <c r="X32" s="674"/>
      <c r="Y32" s="674"/>
      <c r="Z32" s="674"/>
      <c r="AA32" s="674"/>
      <c r="AB32" s="674"/>
      <c r="AC32" s="674"/>
      <c r="AD32" s="674"/>
      <c r="AE32" s="674"/>
      <c r="AF32" s="674"/>
      <c r="AG32" s="674"/>
      <c r="AH32" s="674"/>
      <c r="AI32" s="674"/>
      <c r="AJ32" s="674"/>
      <c r="AK32" s="674"/>
      <c r="AL32" s="674"/>
      <c r="AM32" s="674"/>
      <c r="AN32" s="674"/>
      <c r="AO32" s="674"/>
      <c r="AP32" s="674"/>
      <c r="AQ32" s="674"/>
      <c r="AR32" s="674"/>
      <c r="AS32" s="674"/>
      <c r="AT32" s="674"/>
      <c r="AU32" s="674"/>
      <c r="AV32" s="674"/>
      <c r="AW32" s="674"/>
      <c r="AX32" s="674"/>
      <c r="AY32" s="674"/>
      <c r="AZ32" s="674"/>
      <c r="BA32" s="674"/>
      <c r="BB32" s="674"/>
      <c r="BC32" s="674"/>
      <c r="BD32" s="674"/>
      <c r="BE32" s="674"/>
      <c r="BF32" s="674"/>
      <c r="BG32" s="674"/>
      <c r="BH32" s="674"/>
      <c r="BI32" s="674"/>
    </row>
    <row r="33" spans="1:61" s="164" customFormat="1" ht="20" customHeight="1">
      <c r="A33" s="674"/>
      <c r="B33" s="674"/>
      <c r="C33" s="674"/>
      <c r="D33" s="674"/>
      <c r="E33" s="674"/>
      <c r="F33" s="674"/>
      <c r="G33" s="674"/>
      <c r="H33" s="674"/>
      <c r="I33" s="674"/>
      <c r="J33" s="674"/>
      <c r="K33" s="674"/>
      <c r="L33" s="674"/>
      <c r="M33" s="674"/>
      <c r="N33" s="674"/>
      <c r="O33" s="674"/>
      <c r="P33" s="674"/>
      <c r="Q33" s="674"/>
      <c r="R33" s="674"/>
      <c r="S33" s="674"/>
      <c r="T33" s="674"/>
      <c r="U33" s="674"/>
      <c r="V33" s="674"/>
      <c r="W33" s="674"/>
      <c r="X33" s="674"/>
      <c r="Y33" s="674"/>
      <c r="Z33" s="674"/>
      <c r="AA33" s="674"/>
      <c r="AB33" s="674"/>
      <c r="AC33" s="674"/>
      <c r="AD33" s="674"/>
      <c r="AE33" s="674"/>
      <c r="AF33" s="674"/>
      <c r="AG33" s="674"/>
      <c r="AH33" s="674"/>
      <c r="AI33" s="674"/>
      <c r="AJ33" s="674"/>
      <c r="AK33" s="674"/>
      <c r="AL33" s="674"/>
      <c r="AM33" s="674"/>
      <c r="AN33" s="674"/>
      <c r="AO33" s="674"/>
      <c r="AP33" s="674"/>
      <c r="AQ33" s="674"/>
      <c r="AR33" s="674"/>
      <c r="AS33" s="674"/>
      <c r="AT33" s="674"/>
      <c r="AU33" s="674"/>
      <c r="AV33" s="674"/>
      <c r="AW33" s="674"/>
      <c r="AX33" s="674"/>
      <c r="AY33" s="674"/>
      <c r="AZ33" s="674"/>
      <c r="BA33" s="674"/>
      <c r="BB33" s="674"/>
      <c r="BC33" s="674"/>
      <c r="BD33" s="674"/>
      <c r="BE33" s="674"/>
      <c r="BF33" s="674"/>
      <c r="BG33" s="674"/>
      <c r="BH33" s="674"/>
      <c r="BI33" s="674"/>
    </row>
    <row r="34" spans="1:61" s="164" customFormat="1" ht="20" customHeight="1">
      <c r="A34" s="674"/>
      <c r="B34" s="674"/>
      <c r="C34" s="674"/>
      <c r="D34" s="674"/>
      <c r="E34" s="674"/>
      <c r="F34" s="674"/>
      <c r="G34" s="674"/>
      <c r="H34" s="674"/>
      <c r="I34" s="674"/>
      <c r="J34" s="674"/>
      <c r="K34" s="674"/>
      <c r="L34" s="674"/>
      <c r="M34" s="674"/>
      <c r="N34" s="674"/>
      <c r="O34" s="674"/>
      <c r="P34" s="674"/>
      <c r="Q34" s="674"/>
      <c r="R34" s="674"/>
      <c r="S34" s="674"/>
      <c r="T34" s="674"/>
      <c r="U34" s="674"/>
      <c r="V34" s="674"/>
      <c r="W34" s="674"/>
      <c r="X34" s="674"/>
      <c r="Y34" s="674"/>
      <c r="Z34" s="674"/>
      <c r="AA34" s="674"/>
      <c r="AB34" s="674"/>
      <c r="AC34" s="674"/>
      <c r="AD34" s="674"/>
      <c r="AE34" s="674"/>
      <c r="AF34" s="674"/>
      <c r="AG34" s="674"/>
      <c r="AH34" s="674"/>
      <c r="AI34" s="674"/>
      <c r="AJ34" s="674"/>
      <c r="AK34" s="674"/>
      <c r="AL34" s="674"/>
      <c r="AM34" s="674"/>
      <c r="AN34" s="674"/>
      <c r="AO34" s="674"/>
      <c r="AP34" s="674"/>
      <c r="AQ34" s="674"/>
      <c r="AR34" s="674"/>
      <c r="AS34" s="674"/>
      <c r="AT34" s="674"/>
      <c r="AU34" s="674"/>
      <c r="AV34" s="674"/>
      <c r="AW34" s="674"/>
      <c r="AX34" s="674"/>
      <c r="AY34" s="674"/>
      <c r="AZ34" s="674"/>
      <c r="BA34" s="674"/>
      <c r="BB34" s="674"/>
      <c r="BC34" s="674"/>
      <c r="BD34" s="674"/>
      <c r="BE34" s="674"/>
      <c r="BF34" s="674"/>
      <c r="BG34" s="674"/>
      <c r="BH34" s="674"/>
      <c r="BI34" s="674"/>
    </row>
    <row r="35" spans="1:61" s="164" customFormat="1" ht="20" customHeight="1">
      <c r="A35" s="676">
        <v>2.1</v>
      </c>
      <c r="B35" s="676"/>
      <c r="C35" s="175" t="s">
        <v>238</v>
      </c>
      <c r="D35" s="175"/>
      <c r="E35" s="175"/>
      <c r="F35" s="175"/>
      <c r="G35" s="175"/>
      <c r="H35" s="175"/>
      <c r="I35" s="175"/>
      <c r="J35" s="175"/>
      <c r="K35" s="170"/>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5"/>
      <c r="AM35" s="175"/>
      <c r="AN35" s="175"/>
      <c r="AO35" s="175"/>
      <c r="AP35" s="175"/>
      <c r="AQ35" s="170"/>
      <c r="AR35" s="176"/>
      <c r="AS35" s="176"/>
      <c r="AT35" s="176"/>
      <c r="AU35" s="176"/>
      <c r="AV35" s="176"/>
      <c r="AW35" s="176"/>
      <c r="AX35" s="176"/>
      <c r="AY35" s="176"/>
      <c r="AZ35" s="176"/>
      <c r="BA35" s="176"/>
      <c r="BB35" s="176"/>
      <c r="BC35" s="176"/>
      <c r="BD35" s="176"/>
      <c r="BE35" s="171"/>
      <c r="BF35" s="171"/>
      <c r="BG35" s="171"/>
      <c r="BH35" s="220" t="s">
        <v>308</v>
      </c>
      <c r="BI35" s="219">
        <v>8</v>
      </c>
    </row>
    <row r="36" spans="1:61" s="164" customFormat="1" ht="20" customHeight="1">
      <c r="A36" s="196"/>
      <c r="B36" s="196"/>
      <c r="C36" s="693" t="s">
        <v>221</v>
      </c>
      <c r="D36" s="694"/>
      <c r="E36" s="694"/>
      <c r="F36" s="694"/>
      <c r="G36" s="694"/>
      <c r="H36" s="694"/>
      <c r="I36" s="694"/>
      <c r="J36" s="694"/>
      <c r="K36" s="694"/>
      <c r="L36" s="694"/>
      <c r="M36" s="694"/>
      <c r="N36" s="695"/>
      <c r="O36" s="693" t="s">
        <v>222</v>
      </c>
      <c r="P36" s="694"/>
      <c r="Q36" s="694"/>
      <c r="R36" s="694"/>
      <c r="S36" s="694"/>
      <c r="T36" s="694"/>
      <c r="U36" s="694"/>
      <c r="V36" s="694"/>
      <c r="W36" s="694"/>
      <c r="X36" s="694"/>
      <c r="Y36" s="694"/>
      <c r="Z36" s="695"/>
      <c r="AA36" s="693" t="s">
        <v>223</v>
      </c>
      <c r="AB36" s="694"/>
      <c r="AC36" s="694"/>
      <c r="AD36" s="694"/>
      <c r="AE36" s="694"/>
      <c r="AF36" s="694"/>
      <c r="AG36" s="694"/>
      <c r="AH36" s="694"/>
      <c r="AI36" s="694"/>
      <c r="AJ36" s="694"/>
      <c r="AK36" s="694"/>
      <c r="AL36" s="695"/>
      <c r="AM36" s="693" t="s">
        <v>224</v>
      </c>
      <c r="AN36" s="694"/>
      <c r="AO36" s="694"/>
      <c r="AP36" s="694"/>
      <c r="AQ36" s="694"/>
      <c r="AR36" s="694"/>
      <c r="AS36" s="694"/>
      <c r="AT36" s="694"/>
      <c r="AU36" s="694"/>
      <c r="AV36" s="694"/>
      <c r="AW36" s="694"/>
      <c r="AX36" s="695"/>
      <c r="AY36" s="692"/>
      <c r="AZ36" s="692"/>
      <c r="BA36" s="692"/>
      <c r="BB36" s="692"/>
      <c r="BC36" s="692"/>
      <c r="BD36" s="692"/>
      <c r="BE36" s="692"/>
      <c r="BF36" s="692"/>
      <c r="BG36" s="692"/>
      <c r="BH36" s="692"/>
      <c r="BI36" s="692"/>
    </row>
    <row r="37" spans="1:61" s="164" customFormat="1" ht="20" customHeight="1">
      <c r="A37" s="196"/>
      <c r="B37" s="196"/>
      <c r="C37" s="696"/>
      <c r="D37" s="697"/>
      <c r="E37" s="697"/>
      <c r="F37" s="697"/>
      <c r="G37" s="697"/>
      <c r="H37" s="697"/>
      <c r="I37" s="697"/>
      <c r="J37" s="697"/>
      <c r="K37" s="697"/>
      <c r="L37" s="697"/>
      <c r="M37" s="697"/>
      <c r="N37" s="698"/>
      <c r="O37" s="696"/>
      <c r="P37" s="697"/>
      <c r="Q37" s="697"/>
      <c r="R37" s="697"/>
      <c r="S37" s="697"/>
      <c r="T37" s="697"/>
      <c r="U37" s="697"/>
      <c r="V37" s="697"/>
      <c r="W37" s="697"/>
      <c r="X37" s="697"/>
      <c r="Y37" s="697"/>
      <c r="Z37" s="698"/>
      <c r="AA37" s="696"/>
      <c r="AB37" s="697"/>
      <c r="AC37" s="697"/>
      <c r="AD37" s="697"/>
      <c r="AE37" s="697"/>
      <c r="AF37" s="697"/>
      <c r="AG37" s="697"/>
      <c r="AH37" s="697"/>
      <c r="AI37" s="697"/>
      <c r="AJ37" s="697"/>
      <c r="AK37" s="697"/>
      <c r="AL37" s="698"/>
      <c r="AM37" s="696"/>
      <c r="AN37" s="697"/>
      <c r="AO37" s="697"/>
      <c r="AP37" s="697"/>
      <c r="AQ37" s="697"/>
      <c r="AR37" s="697"/>
      <c r="AS37" s="697"/>
      <c r="AT37" s="697"/>
      <c r="AU37" s="697"/>
      <c r="AV37" s="697"/>
      <c r="AW37" s="697"/>
      <c r="AX37" s="698"/>
      <c r="AY37" s="692"/>
      <c r="AZ37" s="692"/>
      <c r="BA37" s="692"/>
      <c r="BB37" s="692"/>
      <c r="BC37" s="692"/>
      <c r="BD37" s="692"/>
      <c r="BE37" s="692"/>
      <c r="BF37" s="692"/>
      <c r="BG37" s="692"/>
      <c r="BH37" s="692"/>
      <c r="BI37" s="692"/>
    </row>
    <row r="38" spans="1:61" s="164" customFormat="1" ht="20" customHeight="1">
      <c r="A38" s="688" t="s">
        <v>236</v>
      </c>
      <c r="B38" s="689"/>
      <c r="C38" s="682"/>
      <c r="D38" s="683"/>
      <c r="E38" s="683"/>
      <c r="F38" s="683"/>
      <c r="G38" s="683"/>
      <c r="H38" s="683"/>
      <c r="I38" s="683"/>
      <c r="J38" s="683"/>
      <c r="K38" s="683"/>
      <c r="L38" s="683"/>
      <c r="M38" s="683"/>
      <c r="N38" s="684"/>
      <c r="O38" s="682"/>
      <c r="P38" s="683"/>
      <c r="Q38" s="683"/>
      <c r="R38" s="683"/>
      <c r="S38" s="683"/>
      <c r="T38" s="683"/>
      <c r="U38" s="683"/>
      <c r="V38" s="683"/>
      <c r="W38" s="683"/>
      <c r="X38" s="683"/>
      <c r="Y38" s="683"/>
      <c r="Z38" s="684"/>
      <c r="AA38" s="682"/>
      <c r="AB38" s="683"/>
      <c r="AC38" s="683"/>
      <c r="AD38" s="683"/>
      <c r="AE38" s="683"/>
      <c r="AF38" s="683"/>
      <c r="AG38" s="683"/>
      <c r="AH38" s="683"/>
      <c r="AI38" s="683"/>
      <c r="AJ38" s="683"/>
      <c r="AK38" s="683"/>
      <c r="AL38" s="684"/>
      <c r="AM38" s="682"/>
      <c r="AN38" s="683"/>
      <c r="AO38" s="683"/>
      <c r="AP38" s="683"/>
      <c r="AQ38" s="683"/>
      <c r="AR38" s="683"/>
      <c r="AS38" s="683"/>
      <c r="AT38" s="683"/>
      <c r="AU38" s="683"/>
      <c r="AV38" s="683"/>
      <c r="AW38" s="683"/>
      <c r="AX38" s="684"/>
      <c r="AY38" s="195"/>
      <c r="AZ38" s="195"/>
      <c r="BA38" s="195"/>
      <c r="BB38" s="195"/>
      <c r="BC38" s="195"/>
      <c r="BD38" s="195"/>
      <c r="BE38" s="195"/>
      <c r="BF38" s="195"/>
      <c r="BG38" s="195"/>
      <c r="BH38" s="195"/>
      <c r="BI38" s="195"/>
    </row>
    <row r="39" spans="1:61" ht="20" customHeight="1">
      <c r="A39" s="690"/>
      <c r="B39" s="691"/>
      <c r="C39" s="685"/>
      <c r="D39" s="686"/>
      <c r="E39" s="686"/>
      <c r="F39" s="686"/>
      <c r="G39" s="686"/>
      <c r="H39" s="686"/>
      <c r="I39" s="686"/>
      <c r="J39" s="686"/>
      <c r="K39" s="686"/>
      <c r="L39" s="686"/>
      <c r="M39" s="686"/>
      <c r="N39" s="687"/>
      <c r="O39" s="685"/>
      <c r="P39" s="686"/>
      <c r="Q39" s="686"/>
      <c r="R39" s="686"/>
      <c r="S39" s="686"/>
      <c r="T39" s="686"/>
      <c r="U39" s="686"/>
      <c r="V39" s="686"/>
      <c r="W39" s="686"/>
      <c r="X39" s="686"/>
      <c r="Y39" s="686"/>
      <c r="Z39" s="687"/>
      <c r="AA39" s="685"/>
      <c r="AB39" s="686"/>
      <c r="AC39" s="686"/>
      <c r="AD39" s="686"/>
      <c r="AE39" s="686"/>
      <c r="AF39" s="686"/>
      <c r="AG39" s="686"/>
      <c r="AH39" s="686"/>
      <c r="AI39" s="686"/>
      <c r="AJ39" s="686"/>
      <c r="AK39" s="686"/>
      <c r="AL39" s="687"/>
      <c r="AM39" s="685"/>
      <c r="AN39" s="686"/>
      <c r="AO39" s="686"/>
      <c r="AP39" s="686"/>
      <c r="AQ39" s="686"/>
      <c r="AR39" s="686"/>
      <c r="AS39" s="686"/>
      <c r="AT39" s="686"/>
      <c r="AU39" s="686"/>
      <c r="AV39" s="686"/>
      <c r="AW39" s="686"/>
      <c r="AX39" s="687"/>
      <c r="AY39" s="195"/>
      <c r="AZ39" s="195"/>
      <c r="BA39" s="195"/>
      <c r="BB39" s="195"/>
      <c r="BC39" s="195"/>
      <c r="BD39" s="195"/>
      <c r="BE39" s="195"/>
      <c r="BF39" s="195"/>
      <c r="BG39" s="195"/>
      <c r="BH39" s="195"/>
      <c r="BI39" s="195"/>
    </row>
    <row r="40" spans="1:61" ht="20" customHeight="1">
      <c r="A40" s="688" t="s">
        <v>237</v>
      </c>
      <c r="B40" s="689"/>
      <c r="C40" s="682" t="s">
        <v>230</v>
      </c>
      <c r="D40" s="683"/>
      <c r="E40" s="683"/>
      <c r="F40" s="683"/>
      <c r="G40" s="683"/>
      <c r="H40" s="683"/>
      <c r="I40" s="683"/>
      <c r="J40" s="683"/>
      <c r="K40" s="683"/>
      <c r="L40" s="683"/>
      <c r="M40" s="683"/>
      <c r="N40" s="684"/>
      <c r="O40" s="682" t="s">
        <v>230</v>
      </c>
      <c r="P40" s="683"/>
      <c r="Q40" s="683"/>
      <c r="R40" s="683"/>
      <c r="S40" s="683"/>
      <c r="T40" s="683"/>
      <c r="U40" s="683"/>
      <c r="V40" s="683"/>
      <c r="W40" s="683"/>
      <c r="X40" s="683"/>
      <c r="Y40" s="683"/>
      <c r="Z40" s="684"/>
      <c r="AA40" s="682" t="s">
        <v>231</v>
      </c>
      <c r="AB40" s="683"/>
      <c r="AC40" s="683"/>
      <c r="AD40" s="683"/>
      <c r="AE40" s="683"/>
      <c r="AF40" s="683"/>
      <c r="AG40" s="683"/>
      <c r="AH40" s="683"/>
      <c r="AI40" s="683"/>
      <c r="AJ40" s="683"/>
      <c r="AK40" s="683"/>
      <c r="AL40" s="684"/>
      <c r="AM40" s="682" t="s">
        <v>231</v>
      </c>
      <c r="AN40" s="683"/>
      <c r="AO40" s="683"/>
      <c r="AP40" s="683"/>
      <c r="AQ40" s="683"/>
      <c r="AR40" s="683"/>
      <c r="AS40" s="683"/>
      <c r="AT40" s="683"/>
      <c r="AU40" s="683"/>
      <c r="AV40" s="683"/>
      <c r="AW40" s="683"/>
      <c r="AX40" s="684"/>
      <c r="AY40" s="195"/>
      <c r="AZ40" s="195"/>
      <c r="BA40" s="195"/>
      <c r="BB40" s="195"/>
      <c r="BC40" s="195"/>
      <c r="BD40" s="195"/>
      <c r="BE40" s="195"/>
      <c r="BF40" s="195"/>
      <c r="BG40" s="195"/>
      <c r="BH40" s="195"/>
      <c r="BI40" s="195"/>
    </row>
    <row r="41" spans="1:61" ht="20" customHeight="1">
      <c r="A41" s="690"/>
      <c r="B41" s="691"/>
      <c r="C41" s="685"/>
      <c r="D41" s="686"/>
      <c r="E41" s="686"/>
      <c r="F41" s="686"/>
      <c r="G41" s="686"/>
      <c r="H41" s="686"/>
      <c r="I41" s="686"/>
      <c r="J41" s="686"/>
      <c r="K41" s="686"/>
      <c r="L41" s="686"/>
      <c r="M41" s="686"/>
      <c r="N41" s="687"/>
      <c r="O41" s="685"/>
      <c r="P41" s="686"/>
      <c r="Q41" s="686"/>
      <c r="R41" s="686"/>
      <c r="S41" s="686"/>
      <c r="T41" s="686"/>
      <c r="U41" s="686"/>
      <c r="V41" s="686"/>
      <c r="W41" s="686"/>
      <c r="X41" s="686"/>
      <c r="Y41" s="686"/>
      <c r="Z41" s="687"/>
      <c r="AA41" s="685"/>
      <c r="AB41" s="686"/>
      <c r="AC41" s="686"/>
      <c r="AD41" s="686"/>
      <c r="AE41" s="686"/>
      <c r="AF41" s="686"/>
      <c r="AG41" s="686"/>
      <c r="AH41" s="686"/>
      <c r="AI41" s="686"/>
      <c r="AJ41" s="686"/>
      <c r="AK41" s="686"/>
      <c r="AL41" s="687"/>
      <c r="AM41" s="685"/>
      <c r="AN41" s="686"/>
      <c r="AO41" s="686"/>
      <c r="AP41" s="686"/>
      <c r="AQ41" s="686"/>
      <c r="AR41" s="686"/>
      <c r="AS41" s="686"/>
      <c r="AT41" s="686"/>
      <c r="AU41" s="686"/>
      <c r="AV41" s="686"/>
      <c r="AW41" s="686"/>
      <c r="AX41" s="687"/>
      <c r="AY41" s="195"/>
      <c r="AZ41" s="195"/>
      <c r="BA41" s="195"/>
      <c r="BB41" s="195"/>
      <c r="BC41" s="195"/>
      <c r="BD41" s="195"/>
      <c r="BE41" s="195"/>
      <c r="BF41" s="195"/>
      <c r="BG41" s="195"/>
      <c r="BH41" s="195"/>
      <c r="BI41" s="195"/>
    </row>
    <row r="42" spans="1:61" ht="20" customHeight="1">
      <c r="A42" s="688" t="s">
        <v>241</v>
      </c>
      <c r="B42" s="689"/>
      <c r="C42" s="682" t="s">
        <v>247</v>
      </c>
      <c r="D42" s="683"/>
      <c r="E42" s="683"/>
      <c r="F42" s="683"/>
      <c r="G42" s="683"/>
      <c r="H42" s="683"/>
      <c r="I42" s="683"/>
      <c r="J42" s="683"/>
      <c r="K42" s="683"/>
      <c r="L42" s="683"/>
      <c r="M42" s="683"/>
      <c r="N42" s="684"/>
      <c r="O42" s="682" t="s">
        <v>247</v>
      </c>
      <c r="P42" s="683"/>
      <c r="Q42" s="683"/>
      <c r="R42" s="683"/>
      <c r="S42" s="683"/>
      <c r="T42" s="683"/>
      <c r="U42" s="683"/>
      <c r="V42" s="683"/>
      <c r="W42" s="683"/>
      <c r="X42" s="683"/>
      <c r="Y42" s="683"/>
      <c r="Z42" s="684"/>
      <c r="AA42" s="682" t="s">
        <v>244</v>
      </c>
      <c r="AB42" s="683"/>
      <c r="AC42" s="683"/>
      <c r="AD42" s="683"/>
      <c r="AE42" s="683"/>
      <c r="AF42" s="683"/>
      <c r="AG42" s="683"/>
      <c r="AH42" s="683"/>
      <c r="AI42" s="683"/>
      <c r="AJ42" s="683"/>
      <c r="AK42" s="683"/>
      <c r="AL42" s="684"/>
      <c r="AM42" s="682" t="s">
        <v>244</v>
      </c>
      <c r="AN42" s="683"/>
      <c r="AO42" s="683"/>
      <c r="AP42" s="683"/>
      <c r="AQ42" s="683"/>
      <c r="AR42" s="683"/>
      <c r="AS42" s="683"/>
      <c r="AT42" s="683"/>
      <c r="AU42" s="683"/>
      <c r="AV42" s="683"/>
      <c r="AW42" s="683"/>
      <c r="AX42" s="684"/>
      <c r="AY42" s="195"/>
      <c r="AZ42" s="195"/>
      <c r="BA42" s="195"/>
      <c r="BB42" s="195"/>
      <c r="BC42" s="195"/>
      <c r="BD42" s="195"/>
      <c r="BE42" s="195"/>
      <c r="BF42" s="195"/>
      <c r="BG42" s="195"/>
      <c r="BH42" s="195"/>
      <c r="BI42" s="195"/>
    </row>
    <row r="43" spans="1:61" ht="20" customHeight="1">
      <c r="A43" s="690"/>
      <c r="B43" s="691"/>
      <c r="C43" s="685"/>
      <c r="D43" s="686"/>
      <c r="E43" s="686"/>
      <c r="F43" s="686"/>
      <c r="G43" s="686"/>
      <c r="H43" s="686"/>
      <c r="I43" s="686"/>
      <c r="J43" s="686"/>
      <c r="K43" s="686"/>
      <c r="L43" s="686"/>
      <c r="M43" s="686"/>
      <c r="N43" s="687"/>
      <c r="O43" s="685"/>
      <c r="P43" s="686"/>
      <c r="Q43" s="686"/>
      <c r="R43" s="686"/>
      <c r="S43" s="686"/>
      <c r="T43" s="686"/>
      <c r="U43" s="686"/>
      <c r="V43" s="686"/>
      <c r="W43" s="686"/>
      <c r="X43" s="686"/>
      <c r="Y43" s="686"/>
      <c r="Z43" s="687"/>
      <c r="AA43" s="685"/>
      <c r="AB43" s="686"/>
      <c r="AC43" s="686"/>
      <c r="AD43" s="686"/>
      <c r="AE43" s="686"/>
      <c r="AF43" s="686"/>
      <c r="AG43" s="686"/>
      <c r="AH43" s="686"/>
      <c r="AI43" s="686"/>
      <c r="AJ43" s="686"/>
      <c r="AK43" s="686"/>
      <c r="AL43" s="687"/>
      <c r="AM43" s="685"/>
      <c r="AN43" s="686"/>
      <c r="AO43" s="686"/>
      <c r="AP43" s="686"/>
      <c r="AQ43" s="686"/>
      <c r="AR43" s="686"/>
      <c r="AS43" s="686"/>
      <c r="AT43" s="686"/>
      <c r="AU43" s="686"/>
      <c r="AV43" s="686"/>
      <c r="AW43" s="686"/>
      <c r="AX43" s="687"/>
      <c r="AY43" s="195"/>
      <c r="AZ43" s="195"/>
      <c r="BA43" s="195"/>
      <c r="BB43" s="195"/>
      <c r="BC43" s="195"/>
      <c r="BD43" s="195"/>
      <c r="BE43" s="195"/>
      <c r="BF43" s="195"/>
      <c r="BG43" s="195"/>
      <c r="BH43" s="195"/>
      <c r="BI43" s="195"/>
    </row>
    <row r="44" spans="1:61" ht="20" customHeight="1">
      <c r="A44" s="172" t="s">
        <v>264</v>
      </c>
      <c r="B44" s="172"/>
      <c r="C44" s="172"/>
      <c r="D44" s="172"/>
      <c r="E44" s="172"/>
      <c r="F44" s="172"/>
      <c r="G44" s="172"/>
      <c r="H44" s="172"/>
      <c r="I44" s="172"/>
      <c r="J44" s="172"/>
      <c r="K44" s="172"/>
      <c r="L44" s="172"/>
      <c r="M44" s="172"/>
      <c r="N44" s="172"/>
      <c r="O44" s="172"/>
      <c r="P44" s="172"/>
      <c r="Q44" s="172"/>
      <c r="R44" s="172"/>
      <c r="S44" s="172"/>
      <c r="T44" s="172"/>
      <c r="U44" s="172"/>
      <c r="V44" s="172"/>
      <c r="W44" s="172"/>
      <c r="X44" s="172"/>
      <c r="Y44" s="172"/>
      <c r="Z44" s="172"/>
      <c r="AA44" s="172"/>
      <c r="AB44" s="172"/>
      <c r="AC44" s="172"/>
      <c r="AD44" s="172"/>
      <c r="AE44" s="172"/>
      <c r="AF44" s="172"/>
      <c r="AG44" s="177" t="s">
        <v>43</v>
      </c>
      <c r="AH44" s="672" t="s">
        <v>290</v>
      </c>
      <c r="AI44" s="672"/>
      <c r="AJ44" s="672"/>
      <c r="AK44" s="672"/>
      <c r="AL44" s="672"/>
      <c r="AM44" s="672"/>
      <c r="AN44" s="672"/>
      <c r="AO44" s="672"/>
      <c r="AP44" s="672"/>
      <c r="AQ44" s="672"/>
      <c r="AR44" s="672"/>
      <c r="AS44" s="672"/>
      <c r="AT44" s="672"/>
      <c r="AU44" s="672"/>
      <c r="AV44" s="672"/>
      <c r="AW44" s="672"/>
      <c r="AX44" s="672"/>
      <c r="AY44" s="672"/>
      <c r="AZ44" s="672"/>
      <c r="BA44" s="672"/>
      <c r="BB44" s="672"/>
      <c r="BC44" s="672"/>
      <c r="BD44" s="672"/>
      <c r="BE44" s="672"/>
      <c r="BF44" s="672"/>
      <c r="BG44" s="672"/>
      <c r="BH44" s="672"/>
      <c r="BI44" s="672"/>
    </row>
    <row r="45" spans="1:61" ht="20" customHeight="1">
      <c r="A45" s="172" t="str">
        <f>"No. of "&amp;C35&amp;" completed"</f>
        <v>No. of Peer to Peer completed</v>
      </c>
      <c r="B45" s="172"/>
      <c r="C45" s="172"/>
      <c r="D45" s="172"/>
      <c r="E45" s="172"/>
      <c r="F45" s="172"/>
      <c r="G45" s="172"/>
      <c r="H45" s="172"/>
      <c r="I45" s="172"/>
      <c r="J45" s="172"/>
      <c r="K45" s="172"/>
      <c r="L45" s="172"/>
      <c r="M45" s="172"/>
      <c r="N45" s="172"/>
      <c r="O45" s="172"/>
      <c r="P45" s="172"/>
      <c r="Q45" s="172"/>
      <c r="R45" s="172"/>
      <c r="S45" s="172"/>
      <c r="T45" s="172"/>
      <c r="U45" s="172"/>
      <c r="V45" s="172"/>
      <c r="W45" s="172"/>
      <c r="X45" s="172"/>
      <c r="Y45" s="172"/>
      <c r="Z45" s="172"/>
      <c r="AA45" s="172"/>
      <c r="AB45" s="172"/>
      <c r="AC45" s="172"/>
      <c r="AD45" s="172"/>
      <c r="AE45" s="172"/>
      <c r="AF45" s="172"/>
      <c r="AG45" s="177" t="s">
        <v>43</v>
      </c>
      <c r="AH45" s="672">
        <f>(LEN(CONCATENATE(C38,O38,AA38,AM38))-LEN(SUBSTITUTE(CONCATENATE(C38,O38,AA38,AM38),"/","")))/2</f>
        <v>0</v>
      </c>
      <c r="AI45" s="672"/>
      <c r="AJ45" s="672"/>
      <c r="AK45" s="672"/>
      <c r="AL45" s="672"/>
      <c r="AM45" s="672"/>
      <c r="AN45" s="672"/>
      <c r="AO45" s="672"/>
      <c r="AP45" s="672"/>
      <c r="AQ45" s="672"/>
      <c r="AR45" s="672"/>
      <c r="AS45" s="672"/>
      <c r="AT45" s="672"/>
      <c r="AU45" s="672"/>
      <c r="AV45" s="672"/>
      <c r="AW45" s="672"/>
      <c r="AX45" s="672"/>
      <c r="AY45" s="672"/>
      <c r="AZ45" s="672"/>
      <c r="BA45" s="672"/>
      <c r="BB45" s="672"/>
      <c r="BC45" s="672"/>
      <c r="BD45" s="672"/>
      <c r="BE45" s="672"/>
      <c r="BF45" s="672"/>
      <c r="BG45" s="672"/>
      <c r="BH45" s="672"/>
      <c r="BI45" s="672"/>
    </row>
    <row r="46" spans="1:61" ht="20" customHeight="1">
      <c r="A46" s="172" t="str">
        <f>"No. of "&amp;C35&amp;" required to be completed prior to 3 day Service Assessment"</f>
        <v>No. of Peer to Peer required to be completed prior to 3 day Service Assessment</v>
      </c>
      <c r="B46" s="172"/>
      <c r="C46" s="172"/>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72"/>
      <c r="AB46" s="172"/>
      <c r="AC46" s="172"/>
      <c r="AD46" s="172"/>
      <c r="AE46" s="172"/>
      <c r="AF46" s="172"/>
      <c r="AG46" s="177" t="s">
        <v>43</v>
      </c>
      <c r="AH46" s="672">
        <f>IF(AH45&lt;BI35,BI35-AH45,"Nil")</f>
        <v>8</v>
      </c>
      <c r="AI46" s="672"/>
      <c r="AJ46" s="672"/>
      <c r="AK46" s="672"/>
      <c r="AL46" s="672"/>
      <c r="AM46" s="672"/>
      <c r="AN46" s="672"/>
      <c r="AO46" s="672"/>
      <c r="AP46" s="672"/>
      <c r="AQ46" s="672"/>
      <c r="AR46" s="672"/>
      <c r="AS46" s="672"/>
      <c r="AT46" s="672"/>
      <c r="AU46" s="672"/>
      <c r="AV46" s="672"/>
      <c r="AW46" s="672"/>
      <c r="AX46" s="672"/>
      <c r="AY46" s="672"/>
      <c r="AZ46" s="672"/>
      <c r="BA46" s="672"/>
      <c r="BB46" s="672"/>
      <c r="BC46" s="672"/>
      <c r="BD46" s="672"/>
      <c r="BE46" s="672"/>
      <c r="BF46" s="672"/>
      <c r="BG46" s="672"/>
      <c r="BH46" s="672"/>
      <c r="BI46" s="672"/>
    </row>
    <row r="47" spans="1:61" ht="20" customHeight="1">
      <c r="A47" s="206" t="s">
        <v>263</v>
      </c>
      <c r="B47" s="185"/>
      <c r="C47" s="185"/>
      <c r="D47" s="185"/>
      <c r="E47" s="185"/>
      <c r="F47" s="185"/>
      <c r="G47" s="185"/>
      <c r="H47" s="185"/>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9" t="s">
        <v>43</v>
      </c>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row>
    <row r="48" spans="1:61" ht="20" customHeight="1">
      <c r="A48" s="677" t="s">
        <v>288</v>
      </c>
      <c r="B48" s="677"/>
      <c r="C48" s="677"/>
      <c r="D48" s="677"/>
      <c r="E48" s="677"/>
      <c r="F48" s="677"/>
      <c r="G48" s="677"/>
      <c r="H48" s="677"/>
      <c r="I48" s="677"/>
      <c r="J48" s="677"/>
      <c r="K48" s="677"/>
      <c r="L48" s="677"/>
      <c r="M48" s="677"/>
      <c r="N48" s="677"/>
      <c r="O48" s="677"/>
      <c r="P48" s="677"/>
      <c r="Q48" s="677"/>
      <c r="R48" s="677"/>
      <c r="S48" s="677"/>
      <c r="T48" s="677"/>
      <c r="U48" s="677"/>
      <c r="V48" s="677"/>
      <c r="W48" s="677"/>
      <c r="X48" s="677"/>
      <c r="Y48" s="677"/>
      <c r="Z48" s="677"/>
      <c r="AA48" s="677"/>
      <c r="AB48" s="677"/>
      <c r="AC48" s="677"/>
      <c r="AD48" s="677"/>
      <c r="AE48" s="677"/>
      <c r="AF48" s="677"/>
      <c r="AG48" s="677"/>
      <c r="AH48" s="677"/>
      <c r="AI48" s="677"/>
      <c r="AJ48" s="677"/>
      <c r="AK48" s="677"/>
      <c r="AL48" s="677"/>
      <c r="AM48" s="677"/>
      <c r="AN48" s="677"/>
      <c r="AO48" s="677"/>
      <c r="AP48" s="677"/>
      <c r="AQ48" s="677"/>
      <c r="AR48" s="677"/>
      <c r="AS48" s="677"/>
      <c r="AT48" s="677"/>
      <c r="AU48" s="677"/>
      <c r="AV48" s="677"/>
      <c r="AW48" s="677"/>
      <c r="AX48" s="677"/>
      <c r="AY48" s="677"/>
      <c r="AZ48" s="677"/>
      <c r="BA48" s="677"/>
      <c r="BB48" s="677"/>
      <c r="BC48" s="677"/>
      <c r="BD48" s="677"/>
      <c r="BE48" s="677"/>
      <c r="BF48" s="677"/>
      <c r="BG48" s="677"/>
      <c r="BH48" s="677"/>
      <c r="BI48" s="677"/>
    </row>
    <row r="49" spans="1:61" ht="20" customHeight="1">
      <c r="A49" s="677"/>
      <c r="B49" s="677"/>
      <c r="C49" s="677"/>
      <c r="D49" s="677"/>
      <c r="E49" s="677"/>
      <c r="F49" s="677"/>
      <c r="G49" s="677"/>
      <c r="H49" s="677"/>
      <c r="I49" s="677"/>
      <c r="J49" s="677"/>
      <c r="K49" s="677"/>
      <c r="L49" s="677"/>
      <c r="M49" s="677"/>
      <c r="N49" s="677"/>
      <c r="O49" s="677"/>
      <c r="P49" s="677"/>
      <c r="Q49" s="677"/>
      <c r="R49" s="677"/>
      <c r="S49" s="677"/>
      <c r="T49" s="677"/>
      <c r="U49" s="677"/>
      <c r="V49" s="677"/>
      <c r="W49" s="677"/>
      <c r="X49" s="677"/>
      <c r="Y49" s="677"/>
      <c r="Z49" s="677"/>
      <c r="AA49" s="677"/>
      <c r="AB49" s="677"/>
      <c r="AC49" s="677"/>
      <c r="AD49" s="677"/>
      <c r="AE49" s="677"/>
      <c r="AF49" s="677"/>
      <c r="AG49" s="677"/>
      <c r="AH49" s="677"/>
      <c r="AI49" s="677"/>
      <c r="AJ49" s="677"/>
      <c r="AK49" s="677"/>
      <c r="AL49" s="677"/>
      <c r="AM49" s="677"/>
      <c r="AN49" s="677"/>
      <c r="AO49" s="677"/>
      <c r="AP49" s="677"/>
      <c r="AQ49" s="677"/>
      <c r="AR49" s="677"/>
      <c r="AS49" s="677"/>
      <c r="AT49" s="677"/>
      <c r="AU49" s="677"/>
      <c r="AV49" s="677"/>
      <c r="AW49" s="677"/>
      <c r="AX49" s="677"/>
      <c r="AY49" s="677"/>
      <c r="AZ49" s="677"/>
      <c r="BA49" s="677"/>
      <c r="BB49" s="677"/>
      <c r="BC49" s="677"/>
      <c r="BD49" s="677"/>
      <c r="BE49" s="677"/>
      <c r="BF49" s="677"/>
      <c r="BG49" s="677"/>
      <c r="BH49" s="677"/>
      <c r="BI49" s="677"/>
    </row>
    <row r="50" spans="1:61" ht="20" customHeight="1">
      <c r="A50" s="677"/>
      <c r="B50" s="677"/>
      <c r="C50" s="677"/>
      <c r="D50" s="677"/>
      <c r="E50" s="677"/>
      <c r="F50" s="677"/>
      <c r="G50" s="677"/>
      <c r="H50" s="677"/>
      <c r="I50" s="677"/>
      <c r="J50" s="677"/>
      <c r="K50" s="677"/>
      <c r="L50" s="677"/>
      <c r="M50" s="677"/>
      <c r="N50" s="677"/>
      <c r="O50" s="677"/>
      <c r="P50" s="677"/>
      <c r="Q50" s="677"/>
      <c r="R50" s="677"/>
      <c r="S50" s="677"/>
      <c r="T50" s="677"/>
      <c r="U50" s="677"/>
      <c r="V50" s="677"/>
      <c r="W50" s="677"/>
      <c r="X50" s="677"/>
      <c r="Y50" s="677"/>
      <c r="Z50" s="677"/>
      <c r="AA50" s="677"/>
      <c r="AB50" s="677"/>
      <c r="AC50" s="677"/>
      <c r="AD50" s="677"/>
      <c r="AE50" s="677"/>
      <c r="AF50" s="677"/>
      <c r="AG50" s="677"/>
      <c r="AH50" s="677"/>
      <c r="AI50" s="677"/>
      <c r="AJ50" s="677"/>
      <c r="AK50" s="677"/>
      <c r="AL50" s="677"/>
      <c r="AM50" s="677"/>
      <c r="AN50" s="677"/>
      <c r="AO50" s="677"/>
      <c r="AP50" s="677"/>
      <c r="AQ50" s="677"/>
      <c r="AR50" s="677"/>
      <c r="AS50" s="677"/>
      <c r="AT50" s="677"/>
      <c r="AU50" s="677"/>
      <c r="AV50" s="677"/>
      <c r="AW50" s="677"/>
      <c r="AX50" s="677"/>
      <c r="AY50" s="677"/>
      <c r="AZ50" s="677"/>
      <c r="BA50" s="677"/>
      <c r="BB50" s="677"/>
      <c r="BC50" s="677"/>
      <c r="BD50" s="677"/>
      <c r="BE50" s="677"/>
      <c r="BF50" s="677"/>
      <c r="BG50" s="677"/>
      <c r="BH50" s="677"/>
      <c r="BI50" s="677"/>
    </row>
    <row r="51" spans="1:61" ht="20" customHeight="1">
      <c r="A51" s="677"/>
      <c r="B51" s="677"/>
      <c r="C51" s="677"/>
      <c r="D51" s="677"/>
      <c r="E51" s="677"/>
      <c r="F51" s="677"/>
      <c r="G51" s="677"/>
      <c r="H51" s="677"/>
      <c r="I51" s="677"/>
      <c r="J51" s="677"/>
      <c r="K51" s="677"/>
      <c r="L51" s="677"/>
      <c r="M51" s="677"/>
      <c r="N51" s="677"/>
      <c r="O51" s="677"/>
      <c r="P51" s="677"/>
      <c r="Q51" s="677"/>
      <c r="R51" s="677"/>
      <c r="S51" s="677"/>
      <c r="T51" s="677"/>
      <c r="U51" s="677"/>
      <c r="V51" s="677"/>
      <c r="W51" s="677"/>
      <c r="X51" s="677"/>
      <c r="Y51" s="677"/>
      <c r="Z51" s="677"/>
      <c r="AA51" s="677"/>
      <c r="AB51" s="677"/>
      <c r="AC51" s="677"/>
      <c r="AD51" s="677"/>
      <c r="AE51" s="677"/>
      <c r="AF51" s="677"/>
      <c r="AG51" s="677"/>
      <c r="AH51" s="677"/>
      <c r="AI51" s="677"/>
      <c r="AJ51" s="677"/>
      <c r="AK51" s="677"/>
      <c r="AL51" s="677"/>
      <c r="AM51" s="677"/>
      <c r="AN51" s="677"/>
      <c r="AO51" s="677"/>
      <c r="AP51" s="677"/>
      <c r="AQ51" s="677"/>
      <c r="AR51" s="677"/>
      <c r="AS51" s="677"/>
      <c r="AT51" s="677"/>
      <c r="AU51" s="677"/>
      <c r="AV51" s="677"/>
      <c r="AW51" s="677"/>
      <c r="AX51" s="677"/>
      <c r="AY51" s="677"/>
      <c r="AZ51" s="677"/>
      <c r="BA51" s="677"/>
      <c r="BB51" s="677"/>
      <c r="BC51" s="677"/>
      <c r="BD51" s="677"/>
      <c r="BE51" s="677"/>
      <c r="BF51" s="677"/>
      <c r="BG51" s="677"/>
      <c r="BH51" s="677"/>
      <c r="BI51" s="677"/>
    </row>
    <row r="52" spans="1:61" s="164" customFormat="1" ht="20" customHeight="1">
      <c r="A52" s="676">
        <v>2.2000000000000002</v>
      </c>
      <c r="B52" s="676"/>
      <c r="C52" s="175" t="s">
        <v>240</v>
      </c>
      <c r="D52" s="175"/>
      <c r="E52" s="175"/>
      <c r="F52" s="175"/>
      <c r="G52" s="175"/>
      <c r="H52" s="175"/>
      <c r="I52" s="175"/>
      <c r="J52" s="175"/>
      <c r="K52" s="170"/>
      <c r="L52" s="174"/>
      <c r="M52" s="174"/>
      <c r="N52" s="174"/>
      <c r="O52" s="174"/>
      <c r="P52" s="174"/>
      <c r="Q52" s="174"/>
      <c r="R52" s="174"/>
      <c r="S52" s="174"/>
      <c r="T52" s="174"/>
      <c r="U52" s="174"/>
      <c r="V52" s="174"/>
      <c r="W52" s="174"/>
      <c r="X52" s="174"/>
      <c r="Y52" s="174"/>
      <c r="Z52" s="174"/>
      <c r="AA52" s="174"/>
      <c r="AB52" s="174"/>
      <c r="AC52" s="174"/>
      <c r="AD52" s="174"/>
      <c r="AE52" s="174"/>
      <c r="AF52" s="174"/>
      <c r="AG52" s="174"/>
      <c r="AH52" s="174"/>
      <c r="AI52" s="174"/>
      <c r="AJ52" s="174"/>
      <c r="AK52" s="174"/>
      <c r="AL52" s="175"/>
      <c r="AM52" s="175"/>
      <c r="AN52" s="175"/>
      <c r="AO52" s="175"/>
      <c r="AP52" s="175"/>
      <c r="AQ52" s="170"/>
      <c r="AR52" s="176"/>
      <c r="AS52" s="176"/>
      <c r="AT52" s="176"/>
      <c r="AU52" s="176"/>
      <c r="AV52" s="176"/>
      <c r="AW52" s="176"/>
      <c r="AX52" s="176"/>
      <c r="AY52" s="176"/>
      <c r="AZ52" s="176"/>
      <c r="BA52" s="176"/>
      <c r="BB52" s="176"/>
      <c r="BC52" s="176"/>
      <c r="BD52" s="176"/>
      <c r="BE52" s="171"/>
      <c r="BF52" s="171"/>
      <c r="BG52" s="171"/>
      <c r="BH52" s="222" t="s">
        <v>308</v>
      </c>
      <c r="BI52" s="221">
        <v>8</v>
      </c>
    </row>
    <row r="53" spans="1:61" s="164" customFormat="1" ht="20" customHeight="1">
      <c r="A53" s="197"/>
      <c r="B53" s="198"/>
      <c r="C53" s="693" t="s">
        <v>608</v>
      </c>
      <c r="D53" s="694"/>
      <c r="E53" s="694"/>
      <c r="F53" s="694"/>
      <c r="G53" s="694"/>
      <c r="H53" s="694"/>
      <c r="I53" s="694"/>
      <c r="J53" s="694"/>
      <c r="K53" s="694"/>
      <c r="L53" s="694"/>
      <c r="M53" s="694"/>
      <c r="N53" s="695"/>
      <c r="O53" s="693" t="s">
        <v>609</v>
      </c>
      <c r="P53" s="694"/>
      <c r="Q53" s="694"/>
      <c r="R53" s="694"/>
      <c r="S53" s="694"/>
      <c r="T53" s="694"/>
      <c r="U53" s="694"/>
      <c r="V53" s="694"/>
      <c r="W53" s="694"/>
      <c r="X53" s="694"/>
      <c r="Y53" s="694"/>
      <c r="Z53" s="695"/>
      <c r="AA53" s="693" t="s">
        <v>610</v>
      </c>
      <c r="AB53" s="694"/>
      <c r="AC53" s="694"/>
      <c r="AD53" s="694"/>
      <c r="AE53" s="694"/>
      <c r="AF53" s="694"/>
      <c r="AG53" s="694"/>
      <c r="AH53" s="694"/>
      <c r="AI53" s="694"/>
      <c r="AJ53" s="694"/>
      <c r="AK53" s="694"/>
      <c r="AL53" s="695"/>
      <c r="AM53" s="693" t="s">
        <v>611</v>
      </c>
      <c r="AN53" s="694"/>
      <c r="AO53" s="694"/>
      <c r="AP53" s="694"/>
      <c r="AQ53" s="694"/>
      <c r="AR53" s="694"/>
      <c r="AS53" s="694"/>
      <c r="AT53" s="694"/>
      <c r="AU53" s="694"/>
      <c r="AV53" s="694"/>
      <c r="AW53" s="694"/>
      <c r="AX53" s="695"/>
      <c r="AY53" s="692"/>
      <c r="AZ53" s="692"/>
      <c r="BA53" s="692"/>
      <c r="BB53" s="692"/>
      <c r="BC53" s="692"/>
      <c r="BD53" s="692"/>
      <c r="BE53" s="692"/>
      <c r="BF53" s="692"/>
      <c r="BG53" s="692"/>
      <c r="BH53" s="692"/>
      <c r="BI53" s="692"/>
    </row>
    <row r="54" spans="1:61" s="164" customFormat="1" ht="20" customHeight="1">
      <c r="A54" s="199"/>
      <c r="B54" s="200"/>
      <c r="C54" s="696"/>
      <c r="D54" s="697"/>
      <c r="E54" s="697"/>
      <c r="F54" s="697"/>
      <c r="G54" s="697"/>
      <c r="H54" s="697"/>
      <c r="I54" s="697"/>
      <c r="J54" s="697"/>
      <c r="K54" s="697"/>
      <c r="L54" s="697"/>
      <c r="M54" s="697"/>
      <c r="N54" s="698"/>
      <c r="O54" s="696"/>
      <c r="P54" s="697"/>
      <c r="Q54" s="697"/>
      <c r="R54" s="697"/>
      <c r="S54" s="697"/>
      <c r="T54" s="697"/>
      <c r="U54" s="697"/>
      <c r="V54" s="697"/>
      <c r="W54" s="697"/>
      <c r="X54" s="697"/>
      <c r="Y54" s="697"/>
      <c r="Z54" s="698"/>
      <c r="AA54" s="696"/>
      <c r="AB54" s="697"/>
      <c r="AC54" s="697"/>
      <c r="AD54" s="697"/>
      <c r="AE54" s="697"/>
      <c r="AF54" s="697"/>
      <c r="AG54" s="697"/>
      <c r="AH54" s="697"/>
      <c r="AI54" s="697"/>
      <c r="AJ54" s="697"/>
      <c r="AK54" s="697"/>
      <c r="AL54" s="698"/>
      <c r="AM54" s="696"/>
      <c r="AN54" s="697"/>
      <c r="AO54" s="697"/>
      <c r="AP54" s="697"/>
      <c r="AQ54" s="697"/>
      <c r="AR54" s="697"/>
      <c r="AS54" s="697"/>
      <c r="AT54" s="697"/>
      <c r="AU54" s="697"/>
      <c r="AV54" s="697"/>
      <c r="AW54" s="697"/>
      <c r="AX54" s="698"/>
      <c r="AY54" s="692"/>
      <c r="AZ54" s="692"/>
      <c r="BA54" s="692"/>
      <c r="BB54" s="692"/>
      <c r="BC54" s="692"/>
      <c r="BD54" s="692"/>
      <c r="BE54" s="692"/>
      <c r="BF54" s="692"/>
      <c r="BG54" s="692"/>
      <c r="BH54" s="692"/>
      <c r="BI54" s="692"/>
    </row>
    <row r="55" spans="1:61" ht="20" customHeight="1">
      <c r="A55" s="688" t="s">
        <v>236</v>
      </c>
      <c r="B55" s="689"/>
      <c r="C55" s="682"/>
      <c r="D55" s="683"/>
      <c r="E55" s="683"/>
      <c r="F55" s="683"/>
      <c r="G55" s="683"/>
      <c r="H55" s="683"/>
      <c r="I55" s="683"/>
      <c r="J55" s="683"/>
      <c r="K55" s="683"/>
      <c r="L55" s="683"/>
      <c r="M55" s="683"/>
      <c r="N55" s="684"/>
      <c r="O55" s="682"/>
      <c r="P55" s="683"/>
      <c r="Q55" s="683"/>
      <c r="R55" s="683"/>
      <c r="S55" s="683"/>
      <c r="T55" s="683"/>
      <c r="U55" s="683"/>
      <c r="V55" s="683"/>
      <c r="W55" s="683"/>
      <c r="X55" s="683"/>
      <c r="Y55" s="683"/>
      <c r="Z55" s="684"/>
      <c r="AA55" s="682"/>
      <c r="AB55" s="683"/>
      <c r="AC55" s="683"/>
      <c r="AD55" s="683"/>
      <c r="AE55" s="683"/>
      <c r="AF55" s="683"/>
      <c r="AG55" s="683"/>
      <c r="AH55" s="683"/>
      <c r="AI55" s="683"/>
      <c r="AJ55" s="683"/>
      <c r="AK55" s="683"/>
      <c r="AL55" s="684"/>
      <c r="AM55" s="682"/>
      <c r="AN55" s="683"/>
      <c r="AO55" s="683"/>
      <c r="AP55" s="683"/>
      <c r="AQ55" s="683"/>
      <c r="AR55" s="683"/>
      <c r="AS55" s="683"/>
      <c r="AT55" s="683"/>
      <c r="AU55" s="683"/>
      <c r="AV55" s="683"/>
      <c r="AW55" s="683"/>
      <c r="AX55" s="684"/>
      <c r="AY55" s="188"/>
      <c r="AZ55" s="188"/>
      <c r="BA55" s="188"/>
      <c r="BB55" s="188"/>
      <c r="BC55" s="188"/>
      <c r="BD55" s="188"/>
      <c r="BE55" s="188"/>
      <c r="BF55" s="188"/>
      <c r="BG55" s="188"/>
      <c r="BH55" s="188"/>
      <c r="BI55" s="188"/>
    </row>
    <row r="56" spans="1:61" ht="20" customHeight="1">
      <c r="A56" s="690"/>
      <c r="B56" s="691"/>
      <c r="C56" s="685"/>
      <c r="D56" s="686"/>
      <c r="E56" s="686"/>
      <c r="F56" s="686"/>
      <c r="G56" s="686"/>
      <c r="H56" s="686"/>
      <c r="I56" s="686"/>
      <c r="J56" s="686"/>
      <c r="K56" s="686"/>
      <c r="L56" s="686"/>
      <c r="M56" s="686"/>
      <c r="N56" s="687"/>
      <c r="O56" s="685"/>
      <c r="P56" s="686"/>
      <c r="Q56" s="686"/>
      <c r="R56" s="686"/>
      <c r="S56" s="686"/>
      <c r="T56" s="686"/>
      <c r="U56" s="686"/>
      <c r="V56" s="686"/>
      <c r="W56" s="686"/>
      <c r="X56" s="686"/>
      <c r="Y56" s="686"/>
      <c r="Z56" s="687"/>
      <c r="AA56" s="685"/>
      <c r="AB56" s="686"/>
      <c r="AC56" s="686"/>
      <c r="AD56" s="686"/>
      <c r="AE56" s="686"/>
      <c r="AF56" s="686"/>
      <c r="AG56" s="686"/>
      <c r="AH56" s="686"/>
      <c r="AI56" s="686"/>
      <c r="AJ56" s="686"/>
      <c r="AK56" s="686"/>
      <c r="AL56" s="687"/>
      <c r="AM56" s="685"/>
      <c r="AN56" s="686"/>
      <c r="AO56" s="686"/>
      <c r="AP56" s="686"/>
      <c r="AQ56" s="686"/>
      <c r="AR56" s="686"/>
      <c r="AS56" s="686"/>
      <c r="AT56" s="686"/>
      <c r="AU56" s="686"/>
      <c r="AV56" s="686"/>
      <c r="AW56" s="686"/>
      <c r="AX56" s="687"/>
      <c r="AY56" s="188"/>
      <c r="AZ56" s="188"/>
      <c r="BA56" s="188"/>
      <c r="BB56" s="188"/>
      <c r="BC56" s="188"/>
      <c r="BD56" s="188"/>
      <c r="BE56" s="188"/>
      <c r="BF56" s="188"/>
      <c r="BG56" s="188"/>
      <c r="BH56" s="188"/>
      <c r="BI56" s="188"/>
    </row>
    <row r="57" spans="1:61" ht="20" customHeight="1">
      <c r="A57" s="688" t="s">
        <v>237</v>
      </c>
      <c r="B57" s="689"/>
      <c r="C57" s="700" t="s">
        <v>230</v>
      </c>
      <c r="D57" s="700"/>
      <c r="E57" s="700"/>
      <c r="F57" s="700"/>
      <c r="G57" s="700"/>
      <c r="H57" s="700"/>
      <c r="I57" s="700"/>
      <c r="J57" s="700"/>
      <c r="K57" s="700"/>
      <c r="L57" s="700"/>
      <c r="M57" s="700"/>
      <c r="N57" s="700"/>
      <c r="O57" s="700" t="s">
        <v>230</v>
      </c>
      <c r="P57" s="700"/>
      <c r="Q57" s="700"/>
      <c r="R57" s="700"/>
      <c r="S57" s="700"/>
      <c r="T57" s="700"/>
      <c r="U57" s="700"/>
      <c r="V57" s="700"/>
      <c r="W57" s="700"/>
      <c r="X57" s="700"/>
      <c r="Y57" s="700"/>
      <c r="Z57" s="700"/>
      <c r="AA57" s="700" t="s">
        <v>231</v>
      </c>
      <c r="AB57" s="700"/>
      <c r="AC57" s="700"/>
      <c r="AD57" s="700"/>
      <c r="AE57" s="700"/>
      <c r="AF57" s="700"/>
      <c r="AG57" s="700"/>
      <c r="AH57" s="700"/>
      <c r="AI57" s="700"/>
      <c r="AJ57" s="700"/>
      <c r="AK57" s="700"/>
      <c r="AL57" s="700"/>
      <c r="AM57" s="700" t="s">
        <v>231</v>
      </c>
      <c r="AN57" s="700"/>
      <c r="AO57" s="700"/>
      <c r="AP57" s="700"/>
      <c r="AQ57" s="700"/>
      <c r="AR57" s="700"/>
      <c r="AS57" s="700"/>
      <c r="AT57" s="700"/>
      <c r="AU57" s="700"/>
      <c r="AV57" s="700"/>
      <c r="AW57" s="700"/>
      <c r="AX57" s="700"/>
      <c r="AY57" s="188"/>
      <c r="AZ57" s="188"/>
      <c r="BA57" s="188"/>
      <c r="BB57" s="188"/>
      <c r="BC57" s="188"/>
      <c r="BD57" s="188"/>
      <c r="BE57" s="188"/>
      <c r="BF57" s="188"/>
      <c r="BG57" s="188"/>
      <c r="BH57" s="188"/>
      <c r="BI57" s="188"/>
    </row>
    <row r="58" spans="1:61" ht="20" customHeight="1">
      <c r="A58" s="690"/>
      <c r="B58" s="691"/>
      <c r="C58" s="700"/>
      <c r="D58" s="700"/>
      <c r="E58" s="700"/>
      <c r="F58" s="700"/>
      <c r="G58" s="700"/>
      <c r="H58" s="700"/>
      <c r="I58" s="700"/>
      <c r="J58" s="700"/>
      <c r="K58" s="700"/>
      <c r="L58" s="700"/>
      <c r="M58" s="700"/>
      <c r="N58" s="700"/>
      <c r="O58" s="700"/>
      <c r="P58" s="700"/>
      <c r="Q58" s="700"/>
      <c r="R58" s="700"/>
      <c r="S58" s="700"/>
      <c r="T58" s="700"/>
      <c r="U58" s="700"/>
      <c r="V58" s="700"/>
      <c r="W58" s="700"/>
      <c r="X58" s="700"/>
      <c r="Y58" s="700"/>
      <c r="Z58" s="700"/>
      <c r="AA58" s="700"/>
      <c r="AB58" s="700"/>
      <c r="AC58" s="700"/>
      <c r="AD58" s="700"/>
      <c r="AE58" s="700"/>
      <c r="AF58" s="700"/>
      <c r="AG58" s="700"/>
      <c r="AH58" s="700"/>
      <c r="AI58" s="700"/>
      <c r="AJ58" s="700"/>
      <c r="AK58" s="700"/>
      <c r="AL58" s="700"/>
      <c r="AM58" s="700"/>
      <c r="AN58" s="700"/>
      <c r="AO58" s="700"/>
      <c r="AP58" s="700"/>
      <c r="AQ58" s="700"/>
      <c r="AR58" s="700"/>
      <c r="AS58" s="700"/>
      <c r="AT58" s="700"/>
      <c r="AU58" s="700"/>
      <c r="AV58" s="700"/>
      <c r="AW58" s="700"/>
      <c r="AX58" s="700"/>
      <c r="AY58" s="188"/>
      <c r="AZ58" s="188"/>
      <c r="BA58" s="188"/>
      <c r="BB58" s="188"/>
      <c r="BC58" s="188"/>
      <c r="BD58" s="188"/>
      <c r="BE58" s="188"/>
      <c r="BF58" s="188"/>
      <c r="BG58" s="188"/>
      <c r="BH58" s="188"/>
      <c r="BI58" s="188"/>
    </row>
    <row r="59" spans="1:61" ht="20" customHeight="1">
      <c r="A59" s="688" t="s">
        <v>241</v>
      </c>
      <c r="B59" s="689"/>
      <c r="C59" s="700" t="s">
        <v>247</v>
      </c>
      <c r="D59" s="700"/>
      <c r="E59" s="700"/>
      <c r="F59" s="700"/>
      <c r="G59" s="700"/>
      <c r="H59" s="700"/>
      <c r="I59" s="700"/>
      <c r="J59" s="700"/>
      <c r="K59" s="700"/>
      <c r="L59" s="700"/>
      <c r="M59" s="700"/>
      <c r="N59" s="700"/>
      <c r="O59" s="700" t="s">
        <v>247</v>
      </c>
      <c r="P59" s="700"/>
      <c r="Q59" s="700"/>
      <c r="R59" s="700"/>
      <c r="S59" s="700"/>
      <c r="T59" s="700"/>
      <c r="U59" s="700"/>
      <c r="V59" s="700"/>
      <c r="W59" s="700"/>
      <c r="X59" s="700"/>
      <c r="Y59" s="700"/>
      <c r="Z59" s="700"/>
      <c r="AA59" s="700" t="s">
        <v>244</v>
      </c>
      <c r="AB59" s="700"/>
      <c r="AC59" s="700"/>
      <c r="AD59" s="700"/>
      <c r="AE59" s="700"/>
      <c r="AF59" s="700"/>
      <c r="AG59" s="700"/>
      <c r="AH59" s="700"/>
      <c r="AI59" s="700"/>
      <c r="AJ59" s="700"/>
      <c r="AK59" s="700"/>
      <c r="AL59" s="700"/>
      <c r="AM59" s="700" t="s">
        <v>244</v>
      </c>
      <c r="AN59" s="700"/>
      <c r="AO59" s="700"/>
      <c r="AP59" s="700"/>
      <c r="AQ59" s="700"/>
      <c r="AR59" s="700"/>
      <c r="AS59" s="700"/>
      <c r="AT59" s="700"/>
      <c r="AU59" s="700"/>
      <c r="AV59" s="700"/>
      <c r="AW59" s="700"/>
      <c r="AX59" s="700"/>
      <c r="AY59" s="188"/>
      <c r="AZ59" s="188"/>
      <c r="BA59" s="188"/>
      <c r="BB59" s="188"/>
      <c r="BC59" s="188"/>
      <c r="BD59" s="188"/>
      <c r="BE59" s="188"/>
      <c r="BF59" s="188"/>
      <c r="BG59" s="188"/>
      <c r="BH59" s="188"/>
      <c r="BI59" s="188"/>
    </row>
    <row r="60" spans="1:61" ht="20" customHeight="1">
      <c r="A60" s="690"/>
      <c r="B60" s="691"/>
      <c r="C60" s="700"/>
      <c r="D60" s="700"/>
      <c r="E60" s="700"/>
      <c r="F60" s="700"/>
      <c r="G60" s="700"/>
      <c r="H60" s="700"/>
      <c r="I60" s="700"/>
      <c r="J60" s="700"/>
      <c r="K60" s="700"/>
      <c r="L60" s="700"/>
      <c r="M60" s="700"/>
      <c r="N60" s="700"/>
      <c r="O60" s="700"/>
      <c r="P60" s="700"/>
      <c r="Q60" s="700"/>
      <c r="R60" s="700"/>
      <c r="S60" s="700"/>
      <c r="T60" s="700"/>
      <c r="U60" s="700"/>
      <c r="V60" s="700"/>
      <c r="W60" s="700"/>
      <c r="X60" s="700"/>
      <c r="Y60" s="700"/>
      <c r="Z60" s="700"/>
      <c r="AA60" s="700"/>
      <c r="AB60" s="700"/>
      <c r="AC60" s="700"/>
      <c r="AD60" s="700"/>
      <c r="AE60" s="700"/>
      <c r="AF60" s="700"/>
      <c r="AG60" s="700"/>
      <c r="AH60" s="700"/>
      <c r="AI60" s="700"/>
      <c r="AJ60" s="700"/>
      <c r="AK60" s="700"/>
      <c r="AL60" s="700"/>
      <c r="AM60" s="700"/>
      <c r="AN60" s="700"/>
      <c r="AO60" s="700"/>
      <c r="AP60" s="700"/>
      <c r="AQ60" s="700"/>
      <c r="AR60" s="700"/>
      <c r="AS60" s="700"/>
      <c r="AT60" s="700"/>
      <c r="AU60" s="700"/>
      <c r="AV60" s="700"/>
      <c r="AW60" s="700"/>
      <c r="AX60" s="700"/>
      <c r="AY60" s="188"/>
      <c r="AZ60" s="188"/>
      <c r="BA60" s="188"/>
      <c r="BB60" s="188"/>
      <c r="BC60" s="188"/>
      <c r="BD60" s="188"/>
      <c r="BE60" s="188"/>
      <c r="BF60" s="188"/>
      <c r="BG60" s="188"/>
      <c r="BH60" s="188"/>
      <c r="BI60" s="188"/>
    </row>
    <row r="61" spans="1:61" ht="20" customHeight="1">
      <c r="A61" s="172" t="s">
        <v>227</v>
      </c>
      <c r="B61" s="172"/>
      <c r="C61" s="172"/>
      <c r="D61" s="172"/>
      <c r="E61" s="172"/>
      <c r="F61" s="172"/>
      <c r="G61" s="172"/>
      <c r="H61" s="172"/>
      <c r="I61" s="172"/>
      <c r="J61" s="172"/>
      <c r="K61" s="172"/>
      <c r="L61" s="172"/>
      <c r="M61" s="172"/>
      <c r="N61" s="172"/>
      <c r="O61" s="172"/>
      <c r="P61" s="172"/>
      <c r="Q61" s="172"/>
      <c r="R61" s="172"/>
      <c r="S61" s="172"/>
      <c r="T61" s="172"/>
      <c r="U61" s="172"/>
      <c r="V61" s="172"/>
      <c r="W61" s="172"/>
      <c r="X61" s="172"/>
      <c r="Y61" s="172"/>
      <c r="Z61" s="172"/>
      <c r="AA61" s="172"/>
      <c r="AB61" s="172"/>
      <c r="AC61" s="172"/>
      <c r="AD61" s="172"/>
      <c r="AE61" s="172"/>
      <c r="AF61" s="172"/>
      <c r="AG61" s="177" t="s">
        <v>43</v>
      </c>
      <c r="AH61" s="672" t="s">
        <v>290</v>
      </c>
      <c r="AI61" s="672"/>
      <c r="AJ61" s="672"/>
      <c r="AK61" s="672"/>
      <c r="AL61" s="672"/>
      <c r="AM61" s="672"/>
      <c r="AN61" s="672"/>
      <c r="AO61" s="672"/>
      <c r="AP61" s="672"/>
      <c r="AQ61" s="672"/>
      <c r="AR61" s="672"/>
      <c r="AS61" s="672"/>
      <c r="AT61" s="672"/>
      <c r="AU61" s="672"/>
      <c r="AV61" s="672"/>
      <c r="AW61" s="672"/>
      <c r="AX61" s="672"/>
      <c r="AY61" s="672"/>
      <c r="AZ61" s="672"/>
      <c r="BA61" s="672"/>
      <c r="BB61" s="672"/>
      <c r="BC61" s="672"/>
      <c r="BD61" s="672"/>
      <c r="BE61" s="672"/>
      <c r="BF61" s="672"/>
      <c r="BG61" s="672"/>
      <c r="BH61" s="672"/>
      <c r="BI61" s="672"/>
    </row>
    <row r="62" spans="1:61" ht="20" customHeight="1">
      <c r="A62" s="172" t="str">
        <f>"No. of "&amp;C52&amp;" completed:"</f>
        <v>No. of Cabin Supervisor Feedback completed:</v>
      </c>
      <c r="B62" s="172"/>
      <c r="C62" s="172"/>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172"/>
      <c r="AB62" s="172"/>
      <c r="AC62" s="172"/>
      <c r="AD62" s="172"/>
      <c r="AE62" s="172"/>
      <c r="AF62" s="172"/>
      <c r="AG62" s="177" t="s">
        <v>43</v>
      </c>
      <c r="AH62" s="672">
        <f>(LEN(CONCATENATE(C55,O55,AA55,AM55))-LEN(SUBSTITUTE(CONCATENATE(C55,O55,AA55,AM55),"/","")))/2</f>
        <v>0</v>
      </c>
      <c r="AI62" s="672"/>
      <c r="AJ62" s="672"/>
      <c r="AK62" s="672"/>
      <c r="AL62" s="672"/>
      <c r="AM62" s="672"/>
      <c r="AN62" s="672"/>
      <c r="AO62" s="672"/>
      <c r="AP62" s="672"/>
      <c r="AQ62" s="672"/>
      <c r="AR62" s="672"/>
      <c r="AS62" s="672"/>
      <c r="AT62" s="672"/>
      <c r="AU62" s="672"/>
      <c r="AV62" s="672"/>
      <c r="AW62" s="672"/>
      <c r="AX62" s="672"/>
      <c r="AY62" s="672"/>
      <c r="AZ62" s="672"/>
      <c r="BA62" s="672"/>
      <c r="BB62" s="672"/>
      <c r="BC62" s="672"/>
      <c r="BD62" s="672"/>
      <c r="BE62" s="672"/>
      <c r="BF62" s="672"/>
      <c r="BG62" s="672"/>
      <c r="BH62" s="672"/>
      <c r="BI62" s="672"/>
    </row>
    <row r="63" spans="1:61" ht="20" customHeight="1">
      <c r="A63" s="172" t="str">
        <f>"No. of "&amp;C52&amp;" required to be completed prior to 3 day Service Assessment"</f>
        <v>No. of Cabin Supervisor Feedback required to be completed prior to 3 day Service Assessment</v>
      </c>
      <c r="B63" s="172"/>
      <c r="C63" s="172"/>
      <c r="D63" s="172"/>
      <c r="E63" s="172"/>
      <c r="F63" s="172"/>
      <c r="G63" s="172"/>
      <c r="H63" s="172"/>
      <c r="I63" s="172"/>
      <c r="J63" s="172"/>
      <c r="K63" s="172"/>
      <c r="L63" s="172"/>
      <c r="M63" s="172"/>
      <c r="N63" s="172"/>
      <c r="O63" s="172"/>
      <c r="P63" s="172"/>
      <c r="Q63" s="172"/>
      <c r="R63" s="172"/>
      <c r="S63" s="172"/>
      <c r="T63" s="172"/>
      <c r="U63" s="172"/>
      <c r="V63" s="172"/>
      <c r="W63" s="172"/>
      <c r="X63" s="172"/>
      <c r="Y63" s="172"/>
      <c r="Z63" s="172"/>
      <c r="AA63" s="172"/>
      <c r="AB63" s="172"/>
      <c r="AC63" s="172"/>
      <c r="AD63" s="172"/>
      <c r="AE63" s="172"/>
      <c r="AF63" s="172"/>
      <c r="AG63" s="177" t="s">
        <v>43</v>
      </c>
      <c r="AH63" s="672">
        <f>IF(AH62&lt;BI52,BI52-AH62,"Nil")</f>
        <v>8</v>
      </c>
      <c r="AI63" s="672"/>
      <c r="AJ63" s="672"/>
      <c r="AK63" s="672"/>
      <c r="AL63" s="672"/>
      <c r="AM63" s="672"/>
      <c r="AN63" s="672"/>
      <c r="AO63" s="672"/>
      <c r="AP63" s="672"/>
      <c r="AQ63" s="672"/>
      <c r="AR63" s="672"/>
      <c r="AS63" s="672"/>
      <c r="AT63" s="672"/>
      <c r="AU63" s="672"/>
      <c r="AV63" s="672"/>
      <c r="AW63" s="672"/>
      <c r="AX63" s="672"/>
      <c r="AY63" s="672"/>
      <c r="AZ63" s="672"/>
      <c r="BA63" s="672"/>
      <c r="BB63" s="672"/>
      <c r="BC63" s="672"/>
      <c r="BD63" s="672"/>
      <c r="BE63" s="672"/>
      <c r="BF63" s="672"/>
      <c r="BG63" s="672"/>
      <c r="BH63" s="672"/>
      <c r="BI63" s="672"/>
    </row>
    <row r="64" spans="1:61" ht="20" customHeight="1">
      <c r="A64" s="206" t="s">
        <v>263</v>
      </c>
      <c r="B64" s="185"/>
      <c r="C64" s="185"/>
      <c r="D64" s="185"/>
      <c r="E64" s="185"/>
      <c r="F64" s="185"/>
      <c r="G64" s="185"/>
      <c r="H64" s="185"/>
      <c r="I64" s="185"/>
      <c r="J64" s="185"/>
      <c r="K64" s="185"/>
      <c r="L64" s="185"/>
      <c r="M64" s="185"/>
      <c r="N64" s="185"/>
      <c r="O64" s="185"/>
      <c r="P64" s="185"/>
      <c r="Q64" s="185"/>
      <c r="R64" s="185"/>
      <c r="S64" s="185"/>
      <c r="T64" s="185"/>
      <c r="U64" s="185"/>
      <c r="V64" s="185"/>
      <c r="W64" s="185"/>
      <c r="X64" s="185"/>
      <c r="Y64" s="185"/>
      <c r="Z64" s="185"/>
      <c r="AA64" s="185"/>
      <c r="AB64" s="185"/>
      <c r="AC64" s="185"/>
      <c r="AD64" s="185"/>
      <c r="AE64" s="185"/>
      <c r="AF64" s="185"/>
      <c r="AG64" s="177" t="s">
        <v>43</v>
      </c>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185"/>
      <c r="BG64" s="185"/>
      <c r="BH64" s="185"/>
      <c r="BI64" s="185"/>
    </row>
    <row r="65" spans="1:61" ht="20" customHeight="1">
      <c r="A65" s="677" t="s">
        <v>293</v>
      </c>
      <c r="B65" s="677"/>
      <c r="C65" s="677"/>
      <c r="D65" s="677"/>
      <c r="E65" s="677"/>
      <c r="F65" s="677"/>
      <c r="G65" s="677"/>
      <c r="H65" s="677"/>
      <c r="I65" s="677"/>
      <c r="J65" s="677"/>
      <c r="K65" s="677"/>
      <c r="L65" s="677"/>
      <c r="M65" s="677"/>
      <c r="N65" s="677"/>
      <c r="O65" s="677"/>
      <c r="P65" s="677"/>
      <c r="Q65" s="677"/>
      <c r="R65" s="677"/>
      <c r="S65" s="677"/>
      <c r="T65" s="677"/>
      <c r="U65" s="677"/>
      <c r="V65" s="677"/>
      <c r="W65" s="677"/>
      <c r="X65" s="677"/>
      <c r="Y65" s="677"/>
      <c r="Z65" s="677"/>
      <c r="AA65" s="677"/>
      <c r="AB65" s="677"/>
      <c r="AC65" s="677"/>
      <c r="AD65" s="677"/>
      <c r="AE65" s="677"/>
      <c r="AF65" s="677"/>
      <c r="AG65" s="677"/>
      <c r="AH65" s="677"/>
      <c r="AI65" s="677"/>
      <c r="AJ65" s="677"/>
      <c r="AK65" s="677"/>
      <c r="AL65" s="677"/>
      <c r="AM65" s="677"/>
      <c r="AN65" s="677"/>
      <c r="AO65" s="677"/>
      <c r="AP65" s="677"/>
      <c r="AQ65" s="677"/>
      <c r="AR65" s="677"/>
      <c r="AS65" s="677"/>
      <c r="AT65" s="677"/>
      <c r="AU65" s="677"/>
      <c r="AV65" s="677"/>
      <c r="AW65" s="677"/>
      <c r="AX65" s="677"/>
      <c r="AY65" s="677"/>
      <c r="AZ65" s="677"/>
      <c r="BA65" s="677"/>
      <c r="BB65" s="677"/>
      <c r="BC65" s="677"/>
      <c r="BD65" s="677"/>
      <c r="BE65" s="677"/>
      <c r="BF65" s="677"/>
      <c r="BG65" s="677"/>
      <c r="BH65" s="677"/>
      <c r="BI65" s="677"/>
    </row>
    <row r="66" spans="1:61" ht="20" customHeight="1">
      <c r="A66" s="677"/>
      <c r="B66" s="677"/>
      <c r="C66" s="677"/>
      <c r="D66" s="677"/>
      <c r="E66" s="677"/>
      <c r="F66" s="677"/>
      <c r="G66" s="677"/>
      <c r="H66" s="677"/>
      <c r="I66" s="677"/>
      <c r="J66" s="677"/>
      <c r="K66" s="677"/>
      <c r="L66" s="677"/>
      <c r="M66" s="677"/>
      <c r="N66" s="677"/>
      <c r="O66" s="677"/>
      <c r="P66" s="677"/>
      <c r="Q66" s="677"/>
      <c r="R66" s="677"/>
      <c r="S66" s="677"/>
      <c r="T66" s="677"/>
      <c r="U66" s="677"/>
      <c r="V66" s="677"/>
      <c r="W66" s="677"/>
      <c r="X66" s="677"/>
      <c r="Y66" s="677"/>
      <c r="Z66" s="677"/>
      <c r="AA66" s="677"/>
      <c r="AB66" s="677"/>
      <c r="AC66" s="677"/>
      <c r="AD66" s="677"/>
      <c r="AE66" s="677"/>
      <c r="AF66" s="677"/>
      <c r="AG66" s="677"/>
      <c r="AH66" s="677"/>
      <c r="AI66" s="677"/>
      <c r="AJ66" s="677"/>
      <c r="AK66" s="677"/>
      <c r="AL66" s="677"/>
      <c r="AM66" s="677"/>
      <c r="AN66" s="677"/>
      <c r="AO66" s="677"/>
      <c r="AP66" s="677"/>
      <c r="AQ66" s="677"/>
      <c r="AR66" s="677"/>
      <c r="AS66" s="677"/>
      <c r="AT66" s="677"/>
      <c r="AU66" s="677"/>
      <c r="AV66" s="677"/>
      <c r="AW66" s="677"/>
      <c r="AX66" s="677"/>
      <c r="AY66" s="677"/>
      <c r="AZ66" s="677"/>
      <c r="BA66" s="677"/>
      <c r="BB66" s="677"/>
      <c r="BC66" s="677"/>
      <c r="BD66" s="677"/>
      <c r="BE66" s="677"/>
      <c r="BF66" s="677"/>
      <c r="BG66" s="677"/>
      <c r="BH66" s="677"/>
      <c r="BI66" s="677"/>
    </row>
    <row r="67" spans="1:61" ht="20" customHeight="1">
      <c r="A67" s="677"/>
      <c r="B67" s="677"/>
      <c r="C67" s="677"/>
      <c r="D67" s="677"/>
      <c r="E67" s="677"/>
      <c r="F67" s="677"/>
      <c r="G67" s="677"/>
      <c r="H67" s="677"/>
      <c r="I67" s="677"/>
      <c r="J67" s="677"/>
      <c r="K67" s="677"/>
      <c r="L67" s="677"/>
      <c r="M67" s="677"/>
      <c r="N67" s="677"/>
      <c r="O67" s="677"/>
      <c r="P67" s="677"/>
      <c r="Q67" s="677"/>
      <c r="R67" s="677"/>
      <c r="S67" s="677"/>
      <c r="T67" s="677"/>
      <c r="U67" s="677"/>
      <c r="V67" s="677"/>
      <c r="W67" s="677"/>
      <c r="X67" s="677"/>
      <c r="Y67" s="677"/>
      <c r="Z67" s="677"/>
      <c r="AA67" s="677"/>
      <c r="AB67" s="677"/>
      <c r="AC67" s="677"/>
      <c r="AD67" s="677"/>
      <c r="AE67" s="677"/>
      <c r="AF67" s="677"/>
      <c r="AG67" s="677"/>
      <c r="AH67" s="677"/>
      <c r="AI67" s="677"/>
      <c r="AJ67" s="677"/>
      <c r="AK67" s="677"/>
      <c r="AL67" s="677"/>
      <c r="AM67" s="677"/>
      <c r="AN67" s="677"/>
      <c r="AO67" s="677"/>
      <c r="AP67" s="677"/>
      <c r="AQ67" s="677"/>
      <c r="AR67" s="677"/>
      <c r="AS67" s="677"/>
      <c r="AT67" s="677"/>
      <c r="AU67" s="677"/>
      <c r="AV67" s="677"/>
      <c r="AW67" s="677"/>
      <c r="AX67" s="677"/>
      <c r="AY67" s="677"/>
      <c r="AZ67" s="677"/>
      <c r="BA67" s="677"/>
      <c r="BB67" s="677"/>
      <c r="BC67" s="677"/>
      <c r="BD67" s="677"/>
      <c r="BE67" s="677"/>
      <c r="BF67" s="677"/>
      <c r="BG67" s="677"/>
      <c r="BH67" s="677"/>
      <c r="BI67" s="677"/>
    </row>
    <row r="68" spans="1:61" ht="20" customHeight="1">
      <c r="A68" s="677"/>
      <c r="B68" s="677"/>
      <c r="C68" s="677"/>
      <c r="D68" s="677"/>
      <c r="E68" s="677"/>
      <c r="F68" s="677"/>
      <c r="G68" s="677"/>
      <c r="H68" s="677"/>
      <c r="I68" s="677"/>
      <c r="J68" s="677"/>
      <c r="K68" s="677"/>
      <c r="L68" s="677"/>
      <c r="M68" s="677"/>
      <c r="N68" s="677"/>
      <c r="O68" s="677"/>
      <c r="P68" s="677"/>
      <c r="Q68" s="677"/>
      <c r="R68" s="677"/>
      <c r="S68" s="677"/>
      <c r="T68" s="677"/>
      <c r="U68" s="677"/>
      <c r="V68" s="677"/>
      <c r="W68" s="677"/>
      <c r="X68" s="677"/>
      <c r="Y68" s="677"/>
      <c r="Z68" s="677"/>
      <c r="AA68" s="677"/>
      <c r="AB68" s="677"/>
      <c r="AC68" s="677"/>
      <c r="AD68" s="677"/>
      <c r="AE68" s="677"/>
      <c r="AF68" s="677"/>
      <c r="AG68" s="677"/>
      <c r="AH68" s="677"/>
      <c r="AI68" s="677"/>
      <c r="AJ68" s="677"/>
      <c r="AK68" s="677"/>
      <c r="AL68" s="677"/>
      <c r="AM68" s="677"/>
      <c r="AN68" s="677"/>
      <c r="AO68" s="677"/>
      <c r="AP68" s="677"/>
      <c r="AQ68" s="677"/>
      <c r="AR68" s="677"/>
      <c r="AS68" s="677"/>
      <c r="AT68" s="677"/>
      <c r="AU68" s="677"/>
      <c r="AV68" s="677"/>
      <c r="AW68" s="677"/>
      <c r="AX68" s="677"/>
      <c r="AY68" s="677"/>
      <c r="AZ68" s="677"/>
      <c r="BA68" s="677"/>
      <c r="BB68" s="677"/>
      <c r="BC68" s="677"/>
      <c r="BD68" s="677"/>
      <c r="BE68" s="677"/>
      <c r="BF68" s="677"/>
      <c r="BG68" s="677"/>
      <c r="BH68" s="677"/>
      <c r="BI68" s="677"/>
    </row>
    <row r="69" spans="1:61" ht="20" customHeight="1">
      <c r="A69" s="676">
        <v>2.2999999999999998</v>
      </c>
      <c r="B69" s="676"/>
      <c r="C69" s="175" t="s">
        <v>249</v>
      </c>
      <c r="D69" s="175"/>
      <c r="E69" s="175"/>
      <c r="F69" s="175"/>
      <c r="G69" s="175"/>
      <c r="H69" s="175"/>
      <c r="I69" s="175"/>
      <c r="J69" s="175"/>
      <c r="K69" s="170"/>
      <c r="L69" s="174"/>
      <c r="M69" s="174"/>
      <c r="N69" s="174"/>
      <c r="O69" s="174"/>
      <c r="P69" s="174"/>
      <c r="Q69" s="174"/>
      <c r="R69" s="174"/>
      <c r="S69" s="174"/>
      <c r="T69" s="174"/>
      <c r="U69" s="174"/>
      <c r="V69" s="174"/>
      <c r="W69" s="174"/>
      <c r="X69" s="174"/>
      <c r="Y69" s="174"/>
      <c r="Z69" s="174"/>
      <c r="AA69" s="174"/>
      <c r="AB69" s="174"/>
      <c r="AC69" s="174"/>
      <c r="AD69" s="174"/>
      <c r="AE69" s="174"/>
      <c r="AF69" s="174"/>
      <c r="AG69" s="174"/>
      <c r="AH69" s="174"/>
      <c r="AI69" s="174"/>
      <c r="AJ69" s="174"/>
      <c r="AK69" s="174"/>
      <c r="AL69" s="175"/>
      <c r="AM69" s="175"/>
      <c r="AN69" s="175"/>
      <c r="AO69" s="175"/>
      <c r="AP69" s="175"/>
      <c r="AQ69" s="170"/>
      <c r="AR69" s="176"/>
      <c r="AS69" s="176"/>
      <c r="AT69" s="176"/>
      <c r="AU69" s="176"/>
      <c r="AV69" s="176"/>
      <c r="AW69" s="176"/>
      <c r="AX69" s="176"/>
      <c r="AY69" s="176"/>
      <c r="AZ69" s="176"/>
      <c r="BA69" s="176"/>
      <c r="BB69" s="176"/>
      <c r="BC69" s="176"/>
      <c r="BD69" s="176"/>
      <c r="BE69" s="171"/>
      <c r="BF69" s="171"/>
      <c r="BG69" s="171"/>
      <c r="BH69" s="224" t="s">
        <v>308</v>
      </c>
      <c r="BI69" s="223">
        <v>4</v>
      </c>
    </row>
    <row r="70" spans="1:61" ht="20" customHeight="1">
      <c r="A70" s="197"/>
      <c r="B70" s="198"/>
      <c r="C70" s="693" t="s">
        <v>221</v>
      </c>
      <c r="D70" s="694"/>
      <c r="E70" s="694"/>
      <c r="F70" s="694"/>
      <c r="G70" s="694"/>
      <c r="H70" s="694"/>
      <c r="I70" s="694"/>
      <c r="J70" s="694"/>
      <c r="K70" s="694"/>
      <c r="L70" s="694"/>
      <c r="M70" s="694"/>
      <c r="N70" s="695"/>
      <c r="O70" s="693" t="s">
        <v>222</v>
      </c>
      <c r="P70" s="694"/>
      <c r="Q70" s="694"/>
      <c r="R70" s="694"/>
      <c r="S70" s="694"/>
      <c r="T70" s="694"/>
      <c r="U70" s="694"/>
      <c r="V70" s="694"/>
      <c r="W70" s="694"/>
      <c r="X70" s="694"/>
      <c r="Y70" s="694"/>
      <c r="Z70" s="695"/>
      <c r="AA70" s="693" t="s">
        <v>223</v>
      </c>
      <c r="AB70" s="694"/>
      <c r="AC70" s="694"/>
      <c r="AD70" s="694"/>
      <c r="AE70" s="694"/>
      <c r="AF70" s="694"/>
      <c r="AG70" s="694"/>
      <c r="AH70" s="694"/>
      <c r="AI70" s="694"/>
      <c r="AJ70" s="694"/>
      <c r="AK70" s="694"/>
      <c r="AL70" s="695"/>
      <c r="AM70" s="693" t="s">
        <v>224</v>
      </c>
      <c r="AN70" s="694"/>
      <c r="AO70" s="694"/>
      <c r="AP70" s="694"/>
      <c r="AQ70" s="694"/>
      <c r="AR70" s="694"/>
      <c r="AS70" s="694"/>
      <c r="AT70" s="694"/>
      <c r="AU70" s="694"/>
      <c r="AV70" s="694"/>
      <c r="AW70" s="694"/>
      <c r="AX70" s="695"/>
      <c r="AY70" s="692"/>
      <c r="AZ70" s="692"/>
      <c r="BA70" s="692"/>
      <c r="BB70" s="692"/>
      <c r="BC70" s="692"/>
      <c r="BD70" s="692"/>
      <c r="BE70" s="692"/>
      <c r="BF70" s="692"/>
      <c r="BG70" s="692"/>
      <c r="BH70" s="692"/>
      <c r="BI70" s="692"/>
    </row>
    <row r="71" spans="1:61" ht="20" customHeight="1">
      <c r="A71" s="199"/>
      <c r="B71" s="200"/>
      <c r="C71" s="703"/>
      <c r="D71" s="704"/>
      <c r="E71" s="704"/>
      <c r="F71" s="704"/>
      <c r="G71" s="704"/>
      <c r="H71" s="704"/>
      <c r="I71" s="704"/>
      <c r="J71" s="704"/>
      <c r="K71" s="704"/>
      <c r="L71" s="704"/>
      <c r="M71" s="704"/>
      <c r="N71" s="705"/>
      <c r="O71" s="703"/>
      <c r="P71" s="704"/>
      <c r="Q71" s="704"/>
      <c r="R71" s="704"/>
      <c r="S71" s="704"/>
      <c r="T71" s="704"/>
      <c r="U71" s="704"/>
      <c r="V71" s="704"/>
      <c r="W71" s="704"/>
      <c r="X71" s="704"/>
      <c r="Y71" s="704"/>
      <c r="Z71" s="705"/>
      <c r="AA71" s="703"/>
      <c r="AB71" s="704"/>
      <c r="AC71" s="704"/>
      <c r="AD71" s="704"/>
      <c r="AE71" s="704"/>
      <c r="AF71" s="704"/>
      <c r="AG71" s="704"/>
      <c r="AH71" s="704"/>
      <c r="AI71" s="704"/>
      <c r="AJ71" s="704"/>
      <c r="AK71" s="704"/>
      <c r="AL71" s="705"/>
      <c r="AM71" s="703"/>
      <c r="AN71" s="704"/>
      <c r="AO71" s="704"/>
      <c r="AP71" s="704"/>
      <c r="AQ71" s="704"/>
      <c r="AR71" s="704"/>
      <c r="AS71" s="704"/>
      <c r="AT71" s="704"/>
      <c r="AU71" s="704"/>
      <c r="AV71" s="704"/>
      <c r="AW71" s="704"/>
      <c r="AX71" s="705"/>
      <c r="AY71" s="692"/>
      <c r="AZ71" s="692"/>
      <c r="BA71" s="692"/>
      <c r="BB71" s="692"/>
      <c r="BC71" s="692"/>
      <c r="BD71" s="692"/>
      <c r="BE71" s="692"/>
      <c r="BF71" s="692"/>
      <c r="BG71" s="692"/>
      <c r="BH71" s="692"/>
      <c r="BI71" s="692"/>
    </row>
    <row r="72" spans="1:61" ht="20" customHeight="1">
      <c r="A72" s="688" t="s">
        <v>236</v>
      </c>
      <c r="B72" s="701"/>
      <c r="C72" s="682"/>
      <c r="D72" s="683"/>
      <c r="E72" s="683"/>
      <c r="F72" s="683"/>
      <c r="G72" s="683"/>
      <c r="H72" s="683"/>
      <c r="I72" s="683"/>
      <c r="J72" s="683"/>
      <c r="K72" s="683"/>
      <c r="L72" s="683"/>
      <c r="M72" s="683"/>
      <c r="N72" s="684"/>
      <c r="O72" s="682"/>
      <c r="P72" s="683"/>
      <c r="Q72" s="683"/>
      <c r="R72" s="683"/>
      <c r="S72" s="683"/>
      <c r="T72" s="683"/>
      <c r="U72" s="683"/>
      <c r="V72" s="683"/>
      <c r="W72" s="683"/>
      <c r="X72" s="683"/>
      <c r="Y72" s="683"/>
      <c r="Z72" s="684"/>
      <c r="AA72" s="682"/>
      <c r="AB72" s="683"/>
      <c r="AC72" s="683"/>
      <c r="AD72" s="683"/>
      <c r="AE72" s="683"/>
      <c r="AF72" s="683"/>
      <c r="AG72" s="683"/>
      <c r="AH72" s="683"/>
      <c r="AI72" s="683"/>
      <c r="AJ72" s="683"/>
      <c r="AK72" s="683"/>
      <c r="AL72" s="684"/>
      <c r="AM72" s="682"/>
      <c r="AN72" s="683"/>
      <c r="AO72" s="683"/>
      <c r="AP72" s="683"/>
      <c r="AQ72" s="683"/>
      <c r="AR72" s="683"/>
      <c r="AS72" s="683"/>
      <c r="AT72" s="683"/>
      <c r="AU72" s="683"/>
      <c r="AV72" s="683"/>
      <c r="AW72" s="683"/>
      <c r="AX72" s="684"/>
      <c r="AY72" s="184"/>
      <c r="AZ72" s="184"/>
      <c r="BA72" s="184"/>
      <c r="BB72" s="184"/>
      <c r="BC72" s="184"/>
      <c r="BD72" s="184"/>
      <c r="BE72" s="184"/>
      <c r="BF72" s="184"/>
      <c r="BG72" s="184"/>
      <c r="BH72" s="184"/>
      <c r="BI72" s="184"/>
    </row>
    <row r="73" spans="1:61" ht="20" customHeight="1">
      <c r="A73" s="690"/>
      <c r="B73" s="702"/>
      <c r="C73" s="685"/>
      <c r="D73" s="686"/>
      <c r="E73" s="686"/>
      <c r="F73" s="686"/>
      <c r="G73" s="686"/>
      <c r="H73" s="686"/>
      <c r="I73" s="686"/>
      <c r="J73" s="686"/>
      <c r="K73" s="686"/>
      <c r="L73" s="686"/>
      <c r="M73" s="686"/>
      <c r="N73" s="687"/>
      <c r="O73" s="685"/>
      <c r="P73" s="686"/>
      <c r="Q73" s="686"/>
      <c r="R73" s="686"/>
      <c r="S73" s="686"/>
      <c r="T73" s="686"/>
      <c r="U73" s="686"/>
      <c r="V73" s="686"/>
      <c r="W73" s="686"/>
      <c r="X73" s="686"/>
      <c r="Y73" s="686"/>
      <c r="Z73" s="687"/>
      <c r="AA73" s="685"/>
      <c r="AB73" s="686"/>
      <c r="AC73" s="686"/>
      <c r="AD73" s="686"/>
      <c r="AE73" s="686"/>
      <c r="AF73" s="686"/>
      <c r="AG73" s="686"/>
      <c r="AH73" s="686"/>
      <c r="AI73" s="686"/>
      <c r="AJ73" s="686"/>
      <c r="AK73" s="686"/>
      <c r="AL73" s="687"/>
      <c r="AM73" s="685"/>
      <c r="AN73" s="686"/>
      <c r="AO73" s="686"/>
      <c r="AP73" s="686"/>
      <c r="AQ73" s="686"/>
      <c r="AR73" s="686"/>
      <c r="AS73" s="686"/>
      <c r="AT73" s="686"/>
      <c r="AU73" s="686"/>
      <c r="AV73" s="686"/>
      <c r="AW73" s="686"/>
      <c r="AX73" s="687"/>
      <c r="AY73" s="184"/>
      <c r="AZ73" s="184"/>
      <c r="BA73" s="184"/>
      <c r="BB73" s="184"/>
      <c r="BC73" s="184"/>
      <c r="BD73" s="184"/>
      <c r="BE73" s="184"/>
      <c r="BF73" s="184"/>
      <c r="BG73" s="184"/>
      <c r="BH73" s="184"/>
      <c r="BI73" s="184"/>
    </row>
    <row r="74" spans="1:61" ht="20" customHeight="1">
      <c r="A74" s="688" t="s">
        <v>237</v>
      </c>
      <c r="B74" s="701"/>
      <c r="C74" s="714" t="s">
        <v>230</v>
      </c>
      <c r="D74" s="715"/>
      <c r="E74" s="715"/>
      <c r="F74" s="715"/>
      <c r="G74" s="715"/>
      <c r="H74" s="715"/>
      <c r="I74" s="715"/>
      <c r="J74" s="715"/>
      <c r="K74" s="715"/>
      <c r="L74" s="715"/>
      <c r="M74" s="715"/>
      <c r="N74" s="716"/>
      <c r="O74" s="714" t="s">
        <v>230</v>
      </c>
      <c r="P74" s="715"/>
      <c r="Q74" s="715"/>
      <c r="R74" s="715"/>
      <c r="S74" s="715"/>
      <c r="T74" s="715"/>
      <c r="U74" s="715"/>
      <c r="V74" s="715"/>
      <c r="W74" s="715"/>
      <c r="X74" s="715"/>
      <c r="Y74" s="715"/>
      <c r="Z74" s="716"/>
      <c r="AA74" s="714" t="s">
        <v>231</v>
      </c>
      <c r="AB74" s="715"/>
      <c r="AC74" s="715"/>
      <c r="AD74" s="715"/>
      <c r="AE74" s="715"/>
      <c r="AF74" s="715"/>
      <c r="AG74" s="715"/>
      <c r="AH74" s="715"/>
      <c r="AI74" s="715"/>
      <c r="AJ74" s="715"/>
      <c r="AK74" s="715"/>
      <c r="AL74" s="716"/>
      <c r="AM74" s="714" t="s">
        <v>231</v>
      </c>
      <c r="AN74" s="715"/>
      <c r="AO74" s="715"/>
      <c r="AP74" s="715"/>
      <c r="AQ74" s="715"/>
      <c r="AR74" s="715"/>
      <c r="AS74" s="715"/>
      <c r="AT74" s="715"/>
      <c r="AU74" s="715"/>
      <c r="AV74" s="715"/>
      <c r="AW74" s="715"/>
      <c r="AX74" s="716"/>
      <c r="AY74" s="184"/>
      <c r="AZ74" s="184"/>
      <c r="BA74" s="184"/>
      <c r="BB74" s="184"/>
      <c r="BC74" s="184"/>
      <c r="BD74" s="184"/>
      <c r="BE74" s="184"/>
      <c r="BF74" s="184"/>
      <c r="BG74" s="184"/>
      <c r="BH74" s="184"/>
      <c r="BI74" s="184"/>
    </row>
    <row r="75" spans="1:61" ht="20" customHeight="1">
      <c r="A75" s="690"/>
      <c r="B75" s="702"/>
      <c r="C75" s="717"/>
      <c r="D75" s="718"/>
      <c r="E75" s="718"/>
      <c r="F75" s="718"/>
      <c r="G75" s="718"/>
      <c r="H75" s="718"/>
      <c r="I75" s="718"/>
      <c r="J75" s="718"/>
      <c r="K75" s="718"/>
      <c r="L75" s="718"/>
      <c r="M75" s="718"/>
      <c r="N75" s="719"/>
      <c r="O75" s="717"/>
      <c r="P75" s="718"/>
      <c r="Q75" s="718"/>
      <c r="R75" s="718"/>
      <c r="S75" s="718"/>
      <c r="T75" s="718"/>
      <c r="U75" s="718"/>
      <c r="V75" s="718"/>
      <c r="W75" s="718"/>
      <c r="X75" s="718"/>
      <c r="Y75" s="718"/>
      <c r="Z75" s="719"/>
      <c r="AA75" s="717"/>
      <c r="AB75" s="718"/>
      <c r="AC75" s="718"/>
      <c r="AD75" s="718"/>
      <c r="AE75" s="718"/>
      <c r="AF75" s="718"/>
      <c r="AG75" s="718"/>
      <c r="AH75" s="718"/>
      <c r="AI75" s="718"/>
      <c r="AJ75" s="718"/>
      <c r="AK75" s="718"/>
      <c r="AL75" s="719"/>
      <c r="AM75" s="717"/>
      <c r="AN75" s="718"/>
      <c r="AO75" s="718"/>
      <c r="AP75" s="718"/>
      <c r="AQ75" s="718"/>
      <c r="AR75" s="718"/>
      <c r="AS75" s="718"/>
      <c r="AT75" s="718"/>
      <c r="AU75" s="718"/>
      <c r="AV75" s="718"/>
      <c r="AW75" s="718"/>
      <c r="AX75" s="719"/>
      <c r="AY75" s="184"/>
      <c r="AZ75" s="184"/>
      <c r="BA75" s="184"/>
      <c r="BB75" s="184"/>
      <c r="BC75" s="184"/>
      <c r="BD75" s="184"/>
      <c r="BE75" s="184"/>
      <c r="BF75" s="184"/>
      <c r="BG75" s="184"/>
      <c r="BH75" s="184"/>
      <c r="BI75" s="184"/>
    </row>
    <row r="76" spans="1:61" ht="20" customHeight="1">
      <c r="A76" s="688" t="s">
        <v>241</v>
      </c>
      <c r="B76" s="701"/>
      <c r="C76" s="714" t="s">
        <v>247</v>
      </c>
      <c r="D76" s="715"/>
      <c r="E76" s="715"/>
      <c r="F76" s="715"/>
      <c r="G76" s="715"/>
      <c r="H76" s="715"/>
      <c r="I76" s="715"/>
      <c r="J76" s="715"/>
      <c r="K76" s="715"/>
      <c r="L76" s="715"/>
      <c r="M76" s="715"/>
      <c r="N76" s="716"/>
      <c r="O76" s="714" t="s">
        <v>247</v>
      </c>
      <c r="P76" s="715"/>
      <c r="Q76" s="715"/>
      <c r="R76" s="715"/>
      <c r="S76" s="715"/>
      <c r="T76" s="715"/>
      <c r="U76" s="715"/>
      <c r="V76" s="715"/>
      <c r="W76" s="715"/>
      <c r="X76" s="715"/>
      <c r="Y76" s="715"/>
      <c r="Z76" s="716"/>
      <c r="AA76" s="714" t="s">
        <v>244</v>
      </c>
      <c r="AB76" s="715"/>
      <c r="AC76" s="715"/>
      <c r="AD76" s="715"/>
      <c r="AE76" s="715"/>
      <c r="AF76" s="715"/>
      <c r="AG76" s="715"/>
      <c r="AH76" s="715"/>
      <c r="AI76" s="715"/>
      <c r="AJ76" s="715"/>
      <c r="AK76" s="715"/>
      <c r="AL76" s="716"/>
      <c r="AM76" s="714" t="s">
        <v>244</v>
      </c>
      <c r="AN76" s="715"/>
      <c r="AO76" s="715"/>
      <c r="AP76" s="715"/>
      <c r="AQ76" s="715"/>
      <c r="AR76" s="715"/>
      <c r="AS76" s="715"/>
      <c r="AT76" s="715"/>
      <c r="AU76" s="715"/>
      <c r="AV76" s="715"/>
      <c r="AW76" s="715"/>
      <c r="AX76" s="716"/>
      <c r="AY76" s="184"/>
      <c r="AZ76" s="184"/>
      <c r="BA76" s="184"/>
      <c r="BB76" s="184"/>
      <c r="BC76" s="184"/>
      <c r="BD76" s="184"/>
      <c r="BE76" s="184"/>
      <c r="BF76" s="184"/>
      <c r="BG76" s="184"/>
      <c r="BH76" s="184"/>
      <c r="BI76" s="184"/>
    </row>
    <row r="77" spans="1:61" ht="20" customHeight="1">
      <c r="A77" s="690"/>
      <c r="B77" s="702"/>
      <c r="C77" s="717"/>
      <c r="D77" s="718"/>
      <c r="E77" s="718"/>
      <c r="F77" s="718"/>
      <c r="G77" s="718"/>
      <c r="H77" s="718"/>
      <c r="I77" s="718"/>
      <c r="J77" s="718"/>
      <c r="K77" s="718"/>
      <c r="L77" s="718"/>
      <c r="M77" s="718"/>
      <c r="N77" s="719"/>
      <c r="O77" s="717"/>
      <c r="P77" s="718"/>
      <c r="Q77" s="718"/>
      <c r="R77" s="718"/>
      <c r="S77" s="718"/>
      <c r="T77" s="718"/>
      <c r="U77" s="718"/>
      <c r="V77" s="718"/>
      <c r="W77" s="718"/>
      <c r="X77" s="718"/>
      <c r="Y77" s="718"/>
      <c r="Z77" s="719"/>
      <c r="AA77" s="717"/>
      <c r="AB77" s="718"/>
      <c r="AC77" s="718"/>
      <c r="AD77" s="718"/>
      <c r="AE77" s="718"/>
      <c r="AF77" s="718"/>
      <c r="AG77" s="718"/>
      <c r="AH77" s="718"/>
      <c r="AI77" s="718"/>
      <c r="AJ77" s="718"/>
      <c r="AK77" s="718"/>
      <c r="AL77" s="719"/>
      <c r="AM77" s="717"/>
      <c r="AN77" s="718"/>
      <c r="AO77" s="718"/>
      <c r="AP77" s="718"/>
      <c r="AQ77" s="718"/>
      <c r="AR77" s="718"/>
      <c r="AS77" s="718"/>
      <c r="AT77" s="718"/>
      <c r="AU77" s="718"/>
      <c r="AV77" s="718"/>
      <c r="AW77" s="718"/>
      <c r="AX77" s="719"/>
      <c r="AY77" s="184"/>
      <c r="AZ77" s="184"/>
      <c r="BA77" s="184"/>
      <c r="BB77" s="184"/>
      <c r="BC77" s="184"/>
      <c r="BD77" s="184"/>
      <c r="BE77" s="184"/>
      <c r="BF77" s="184"/>
      <c r="BG77" s="184"/>
      <c r="BH77" s="184"/>
      <c r="BI77" s="184"/>
    </row>
    <row r="78" spans="1:61" ht="20" customHeight="1">
      <c r="A78" s="172" t="s">
        <v>264</v>
      </c>
      <c r="B78" s="172"/>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172"/>
      <c r="AC78" s="172"/>
      <c r="AD78" s="172"/>
      <c r="AE78" s="172"/>
      <c r="AF78" s="172"/>
      <c r="AG78" s="177" t="s">
        <v>43</v>
      </c>
      <c r="AH78" s="672" t="s">
        <v>290</v>
      </c>
      <c r="AI78" s="672"/>
      <c r="AJ78" s="672"/>
      <c r="AK78" s="672"/>
      <c r="AL78" s="672"/>
      <c r="AM78" s="672"/>
      <c r="AN78" s="672"/>
      <c r="AO78" s="672"/>
      <c r="AP78" s="672"/>
      <c r="AQ78" s="672"/>
      <c r="AR78" s="672"/>
      <c r="AS78" s="672"/>
      <c r="AT78" s="672"/>
      <c r="AU78" s="672"/>
      <c r="AV78" s="672"/>
      <c r="AW78" s="672"/>
      <c r="AX78" s="672"/>
      <c r="AY78" s="672"/>
      <c r="AZ78" s="672"/>
      <c r="BA78" s="672"/>
      <c r="BB78" s="672"/>
      <c r="BC78" s="672"/>
      <c r="BD78" s="672"/>
      <c r="BE78" s="672"/>
      <c r="BF78" s="672"/>
      <c r="BG78" s="672"/>
      <c r="BH78" s="672"/>
      <c r="BI78" s="672"/>
    </row>
    <row r="79" spans="1:61" ht="20" customHeight="1">
      <c r="A79" s="172" t="str">
        <f>"No. of "&amp;C69&amp;" completed"</f>
        <v>No. of Self Reflection completed</v>
      </c>
      <c r="B79" s="172"/>
      <c r="C79" s="172"/>
      <c r="D79" s="172"/>
      <c r="E79" s="172"/>
      <c r="F79" s="172"/>
      <c r="G79" s="172"/>
      <c r="H79" s="172"/>
      <c r="I79" s="172"/>
      <c r="J79" s="172"/>
      <c r="K79" s="172"/>
      <c r="L79" s="172"/>
      <c r="M79" s="172"/>
      <c r="N79" s="172"/>
      <c r="O79" s="172"/>
      <c r="P79" s="172"/>
      <c r="Q79" s="172"/>
      <c r="R79" s="172"/>
      <c r="S79" s="172"/>
      <c r="T79" s="172"/>
      <c r="U79" s="172"/>
      <c r="V79" s="172"/>
      <c r="W79" s="172"/>
      <c r="X79" s="172"/>
      <c r="Y79" s="172"/>
      <c r="Z79" s="172"/>
      <c r="AA79" s="172"/>
      <c r="AB79" s="172"/>
      <c r="AC79" s="172"/>
      <c r="AD79" s="172"/>
      <c r="AE79" s="172"/>
      <c r="AF79" s="172"/>
      <c r="AG79" s="177" t="s">
        <v>43</v>
      </c>
      <c r="AH79" s="672">
        <f>(LEN(CONCATENATE(C72,O72,AA72,AM72))-LEN(SUBSTITUTE(CONCATENATE(C72,O72,AA72,AM72),"/","")))/2</f>
        <v>0</v>
      </c>
      <c r="AI79" s="672"/>
      <c r="AJ79" s="672"/>
      <c r="AK79" s="672"/>
      <c r="AL79" s="672"/>
      <c r="AM79" s="672"/>
      <c r="AN79" s="672"/>
      <c r="AO79" s="672"/>
      <c r="AP79" s="672"/>
      <c r="AQ79" s="672"/>
      <c r="AR79" s="672"/>
      <c r="AS79" s="672"/>
      <c r="AT79" s="672"/>
      <c r="AU79" s="672"/>
      <c r="AV79" s="672"/>
      <c r="AW79" s="672"/>
      <c r="AX79" s="672"/>
      <c r="AY79" s="672"/>
      <c r="AZ79" s="672"/>
      <c r="BA79" s="672"/>
      <c r="BB79" s="672"/>
      <c r="BC79" s="672"/>
      <c r="BD79" s="672"/>
      <c r="BE79" s="672"/>
      <c r="BF79" s="672"/>
      <c r="BG79" s="672"/>
      <c r="BH79" s="672"/>
      <c r="BI79" s="672"/>
    </row>
    <row r="80" spans="1:61" ht="20" customHeight="1">
      <c r="A80" s="172" t="str">
        <f>"No. of "&amp;C69&amp;" required to be completed prior to 3 day Service Assessment"</f>
        <v>No. of Self Reflection required to be completed prior to 3 day Service Assessment</v>
      </c>
      <c r="B80" s="172"/>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172"/>
      <c r="AC80" s="172"/>
      <c r="AD80" s="172"/>
      <c r="AE80" s="172"/>
      <c r="AF80" s="172"/>
      <c r="AG80" s="177" t="s">
        <v>43</v>
      </c>
      <c r="AH80" s="672">
        <f>IF(AH79&lt;BI69,BI69-AH79,"Nil")</f>
        <v>4</v>
      </c>
      <c r="AI80" s="672"/>
      <c r="AJ80" s="672"/>
      <c r="AK80" s="672"/>
      <c r="AL80" s="672"/>
      <c r="AM80" s="672"/>
      <c r="AN80" s="672"/>
      <c r="AO80" s="672"/>
      <c r="AP80" s="672"/>
      <c r="AQ80" s="672"/>
      <c r="AR80" s="672"/>
      <c r="AS80" s="672"/>
      <c r="AT80" s="672"/>
      <c r="AU80" s="672"/>
      <c r="AV80" s="672"/>
      <c r="AW80" s="672"/>
      <c r="AX80" s="672"/>
      <c r="AY80" s="672"/>
      <c r="AZ80" s="672"/>
      <c r="BA80" s="672"/>
      <c r="BB80" s="672"/>
      <c r="BC80" s="672"/>
      <c r="BD80" s="672"/>
      <c r="BE80" s="672"/>
      <c r="BF80" s="672"/>
      <c r="BG80" s="672"/>
      <c r="BH80" s="672"/>
      <c r="BI80" s="672"/>
    </row>
    <row r="81" spans="1:61" ht="20" customHeight="1">
      <c r="A81" s="206" t="s">
        <v>263</v>
      </c>
      <c r="B81" s="185"/>
      <c r="C81" s="185"/>
      <c r="D81" s="185"/>
      <c r="E81" s="185"/>
      <c r="F81" s="185"/>
      <c r="G81" s="185"/>
      <c r="H81" s="185"/>
      <c r="I81" s="185"/>
      <c r="J81" s="185"/>
      <c r="K81" s="185"/>
      <c r="L81" s="185"/>
      <c r="M81" s="185"/>
      <c r="N81" s="185"/>
      <c r="O81" s="185"/>
      <c r="P81" s="185"/>
      <c r="Q81" s="185"/>
      <c r="R81" s="185"/>
      <c r="S81" s="185"/>
      <c r="T81" s="185"/>
      <c r="U81" s="185"/>
      <c r="V81" s="185"/>
      <c r="W81" s="185"/>
      <c r="X81" s="185"/>
      <c r="Y81" s="185"/>
      <c r="Z81" s="185"/>
      <c r="AA81" s="185"/>
      <c r="AB81" s="185"/>
      <c r="AC81" s="185"/>
      <c r="AD81" s="185"/>
      <c r="AE81" s="185"/>
      <c r="AF81" s="185"/>
      <c r="AG81" s="177" t="s">
        <v>43</v>
      </c>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row>
    <row r="82" spans="1:61" ht="20" customHeight="1">
      <c r="A82" s="677" t="s">
        <v>301</v>
      </c>
      <c r="B82" s="677"/>
      <c r="C82" s="677"/>
      <c r="D82" s="677"/>
      <c r="E82" s="677"/>
      <c r="F82" s="677"/>
      <c r="G82" s="677"/>
      <c r="H82" s="677"/>
      <c r="I82" s="677"/>
      <c r="J82" s="677"/>
      <c r="K82" s="677"/>
      <c r="L82" s="677"/>
      <c r="M82" s="677"/>
      <c r="N82" s="677"/>
      <c r="O82" s="677"/>
      <c r="P82" s="677"/>
      <c r="Q82" s="677"/>
      <c r="R82" s="677"/>
      <c r="S82" s="677"/>
      <c r="T82" s="677"/>
      <c r="U82" s="677"/>
      <c r="V82" s="677"/>
      <c r="W82" s="677"/>
      <c r="X82" s="677"/>
      <c r="Y82" s="677"/>
      <c r="Z82" s="677"/>
      <c r="AA82" s="677"/>
      <c r="AB82" s="677"/>
      <c r="AC82" s="677"/>
      <c r="AD82" s="677"/>
      <c r="AE82" s="677"/>
      <c r="AF82" s="677"/>
      <c r="AG82" s="677"/>
      <c r="AH82" s="677"/>
      <c r="AI82" s="677"/>
      <c r="AJ82" s="677"/>
      <c r="AK82" s="677"/>
      <c r="AL82" s="677"/>
      <c r="AM82" s="677"/>
      <c r="AN82" s="677"/>
      <c r="AO82" s="677"/>
      <c r="AP82" s="677"/>
      <c r="AQ82" s="677"/>
      <c r="AR82" s="677"/>
      <c r="AS82" s="677"/>
      <c r="AT82" s="677"/>
      <c r="AU82" s="677"/>
      <c r="AV82" s="677"/>
      <c r="AW82" s="677"/>
      <c r="AX82" s="677"/>
      <c r="AY82" s="677"/>
      <c r="AZ82" s="677"/>
      <c r="BA82" s="677"/>
      <c r="BB82" s="677"/>
      <c r="BC82" s="677"/>
      <c r="BD82" s="677"/>
      <c r="BE82" s="677"/>
      <c r="BF82" s="677"/>
      <c r="BG82" s="677"/>
      <c r="BH82" s="677"/>
      <c r="BI82" s="677"/>
    </row>
    <row r="83" spans="1:61" ht="20" customHeight="1">
      <c r="A83" s="677"/>
      <c r="B83" s="677"/>
      <c r="C83" s="677"/>
      <c r="D83" s="677"/>
      <c r="E83" s="677"/>
      <c r="F83" s="677"/>
      <c r="G83" s="677"/>
      <c r="H83" s="677"/>
      <c r="I83" s="677"/>
      <c r="J83" s="677"/>
      <c r="K83" s="677"/>
      <c r="L83" s="677"/>
      <c r="M83" s="677"/>
      <c r="N83" s="677"/>
      <c r="O83" s="677"/>
      <c r="P83" s="677"/>
      <c r="Q83" s="677"/>
      <c r="R83" s="677"/>
      <c r="S83" s="677"/>
      <c r="T83" s="677"/>
      <c r="U83" s="677"/>
      <c r="V83" s="677"/>
      <c r="W83" s="677"/>
      <c r="X83" s="677"/>
      <c r="Y83" s="677"/>
      <c r="Z83" s="677"/>
      <c r="AA83" s="677"/>
      <c r="AB83" s="677"/>
      <c r="AC83" s="677"/>
      <c r="AD83" s="677"/>
      <c r="AE83" s="677"/>
      <c r="AF83" s="677"/>
      <c r="AG83" s="677"/>
      <c r="AH83" s="677"/>
      <c r="AI83" s="677"/>
      <c r="AJ83" s="677"/>
      <c r="AK83" s="677"/>
      <c r="AL83" s="677"/>
      <c r="AM83" s="677"/>
      <c r="AN83" s="677"/>
      <c r="AO83" s="677"/>
      <c r="AP83" s="677"/>
      <c r="AQ83" s="677"/>
      <c r="AR83" s="677"/>
      <c r="AS83" s="677"/>
      <c r="AT83" s="677"/>
      <c r="AU83" s="677"/>
      <c r="AV83" s="677"/>
      <c r="AW83" s="677"/>
      <c r="AX83" s="677"/>
      <c r="AY83" s="677"/>
      <c r="AZ83" s="677"/>
      <c r="BA83" s="677"/>
      <c r="BB83" s="677"/>
      <c r="BC83" s="677"/>
      <c r="BD83" s="677"/>
      <c r="BE83" s="677"/>
      <c r="BF83" s="677"/>
      <c r="BG83" s="677"/>
      <c r="BH83" s="677"/>
      <c r="BI83" s="677"/>
    </row>
    <row r="84" spans="1:61" ht="20" customHeight="1">
      <c r="A84" s="677"/>
      <c r="B84" s="677"/>
      <c r="C84" s="677"/>
      <c r="D84" s="677"/>
      <c r="E84" s="677"/>
      <c r="F84" s="677"/>
      <c r="G84" s="677"/>
      <c r="H84" s="677"/>
      <c r="I84" s="677"/>
      <c r="J84" s="677"/>
      <c r="K84" s="677"/>
      <c r="L84" s="677"/>
      <c r="M84" s="677"/>
      <c r="N84" s="677"/>
      <c r="O84" s="677"/>
      <c r="P84" s="677"/>
      <c r="Q84" s="677"/>
      <c r="R84" s="677"/>
      <c r="S84" s="677"/>
      <c r="T84" s="677"/>
      <c r="U84" s="677"/>
      <c r="V84" s="677"/>
      <c r="W84" s="677"/>
      <c r="X84" s="677"/>
      <c r="Y84" s="677"/>
      <c r="Z84" s="677"/>
      <c r="AA84" s="677"/>
      <c r="AB84" s="677"/>
      <c r="AC84" s="677"/>
      <c r="AD84" s="677"/>
      <c r="AE84" s="677"/>
      <c r="AF84" s="677"/>
      <c r="AG84" s="677"/>
      <c r="AH84" s="677"/>
      <c r="AI84" s="677"/>
      <c r="AJ84" s="677"/>
      <c r="AK84" s="677"/>
      <c r="AL84" s="677"/>
      <c r="AM84" s="677"/>
      <c r="AN84" s="677"/>
      <c r="AO84" s="677"/>
      <c r="AP84" s="677"/>
      <c r="AQ84" s="677"/>
      <c r="AR84" s="677"/>
      <c r="AS84" s="677"/>
      <c r="AT84" s="677"/>
      <c r="AU84" s="677"/>
      <c r="AV84" s="677"/>
      <c r="AW84" s="677"/>
      <c r="AX84" s="677"/>
      <c r="AY84" s="677"/>
      <c r="AZ84" s="677"/>
      <c r="BA84" s="677"/>
      <c r="BB84" s="677"/>
      <c r="BC84" s="677"/>
      <c r="BD84" s="677"/>
      <c r="BE84" s="677"/>
      <c r="BF84" s="677"/>
      <c r="BG84" s="677"/>
      <c r="BH84" s="677"/>
      <c r="BI84" s="677"/>
    </row>
    <row r="85" spans="1:61" ht="20" customHeight="1">
      <c r="A85" s="677"/>
      <c r="B85" s="677"/>
      <c r="C85" s="677"/>
      <c r="D85" s="677"/>
      <c r="E85" s="677"/>
      <c r="F85" s="677"/>
      <c r="G85" s="677"/>
      <c r="H85" s="677"/>
      <c r="I85" s="677"/>
      <c r="J85" s="677"/>
      <c r="K85" s="677"/>
      <c r="L85" s="677"/>
      <c r="M85" s="677"/>
      <c r="N85" s="677"/>
      <c r="O85" s="677"/>
      <c r="P85" s="677"/>
      <c r="Q85" s="677"/>
      <c r="R85" s="677"/>
      <c r="S85" s="677"/>
      <c r="T85" s="677"/>
      <c r="U85" s="677"/>
      <c r="V85" s="677"/>
      <c r="W85" s="677"/>
      <c r="X85" s="677"/>
      <c r="Y85" s="677"/>
      <c r="Z85" s="677"/>
      <c r="AA85" s="677"/>
      <c r="AB85" s="677"/>
      <c r="AC85" s="677"/>
      <c r="AD85" s="677"/>
      <c r="AE85" s="677"/>
      <c r="AF85" s="677"/>
      <c r="AG85" s="677"/>
      <c r="AH85" s="677"/>
      <c r="AI85" s="677"/>
      <c r="AJ85" s="677"/>
      <c r="AK85" s="677"/>
      <c r="AL85" s="677"/>
      <c r="AM85" s="677"/>
      <c r="AN85" s="677"/>
      <c r="AO85" s="677"/>
      <c r="AP85" s="677"/>
      <c r="AQ85" s="677"/>
      <c r="AR85" s="677"/>
      <c r="AS85" s="677"/>
      <c r="AT85" s="677"/>
      <c r="AU85" s="677"/>
      <c r="AV85" s="677"/>
      <c r="AW85" s="677"/>
      <c r="AX85" s="677"/>
      <c r="AY85" s="677"/>
      <c r="AZ85" s="677"/>
      <c r="BA85" s="677"/>
      <c r="BB85" s="677"/>
      <c r="BC85" s="677"/>
      <c r="BD85" s="677"/>
      <c r="BE85" s="677"/>
      <c r="BF85" s="677"/>
      <c r="BG85" s="677"/>
      <c r="BH85" s="677"/>
      <c r="BI85" s="677"/>
    </row>
    <row r="86" spans="1:61" ht="20" customHeight="1">
      <c r="A86" s="676">
        <v>2.4</v>
      </c>
      <c r="B86" s="676"/>
      <c r="C86" s="175" t="s">
        <v>251</v>
      </c>
      <c r="D86" s="175"/>
      <c r="E86" s="175"/>
      <c r="F86" s="175"/>
      <c r="G86" s="175"/>
      <c r="H86" s="175"/>
      <c r="I86" s="175"/>
      <c r="J86" s="175"/>
      <c r="K86" s="170"/>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5"/>
      <c r="AM86" s="175"/>
      <c r="AN86" s="175"/>
      <c r="AO86" s="175"/>
      <c r="AP86" s="175"/>
      <c r="AQ86" s="170"/>
      <c r="AR86" s="176"/>
      <c r="AS86" s="176"/>
      <c r="AT86" s="176"/>
      <c r="AU86" s="176"/>
      <c r="AV86" s="176"/>
      <c r="AW86" s="176"/>
      <c r="AX86" s="176"/>
      <c r="AY86" s="176"/>
      <c r="AZ86" s="176"/>
      <c r="BA86" s="176"/>
      <c r="BB86" s="176"/>
      <c r="BC86" s="176"/>
      <c r="BD86" s="176"/>
      <c r="BE86" s="171"/>
      <c r="BF86" s="171"/>
      <c r="BG86" s="171"/>
      <c r="BH86" s="226" t="s">
        <v>308</v>
      </c>
      <c r="BI86" s="225">
        <v>5</v>
      </c>
    </row>
    <row r="87" spans="1:61" ht="20" customHeight="1">
      <c r="A87" s="197"/>
      <c r="B87" s="202"/>
      <c r="C87" s="693" t="s">
        <v>619</v>
      </c>
      <c r="D87" s="694"/>
      <c r="E87" s="694"/>
      <c r="F87" s="694"/>
      <c r="G87" s="694"/>
      <c r="H87" s="694"/>
      <c r="I87" s="694"/>
      <c r="J87" s="694"/>
      <c r="K87" s="694"/>
      <c r="L87" s="694"/>
      <c r="M87" s="694"/>
      <c r="N87" s="695"/>
      <c r="O87" s="693" t="s">
        <v>620</v>
      </c>
      <c r="P87" s="694"/>
      <c r="Q87" s="694"/>
      <c r="R87" s="694"/>
      <c r="S87" s="694"/>
      <c r="T87" s="694"/>
      <c r="U87" s="694"/>
      <c r="V87" s="694"/>
      <c r="W87" s="694"/>
      <c r="X87" s="694"/>
      <c r="Y87" s="694"/>
      <c r="Z87" s="695"/>
      <c r="AA87" s="693" t="s">
        <v>621</v>
      </c>
      <c r="AB87" s="694"/>
      <c r="AC87" s="694"/>
      <c r="AD87" s="694"/>
      <c r="AE87" s="694"/>
      <c r="AF87" s="694"/>
      <c r="AG87" s="694"/>
      <c r="AH87" s="694"/>
      <c r="AI87" s="694"/>
      <c r="AJ87" s="694"/>
      <c r="AK87" s="694"/>
      <c r="AL87" s="695"/>
      <c r="AM87" s="693" t="s">
        <v>622</v>
      </c>
      <c r="AN87" s="694"/>
      <c r="AO87" s="694"/>
      <c r="AP87" s="694"/>
      <c r="AQ87" s="694"/>
      <c r="AR87" s="694"/>
      <c r="AS87" s="694"/>
      <c r="AT87" s="694"/>
      <c r="AU87" s="694"/>
      <c r="AV87" s="694"/>
      <c r="AW87" s="694"/>
      <c r="AX87" s="695"/>
      <c r="AY87" s="693" t="s">
        <v>252</v>
      </c>
      <c r="AZ87" s="694"/>
      <c r="BA87" s="694"/>
      <c r="BB87" s="694"/>
      <c r="BC87" s="694"/>
      <c r="BD87" s="694"/>
      <c r="BE87" s="694"/>
      <c r="BF87" s="694"/>
      <c r="BG87" s="694"/>
      <c r="BH87" s="694"/>
      <c r="BI87" s="695"/>
    </row>
    <row r="88" spans="1:61" ht="20" customHeight="1">
      <c r="A88" s="201"/>
      <c r="B88" s="203"/>
      <c r="C88" s="703"/>
      <c r="D88" s="704"/>
      <c r="E88" s="704"/>
      <c r="F88" s="704"/>
      <c r="G88" s="704"/>
      <c r="H88" s="704"/>
      <c r="I88" s="704"/>
      <c r="J88" s="704"/>
      <c r="K88" s="704"/>
      <c r="L88" s="704"/>
      <c r="M88" s="704"/>
      <c r="N88" s="705"/>
      <c r="O88" s="703"/>
      <c r="P88" s="704"/>
      <c r="Q88" s="704"/>
      <c r="R88" s="704"/>
      <c r="S88" s="704"/>
      <c r="T88" s="704"/>
      <c r="U88" s="704"/>
      <c r="V88" s="704"/>
      <c r="W88" s="704"/>
      <c r="X88" s="704"/>
      <c r="Y88" s="704"/>
      <c r="Z88" s="705"/>
      <c r="AA88" s="703"/>
      <c r="AB88" s="704"/>
      <c r="AC88" s="704"/>
      <c r="AD88" s="704"/>
      <c r="AE88" s="704"/>
      <c r="AF88" s="704"/>
      <c r="AG88" s="704"/>
      <c r="AH88" s="704"/>
      <c r="AI88" s="704"/>
      <c r="AJ88" s="704"/>
      <c r="AK88" s="704"/>
      <c r="AL88" s="705"/>
      <c r="AM88" s="703"/>
      <c r="AN88" s="704"/>
      <c r="AO88" s="704"/>
      <c r="AP88" s="704"/>
      <c r="AQ88" s="704"/>
      <c r="AR88" s="704"/>
      <c r="AS88" s="704"/>
      <c r="AT88" s="704"/>
      <c r="AU88" s="704"/>
      <c r="AV88" s="704"/>
      <c r="AW88" s="704"/>
      <c r="AX88" s="705"/>
      <c r="AY88" s="703"/>
      <c r="AZ88" s="704"/>
      <c r="BA88" s="704"/>
      <c r="BB88" s="704"/>
      <c r="BC88" s="704"/>
      <c r="BD88" s="704"/>
      <c r="BE88" s="704"/>
      <c r="BF88" s="704"/>
      <c r="BG88" s="704"/>
      <c r="BH88" s="704"/>
      <c r="BI88" s="705"/>
    </row>
    <row r="89" spans="1:61" ht="20" customHeight="1">
      <c r="A89" s="688" t="s">
        <v>237</v>
      </c>
      <c r="B89" s="701"/>
      <c r="C89" s="714" t="s">
        <v>231</v>
      </c>
      <c r="D89" s="715"/>
      <c r="E89" s="715"/>
      <c r="F89" s="715"/>
      <c r="G89" s="715"/>
      <c r="H89" s="715"/>
      <c r="I89" s="715"/>
      <c r="J89" s="715"/>
      <c r="K89" s="715"/>
      <c r="L89" s="715"/>
      <c r="M89" s="715"/>
      <c r="N89" s="716"/>
      <c r="O89" s="714" t="s">
        <v>231</v>
      </c>
      <c r="P89" s="715"/>
      <c r="Q89" s="715"/>
      <c r="R89" s="715"/>
      <c r="S89" s="715"/>
      <c r="T89" s="715"/>
      <c r="U89" s="715"/>
      <c r="V89" s="715"/>
      <c r="W89" s="715"/>
      <c r="X89" s="715"/>
      <c r="Y89" s="715"/>
      <c r="Z89" s="716"/>
      <c r="AA89" s="714" t="s">
        <v>231</v>
      </c>
      <c r="AB89" s="715"/>
      <c r="AC89" s="715"/>
      <c r="AD89" s="715"/>
      <c r="AE89" s="715"/>
      <c r="AF89" s="715"/>
      <c r="AG89" s="715"/>
      <c r="AH89" s="715"/>
      <c r="AI89" s="715"/>
      <c r="AJ89" s="715"/>
      <c r="AK89" s="715"/>
      <c r="AL89" s="716"/>
      <c r="AM89" s="714" t="s">
        <v>231</v>
      </c>
      <c r="AN89" s="715"/>
      <c r="AO89" s="715"/>
      <c r="AP89" s="715"/>
      <c r="AQ89" s="715"/>
      <c r="AR89" s="715"/>
      <c r="AS89" s="715"/>
      <c r="AT89" s="715"/>
      <c r="AU89" s="715"/>
      <c r="AV89" s="715"/>
      <c r="AW89" s="715"/>
      <c r="AX89" s="716"/>
      <c r="AY89" s="708" t="s">
        <v>231</v>
      </c>
      <c r="AZ89" s="709"/>
      <c r="BA89" s="709"/>
      <c r="BB89" s="709"/>
      <c r="BC89" s="709"/>
      <c r="BD89" s="709"/>
      <c r="BE89" s="709"/>
      <c r="BF89" s="709"/>
      <c r="BG89" s="709"/>
      <c r="BH89" s="709"/>
      <c r="BI89" s="710"/>
    </row>
    <row r="90" spans="1:61" ht="20" customHeight="1">
      <c r="A90" s="690"/>
      <c r="B90" s="702"/>
      <c r="C90" s="717"/>
      <c r="D90" s="718"/>
      <c r="E90" s="718"/>
      <c r="F90" s="718"/>
      <c r="G90" s="718"/>
      <c r="H90" s="718"/>
      <c r="I90" s="718"/>
      <c r="J90" s="718"/>
      <c r="K90" s="718"/>
      <c r="L90" s="718"/>
      <c r="M90" s="718"/>
      <c r="N90" s="719"/>
      <c r="O90" s="717"/>
      <c r="P90" s="718"/>
      <c r="Q90" s="718"/>
      <c r="R90" s="718"/>
      <c r="S90" s="718"/>
      <c r="T90" s="718"/>
      <c r="U90" s="718"/>
      <c r="V90" s="718"/>
      <c r="W90" s="718"/>
      <c r="X90" s="718"/>
      <c r="Y90" s="718"/>
      <c r="Z90" s="719"/>
      <c r="AA90" s="717"/>
      <c r="AB90" s="718"/>
      <c r="AC90" s="718"/>
      <c r="AD90" s="718"/>
      <c r="AE90" s="718"/>
      <c r="AF90" s="718"/>
      <c r="AG90" s="718"/>
      <c r="AH90" s="718"/>
      <c r="AI90" s="718"/>
      <c r="AJ90" s="718"/>
      <c r="AK90" s="718"/>
      <c r="AL90" s="719"/>
      <c r="AM90" s="717"/>
      <c r="AN90" s="718"/>
      <c r="AO90" s="718"/>
      <c r="AP90" s="718"/>
      <c r="AQ90" s="718"/>
      <c r="AR90" s="718"/>
      <c r="AS90" s="718"/>
      <c r="AT90" s="718"/>
      <c r="AU90" s="718"/>
      <c r="AV90" s="718"/>
      <c r="AW90" s="718"/>
      <c r="AX90" s="719"/>
      <c r="AY90" s="711"/>
      <c r="AZ90" s="712"/>
      <c r="BA90" s="712"/>
      <c r="BB90" s="712"/>
      <c r="BC90" s="712"/>
      <c r="BD90" s="712"/>
      <c r="BE90" s="712"/>
      <c r="BF90" s="712"/>
      <c r="BG90" s="712"/>
      <c r="BH90" s="712"/>
      <c r="BI90" s="713"/>
    </row>
    <row r="91" spans="1:61" ht="20" customHeight="1">
      <c r="A91" s="720" t="s">
        <v>241</v>
      </c>
      <c r="B91" s="721"/>
      <c r="C91" s="714" t="s">
        <v>244</v>
      </c>
      <c r="D91" s="715"/>
      <c r="E91" s="715"/>
      <c r="F91" s="715"/>
      <c r="G91" s="715"/>
      <c r="H91" s="715"/>
      <c r="I91" s="715"/>
      <c r="J91" s="715"/>
      <c r="K91" s="715"/>
      <c r="L91" s="715"/>
      <c r="M91" s="715"/>
      <c r="N91" s="716"/>
      <c r="O91" s="714" t="s">
        <v>244</v>
      </c>
      <c r="P91" s="715"/>
      <c r="Q91" s="715"/>
      <c r="R91" s="715"/>
      <c r="S91" s="715"/>
      <c r="T91" s="715"/>
      <c r="U91" s="715"/>
      <c r="V91" s="715"/>
      <c r="W91" s="715"/>
      <c r="X91" s="715"/>
      <c r="Y91" s="715"/>
      <c r="Z91" s="716"/>
      <c r="AA91" s="714" t="s">
        <v>244</v>
      </c>
      <c r="AB91" s="715"/>
      <c r="AC91" s="715"/>
      <c r="AD91" s="715"/>
      <c r="AE91" s="715"/>
      <c r="AF91" s="715"/>
      <c r="AG91" s="715"/>
      <c r="AH91" s="715"/>
      <c r="AI91" s="715"/>
      <c r="AJ91" s="715"/>
      <c r="AK91" s="715"/>
      <c r="AL91" s="716"/>
      <c r="AM91" s="714" t="s">
        <v>244</v>
      </c>
      <c r="AN91" s="715"/>
      <c r="AO91" s="715"/>
      <c r="AP91" s="715"/>
      <c r="AQ91" s="715"/>
      <c r="AR91" s="715"/>
      <c r="AS91" s="715"/>
      <c r="AT91" s="715"/>
      <c r="AU91" s="715"/>
      <c r="AV91" s="715"/>
      <c r="AW91" s="715"/>
      <c r="AX91" s="716"/>
      <c r="AY91" s="714" t="s">
        <v>244</v>
      </c>
      <c r="AZ91" s="715"/>
      <c r="BA91" s="715"/>
      <c r="BB91" s="715"/>
      <c r="BC91" s="715"/>
      <c r="BD91" s="715"/>
      <c r="BE91" s="715"/>
      <c r="BF91" s="715"/>
      <c r="BG91" s="715"/>
      <c r="BH91" s="715"/>
      <c r="BI91" s="716"/>
    </row>
    <row r="92" spans="1:61" ht="20" customHeight="1">
      <c r="A92" s="690"/>
      <c r="B92" s="702"/>
      <c r="C92" s="717"/>
      <c r="D92" s="718"/>
      <c r="E92" s="718"/>
      <c r="F92" s="718"/>
      <c r="G92" s="718"/>
      <c r="H92" s="718"/>
      <c r="I92" s="718"/>
      <c r="J92" s="718"/>
      <c r="K92" s="718"/>
      <c r="L92" s="718"/>
      <c r="M92" s="718"/>
      <c r="N92" s="719"/>
      <c r="O92" s="717"/>
      <c r="P92" s="718"/>
      <c r="Q92" s="718"/>
      <c r="R92" s="718"/>
      <c r="S92" s="718"/>
      <c r="T92" s="718"/>
      <c r="U92" s="718"/>
      <c r="V92" s="718"/>
      <c r="W92" s="718"/>
      <c r="X92" s="718"/>
      <c r="Y92" s="718"/>
      <c r="Z92" s="719"/>
      <c r="AA92" s="717"/>
      <c r="AB92" s="718"/>
      <c r="AC92" s="718"/>
      <c r="AD92" s="718"/>
      <c r="AE92" s="718"/>
      <c r="AF92" s="718"/>
      <c r="AG92" s="718"/>
      <c r="AH92" s="718"/>
      <c r="AI92" s="718"/>
      <c r="AJ92" s="718"/>
      <c r="AK92" s="718"/>
      <c r="AL92" s="719"/>
      <c r="AM92" s="717"/>
      <c r="AN92" s="718"/>
      <c r="AO92" s="718"/>
      <c r="AP92" s="718"/>
      <c r="AQ92" s="718"/>
      <c r="AR92" s="718"/>
      <c r="AS92" s="718"/>
      <c r="AT92" s="718"/>
      <c r="AU92" s="718"/>
      <c r="AV92" s="718"/>
      <c r="AW92" s="718"/>
      <c r="AX92" s="719"/>
      <c r="AY92" s="717"/>
      <c r="AZ92" s="718"/>
      <c r="BA92" s="718"/>
      <c r="BB92" s="718"/>
      <c r="BC92" s="718"/>
      <c r="BD92" s="718"/>
      <c r="BE92" s="718"/>
      <c r="BF92" s="718"/>
      <c r="BG92" s="718"/>
      <c r="BH92" s="718"/>
      <c r="BI92" s="719"/>
    </row>
    <row r="93" spans="1:61" ht="20" customHeight="1">
      <c r="A93" s="172" t="s">
        <v>264</v>
      </c>
      <c r="B93" s="172"/>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172"/>
      <c r="AC93" s="172"/>
      <c r="AD93" s="172"/>
      <c r="AE93" s="172"/>
      <c r="AF93" s="172"/>
      <c r="AG93" s="177" t="s">
        <v>43</v>
      </c>
      <c r="AH93" s="672" t="s">
        <v>289</v>
      </c>
      <c r="AI93" s="672"/>
      <c r="AJ93" s="672"/>
      <c r="AK93" s="672"/>
      <c r="AL93" s="672"/>
      <c r="AM93" s="672"/>
      <c r="AN93" s="672"/>
      <c r="AO93" s="672"/>
      <c r="AP93" s="672"/>
      <c r="AQ93" s="672"/>
      <c r="AR93" s="672"/>
      <c r="AS93" s="672"/>
      <c r="AT93" s="672"/>
      <c r="AU93" s="672"/>
      <c r="AV93" s="672"/>
      <c r="AW93" s="672"/>
      <c r="AX93" s="672"/>
      <c r="AY93" s="672"/>
      <c r="AZ93" s="672"/>
      <c r="BA93" s="672"/>
      <c r="BB93" s="672"/>
      <c r="BC93" s="672"/>
      <c r="BD93" s="672"/>
      <c r="BE93" s="672"/>
      <c r="BF93" s="672"/>
      <c r="BG93" s="672"/>
      <c r="BH93" s="672"/>
      <c r="BI93" s="672"/>
    </row>
    <row r="94" spans="1:61" ht="20" customHeight="1">
      <c r="A94" s="172" t="str">
        <f>"No. of "&amp;C86&amp;" completed"</f>
        <v>No. of Tasks completed</v>
      </c>
      <c r="B94" s="172"/>
      <c r="C94" s="172"/>
      <c r="D94" s="172"/>
      <c r="E94" s="172"/>
      <c r="F94" s="172"/>
      <c r="G94" s="172"/>
      <c r="H94" s="172"/>
      <c r="I94" s="172"/>
      <c r="J94" s="172"/>
      <c r="K94" s="172"/>
      <c r="L94" s="172"/>
      <c r="M94" s="172"/>
      <c r="N94" s="172"/>
      <c r="O94" s="172"/>
      <c r="P94" s="172"/>
      <c r="Q94" s="172"/>
      <c r="R94" s="172"/>
      <c r="S94" s="172"/>
      <c r="T94" s="172"/>
      <c r="U94" s="172"/>
      <c r="V94" s="172"/>
      <c r="W94" s="172"/>
      <c r="X94" s="172"/>
      <c r="Y94" s="172"/>
      <c r="Z94" s="172"/>
      <c r="AA94" s="172"/>
      <c r="AB94" s="172"/>
      <c r="AC94" s="172"/>
      <c r="AD94" s="172"/>
      <c r="AE94" s="172"/>
      <c r="AF94" s="172"/>
      <c r="AG94" s="177" t="s">
        <v>43</v>
      </c>
      <c r="AH94" s="672">
        <f>COUNTIF(C89:BI90, "Completed*")</f>
        <v>0</v>
      </c>
      <c r="AI94" s="672"/>
      <c r="AJ94" s="672"/>
      <c r="AK94" s="672"/>
      <c r="AL94" s="672"/>
      <c r="AM94" s="672"/>
      <c r="AN94" s="672"/>
      <c r="AO94" s="672"/>
      <c r="AP94" s="672"/>
      <c r="AQ94" s="672"/>
      <c r="AR94" s="672"/>
      <c r="AS94" s="672"/>
      <c r="AT94" s="672"/>
      <c r="AU94" s="672"/>
      <c r="AV94" s="672"/>
      <c r="AW94" s="672"/>
      <c r="AX94" s="672"/>
      <c r="AY94" s="672"/>
      <c r="AZ94" s="672"/>
      <c r="BA94" s="672"/>
      <c r="BB94" s="672"/>
      <c r="BC94" s="672"/>
      <c r="BD94" s="672"/>
      <c r="BE94" s="672"/>
      <c r="BF94" s="672"/>
      <c r="BG94" s="672"/>
      <c r="BH94" s="672"/>
      <c r="BI94" s="672"/>
    </row>
    <row r="95" spans="1:61" ht="20" customHeight="1">
      <c r="A95" s="172" t="str">
        <f>"No. of "&amp;C86&amp;" required to be completed prior to 3 day Service Assessment"</f>
        <v>No. of Tasks required to be completed prior to 3 day Service Assessment</v>
      </c>
      <c r="B95" s="172"/>
      <c r="C95" s="172"/>
      <c r="D95" s="172"/>
      <c r="E95" s="172"/>
      <c r="F95" s="172"/>
      <c r="G95" s="172"/>
      <c r="H95" s="172"/>
      <c r="I95" s="172"/>
      <c r="J95" s="172"/>
      <c r="K95" s="172"/>
      <c r="L95" s="172"/>
      <c r="M95" s="172"/>
      <c r="N95" s="172"/>
      <c r="O95" s="172"/>
      <c r="P95" s="172"/>
      <c r="Q95" s="172"/>
      <c r="R95" s="172"/>
      <c r="S95" s="172"/>
      <c r="T95" s="172"/>
      <c r="U95" s="172"/>
      <c r="V95" s="172"/>
      <c r="W95" s="172"/>
      <c r="X95" s="172"/>
      <c r="Y95" s="172"/>
      <c r="Z95" s="172"/>
      <c r="AA95" s="172"/>
      <c r="AB95" s="172"/>
      <c r="AC95" s="172"/>
      <c r="AD95" s="172"/>
      <c r="AE95" s="172"/>
      <c r="AF95" s="172"/>
      <c r="AG95" s="177" t="s">
        <v>43</v>
      </c>
      <c r="AH95" s="672">
        <f>IF(AH94&lt;BI86,BI86-AH94,"Nil")</f>
        <v>5</v>
      </c>
      <c r="AI95" s="672"/>
      <c r="AJ95" s="672"/>
      <c r="AK95" s="672"/>
      <c r="AL95" s="672"/>
      <c r="AM95" s="672"/>
      <c r="AN95" s="672"/>
      <c r="AO95" s="672"/>
      <c r="AP95" s="672"/>
      <c r="AQ95" s="672"/>
      <c r="AR95" s="672"/>
      <c r="AS95" s="672"/>
      <c r="AT95" s="672"/>
      <c r="AU95" s="672"/>
      <c r="AV95" s="672"/>
      <c r="AW95" s="672"/>
      <c r="AX95" s="672"/>
      <c r="AY95" s="672"/>
      <c r="AZ95" s="672"/>
      <c r="BA95" s="672"/>
      <c r="BB95" s="672"/>
      <c r="BC95" s="672"/>
      <c r="BD95" s="672"/>
      <c r="BE95" s="672"/>
      <c r="BF95" s="672"/>
      <c r="BG95" s="672"/>
      <c r="BH95" s="672"/>
      <c r="BI95" s="672"/>
    </row>
    <row r="96" spans="1:61" ht="20" customHeight="1">
      <c r="A96" s="206" t="s">
        <v>263</v>
      </c>
      <c r="B96" s="185"/>
      <c r="C96" s="185"/>
      <c r="D96" s="185"/>
      <c r="E96" s="185"/>
      <c r="F96" s="185"/>
      <c r="G96" s="185"/>
      <c r="H96" s="185"/>
      <c r="I96" s="185"/>
      <c r="J96" s="185"/>
      <c r="K96" s="185"/>
      <c r="L96" s="185"/>
      <c r="M96" s="185"/>
      <c r="N96" s="185"/>
      <c r="O96" s="185"/>
      <c r="P96" s="185"/>
      <c r="Q96" s="185"/>
      <c r="R96" s="185"/>
      <c r="S96" s="185"/>
      <c r="T96" s="185"/>
      <c r="U96" s="185"/>
      <c r="V96" s="185"/>
      <c r="W96" s="185"/>
      <c r="X96" s="185"/>
      <c r="Y96" s="185"/>
      <c r="Z96" s="185"/>
      <c r="AA96" s="185"/>
      <c r="AB96" s="185"/>
      <c r="AC96" s="185"/>
      <c r="AD96" s="185"/>
      <c r="AE96" s="185"/>
      <c r="AF96" s="185"/>
      <c r="AG96" s="177" t="s">
        <v>43</v>
      </c>
      <c r="AH96" s="185"/>
      <c r="AI96" s="185"/>
      <c r="AJ96" s="185"/>
      <c r="AK96" s="185"/>
      <c r="AL96" s="185"/>
      <c r="AM96" s="185"/>
      <c r="AN96" s="185"/>
      <c r="AO96" s="185"/>
      <c r="AP96" s="185"/>
      <c r="AQ96" s="185"/>
      <c r="AR96" s="185"/>
      <c r="AS96" s="185"/>
      <c r="AT96" s="185"/>
      <c r="AU96" s="185"/>
      <c r="AV96" s="185"/>
      <c r="AW96" s="185"/>
      <c r="AX96" s="185"/>
      <c r="AY96" s="185"/>
      <c r="AZ96" s="185"/>
      <c r="BA96" s="185"/>
      <c r="BB96" s="185"/>
      <c r="BC96" s="185"/>
      <c r="BD96" s="185"/>
      <c r="BE96" s="185"/>
      <c r="BF96" s="185"/>
      <c r="BG96" s="185"/>
      <c r="BH96" s="185"/>
      <c r="BI96" s="185"/>
    </row>
    <row r="97" spans="1:61" ht="20" customHeight="1">
      <c r="A97" s="677" t="s">
        <v>300</v>
      </c>
      <c r="B97" s="677"/>
      <c r="C97" s="677"/>
      <c r="D97" s="677"/>
      <c r="E97" s="677"/>
      <c r="F97" s="677"/>
      <c r="G97" s="677"/>
      <c r="H97" s="677"/>
      <c r="I97" s="677"/>
      <c r="J97" s="677"/>
      <c r="K97" s="677"/>
      <c r="L97" s="677"/>
      <c r="M97" s="677"/>
      <c r="N97" s="677"/>
      <c r="O97" s="677"/>
      <c r="P97" s="677"/>
      <c r="Q97" s="677"/>
      <c r="R97" s="677"/>
      <c r="S97" s="677"/>
      <c r="T97" s="677"/>
      <c r="U97" s="677"/>
      <c r="V97" s="677"/>
      <c r="W97" s="677"/>
      <c r="X97" s="677"/>
      <c r="Y97" s="677"/>
      <c r="Z97" s="677"/>
      <c r="AA97" s="677"/>
      <c r="AB97" s="677"/>
      <c r="AC97" s="677"/>
      <c r="AD97" s="677"/>
      <c r="AE97" s="677"/>
      <c r="AF97" s="677"/>
      <c r="AG97" s="677"/>
      <c r="AH97" s="677"/>
      <c r="AI97" s="677"/>
      <c r="AJ97" s="677"/>
      <c r="AK97" s="677"/>
      <c r="AL97" s="677"/>
      <c r="AM97" s="677"/>
      <c r="AN97" s="677"/>
      <c r="AO97" s="677"/>
      <c r="AP97" s="677"/>
      <c r="AQ97" s="677"/>
      <c r="AR97" s="677"/>
      <c r="AS97" s="677"/>
      <c r="AT97" s="677"/>
      <c r="AU97" s="677"/>
      <c r="AV97" s="677"/>
      <c r="AW97" s="677"/>
      <c r="AX97" s="677"/>
      <c r="AY97" s="677"/>
      <c r="AZ97" s="677"/>
      <c r="BA97" s="677"/>
      <c r="BB97" s="677"/>
      <c r="BC97" s="677"/>
      <c r="BD97" s="677"/>
      <c r="BE97" s="677"/>
      <c r="BF97" s="677"/>
      <c r="BG97" s="677"/>
      <c r="BH97" s="677"/>
      <c r="BI97" s="677"/>
    </row>
    <row r="98" spans="1:61" ht="20" customHeight="1">
      <c r="A98" s="677"/>
      <c r="B98" s="677"/>
      <c r="C98" s="677"/>
      <c r="D98" s="677"/>
      <c r="E98" s="677"/>
      <c r="F98" s="677"/>
      <c r="G98" s="677"/>
      <c r="H98" s="677"/>
      <c r="I98" s="677"/>
      <c r="J98" s="677"/>
      <c r="K98" s="677"/>
      <c r="L98" s="677"/>
      <c r="M98" s="677"/>
      <c r="N98" s="677"/>
      <c r="O98" s="677"/>
      <c r="P98" s="677"/>
      <c r="Q98" s="677"/>
      <c r="R98" s="677"/>
      <c r="S98" s="677"/>
      <c r="T98" s="677"/>
      <c r="U98" s="677"/>
      <c r="V98" s="677"/>
      <c r="W98" s="677"/>
      <c r="X98" s="677"/>
      <c r="Y98" s="677"/>
      <c r="Z98" s="677"/>
      <c r="AA98" s="677"/>
      <c r="AB98" s="677"/>
      <c r="AC98" s="677"/>
      <c r="AD98" s="677"/>
      <c r="AE98" s="677"/>
      <c r="AF98" s="677"/>
      <c r="AG98" s="677"/>
      <c r="AH98" s="677"/>
      <c r="AI98" s="677"/>
      <c r="AJ98" s="677"/>
      <c r="AK98" s="677"/>
      <c r="AL98" s="677"/>
      <c r="AM98" s="677"/>
      <c r="AN98" s="677"/>
      <c r="AO98" s="677"/>
      <c r="AP98" s="677"/>
      <c r="AQ98" s="677"/>
      <c r="AR98" s="677"/>
      <c r="AS98" s="677"/>
      <c r="AT98" s="677"/>
      <c r="AU98" s="677"/>
      <c r="AV98" s="677"/>
      <c r="AW98" s="677"/>
      <c r="AX98" s="677"/>
      <c r="AY98" s="677"/>
      <c r="AZ98" s="677"/>
      <c r="BA98" s="677"/>
      <c r="BB98" s="677"/>
      <c r="BC98" s="677"/>
      <c r="BD98" s="677"/>
      <c r="BE98" s="677"/>
      <c r="BF98" s="677"/>
      <c r="BG98" s="677"/>
      <c r="BH98" s="677"/>
      <c r="BI98" s="677"/>
    </row>
    <row r="99" spans="1:61" ht="20" customHeight="1">
      <c r="A99" s="677"/>
      <c r="B99" s="677"/>
      <c r="C99" s="677"/>
      <c r="D99" s="677"/>
      <c r="E99" s="677"/>
      <c r="F99" s="677"/>
      <c r="G99" s="677"/>
      <c r="H99" s="677"/>
      <c r="I99" s="677"/>
      <c r="J99" s="677"/>
      <c r="K99" s="677"/>
      <c r="L99" s="677"/>
      <c r="M99" s="677"/>
      <c r="N99" s="677"/>
      <c r="O99" s="677"/>
      <c r="P99" s="677"/>
      <c r="Q99" s="677"/>
      <c r="R99" s="677"/>
      <c r="S99" s="677"/>
      <c r="T99" s="677"/>
      <c r="U99" s="677"/>
      <c r="V99" s="677"/>
      <c r="W99" s="677"/>
      <c r="X99" s="677"/>
      <c r="Y99" s="677"/>
      <c r="Z99" s="677"/>
      <c r="AA99" s="677"/>
      <c r="AB99" s="677"/>
      <c r="AC99" s="677"/>
      <c r="AD99" s="677"/>
      <c r="AE99" s="677"/>
      <c r="AF99" s="677"/>
      <c r="AG99" s="677"/>
      <c r="AH99" s="677"/>
      <c r="AI99" s="677"/>
      <c r="AJ99" s="677"/>
      <c r="AK99" s="677"/>
      <c r="AL99" s="677"/>
      <c r="AM99" s="677"/>
      <c r="AN99" s="677"/>
      <c r="AO99" s="677"/>
      <c r="AP99" s="677"/>
      <c r="AQ99" s="677"/>
      <c r="AR99" s="677"/>
      <c r="AS99" s="677"/>
      <c r="AT99" s="677"/>
      <c r="AU99" s="677"/>
      <c r="AV99" s="677"/>
      <c r="AW99" s="677"/>
      <c r="AX99" s="677"/>
      <c r="AY99" s="677"/>
      <c r="AZ99" s="677"/>
      <c r="BA99" s="677"/>
      <c r="BB99" s="677"/>
      <c r="BC99" s="677"/>
      <c r="BD99" s="677"/>
      <c r="BE99" s="677"/>
      <c r="BF99" s="677"/>
      <c r="BG99" s="677"/>
      <c r="BH99" s="677"/>
      <c r="BI99" s="677"/>
    </row>
    <row r="100" spans="1:61" ht="20" customHeight="1">
      <c r="A100" s="677"/>
      <c r="B100" s="677"/>
      <c r="C100" s="677"/>
      <c r="D100" s="677"/>
      <c r="E100" s="677"/>
      <c r="F100" s="677"/>
      <c r="G100" s="677"/>
      <c r="H100" s="677"/>
      <c r="I100" s="677"/>
      <c r="J100" s="677"/>
      <c r="K100" s="677"/>
      <c r="L100" s="677"/>
      <c r="M100" s="677"/>
      <c r="N100" s="677"/>
      <c r="O100" s="677"/>
      <c r="P100" s="677"/>
      <c r="Q100" s="677"/>
      <c r="R100" s="677"/>
      <c r="S100" s="677"/>
      <c r="T100" s="677"/>
      <c r="U100" s="677"/>
      <c r="V100" s="677"/>
      <c r="W100" s="677"/>
      <c r="X100" s="677"/>
      <c r="Y100" s="677"/>
      <c r="Z100" s="677"/>
      <c r="AA100" s="677"/>
      <c r="AB100" s="677"/>
      <c r="AC100" s="677"/>
      <c r="AD100" s="677"/>
      <c r="AE100" s="677"/>
      <c r="AF100" s="677"/>
      <c r="AG100" s="677"/>
      <c r="AH100" s="677"/>
      <c r="AI100" s="677"/>
      <c r="AJ100" s="677"/>
      <c r="AK100" s="677"/>
      <c r="AL100" s="677"/>
      <c r="AM100" s="677"/>
      <c r="AN100" s="677"/>
      <c r="AO100" s="677"/>
      <c r="AP100" s="677"/>
      <c r="AQ100" s="677"/>
      <c r="AR100" s="677"/>
      <c r="AS100" s="677"/>
      <c r="AT100" s="677"/>
      <c r="AU100" s="677"/>
      <c r="AV100" s="677"/>
      <c r="AW100" s="677"/>
      <c r="AX100" s="677"/>
      <c r="AY100" s="677"/>
      <c r="AZ100" s="677"/>
      <c r="BA100" s="677"/>
      <c r="BB100" s="677"/>
      <c r="BC100" s="677"/>
      <c r="BD100" s="677"/>
      <c r="BE100" s="677"/>
      <c r="BF100" s="677"/>
      <c r="BG100" s="677"/>
      <c r="BH100" s="677"/>
      <c r="BI100" s="677"/>
    </row>
    <row r="101" spans="1:61" ht="20" customHeight="1">
      <c r="A101" s="677"/>
      <c r="B101" s="677"/>
      <c r="C101" s="677"/>
      <c r="D101" s="677"/>
      <c r="E101" s="677"/>
      <c r="F101" s="677"/>
      <c r="G101" s="677"/>
      <c r="H101" s="677"/>
      <c r="I101" s="677"/>
      <c r="J101" s="677"/>
      <c r="K101" s="677"/>
      <c r="L101" s="677"/>
      <c r="M101" s="677"/>
      <c r="N101" s="677"/>
      <c r="O101" s="677"/>
      <c r="P101" s="677"/>
      <c r="Q101" s="677"/>
      <c r="R101" s="677"/>
      <c r="S101" s="677"/>
      <c r="T101" s="677"/>
      <c r="U101" s="677"/>
      <c r="V101" s="677"/>
      <c r="W101" s="677"/>
      <c r="X101" s="677"/>
      <c r="Y101" s="677"/>
      <c r="Z101" s="677"/>
      <c r="AA101" s="677"/>
      <c r="AB101" s="677"/>
      <c r="AC101" s="677"/>
      <c r="AD101" s="677"/>
      <c r="AE101" s="677"/>
      <c r="AF101" s="677"/>
      <c r="AG101" s="677"/>
      <c r="AH101" s="677"/>
      <c r="AI101" s="677"/>
      <c r="AJ101" s="677"/>
      <c r="AK101" s="677"/>
      <c r="AL101" s="677"/>
      <c r="AM101" s="677"/>
      <c r="AN101" s="677"/>
      <c r="AO101" s="677"/>
      <c r="AP101" s="677"/>
      <c r="AQ101" s="677"/>
      <c r="AR101" s="677"/>
      <c r="AS101" s="677"/>
      <c r="AT101" s="677"/>
      <c r="AU101" s="677"/>
      <c r="AV101" s="677"/>
      <c r="AW101" s="677"/>
      <c r="AX101" s="677"/>
      <c r="AY101" s="677"/>
      <c r="AZ101" s="677"/>
      <c r="BA101" s="677"/>
      <c r="BB101" s="677"/>
      <c r="BC101" s="677"/>
      <c r="BD101" s="677"/>
      <c r="BE101" s="677"/>
      <c r="BF101" s="677"/>
      <c r="BG101" s="677"/>
      <c r="BH101" s="677"/>
      <c r="BI101" s="677"/>
    </row>
    <row r="102" spans="1:61" ht="20" customHeight="1"/>
    <row r="103" spans="1:61" ht="20" customHeight="1">
      <c r="A103" s="676">
        <v>2.5</v>
      </c>
      <c r="B103" s="676"/>
      <c r="C103" s="175" t="s">
        <v>296</v>
      </c>
      <c r="D103" s="175"/>
      <c r="E103" s="175"/>
      <c r="F103" s="175"/>
      <c r="G103" s="175"/>
      <c r="H103" s="175"/>
      <c r="I103" s="175"/>
      <c r="J103" s="175"/>
      <c r="K103" s="170"/>
      <c r="L103" s="174"/>
      <c r="M103" s="174"/>
      <c r="N103" s="174"/>
      <c r="O103" s="174"/>
      <c r="P103" s="174"/>
      <c r="Q103" s="174"/>
      <c r="R103" s="174"/>
      <c r="S103" s="174"/>
      <c r="T103" s="174"/>
      <c r="U103" s="174"/>
      <c r="V103" s="174"/>
      <c r="W103" s="174"/>
      <c r="X103" s="174"/>
      <c r="Y103" s="174"/>
      <c r="Z103" s="174"/>
      <c r="AA103" s="174"/>
      <c r="AB103" s="174"/>
      <c r="AC103" s="174"/>
      <c r="AD103" s="174"/>
      <c r="AE103" s="174"/>
      <c r="AF103" s="174"/>
      <c r="AG103" s="174"/>
      <c r="AH103" s="174"/>
      <c r="AI103" s="174"/>
      <c r="AJ103" s="174"/>
      <c r="AK103" s="174"/>
      <c r="AL103" s="174"/>
      <c r="AM103" s="174"/>
      <c r="AN103" s="174"/>
      <c r="AO103" s="174"/>
      <c r="AP103" s="174"/>
      <c r="AQ103" s="174"/>
      <c r="AR103" s="174"/>
      <c r="AS103" s="174"/>
      <c r="AT103" s="174"/>
      <c r="AU103" s="174"/>
      <c r="AV103" s="174"/>
      <c r="AW103" s="176"/>
      <c r="AX103" s="176"/>
      <c r="AY103" s="176"/>
      <c r="AZ103" s="176"/>
      <c r="BA103" s="176"/>
      <c r="BB103" s="176"/>
      <c r="BC103" s="176"/>
      <c r="BD103" s="176"/>
      <c r="BE103" s="171"/>
      <c r="BF103" s="171"/>
      <c r="BG103" s="171"/>
      <c r="BH103" s="228" t="s">
        <v>308</v>
      </c>
      <c r="BI103" s="227">
        <v>1</v>
      </c>
    </row>
    <row r="104" spans="1:61" ht="20" customHeight="1">
      <c r="A104" s="193" t="s">
        <v>236</v>
      </c>
      <c r="B104" s="193"/>
      <c r="C104" s="193"/>
      <c r="D104" s="193"/>
      <c r="E104" s="193"/>
      <c r="F104" s="193"/>
      <c r="G104" s="193"/>
      <c r="H104" s="193"/>
      <c r="I104" s="193"/>
      <c r="J104" s="193"/>
      <c r="K104" s="193"/>
      <c r="L104" s="193"/>
      <c r="M104" s="193"/>
      <c r="N104" s="193"/>
      <c r="O104" s="193"/>
      <c r="P104" s="193"/>
      <c r="Q104" s="193"/>
      <c r="R104" s="193"/>
      <c r="S104" s="193"/>
      <c r="T104" s="193"/>
      <c r="U104" s="193"/>
      <c r="V104" s="193"/>
      <c r="W104" s="193"/>
      <c r="X104" s="193"/>
      <c r="Y104" s="193"/>
      <c r="Z104" s="193"/>
      <c r="AA104" s="193"/>
      <c r="AB104" s="193"/>
      <c r="AC104" s="193"/>
      <c r="AD104" s="193"/>
      <c r="AE104" s="193"/>
      <c r="AF104" s="193"/>
      <c r="AG104" s="190" t="s">
        <v>43</v>
      </c>
      <c r="AH104" s="699"/>
      <c r="AI104" s="699"/>
      <c r="AJ104" s="699"/>
      <c r="AK104" s="699"/>
      <c r="AL104" s="699"/>
      <c r="AM104" s="699"/>
      <c r="AN104" s="699"/>
      <c r="AO104" s="699"/>
      <c r="AP104" s="699"/>
      <c r="AQ104" s="699"/>
      <c r="AR104" s="699"/>
      <c r="AS104" s="699"/>
      <c r="AT104" s="699"/>
      <c r="AU104" s="699"/>
      <c r="AV104" s="699"/>
      <c r="AW104" s="699"/>
      <c r="AX104" s="699"/>
      <c r="AY104" s="699"/>
      <c r="AZ104" s="699"/>
      <c r="BA104" s="699"/>
      <c r="BB104" s="699"/>
      <c r="BC104" s="699"/>
      <c r="BD104" s="699"/>
      <c r="BE104" s="699"/>
      <c r="BF104" s="699"/>
      <c r="BG104" s="699"/>
      <c r="BH104" s="699"/>
      <c r="BI104" s="699"/>
    </row>
    <row r="105" spans="1:61" ht="20" customHeight="1">
      <c r="A105" s="193" t="s">
        <v>237</v>
      </c>
      <c r="B105" s="193"/>
      <c r="C105" s="193"/>
      <c r="D105" s="193"/>
      <c r="E105" s="193"/>
      <c r="F105" s="193"/>
      <c r="G105" s="193"/>
      <c r="H105" s="193"/>
      <c r="I105" s="193"/>
      <c r="J105" s="193"/>
      <c r="K105" s="193"/>
      <c r="L105" s="193"/>
      <c r="M105" s="193"/>
      <c r="N105" s="193"/>
      <c r="O105" s="193"/>
      <c r="P105" s="193"/>
      <c r="Q105" s="193"/>
      <c r="R105" s="193"/>
      <c r="S105" s="193"/>
      <c r="T105" s="193"/>
      <c r="U105" s="193"/>
      <c r="V105" s="193"/>
      <c r="W105" s="193"/>
      <c r="X105" s="193"/>
      <c r="Y105" s="193"/>
      <c r="Z105" s="193"/>
      <c r="AA105" s="193"/>
      <c r="AB105" s="193"/>
      <c r="AC105" s="193"/>
      <c r="AD105" s="193"/>
      <c r="AE105" s="193"/>
      <c r="AF105" s="193"/>
      <c r="AG105" s="190" t="s">
        <v>43</v>
      </c>
      <c r="AH105" s="699" t="s">
        <v>231</v>
      </c>
      <c r="AI105" s="699"/>
      <c r="AJ105" s="699"/>
      <c r="AK105" s="699"/>
      <c r="AL105" s="699"/>
      <c r="AM105" s="699"/>
      <c r="AN105" s="699"/>
      <c r="AO105" s="699"/>
      <c r="AP105" s="699"/>
      <c r="AQ105" s="699"/>
      <c r="AR105" s="699"/>
      <c r="AS105" s="699"/>
      <c r="AT105" s="699"/>
      <c r="AU105" s="699"/>
      <c r="AV105" s="699"/>
      <c r="AW105" s="699"/>
      <c r="AX105" s="699"/>
      <c r="AY105" s="699"/>
      <c r="AZ105" s="699"/>
      <c r="BA105" s="699"/>
      <c r="BB105" s="699"/>
      <c r="BC105" s="699"/>
      <c r="BD105" s="699"/>
      <c r="BE105" s="699"/>
      <c r="BF105" s="699"/>
      <c r="BG105" s="699"/>
      <c r="BH105" s="699"/>
      <c r="BI105" s="699"/>
    </row>
    <row r="106" spans="1:61" ht="20" customHeight="1">
      <c r="A106" s="193" t="s">
        <v>241</v>
      </c>
      <c r="B106" s="193"/>
      <c r="C106" s="193"/>
      <c r="D106" s="193"/>
      <c r="E106" s="193"/>
      <c r="F106" s="193"/>
      <c r="G106" s="193"/>
      <c r="H106" s="193"/>
      <c r="I106" s="193"/>
      <c r="J106" s="193"/>
      <c r="K106" s="193"/>
      <c r="L106" s="193"/>
      <c r="M106" s="193"/>
      <c r="N106" s="193"/>
      <c r="O106" s="193"/>
      <c r="P106" s="193"/>
      <c r="Q106" s="193"/>
      <c r="R106" s="193"/>
      <c r="S106" s="193"/>
      <c r="T106" s="193"/>
      <c r="U106" s="193"/>
      <c r="V106" s="193"/>
      <c r="W106" s="193"/>
      <c r="X106" s="193"/>
      <c r="Y106" s="193"/>
      <c r="Z106" s="193"/>
      <c r="AA106" s="193"/>
      <c r="AB106" s="193"/>
      <c r="AC106" s="193"/>
      <c r="AD106" s="193"/>
      <c r="AE106" s="193"/>
      <c r="AF106" s="193"/>
      <c r="AG106" s="190" t="s">
        <v>43</v>
      </c>
      <c r="AH106" s="699" t="s">
        <v>247</v>
      </c>
      <c r="AI106" s="699"/>
      <c r="AJ106" s="699"/>
      <c r="AK106" s="699"/>
      <c r="AL106" s="699"/>
      <c r="AM106" s="699"/>
      <c r="AN106" s="699"/>
      <c r="AO106" s="699"/>
      <c r="AP106" s="699"/>
      <c r="AQ106" s="699"/>
      <c r="AR106" s="699"/>
      <c r="AS106" s="699"/>
      <c r="AT106" s="699"/>
      <c r="AU106" s="699"/>
      <c r="AV106" s="699"/>
      <c r="AW106" s="699"/>
      <c r="AX106" s="699"/>
      <c r="AY106" s="699"/>
      <c r="AZ106" s="699"/>
      <c r="BA106" s="699"/>
      <c r="BB106" s="699"/>
      <c r="BC106" s="699"/>
      <c r="BD106" s="699"/>
      <c r="BE106" s="699"/>
      <c r="BF106" s="699"/>
      <c r="BG106" s="699"/>
      <c r="BH106" s="699"/>
      <c r="BI106" s="699"/>
    </row>
    <row r="107" spans="1:61" ht="20" customHeight="1">
      <c r="A107" s="193" t="str">
        <f>"No. of "&amp;C103&amp;" attended"</f>
        <v>No. of Drop-in Workshop attended</v>
      </c>
      <c r="B107" s="193"/>
      <c r="C107" s="193"/>
      <c r="D107" s="193"/>
      <c r="E107" s="193"/>
      <c r="F107" s="193"/>
      <c r="G107" s="193"/>
      <c r="H107" s="193"/>
      <c r="I107" s="193"/>
      <c r="J107" s="193"/>
      <c r="K107" s="193"/>
      <c r="L107" s="193"/>
      <c r="M107" s="193"/>
      <c r="N107" s="193"/>
      <c r="O107" s="193"/>
      <c r="P107" s="193"/>
      <c r="Q107" s="193"/>
      <c r="R107" s="193"/>
      <c r="S107" s="193"/>
      <c r="T107" s="193"/>
      <c r="U107" s="193"/>
      <c r="V107" s="193"/>
      <c r="W107" s="193"/>
      <c r="X107" s="193"/>
      <c r="Y107" s="193"/>
      <c r="Z107" s="193"/>
      <c r="AA107" s="193"/>
      <c r="AB107" s="193"/>
      <c r="AC107" s="193"/>
      <c r="AD107" s="193"/>
      <c r="AE107" s="193"/>
      <c r="AF107" s="193"/>
      <c r="AG107" s="190" t="s">
        <v>43</v>
      </c>
      <c r="AH107" s="699">
        <f>(LEN(CONCATENATE(AH104))-LEN(SUBSTITUTE(CONCATENATE(AH104),"/","")))/2</f>
        <v>0</v>
      </c>
      <c r="AI107" s="699"/>
      <c r="AJ107" s="699"/>
      <c r="AK107" s="699"/>
      <c r="AL107" s="699"/>
      <c r="AM107" s="699"/>
      <c r="AN107" s="699"/>
      <c r="AO107" s="699"/>
      <c r="AP107" s="699"/>
      <c r="AQ107" s="699"/>
      <c r="AR107" s="699"/>
      <c r="AS107" s="699"/>
      <c r="AT107" s="699"/>
      <c r="AU107" s="699"/>
      <c r="AV107" s="699"/>
      <c r="AW107" s="699"/>
      <c r="AX107" s="699"/>
      <c r="AY107" s="699"/>
      <c r="AZ107" s="699"/>
      <c r="BA107" s="699"/>
      <c r="BB107" s="699"/>
      <c r="BC107" s="699"/>
      <c r="BD107" s="699"/>
      <c r="BE107" s="699"/>
      <c r="BF107" s="699"/>
      <c r="BG107" s="699"/>
      <c r="BH107" s="699"/>
      <c r="BI107" s="699"/>
    </row>
    <row r="108" spans="1:61" ht="20" customHeight="1">
      <c r="A108" s="193" t="str">
        <f>"No. of "&amp;C103&amp;" required to attend prior to 3 day Service Assessment"</f>
        <v>No. of Drop-in Workshop required to attend prior to 3 day Service Assessment</v>
      </c>
      <c r="B108" s="193"/>
      <c r="C108" s="193"/>
      <c r="D108" s="193"/>
      <c r="E108" s="193"/>
      <c r="F108" s="193"/>
      <c r="G108" s="193"/>
      <c r="H108" s="193"/>
      <c r="I108" s="193"/>
      <c r="J108" s="193"/>
      <c r="K108" s="193"/>
      <c r="L108" s="193"/>
      <c r="M108" s="193"/>
      <c r="N108" s="193"/>
      <c r="O108" s="193"/>
      <c r="P108" s="193"/>
      <c r="Q108" s="193"/>
      <c r="R108" s="193"/>
      <c r="S108" s="193"/>
      <c r="T108" s="193"/>
      <c r="U108" s="193"/>
      <c r="V108" s="193"/>
      <c r="W108" s="193"/>
      <c r="X108" s="193"/>
      <c r="Y108" s="193"/>
      <c r="Z108" s="193"/>
      <c r="AA108" s="193"/>
      <c r="AB108" s="193"/>
      <c r="AC108" s="193"/>
      <c r="AD108" s="193"/>
      <c r="AE108" s="193"/>
      <c r="AF108" s="193"/>
      <c r="AG108" s="190" t="s">
        <v>43</v>
      </c>
      <c r="AH108" s="699">
        <f>IF(AH107&lt;BI103,BI103-AH107,"Nil")</f>
        <v>1</v>
      </c>
      <c r="AI108" s="699"/>
      <c r="AJ108" s="699"/>
      <c r="AK108" s="699"/>
      <c r="AL108" s="699"/>
      <c r="AM108" s="699"/>
      <c r="AN108" s="699"/>
      <c r="AO108" s="699"/>
      <c r="AP108" s="699"/>
      <c r="AQ108" s="699"/>
      <c r="AR108" s="699"/>
      <c r="AS108" s="699"/>
      <c r="AT108" s="699"/>
      <c r="AU108" s="699"/>
      <c r="AV108" s="699"/>
      <c r="AW108" s="699"/>
      <c r="AX108" s="699"/>
      <c r="AY108" s="699"/>
      <c r="AZ108" s="699"/>
      <c r="BA108" s="699"/>
      <c r="BB108" s="699"/>
      <c r="BC108" s="699"/>
      <c r="BD108" s="699"/>
      <c r="BE108" s="699"/>
      <c r="BF108" s="699"/>
      <c r="BG108" s="699"/>
      <c r="BH108" s="699"/>
      <c r="BI108" s="699"/>
    </row>
    <row r="109" spans="1:61" ht="20" customHeight="1">
      <c r="A109" s="207" t="s">
        <v>263</v>
      </c>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0" t="s">
        <v>43</v>
      </c>
      <c r="AH109" s="194"/>
      <c r="AI109" s="194"/>
      <c r="AJ109" s="194"/>
      <c r="AK109" s="194"/>
      <c r="AL109" s="194"/>
      <c r="AM109" s="194"/>
      <c r="AN109" s="194"/>
      <c r="AO109" s="194"/>
      <c r="AP109" s="194"/>
      <c r="AQ109" s="194"/>
      <c r="AR109" s="194"/>
      <c r="AS109" s="194"/>
      <c r="AT109" s="194"/>
      <c r="AU109" s="194"/>
      <c r="AV109" s="194"/>
      <c r="AW109" s="194"/>
      <c r="AX109" s="194"/>
      <c r="AY109" s="194"/>
      <c r="AZ109" s="194"/>
      <c r="BA109" s="194"/>
      <c r="BB109" s="194"/>
      <c r="BC109" s="194"/>
      <c r="BD109" s="194"/>
      <c r="BE109" s="194"/>
      <c r="BF109" s="194"/>
      <c r="BG109" s="194"/>
      <c r="BH109" s="194"/>
      <c r="BI109" s="194"/>
    </row>
    <row r="110" spans="1:61" ht="20" customHeight="1">
      <c r="A110" s="707" t="s">
        <v>299</v>
      </c>
      <c r="B110" s="707"/>
      <c r="C110" s="707"/>
      <c r="D110" s="707"/>
      <c r="E110" s="707"/>
      <c r="F110" s="707"/>
      <c r="G110" s="707"/>
      <c r="H110" s="707"/>
      <c r="I110" s="707"/>
      <c r="J110" s="707"/>
      <c r="K110" s="707"/>
      <c r="L110" s="707"/>
      <c r="M110" s="707"/>
      <c r="N110" s="707"/>
      <c r="O110" s="707"/>
      <c r="P110" s="707"/>
      <c r="Q110" s="707"/>
      <c r="R110" s="707"/>
      <c r="S110" s="707"/>
      <c r="T110" s="707"/>
      <c r="U110" s="707"/>
      <c r="V110" s="707"/>
      <c r="W110" s="707"/>
      <c r="X110" s="707"/>
      <c r="Y110" s="707"/>
      <c r="Z110" s="707"/>
      <c r="AA110" s="707"/>
      <c r="AB110" s="707"/>
      <c r="AC110" s="707"/>
      <c r="AD110" s="707"/>
      <c r="AE110" s="707"/>
      <c r="AF110" s="707"/>
      <c r="AG110" s="707"/>
      <c r="AH110" s="707"/>
      <c r="AI110" s="707"/>
      <c r="AJ110" s="707"/>
      <c r="AK110" s="707"/>
      <c r="AL110" s="707"/>
      <c r="AM110" s="707"/>
      <c r="AN110" s="707"/>
      <c r="AO110" s="707"/>
      <c r="AP110" s="707"/>
      <c r="AQ110" s="707"/>
      <c r="AR110" s="707"/>
      <c r="AS110" s="707"/>
      <c r="AT110" s="707"/>
      <c r="AU110" s="707"/>
      <c r="AV110" s="707"/>
      <c r="AW110" s="707"/>
      <c r="AX110" s="707"/>
      <c r="AY110" s="707"/>
      <c r="AZ110" s="707"/>
      <c r="BA110" s="707"/>
      <c r="BB110" s="707"/>
      <c r="BC110" s="707"/>
      <c r="BD110" s="707"/>
      <c r="BE110" s="707"/>
      <c r="BF110" s="707"/>
      <c r="BG110" s="707"/>
      <c r="BH110" s="707"/>
      <c r="BI110" s="707"/>
    </row>
    <row r="111" spans="1:61" ht="20" customHeight="1">
      <c r="A111" s="707"/>
      <c r="B111" s="707"/>
      <c r="C111" s="707"/>
      <c r="D111" s="707"/>
      <c r="E111" s="707"/>
      <c r="F111" s="707"/>
      <c r="G111" s="707"/>
      <c r="H111" s="707"/>
      <c r="I111" s="707"/>
      <c r="J111" s="707"/>
      <c r="K111" s="707"/>
      <c r="L111" s="707"/>
      <c r="M111" s="707"/>
      <c r="N111" s="707"/>
      <c r="O111" s="707"/>
      <c r="P111" s="707"/>
      <c r="Q111" s="707"/>
      <c r="R111" s="707"/>
      <c r="S111" s="707"/>
      <c r="T111" s="707"/>
      <c r="U111" s="707"/>
      <c r="V111" s="707"/>
      <c r="W111" s="707"/>
      <c r="X111" s="707"/>
      <c r="Y111" s="707"/>
      <c r="Z111" s="707"/>
      <c r="AA111" s="707"/>
      <c r="AB111" s="707"/>
      <c r="AC111" s="707"/>
      <c r="AD111" s="707"/>
      <c r="AE111" s="707"/>
      <c r="AF111" s="707"/>
      <c r="AG111" s="707"/>
      <c r="AH111" s="707"/>
      <c r="AI111" s="707"/>
      <c r="AJ111" s="707"/>
      <c r="AK111" s="707"/>
      <c r="AL111" s="707"/>
      <c r="AM111" s="707"/>
      <c r="AN111" s="707"/>
      <c r="AO111" s="707"/>
      <c r="AP111" s="707"/>
      <c r="AQ111" s="707"/>
      <c r="AR111" s="707"/>
      <c r="AS111" s="707"/>
      <c r="AT111" s="707"/>
      <c r="AU111" s="707"/>
      <c r="AV111" s="707"/>
      <c r="AW111" s="707"/>
      <c r="AX111" s="707"/>
      <c r="AY111" s="707"/>
      <c r="AZ111" s="707"/>
      <c r="BA111" s="707"/>
      <c r="BB111" s="707"/>
      <c r="BC111" s="707"/>
      <c r="BD111" s="707"/>
      <c r="BE111" s="707"/>
      <c r="BF111" s="707"/>
      <c r="BG111" s="707"/>
      <c r="BH111" s="707"/>
      <c r="BI111" s="707"/>
    </row>
    <row r="112" spans="1:61" ht="20" customHeight="1">
      <c r="A112" s="707"/>
      <c r="B112" s="707"/>
      <c r="C112" s="707"/>
      <c r="D112" s="707"/>
      <c r="E112" s="707"/>
      <c r="F112" s="707"/>
      <c r="G112" s="707"/>
      <c r="H112" s="707"/>
      <c r="I112" s="707"/>
      <c r="J112" s="707"/>
      <c r="K112" s="707"/>
      <c r="L112" s="707"/>
      <c r="M112" s="707"/>
      <c r="N112" s="707"/>
      <c r="O112" s="707"/>
      <c r="P112" s="707"/>
      <c r="Q112" s="707"/>
      <c r="R112" s="707"/>
      <c r="S112" s="707"/>
      <c r="T112" s="707"/>
      <c r="U112" s="707"/>
      <c r="V112" s="707"/>
      <c r="W112" s="707"/>
      <c r="X112" s="707"/>
      <c r="Y112" s="707"/>
      <c r="Z112" s="707"/>
      <c r="AA112" s="707"/>
      <c r="AB112" s="707"/>
      <c r="AC112" s="707"/>
      <c r="AD112" s="707"/>
      <c r="AE112" s="707"/>
      <c r="AF112" s="707"/>
      <c r="AG112" s="707"/>
      <c r="AH112" s="707"/>
      <c r="AI112" s="707"/>
      <c r="AJ112" s="707"/>
      <c r="AK112" s="707"/>
      <c r="AL112" s="707"/>
      <c r="AM112" s="707"/>
      <c r="AN112" s="707"/>
      <c r="AO112" s="707"/>
      <c r="AP112" s="707"/>
      <c r="AQ112" s="707"/>
      <c r="AR112" s="707"/>
      <c r="AS112" s="707"/>
      <c r="AT112" s="707"/>
      <c r="AU112" s="707"/>
      <c r="AV112" s="707"/>
      <c r="AW112" s="707"/>
      <c r="AX112" s="707"/>
      <c r="AY112" s="707"/>
      <c r="AZ112" s="707"/>
      <c r="BA112" s="707"/>
      <c r="BB112" s="707"/>
      <c r="BC112" s="707"/>
      <c r="BD112" s="707"/>
      <c r="BE112" s="707"/>
      <c r="BF112" s="707"/>
      <c r="BG112" s="707"/>
      <c r="BH112" s="707"/>
      <c r="BI112" s="707"/>
    </row>
    <row r="113" spans="1:61" ht="20" customHeight="1">
      <c r="A113" s="707"/>
      <c r="B113" s="707"/>
      <c r="C113" s="707"/>
      <c r="D113" s="707"/>
      <c r="E113" s="707"/>
      <c r="F113" s="707"/>
      <c r="G113" s="707"/>
      <c r="H113" s="707"/>
      <c r="I113" s="707"/>
      <c r="J113" s="707"/>
      <c r="K113" s="707"/>
      <c r="L113" s="707"/>
      <c r="M113" s="707"/>
      <c r="N113" s="707"/>
      <c r="O113" s="707"/>
      <c r="P113" s="707"/>
      <c r="Q113" s="707"/>
      <c r="R113" s="707"/>
      <c r="S113" s="707"/>
      <c r="T113" s="707"/>
      <c r="U113" s="707"/>
      <c r="V113" s="707"/>
      <c r="W113" s="707"/>
      <c r="X113" s="707"/>
      <c r="Y113" s="707"/>
      <c r="Z113" s="707"/>
      <c r="AA113" s="707"/>
      <c r="AB113" s="707"/>
      <c r="AC113" s="707"/>
      <c r="AD113" s="707"/>
      <c r="AE113" s="707"/>
      <c r="AF113" s="707"/>
      <c r="AG113" s="707"/>
      <c r="AH113" s="707"/>
      <c r="AI113" s="707"/>
      <c r="AJ113" s="707"/>
      <c r="AK113" s="707"/>
      <c r="AL113" s="707"/>
      <c r="AM113" s="707"/>
      <c r="AN113" s="707"/>
      <c r="AO113" s="707"/>
      <c r="AP113" s="707"/>
      <c r="AQ113" s="707"/>
      <c r="AR113" s="707"/>
      <c r="AS113" s="707"/>
      <c r="AT113" s="707"/>
      <c r="AU113" s="707"/>
      <c r="AV113" s="707"/>
      <c r="AW113" s="707"/>
      <c r="AX113" s="707"/>
      <c r="AY113" s="707"/>
      <c r="AZ113" s="707"/>
      <c r="BA113" s="707"/>
      <c r="BB113" s="707"/>
      <c r="BC113" s="707"/>
      <c r="BD113" s="707"/>
      <c r="BE113" s="707"/>
      <c r="BF113" s="707"/>
      <c r="BG113" s="707"/>
      <c r="BH113" s="707"/>
      <c r="BI113" s="707"/>
    </row>
    <row r="114" spans="1:61" ht="20" customHeight="1">
      <c r="A114" s="676">
        <v>2.6</v>
      </c>
      <c r="B114" s="676"/>
      <c r="C114" s="175" t="s">
        <v>253</v>
      </c>
      <c r="D114" s="174"/>
      <c r="E114" s="174"/>
      <c r="F114" s="174"/>
      <c r="G114" s="175"/>
      <c r="H114" s="175"/>
      <c r="I114" s="175"/>
      <c r="J114" s="175"/>
      <c r="K114" s="175"/>
      <c r="L114" s="170"/>
      <c r="M114" s="176"/>
      <c r="N114" s="176"/>
      <c r="O114" s="176"/>
      <c r="P114" s="176"/>
      <c r="Q114" s="176"/>
      <c r="R114" s="176"/>
      <c r="S114" s="176"/>
      <c r="T114" s="176"/>
      <c r="U114" s="176"/>
      <c r="V114" s="176"/>
      <c r="W114" s="176"/>
      <c r="X114" s="176"/>
      <c r="Y114" s="176"/>
      <c r="Z114" s="176"/>
      <c r="AA114" s="176"/>
      <c r="AB114" s="176"/>
      <c r="AC114" s="176"/>
      <c r="AD114" s="176"/>
      <c r="AE114" s="176"/>
      <c r="AF114" s="176"/>
      <c r="AG114" s="176"/>
      <c r="AH114" s="176"/>
      <c r="AI114" s="176"/>
      <c r="AJ114" s="176"/>
      <c r="AK114" s="176"/>
      <c r="AL114" s="176"/>
      <c r="AM114" s="176"/>
      <c r="AN114" s="176"/>
      <c r="AO114" s="176"/>
      <c r="AP114" s="176"/>
      <c r="AQ114" s="176"/>
      <c r="AR114" s="176"/>
      <c r="AS114" s="176"/>
      <c r="AT114" s="176"/>
      <c r="AU114" s="176"/>
      <c r="AV114" s="176"/>
      <c r="AW114" s="176"/>
      <c r="AX114" s="176"/>
      <c r="AY114" s="176"/>
      <c r="AZ114" s="176"/>
      <c r="BA114" s="176"/>
      <c r="BB114" s="176"/>
      <c r="BC114" s="176"/>
      <c r="BD114" s="176"/>
      <c r="BE114" s="176"/>
      <c r="BF114" s="176"/>
      <c r="BG114" s="176"/>
      <c r="BH114" s="230" t="s">
        <v>308</v>
      </c>
      <c r="BI114" s="229">
        <v>1</v>
      </c>
    </row>
    <row r="115" spans="1:61" ht="20" customHeight="1">
      <c r="A115" s="231" t="s">
        <v>294</v>
      </c>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2" t="s">
        <v>43</v>
      </c>
      <c r="AH115" s="672" t="s">
        <v>295</v>
      </c>
      <c r="AI115" s="672"/>
      <c r="AJ115" s="672"/>
      <c r="AK115" s="672"/>
      <c r="AL115" s="672"/>
      <c r="AM115" s="672"/>
      <c r="AN115" s="672"/>
      <c r="AO115" s="672"/>
      <c r="AP115" s="672"/>
      <c r="AQ115" s="672"/>
      <c r="AR115" s="672"/>
      <c r="AS115" s="672"/>
      <c r="AT115" s="672"/>
      <c r="AU115" s="672"/>
      <c r="AV115" s="672"/>
      <c r="AW115" s="672"/>
      <c r="AX115" s="672"/>
      <c r="AY115" s="672"/>
      <c r="AZ115" s="672"/>
      <c r="BA115" s="672"/>
      <c r="BB115" s="672"/>
      <c r="BC115" s="672"/>
      <c r="BD115" s="672"/>
      <c r="BE115" s="672"/>
      <c r="BF115" s="672"/>
      <c r="BG115" s="672"/>
      <c r="BH115" s="672"/>
      <c r="BI115" s="672"/>
    </row>
    <row r="116" spans="1:61" ht="20" customHeight="1">
      <c r="A116" s="231" t="s">
        <v>236</v>
      </c>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2" t="s">
        <v>43</v>
      </c>
      <c r="AH116" s="681"/>
      <c r="AI116" s="681"/>
      <c r="AJ116" s="681"/>
      <c r="AK116" s="681"/>
      <c r="AL116" s="681"/>
      <c r="AM116" s="681"/>
      <c r="AN116" s="681"/>
      <c r="AO116" s="681"/>
      <c r="AP116" s="681"/>
      <c r="AQ116" s="681"/>
      <c r="AR116" s="681"/>
      <c r="AS116" s="681"/>
      <c r="AT116" s="681"/>
      <c r="AU116" s="681"/>
      <c r="AV116" s="681"/>
      <c r="AW116" s="681"/>
      <c r="AX116" s="681"/>
      <c r="AY116" s="681"/>
      <c r="AZ116" s="681"/>
      <c r="BA116" s="681"/>
      <c r="BB116" s="681"/>
      <c r="BC116" s="681"/>
      <c r="BD116" s="681"/>
      <c r="BE116" s="681"/>
      <c r="BF116" s="681"/>
      <c r="BG116" s="681"/>
      <c r="BH116" s="681"/>
      <c r="BI116" s="681"/>
    </row>
    <row r="117" spans="1:61" ht="20" customHeight="1">
      <c r="A117" s="231" t="s">
        <v>241</v>
      </c>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2" t="s">
        <v>43</v>
      </c>
      <c r="AH117" s="672" t="s">
        <v>247</v>
      </c>
      <c r="AI117" s="672"/>
      <c r="AJ117" s="672"/>
      <c r="AK117" s="672"/>
      <c r="AL117" s="672"/>
      <c r="AM117" s="672"/>
      <c r="AN117" s="672"/>
      <c r="AO117" s="672"/>
      <c r="AP117" s="672"/>
      <c r="AQ117" s="672"/>
      <c r="AR117" s="672"/>
      <c r="AS117" s="672"/>
      <c r="AT117" s="672"/>
      <c r="AU117" s="672"/>
      <c r="AV117" s="672"/>
      <c r="AW117" s="672"/>
      <c r="AX117" s="672"/>
      <c r="AY117" s="672"/>
      <c r="AZ117" s="672"/>
      <c r="BA117" s="672"/>
      <c r="BB117" s="672"/>
      <c r="BC117" s="672"/>
      <c r="BD117" s="672"/>
      <c r="BE117" s="672"/>
      <c r="BF117" s="672"/>
      <c r="BG117" s="672"/>
      <c r="BH117" s="672"/>
      <c r="BI117" s="672"/>
    </row>
    <row r="118" spans="1:61" ht="20" customHeight="1">
      <c r="A118" s="231" t="s">
        <v>310</v>
      </c>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2" t="s">
        <v>43</v>
      </c>
      <c r="AH118" s="672">
        <f>(LEN(CONCATENATE(AH116))-LEN(SUBSTITUTE(CONCATENATE(AH116),"/","")))/2</f>
        <v>0</v>
      </c>
      <c r="AI118" s="672"/>
      <c r="AJ118" s="672"/>
      <c r="AK118" s="672"/>
      <c r="AL118" s="672"/>
      <c r="AM118" s="672"/>
      <c r="AN118" s="672"/>
      <c r="AO118" s="672"/>
      <c r="AP118" s="672"/>
      <c r="AQ118" s="672"/>
      <c r="AR118" s="672"/>
      <c r="AS118" s="672"/>
      <c r="AT118" s="672"/>
      <c r="AU118" s="672"/>
      <c r="AV118" s="672"/>
      <c r="AW118" s="672"/>
      <c r="AX118" s="672"/>
      <c r="AY118" s="672"/>
      <c r="AZ118" s="672"/>
      <c r="BA118" s="672"/>
      <c r="BB118" s="672"/>
      <c r="BC118" s="672"/>
      <c r="BD118" s="672"/>
      <c r="BE118" s="672"/>
      <c r="BF118" s="672"/>
      <c r="BG118" s="672"/>
      <c r="BH118" s="672"/>
      <c r="BI118" s="672"/>
    </row>
    <row r="119" spans="1:61" ht="20" customHeight="1">
      <c r="A119" s="231" t="s">
        <v>311</v>
      </c>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2" t="s">
        <v>43</v>
      </c>
      <c r="AH119" s="672">
        <f>IF(AH118&lt;BI114,BI114-AH118,"Nil")</f>
        <v>1</v>
      </c>
      <c r="AI119" s="672"/>
      <c r="AJ119" s="672"/>
      <c r="AK119" s="672"/>
      <c r="AL119" s="672"/>
      <c r="AM119" s="672"/>
      <c r="AN119" s="672"/>
      <c r="AO119" s="672"/>
      <c r="AP119" s="672"/>
      <c r="AQ119" s="672"/>
      <c r="AR119" s="672"/>
      <c r="AS119" s="672"/>
      <c r="AT119" s="672"/>
      <c r="AU119" s="672"/>
      <c r="AV119" s="672"/>
      <c r="AW119" s="672"/>
      <c r="AX119" s="672"/>
      <c r="AY119" s="672"/>
      <c r="AZ119" s="672"/>
      <c r="BA119" s="672"/>
      <c r="BB119" s="672"/>
      <c r="BC119" s="672"/>
      <c r="BD119" s="672"/>
      <c r="BE119" s="672"/>
      <c r="BF119" s="672"/>
      <c r="BG119" s="672"/>
      <c r="BH119" s="672"/>
      <c r="BI119" s="672"/>
    </row>
    <row r="120" spans="1:61" ht="20" customHeight="1">
      <c r="A120" s="234" t="s">
        <v>250</v>
      </c>
      <c r="B120" s="233"/>
      <c r="C120" s="233"/>
      <c r="D120" s="233"/>
      <c r="E120" s="233"/>
      <c r="F120" s="233"/>
      <c r="G120" s="233"/>
      <c r="H120" s="233"/>
      <c r="I120" s="233"/>
      <c r="J120" s="233"/>
      <c r="K120" s="233"/>
      <c r="L120" s="233"/>
      <c r="M120" s="233"/>
      <c r="N120" s="233"/>
      <c r="O120" s="233"/>
      <c r="P120" s="233"/>
      <c r="Q120" s="233"/>
      <c r="R120" s="233"/>
      <c r="S120" s="233"/>
      <c r="T120" s="233"/>
      <c r="U120" s="233"/>
      <c r="V120" s="233"/>
      <c r="W120" s="233"/>
      <c r="X120" s="233"/>
      <c r="Y120" s="233"/>
      <c r="Z120" s="233"/>
      <c r="AA120" s="233"/>
      <c r="AB120" s="233"/>
      <c r="AC120" s="233"/>
      <c r="AD120" s="233"/>
      <c r="AE120" s="233"/>
      <c r="AF120" s="233"/>
      <c r="AG120" s="232" t="s">
        <v>43</v>
      </c>
      <c r="AH120" s="233"/>
      <c r="AI120" s="233"/>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33"/>
      <c r="BG120" s="233"/>
      <c r="BH120" s="233"/>
      <c r="BI120" s="233"/>
    </row>
    <row r="121" spans="1:61" ht="20" customHeight="1">
      <c r="A121" s="677" t="s">
        <v>298</v>
      </c>
      <c r="B121" s="677"/>
      <c r="C121" s="677"/>
      <c r="D121" s="677"/>
      <c r="E121" s="677"/>
      <c r="F121" s="677"/>
      <c r="G121" s="677"/>
      <c r="H121" s="677"/>
      <c r="I121" s="677"/>
      <c r="J121" s="677"/>
      <c r="K121" s="677"/>
      <c r="L121" s="677"/>
      <c r="M121" s="677"/>
      <c r="N121" s="677"/>
      <c r="O121" s="677"/>
      <c r="P121" s="677"/>
      <c r="Q121" s="677"/>
      <c r="R121" s="677"/>
      <c r="S121" s="677"/>
      <c r="T121" s="677"/>
      <c r="U121" s="677"/>
      <c r="V121" s="677"/>
      <c r="W121" s="677"/>
      <c r="X121" s="677"/>
      <c r="Y121" s="677"/>
      <c r="Z121" s="677"/>
      <c r="AA121" s="677"/>
      <c r="AB121" s="677"/>
      <c r="AC121" s="677"/>
      <c r="AD121" s="677"/>
      <c r="AE121" s="677"/>
      <c r="AF121" s="677"/>
      <c r="AG121" s="677"/>
      <c r="AH121" s="677"/>
      <c r="AI121" s="677"/>
      <c r="AJ121" s="677"/>
      <c r="AK121" s="677"/>
      <c r="AL121" s="677"/>
      <c r="AM121" s="677"/>
      <c r="AN121" s="677"/>
      <c r="AO121" s="677"/>
      <c r="AP121" s="677"/>
      <c r="AQ121" s="677"/>
      <c r="AR121" s="677"/>
      <c r="AS121" s="677"/>
      <c r="AT121" s="677"/>
      <c r="AU121" s="677"/>
      <c r="AV121" s="677"/>
      <c r="AW121" s="677"/>
      <c r="AX121" s="677"/>
      <c r="AY121" s="677"/>
      <c r="AZ121" s="677"/>
      <c r="BA121" s="677"/>
      <c r="BB121" s="677"/>
      <c r="BC121" s="677"/>
      <c r="BD121" s="677"/>
      <c r="BE121" s="677"/>
      <c r="BF121" s="677"/>
      <c r="BG121" s="677"/>
      <c r="BH121" s="677"/>
      <c r="BI121" s="677"/>
    </row>
    <row r="122" spans="1:61" ht="20" customHeight="1">
      <c r="A122" s="677"/>
      <c r="B122" s="677"/>
      <c r="C122" s="677"/>
      <c r="D122" s="677"/>
      <c r="E122" s="677"/>
      <c r="F122" s="677"/>
      <c r="G122" s="677"/>
      <c r="H122" s="677"/>
      <c r="I122" s="677"/>
      <c r="J122" s="677"/>
      <c r="K122" s="677"/>
      <c r="L122" s="677"/>
      <c r="M122" s="677"/>
      <c r="N122" s="677"/>
      <c r="O122" s="677"/>
      <c r="P122" s="677"/>
      <c r="Q122" s="677"/>
      <c r="R122" s="677"/>
      <c r="S122" s="677"/>
      <c r="T122" s="677"/>
      <c r="U122" s="677"/>
      <c r="V122" s="677"/>
      <c r="W122" s="677"/>
      <c r="X122" s="677"/>
      <c r="Y122" s="677"/>
      <c r="Z122" s="677"/>
      <c r="AA122" s="677"/>
      <c r="AB122" s="677"/>
      <c r="AC122" s="677"/>
      <c r="AD122" s="677"/>
      <c r="AE122" s="677"/>
      <c r="AF122" s="677"/>
      <c r="AG122" s="677"/>
      <c r="AH122" s="677"/>
      <c r="AI122" s="677"/>
      <c r="AJ122" s="677"/>
      <c r="AK122" s="677"/>
      <c r="AL122" s="677"/>
      <c r="AM122" s="677"/>
      <c r="AN122" s="677"/>
      <c r="AO122" s="677"/>
      <c r="AP122" s="677"/>
      <c r="AQ122" s="677"/>
      <c r="AR122" s="677"/>
      <c r="AS122" s="677"/>
      <c r="AT122" s="677"/>
      <c r="AU122" s="677"/>
      <c r="AV122" s="677"/>
      <c r="AW122" s="677"/>
      <c r="AX122" s="677"/>
      <c r="AY122" s="677"/>
      <c r="AZ122" s="677"/>
      <c r="BA122" s="677"/>
      <c r="BB122" s="677"/>
      <c r="BC122" s="677"/>
      <c r="BD122" s="677"/>
      <c r="BE122" s="677"/>
      <c r="BF122" s="677"/>
      <c r="BG122" s="677"/>
      <c r="BH122" s="677"/>
      <c r="BI122" s="677"/>
    </row>
    <row r="123" spans="1:61" ht="20" customHeight="1">
      <c r="A123" s="677"/>
      <c r="B123" s="677"/>
      <c r="C123" s="677"/>
      <c r="D123" s="677"/>
      <c r="E123" s="677"/>
      <c r="F123" s="677"/>
      <c r="G123" s="677"/>
      <c r="H123" s="677"/>
      <c r="I123" s="677"/>
      <c r="J123" s="677"/>
      <c r="K123" s="677"/>
      <c r="L123" s="677"/>
      <c r="M123" s="677"/>
      <c r="N123" s="677"/>
      <c r="O123" s="677"/>
      <c r="P123" s="677"/>
      <c r="Q123" s="677"/>
      <c r="R123" s="677"/>
      <c r="S123" s="677"/>
      <c r="T123" s="677"/>
      <c r="U123" s="677"/>
      <c r="V123" s="677"/>
      <c r="W123" s="677"/>
      <c r="X123" s="677"/>
      <c r="Y123" s="677"/>
      <c r="Z123" s="677"/>
      <c r="AA123" s="677"/>
      <c r="AB123" s="677"/>
      <c r="AC123" s="677"/>
      <c r="AD123" s="677"/>
      <c r="AE123" s="677"/>
      <c r="AF123" s="677"/>
      <c r="AG123" s="677"/>
      <c r="AH123" s="677"/>
      <c r="AI123" s="677"/>
      <c r="AJ123" s="677"/>
      <c r="AK123" s="677"/>
      <c r="AL123" s="677"/>
      <c r="AM123" s="677"/>
      <c r="AN123" s="677"/>
      <c r="AO123" s="677"/>
      <c r="AP123" s="677"/>
      <c r="AQ123" s="677"/>
      <c r="AR123" s="677"/>
      <c r="AS123" s="677"/>
      <c r="AT123" s="677"/>
      <c r="AU123" s="677"/>
      <c r="AV123" s="677"/>
      <c r="AW123" s="677"/>
      <c r="AX123" s="677"/>
      <c r="AY123" s="677"/>
      <c r="AZ123" s="677"/>
      <c r="BA123" s="677"/>
      <c r="BB123" s="677"/>
      <c r="BC123" s="677"/>
      <c r="BD123" s="677"/>
      <c r="BE123" s="677"/>
      <c r="BF123" s="677"/>
      <c r="BG123" s="677"/>
      <c r="BH123" s="677"/>
      <c r="BI123" s="677"/>
    </row>
    <row r="124" spans="1:61" ht="20" customHeight="1">
      <c r="A124" s="677"/>
      <c r="B124" s="677"/>
      <c r="C124" s="677"/>
      <c r="D124" s="677"/>
      <c r="E124" s="677"/>
      <c r="F124" s="677"/>
      <c r="G124" s="677"/>
      <c r="H124" s="677"/>
      <c r="I124" s="677"/>
      <c r="J124" s="677"/>
      <c r="K124" s="677"/>
      <c r="L124" s="677"/>
      <c r="M124" s="677"/>
      <c r="N124" s="677"/>
      <c r="O124" s="677"/>
      <c r="P124" s="677"/>
      <c r="Q124" s="677"/>
      <c r="R124" s="677"/>
      <c r="S124" s="677"/>
      <c r="T124" s="677"/>
      <c r="U124" s="677"/>
      <c r="V124" s="677"/>
      <c r="W124" s="677"/>
      <c r="X124" s="677"/>
      <c r="Y124" s="677"/>
      <c r="Z124" s="677"/>
      <c r="AA124" s="677"/>
      <c r="AB124" s="677"/>
      <c r="AC124" s="677"/>
      <c r="AD124" s="677"/>
      <c r="AE124" s="677"/>
      <c r="AF124" s="677"/>
      <c r="AG124" s="677"/>
      <c r="AH124" s="677"/>
      <c r="AI124" s="677"/>
      <c r="AJ124" s="677"/>
      <c r="AK124" s="677"/>
      <c r="AL124" s="677"/>
      <c r="AM124" s="677"/>
      <c r="AN124" s="677"/>
      <c r="AO124" s="677"/>
      <c r="AP124" s="677"/>
      <c r="AQ124" s="677"/>
      <c r="AR124" s="677"/>
      <c r="AS124" s="677"/>
      <c r="AT124" s="677"/>
      <c r="AU124" s="677"/>
      <c r="AV124" s="677"/>
      <c r="AW124" s="677"/>
      <c r="AX124" s="677"/>
      <c r="AY124" s="677"/>
      <c r="AZ124" s="677"/>
      <c r="BA124" s="677"/>
      <c r="BB124" s="677"/>
      <c r="BC124" s="677"/>
      <c r="BD124" s="677"/>
      <c r="BE124" s="677"/>
      <c r="BF124" s="677"/>
      <c r="BG124" s="677"/>
      <c r="BH124" s="677"/>
      <c r="BI124" s="677"/>
    </row>
    <row r="125" spans="1:61" s="192" customFormat="1" ht="20" customHeight="1">
      <c r="A125" s="676">
        <v>3</v>
      </c>
      <c r="B125" s="676"/>
      <c r="C125" s="175" t="s">
        <v>255</v>
      </c>
      <c r="D125" s="174"/>
      <c r="E125" s="174"/>
      <c r="F125" s="174"/>
      <c r="G125" s="175"/>
      <c r="H125" s="175"/>
      <c r="I125" s="175"/>
      <c r="J125" s="175"/>
      <c r="K125" s="175"/>
      <c r="L125" s="170"/>
      <c r="M125" s="176"/>
      <c r="N125" s="176"/>
      <c r="O125" s="176"/>
      <c r="P125" s="176"/>
      <c r="Q125" s="176"/>
      <c r="R125" s="176"/>
      <c r="S125" s="176"/>
      <c r="T125" s="176"/>
      <c r="U125" s="176"/>
      <c r="V125" s="176"/>
      <c r="W125" s="176"/>
      <c r="X125" s="176"/>
      <c r="Y125" s="176"/>
      <c r="Z125" s="176"/>
      <c r="AA125" s="176"/>
      <c r="AB125" s="176"/>
      <c r="AC125" s="176"/>
      <c r="AD125" s="176"/>
      <c r="AE125" s="176"/>
      <c r="AF125" s="176"/>
      <c r="AG125" s="176"/>
      <c r="AH125" s="176"/>
      <c r="AI125" s="176"/>
      <c r="AJ125" s="176"/>
      <c r="AK125" s="176"/>
      <c r="AL125" s="176"/>
      <c r="AM125" s="176"/>
      <c r="AN125" s="176"/>
      <c r="AO125" s="176"/>
      <c r="AP125" s="176"/>
      <c r="AQ125" s="176"/>
      <c r="AR125" s="176"/>
      <c r="AS125" s="176"/>
      <c r="AT125" s="176"/>
      <c r="AU125" s="176"/>
      <c r="AV125" s="176"/>
      <c r="AW125" s="176"/>
      <c r="AX125" s="176"/>
      <c r="AY125" s="176"/>
      <c r="AZ125" s="176"/>
      <c r="BA125" s="176"/>
      <c r="BB125" s="176"/>
      <c r="BC125" s="176"/>
      <c r="BD125" s="176"/>
      <c r="BE125" s="176"/>
      <c r="BF125" s="176"/>
      <c r="BG125" s="176"/>
      <c r="BH125" s="176"/>
      <c r="BI125" s="176"/>
    </row>
    <row r="126" spans="1:61" s="192" customFormat="1" ht="20" customHeight="1">
      <c r="A126" s="191" t="s">
        <v>261</v>
      </c>
      <c r="B126" s="191"/>
      <c r="C126" s="191"/>
      <c r="D126" s="191"/>
      <c r="E126" s="191"/>
      <c r="F126" s="191"/>
      <c r="G126" s="191"/>
      <c r="H126" s="191"/>
      <c r="I126" s="191"/>
      <c r="J126" s="191"/>
      <c r="K126" s="191"/>
      <c r="L126" s="191"/>
      <c r="M126" s="191"/>
      <c r="N126" s="191"/>
      <c r="O126" s="191"/>
      <c r="P126" s="191"/>
      <c r="Q126" s="191"/>
      <c r="R126" s="191"/>
      <c r="S126" s="191"/>
      <c r="T126" s="191"/>
      <c r="U126" s="191"/>
      <c r="V126" s="191"/>
      <c r="W126" s="191"/>
      <c r="X126" s="191"/>
      <c r="Y126" s="191"/>
      <c r="Z126" s="191"/>
      <c r="AA126" s="191"/>
      <c r="AB126" s="191"/>
      <c r="AC126" s="191"/>
      <c r="AD126" s="191"/>
      <c r="AE126" s="191"/>
      <c r="AF126" s="191"/>
      <c r="AG126" s="190" t="s">
        <v>43</v>
      </c>
      <c r="AH126" s="706" t="s">
        <v>258</v>
      </c>
      <c r="AI126" s="706"/>
      <c r="AJ126" s="706"/>
      <c r="AK126" s="706"/>
      <c r="AL126" s="706"/>
      <c r="AM126" s="706"/>
      <c r="AN126" s="706"/>
      <c r="AO126" s="706"/>
      <c r="AP126" s="706"/>
      <c r="AQ126" s="706"/>
      <c r="AR126" s="706"/>
      <c r="AS126" s="706"/>
      <c r="AT126" s="706"/>
      <c r="AU126" s="706"/>
      <c r="AV126" s="706"/>
      <c r="AW126" s="706"/>
      <c r="AX126" s="706"/>
      <c r="AY126" s="706"/>
      <c r="AZ126" s="706"/>
      <c r="BA126" s="706"/>
      <c r="BB126" s="706"/>
      <c r="BC126" s="706"/>
      <c r="BD126" s="706"/>
      <c r="BE126" s="706"/>
      <c r="BF126" s="706"/>
      <c r="BG126" s="706"/>
      <c r="BH126" s="706"/>
      <c r="BI126" s="706"/>
    </row>
    <row r="127" spans="1:61" s="192" customFormat="1" ht="20" customHeight="1">
      <c r="A127" s="191" t="s">
        <v>260</v>
      </c>
      <c r="B127" s="191"/>
      <c r="C127" s="191"/>
      <c r="D127" s="191"/>
      <c r="E127" s="191"/>
      <c r="F127" s="191"/>
      <c r="G127" s="191"/>
      <c r="H127" s="191"/>
      <c r="I127" s="191"/>
      <c r="J127" s="191"/>
      <c r="K127" s="191"/>
      <c r="L127" s="191"/>
      <c r="M127" s="191"/>
      <c r="N127" s="191"/>
      <c r="O127" s="191"/>
      <c r="P127" s="191"/>
      <c r="Q127" s="191"/>
      <c r="R127" s="191"/>
      <c r="S127" s="191"/>
      <c r="T127" s="191"/>
      <c r="U127" s="191"/>
      <c r="V127" s="191"/>
      <c r="W127" s="191"/>
      <c r="X127" s="191"/>
      <c r="Y127" s="191"/>
      <c r="Z127" s="191"/>
      <c r="AA127" s="191"/>
      <c r="AB127" s="191"/>
      <c r="AC127" s="191"/>
      <c r="AD127" s="191"/>
      <c r="AE127" s="191"/>
      <c r="AF127" s="191"/>
      <c r="AG127" s="177" t="s">
        <v>43</v>
      </c>
      <c r="AH127" s="706"/>
      <c r="AI127" s="706"/>
      <c r="AJ127" s="706"/>
      <c r="AK127" s="706"/>
      <c r="AL127" s="706"/>
      <c r="AM127" s="706"/>
      <c r="AN127" s="706"/>
      <c r="AO127" s="706"/>
      <c r="AP127" s="706"/>
      <c r="AQ127" s="706"/>
      <c r="AR127" s="706"/>
      <c r="AS127" s="706"/>
      <c r="AT127" s="706"/>
      <c r="AU127" s="706"/>
      <c r="AV127" s="706"/>
      <c r="AW127" s="706"/>
      <c r="AX127" s="706"/>
      <c r="AY127" s="706"/>
      <c r="AZ127" s="706"/>
      <c r="BA127" s="706"/>
      <c r="BB127" s="706"/>
      <c r="BC127" s="706"/>
      <c r="BD127" s="706"/>
      <c r="BE127" s="706"/>
      <c r="BF127" s="706"/>
      <c r="BG127" s="706"/>
      <c r="BH127" s="706"/>
      <c r="BI127" s="706"/>
    </row>
    <row r="128" spans="1:61" s="192" customFormat="1" ht="20" customHeight="1">
      <c r="A128" s="191" t="s">
        <v>262</v>
      </c>
      <c r="B128" s="191"/>
      <c r="C128" s="191"/>
      <c r="D128" s="191"/>
      <c r="E128" s="191"/>
      <c r="F128" s="191"/>
      <c r="G128" s="191"/>
      <c r="H128" s="191"/>
      <c r="I128" s="191"/>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77" t="s">
        <v>43</v>
      </c>
      <c r="AH128" s="706" t="s">
        <v>297</v>
      </c>
      <c r="AI128" s="706"/>
      <c r="AJ128" s="706"/>
      <c r="AK128" s="706"/>
      <c r="AL128" s="706"/>
      <c r="AM128" s="706"/>
      <c r="AN128" s="706"/>
      <c r="AO128" s="706"/>
      <c r="AP128" s="706"/>
      <c r="AQ128" s="706"/>
      <c r="AR128" s="706"/>
      <c r="AS128" s="706"/>
      <c r="AT128" s="706"/>
      <c r="AU128" s="706"/>
      <c r="AV128" s="706"/>
      <c r="AW128" s="706"/>
      <c r="AX128" s="706"/>
      <c r="AY128" s="706"/>
      <c r="AZ128" s="706"/>
      <c r="BA128" s="706"/>
      <c r="BB128" s="706"/>
      <c r="BC128" s="706"/>
      <c r="BD128" s="706"/>
      <c r="BE128" s="706"/>
      <c r="BF128" s="706"/>
      <c r="BG128" s="706"/>
      <c r="BH128" s="706"/>
      <c r="BI128" s="706"/>
    </row>
    <row r="129" spans="1:61" s="192" customFormat="1" ht="20" customHeight="1">
      <c r="AH129" s="706"/>
      <c r="AI129" s="706"/>
      <c r="AJ129" s="706"/>
      <c r="AK129" s="706"/>
      <c r="AL129" s="706"/>
      <c r="AM129" s="706"/>
      <c r="AN129" s="706"/>
      <c r="AO129" s="706"/>
      <c r="AP129" s="706"/>
      <c r="AQ129" s="706"/>
      <c r="AR129" s="706"/>
      <c r="AS129" s="706"/>
      <c r="AT129" s="706"/>
      <c r="AU129" s="706"/>
      <c r="AV129" s="706"/>
      <c r="AW129" s="706"/>
      <c r="AX129" s="706"/>
      <c r="AY129" s="706"/>
      <c r="AZ129" s="706"/>
      <c r="BA129" s="706"/>
      <c r="BB129" s="706"/>
      <c r="BC129" s="706"/>
      <c r="BD129" s="706"/>
      <c r="BE129" s="706"/>
      <c r="BF129" s="706"/>
      <c r="BG129" s="706"/>
      <c r="BH129" s="706"/>
      <c r="BI129" s="706"/>
    </row>
    <row r="130" spans="1:61" ht="20" customHeight="1">
      <c r="A130" s="206" t="s">
        <v>263</v>
      </c>
      <c r="B130" s="185"/>
      <c r="C130" s="185"/>
      <c r="D130" s="185"/>
      <c r="E130" s="185"/>
      <c r="F130" s="185"/>
      <c r="G130" s="185"/>
      <c r="H130" s="185"/>
      <c r="I130" s="185"/>
      <c r="J130" s="185"/>
      <c r="K130" s="185"/>
      <c r="L130" s="185"/>
      <c r="M130" s="185"/>
      <c r="N130" s="185"/>
      <c r="O130" s="185"/>
      <c r="P130" s="185"/>
      <c r="Q130" s="185"/>
      <c r="R130" s="185"/>
      <c r="S130" s="185"/>
      <c r="T130" s="185"/>
      <c r="U130" s="185"/>
      <c r="V130" s="185"/>
      <c r="W130" s="185"/>
      <c r="X130" s="185"/>
      <c r="Y130" s="185"/>
      <c r="Z130" s="185"/>
      <c r="AA130" s="185"/>
      <c r="AB130" s="185"/>
      <c r="AC130" s="185"/>
      <c r="AD130" s="185"/>
      <c r="AE130" s="185"/>
      <c r="AF130" s="185"/>
      <c r="AG130" s="177" t="s">
        <v>43</v>
      </c>
      <c r="AH130" s="185"/>
      <c r="AI130" s="185"/>
      <c r="AJ130" s="185"/>
      <c r="AK130" s="185"/>
      <c r="AL130" s="185"/>
      <c r="AM130" s="185"/>
      <c r="AN130" s="185"/>
      <c r="AO130" s="185"/>
      <c r="AP130" s="185"/>
      <c r="AQ130" s="185"/>
      <c r="AR130" s="185"/>
      <c r="AS130" s="185"/>
      <c r="AT130" s="185"/>
      <c r="AU130" s="185"/>
      <c r="AV130" s="185"/>
      <c r="AW130" s="185"/>
      <c r="AX130" s="185"/>
      <c r="AY130" s="185"/>
      <c r="AZ130" s="185"/>
      <c r="BA130" s="185"/>
      <c r="BB130" s="185"/>
      <c r="BC130" s="185"/>
      <c r="BD130" s="185"/>
      <c r="BE130" s="185"/>
      <c r="BF130" s="185"/>
      <c r="BG130" s="185"/>
      <c r="BH130" s="185"/>
      <c r="BI130" s="185"/>
    </row>
    <row r="131" spans="1:61" ht="20" customHeight="1">
      <c r="A131" s="677" t="s">
        <v>302</v>
      </c>
      <c r="B131" s="677"/>
      <c r="C131" s="677"/>
      <c r="D131" s="677"/>
      <c r="E131" s="677"/>
      <c r="F131" s="677"/>
      <c r="G131" s="677"/>
      <c r="H131" s="677"/>
      <c r="I131" s="677"/>
      <c r="J131" s="677"/>
      <c r="K131" s="677"/>
      <c r="L131" s="677"/>
      <c r="M131" s="677"/>
      <c r="N131" s="677"/>
      <c r="O131" s="677"/>
      <c r="P131" s="677"/>
      <c r="Q131" s="677"/>
      <c r="R131" s="677"/>
      <c r="S131" s="677"/>
      <c r="T131" s="677"/>
      <c r="U131" s="677"/>
      <c r="V131" s="677"/>
      <c r="W131" s="677"/>
      <c r="X131" s="677"/>
      <c r="Y131" s="677"/>
      <c r="Z131" s="677"/>
      <c r="AA131" s="677"/>
      <c r="AB131" s="677"/>
      <c r="AC131" s="677"/>
      <c r="AD131" s="677"/>
      <c r="AE131" s="677"/>
      <c r="AF131" s="677"/>
      <c r="AG131" s="677"/>
      <c r="AH131" s="677"/>
      <c r="AI131" s="677"/>
      <c r="AJ131" s="677"/>
      <c r="AK131" s="677"/>
      <c r="AL131" s="677"/>
      <c r="AM131" s="677"/>
      <c r="AN131" s="677"/>
      <c r="AO131" s="677"/>
      <c r="AP131" s="677"/>
      <c r="AQ131" s="677"/>
      <c r="AR131" s="677"/>
      <c r="AS131" s="677"/>
      <c r="AT131" s="677"/>
      <c r="AU131" s="677"/>
      <c r="AV131" s="677"/>
      <c r="AW131" s="677"/>
      <c r="AX131" s="677"/>
      <c r="AY131" s="677"/>
      <c r="AZ131" s="677"/>
      <c r="BA131" s="677"/>
      <c r="BB131" s="677"/>
      <c r="BC131" s="677"/>
      <c r="BD131" s="677"/>
      <c r="BE131" s="677"/>
      <c r="BF131" s="677"/>
      <c r="BG131" s="677"/>
      <c r="BH131" s="677"/>
      <c r="BI131" s="677"/>
    </row>
    <row r="132" spans="1:61" ht="20" customHeight="1">
      <c r="A132" s="677"/>
      <c r="B132" s="677"/>
      <c r="C132" s="677"/>
      <c r="D132" s="677"/>
      <c r="E132" s="677"/>
      <c r="F132" s="677"/>
      <c r="G132" s="677"/>
      <c r="H132" s="677"/>
      <c r="I132" s="677"/>
      <c r="J132" s="677"/>
      <c r="K132" s="677"/>
      <c r="L132" s="677"/>
      <c r="M132" s="677"/>
      <c r="N132" s="677"/>
      <c r="O132" s="677"/>
      <c r="P132" s="677"/>
      <c r="Q132" s="677"/>
      <c r="R132" s="677"/>
      <c r="S132" s="677"/>
      <c r="T132" s="677"/>
      <c r="U132" s="677"/>
      <c r="V132" s="677"/>
      <c r="W132" s="677"/>
      <c r="X132" s="677"/>
      <c r="Y132" s="677"/>
      <c r="Z132" s="677"/>
      <c r="AA132" s="677"/>
      <c r="AB132" s="677"/>
      <c r="AC132" s="677"/>
      <c r="AD132" s="677"/>
      <c r="AE132" s="677"/>
      <c r="AF132" s="677"/>
      <c r="AG132" s="677"/>
      <c r="AH132" s="677"/>
      <c r="AI132" s="677"/>
      <c r="AJ132" s="677"/>
      <c r="AK132" s="677"/>
      <c r="AL132" s="677"/>
      <c r="AM132" s="677"/>
      <c r="AN132" s="677"/>
      <c r="AO132" s="677"/>
      <c r="AP132" s="677"/>
      <c r="AQ132" s="677"/>
      <c r="AR132" s="677"/>
      <c r="AS132" s="677"/>
      <c r="AT132" s="677"/>
      <c r="AU132" s="677"/>
      <c r="AV132" s="677"/>
      <c r="AW132" s="677"/>
      <c r="AX132" s="677"/>
      <c r="AY132" s="677"/>
      <c r="AZ132" s="677"/>
      <c r="BA132" s="677"/>
      <c r="BB132" s="677"/>
      <c r="BC132" s="677"/>
      <c r="BD132" s="677"/>
      <c r="BE132" s="677"/>
      <c r="BF132" s="677"/>
      <c r="BG132" s="677"/>
      <c r="BH132" s="677"/>
      <c r="BI132" s="677"/>
    </row>
    <row r="133" spans="1:61" ht="20" customHeight="1">
      <c r="A133" s="677"/>
      <c r="B133" s="677"/>
      <c r="C133" s="677"/>
      <c r="D133" s="677"/>
      <c r="E133" s="677"/>
      <c r="F133" s="677"/>
      <c r="G133" s="677"/>
      <c r="H133" s="677"/>
      <c r="I133" s="677"/>
      <c r="J133" s="677"/>
      <c r="K133" s="677"/>
      <c r="L133" s="677"/>
      <c r="M133" s="677"/>
      <c r="N133" s="677"/>
      <c r="O133" s="677"/>
      <c r="P133" s="677"/>
      <c r="Q133" s="677"/>
      <c r="R133" s="677"/>
      <c r="S133" s="677"/>
      <c r="T133" s="677"/>
      <c r="U133" s="677"/>
      <c r="V133" s="677"/>
      <c r="W133" s="677"/>
      <c r="X133" s="677"/>
      <c r="Y133" s="677"/>
      <c r="Z133" s="677"/>
      <c r="AA133" s="677"/>
      <c r="AB133" s="677"/>
      <c r="AC133" s="677"/>
      <c r="AD133" s="677"/>
      <c r="AE133" s="677"/>
      <c r="AF133" s="677"/>
      <c r="AG133" s="677"/>
      <c r="AH133" s="677"/>
      <c r="AI133" s="677"/>
      <c r="AJ133" s="677"/>
      <c r="AK133" s="677"/>
      <c r="AL133" s="677"/>
      <c r="AM133" s="677"/>
      <c r="AN133" s="677"/>
      <c r="AO133" s="677"/>
      <c r="AP133" s="677"/>
      <c r="AQ133" s="677"/>
      <c r="AR133" s="677"/>
      <c r="AS133" s="677"/>
      <c r="AT133" s="677"/>
      <c r="AU133" s="677"/>
      <c r="AV133" s="677"/>
      <c r="AW133" s="677"/>
      <c r="AX133" s="677"/>
      <c r="AY133" s="677"/>
      <c r="AZ133" s="677"/>
      <c r="BA133" s="677"/>
      <c r="BB133" s="677"/>
      <c r="BC133" s="677"/>
      <c r="BD133" s="677"/>
      <c r="BE133" s="677"/>
      <c r="BF133" s="677"/>
      <c r="BG133" s="677"/>
      <c r="BH133" s="677"/>
      <c r="BI133" s="677"/>
    </row>
    <row r="134" spans="1:61" ht="20" customHeight="1">
      <c r="A134" s="677"/>
      <c r="B134" s="677"/>
      <c r="C134" s="677"/>
      <c r="D134" s="677"/>
      <c r="E134" s="677"/>
      <c r="F134" s="677"/>
      <c r="G134" s="677"/>
      <c r="H134" s="677"/>
      <c r="I134" s="677"/>
      <c r="J134" s="677"/>
      <c r="K134" s="677"/>
      <c r="L134" s="677"/>
      <c r="M134" s="677"/>
      <c r="N134" s="677"/>
      <c r="O134" s="677"/>
      <c r="P134" s="677"/>
      <c r="Q134" s="677"/>
      <c r="R134" s="677"/>
      <c r="S134" s="677"/>
      <c r="T134" s="677"/>
      <c r="U134" s="677"/>
      <c r="V134" s="677"/>
      <c r="W134" s="677"/>
      <c r="X134" s="677"/>
      <c r="Y134" s="677"/>
      <c r="Z134" s="677"/>
      <c r="AA134" s="677"/>
      <c r="AB134" s="677"/>
      <c r="AC134" s="677"/>
      <c r="AD134" s="677"/>
      <c r="AE134" s="677"/>
      <c r="AF134" s="677"/>
      <c r="AG134" s="677"/>
      <c r="AH134" s="677"/>
      <c r="AI134" s="677"/>
      <c r="AJ134" s="677"/>
      <c r="AK134" s="677"/>
      <c r="AL134" s="677"/>
      <c r="AM134" s="677"/>
      <c r="AN134" s="677"/>
      <c r="AO134" s="677"/>
      <c r="AP134" s="677"/>
      <c r="AQ134" s="677"/>
      <c r="AR134" s="677"/>
      <c r="AS134" s="677"/>
      <c r="AT134" s="677"/>
      <c r="AU134" s="677"/>
      <c r="AV134" s="677"/>
      <c r="AW134" s="677"/>
      <c r="AX134" s="677"/>
      <c r="AY134" s="677"/>
      <c r="AZ134" s="677"/>
      <c r="BA134" s="677"/>
      <c r="BB134" s="677"/>
      <c r="BC134" s="677"/>
      <c r="BD134" s="677"/>
      <c r="BE134" s="677"/>
      <c r="BF134" s="677"/>
      <c r="BG134" s="677"/>
      <c r="BH134" s="677"/>
      <c r="BI134" s="677"/>
    </row>
    <row r="135" spans="1:61" ht="20" customHeight="1">
      <c r="A135" s="209"/>
      <c r="B135" s="209"/>
      <c r="C135" s="209"/>
      <c r="D135" s="209"/>
      <c r="E135" s="209"/>
      <c r="F135" s="209"/>
      <c r="G135" s="209"/>
      <c r="H135" s="209"/>
      <c r="I135" s="209"/>
      <c r="J135" s="209"/>
      <c r="K135" s="209"/>
      <c r="L135" s="209"/>
      <c r="M135" s="209"/>
      <c r="N135" s="209"/>
      <c r="O135" s="209"/>
      <c r="P135" s="209"/>
      <c r="Q135" s="209"/>
      <c r="R135" s="209"/>
      <c r="S135" s="209"/>
      <c r="T135" s="209"/>
      <c r="U135" s="209"/>
      <c r="V135" s="209"/>
      <c r="W135" s="209"/>
      <c r="X135" s="209"/>
      <c r="Y135" s="209"/>
      <c r="Z135" s="209"/>
      <c r="AA135" s="209"/>
      <c r="AB135" s="209"/>
      <c r="AC135" s="209"/>
      <c r="AD135" s="209"/>
      <c r="AE135" s="209"/>
      <c r="AF135" s="209"/>
      <c r="AG135" s="209"/>
      <c r="AH135" s="209"/>
      <c r="AI135" s="209"/>
      <c r="AJ135" s="209"/>
      <c r="AK135" s="209"/>
      <c r="AL135" s="209"/>
      <c r="AM135" s="209"/>
      <c r="AN135" s="209"/>
      <c r="AO135" s="209"/>
      <c r="AP135" s="209"/>
      <c r="AQ135" s="209"/>
      <c r="AR135" s="209"/>
      <c r="AS135" s="209"/>
      <c r="AT135" s="209"/>
      <c r="AU135" s="209"/>
      <c r="AV135" s="209"/>
      <c r="AW135" s="209"/>
      <c r="AX135" s="209"/>
      <c r="AY135" s="209"/>
      <c r="AZ135" s="209"/>
      <c r="BA135" s="209"/>
      <c r="BB135" s="209"/>
      <c r="BC135" s="209"/>
      <c r="BD135" s="209"/>
      <c r="BE135" s="209"/>
      <c r="BF135" s="209"/>
      <c r="BG135" s="209"/>
      <c r="BH135" s="209"/>
      <c r="BI135" s="209"/>
    </row>
    <row r="136" spans="1:61" ht="20" customHeight="1">
      <c r="A136" s="187"/>
      <c r="B136" s="187"/>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180"/>
      <c r="AH136" s="180"/>
      <c r="AI136" s="180"/>
      <c r="AJ136" s="180"/>
      <c r="AK136" s="180"/>
      <c r="AL136" s="180"/>
      <c r="AM136" s="180"/>
      <c r="AN136" s="180"/>
      <c r="AO136" s="180"/>
      <c r="AP136" s="180"/>
      <c r="AQ136" s="180"/>
      <c r="AR136" s="180"/>
      <c r="AS136" s="180"/>
      <c r="AT136" s="180"/>
      <c r="AU136" s="180"/>
      <c r="AV136" s="180"/>
      <c r="AW136" s="180"/>
      <c r="AX136" s="180"/>
      <c r="AY136" s="180"/>
      <c r="AZ136" s="180"/>
      <c r="BA136" s="180"/>
      <c r="BB136" s="180"/>
      <c r="BC136" s="180"/>
      <c r="BD136" s="180"/>
      <c r="BE136" s="180"/>
      <c r="BF136" s="180"/>
      <c r="BG136" s="180"/>
      <c r="BH136" s="180"/>
      <c r="BI136" s="180"/>
    </row>
    <row r="137" spans="1:61" ht="20" customHeight="1">
      <c r="A137" s="175" t="s">
        <v>266</v>
      </c>
      <c r="B137" s="175"/>
      <c r="C137" s="175"/>
      <c r="D137" s="174"/>
      <c r="E137" s="174"/>
      <c r="F137" s="174"/>
      <c r="G137" s="175"/>
      <c r="H137" s="175"/>
      <c r="I137" s="175"/>
      <c r="J137" s="175"/>
      <c r="K137" s="175"/>
      <c r="L137" s="170"/>
      <c r="M137" s="176"/>
      <c r="N137" s="176"/>
      <c r="O137" s="176"/>
      <c r="P137" s="176"/>
      <c r="Q137" s="176"/>
      <c r="R137" s="176"/>
      <c r="S137" s="176"/>
      <c r="T137" s="176"/>
      <c r="U137" s="176"/>
      <c r="V137" s="176"/>
      <c r="W137" s="176"/>
      <c r="X137" s="176"/>
      <c r="Y137" s="176"/>
      <c r="Z137" s="176"/>
      <c r="AA137" s="176"/>
      <c r="AB137" s="176"/>
      <c r="AC137" s="176"/>
      <c r="AD137" s="176"/>
      <c r="AE137" s="176"/>
      <c r="AF137" s="176"/>
      <c r="AG137" s="176"/>
      <c r="AH137" s="176"/>
      <c r="AI137" s="176"/>
      <c r="AJ137" s="176"/>
      <c r="AK137" s="176"/>
      <c r="AL137" s="176"/>
      <c r="AM137" s="176"/>
      <c r="AN137" s="176"/>
      <c r="AO137" s="176"/>
      <c r="AP137" s="176"/>
      <c r="AQ137" s="176"/>
      <c r="AR137" s="176"/>
      <c r="AS137" s="176"/>
      <c r="AT137" s="176"/>
      <c r="AU137" s="176"/>
      <c r="AV137" s="176"/>
      <c r="AW137" s="176"/>
      <c r="AX137" s="176"/>
      <c r="AY137" s="176"/>
      <c r="AZ137" s="176"/>
      <c r="BA137" s="176"/>
      <c r="BB137" s="176"/>
      <c r="BC137" s="176"/>
      <c r="BD137" s="176"/>
      <c r="BE137" s="176"/>
      <c r="BF137" s="176"/>
      <c r="BG137" s="176"/>
      <c r="BH137" s="176"/>
      <c r="BI137" s="176"/>
    </row>
    <row r="138" spans="1:61" ht="20" customHeight="1">
      <c r="A138" s="191" t="e">
        <f>"Does "&amp;FirstName&amp;" acknowledged the Action Plan"</f>
        <v>#VALUE!</v>
      </c>
      <c r="Y138" s="186"/>
      <c r="Z138" s="186"/>
      <c r="AA138" s="186"/>
      <c r="AB138" s="186"/>
      <c r="AC138" s="186"/>
      <c r="AD138" s="186"/>
      <c r="AE138" s="186"/>
      <c r="AF138" s="186"/>
      <c r="AG138" s="190" t="s">
        <v>43</v>
      </c>
      <c r="AH138" s="706" t="s">
        <v>93</v>
      </c>
      <c r="AI138" s="706"/>
      <c r="AJ138" s="706"/>
      <c r="AK138" s="706"/>
      <c r="AL138" s="706"/>
      <c r="AM138" s="706"/>
      <c r="AN138" s="706"/>
      <c r="AO138" s="706"/>
      <c r="AP138" s="706"/>
      <c r="AQ138" s="706"/>
      <c r="AR138" s="706"/>
      <c r="AS138" s="706"/>
      <c r="AT138" s="706"/>
      <c r="AU138" s="706"/>
      <c r="AV138" s="706"/>
      <c r="AW138" s="706"/>
      <c r="AX138" s="706"/>
      <c r="AY138" s="706"/>
      <c r="AZ138" s="706"/>
      <c r="BA138" s="706"/>
      <c r="BB138" s="706"/>
      <c r="BC138" s="706"/>
      <c r="BD138" s="706"/>
      <c r="BE138" s="706"/>
      <c r="BF138" s="706"/>
      <c r="BG138" s="706"/>
      <c r="BH138" s="706"/>
      <c r="BI138" s="706"/>
    </row>
    <row r="139" spans="1:61" ht="20" customHeight="1">
      <c r="A139" s="191" t="e">
        <f>""&amp;FirstName&amp;"'s comments"</f>
        <v>#VALUE!</v>
      </c>
      <c r="Y139" s="186"/>
      <c r="Z139" s="186"/>
      <c r="AA139" s="186"/>
      <c r="AB139" s="186"/>
      <c r="AC139" s="186"/>
      <c r="AD139" s="186"/>
      <c r="AE139" s="186"/>
      <c r="AF139" s="186"/>
      <c r="AG139" s="190" t="s">
        <v>43</v>
      </c>
      <c r="AH139" s="186"/>
      <c r="AI139" s="186"/>
      <c r="AJ139" s="186"/>
      <c r="AK139" s="186"/>
      <c r="AL139" s="186"/>
      <c r="AM139" s="186"/>
      <c r="AN139" s="186"/>
      <c r="AO139" s="186"/>
      <c r="AP139" s="186"/>
      <c r="AQ139" s="186"/>
      <c r="AR139" s="186"/>
      <c r="AS139" s="186"/>
      <c r="AT139" s="186"/>
      <c r="AU139" s="186"/>
    </row>
    <row r="140" spans="1:61" ht="20" customHeight="1">
      <c r="A140" s="677" t="s">
        <v>279</v>
      </c>
      <c r="B140" s="677"/>
      <c r="C140" s="677"/>
      <c r="D140" s="677"/>
      <c r="E140" s="677"/>
      <c r="F140" s="677"/>
      <c r="G140" s="677"/>
      <c r="H140" s="677"/>
      <c r="I140" s="677"/>
      <c r="J140" s="677"/>
      <c r="K140" s="677"/>
      <c r="L140" s="677"/>
      <c r="M140" s="677"/>
      <c r="N140" s="677"/>
      <c r="O140" s="677"/>
      <c r="P140" s="677"/>
      <c r="Q140" s="677"/>
      <c r="R140" s="677"/>
      <c r="S140" s="677"/>
      <c r="T140" s="677"/>
      <c r="U140" s="677"/>
      <c r="V140" s="677"/>
      <c r="W140" s="677"/>
      <c r="X140" s="677"/>
      <c r="Y140" s="677"/>
      <c r="Z140" s="677"/>
      <c r="AA140" s="677"/>
      <c r="AB140" s="677"/>
      <c r="AC140" s="677"/>
      <c r="AD140" s="677"/>
      <c r="AE140" s="677"/>
      <c r="AF140" s="677"/>
      <c r="AG140" s="677"/>
      <c r="AH140" s="677"/>
      <c r="AI140" s="677"/>
      <c r="AJ140" s="677"/>
      <c r="AK140" s="677"/>
      <c r="AL140" s="677"/>
      <c r="AM140" s="677"/>
      <c r="AN140" s="677"/>
      <c r="AO140" s="677"/>
      <c r="AP140" s="677"/>
      <c r="AQ140" s="677"/>
      <c r="AR140" s="677"/>
      <c r="AS140" s="677"/>
      <c r="AT140" s="677"/>
      <c r="AU140" s="677"/>
      <c r="AV140" s="677"/>
      <c r="AW140" s="677"/>
      <c r="AX140" s="677"/>
      <c r="AY140" s="677"/>
      <c r="AZ140" s="677"/>
      <c r="BA140" s="677"/>
      <c r="BB140" s="677"/>
      <c r="BC140" s="677"/>
      <c r="BD140" s="677"/>
      <c r="BE140" s="677"/>
      <c r="BF140" s="677"/>
      <c r="BG140" s="677"/>
      <c r="BH140" s="677"/>
      <c r="BI140" s="677"/>
    </row>
    <row r="141" spans="1:61" ht="20" customHeight="1">
      <c r="A141" s="677"/>
      <c r="B141" s="677"/>
      <c r="C141" s="677"/>
      <c r="D141" s="677"/>
      <c r="E141" s="677"/>
      <c r="F141" s="677"/>
      <c r="G141" s="677"/>
      <c r="H141" s="677"/>
      <c r="I141" s="677"/>
      <c r="J141" s="677"/>
      <c r="K141" s="677"/>
      <c r="L141" s="677"/>
      <c r="M141" s="677"/>
      <c r="N141" s="677"/>
      <c r="O141" s="677"/>
      <c r="P141" s="677"/>
      <c r="Q141" s="677"/>
      <c r="R141" s="677"/>
      <c r="S141" s="677"/>
      <c r="T141" s="677"/>
      <c r="U141" s="677"/>
      <c r="V141" s="677"/>
      <c r="W141" s="677"/>
      <c r="X141" s="677"/>
      <c r="Y141" s="677"/>
      <c r="Z141" s="677"/>
      <c r="AA141" s="677"/>
      <c r="AB141" s="677"/>
      <c r="AC141" s="677"/>
      <c r="AD141" s="677"/>
      <c r="AE141" s="677"/>
      <c r="AF141" s="677"/>
      <c r="AG141" s="677"/>
      <c r="AH141" s="677"/>
      <c r="AI141" s="677"/>
      <c r="AJ141" s="677"/>
      <c r="AK141" s="677"/>
      <c r="AL141" s="677"/>
      <c r="AM141" s="677"/>
      <c r="AN141" s="677"/>
      <c r="AO141" s="677"/>
      <c r="AP141" s="677"/>
      <c r="AQ141" s="677"/>
      <c r="AR141" s="677"/>
      <c r="AS141" s="677"/>
      <c r="AT141" s="677"/>
      <c r="AU141" s="677"/>
      <c r="AV141" s="677"/>
      <c r="AW141" s="677"/>
      <c r="AX141" s="677"/>
      <c r="AY141" s="677"/>
      <c r="AZ141" s="677"/>
      <c r="BA141" s="677"/>
      <c r="BB141" s="677"/>
      <c r="BC141" s="677"/>
      <c r="BD141" s="677"/>
      <c r="BE141" s="677"/>
      <c r="BF141" s="677"/>
      <c r="BG141" s="677"/>
      <c r="BH141" s="677"/>
      <c r="BI141" s="677"/>
    </row>
    <row r="142" spans="1:61" ht="20" customHeight="1">
      <c r="A142" s="677"/>
      <c r="B142" s="677"/>
      <c r="C142" s="677"/>
      <c r="D142" s="677"/>
      <c r="E142" s="677"/>
      <c r="F142" s="677"/>
      <c r="G142" s="677"/>
      <c r="H142" s="677"/>
      <c r="I142" s="677"/>
      <c r="J142" s="677"/>
      <c r="K142" s="677"/>
      <c r="L142" s="677"/>
      <c r="M142" s="677"/>
      <c r="N142" s="677"/>
      <c r="O142" s="677"/>
      <c r="P142" s="677"/>
      <c r="Q142" s="677"/>
      <c r="R142" s="677"/>
      <c r="S142" s="677"/>
      <c r="T142" s="677"/>
      <c r="U142" s="677"/>
      <c r="V142" s="677"/>
      <c r="W142" s="677"/>
      <c r="X142" s="677"/>
      <c r="Y142" s="677"/>
      <c r="Z142" s="677"/>
      <c r="AA142" s="677"/>
      <c r="AB142" s="677"/>
      <c r="AC142" s="677"/>
      <c r="AD142" s="677"/>
      <c r="AE142" s="677"/>
      <c r="AF142" s="677"/>
      <c r="AG142" s="677"/>
      <c r="AH142" s="677"/>
      <c r="AI142" s="677"/>
      <c r="AJ142" s="677"/>
      <c r="AK142" s="677"/>
      <c r="AL142" s="677"/>
      <c r="AM142" s="677"/>
      <c r="AN142" s="677"/>
      <c r="AO142" s="677"/>
      <c r="AP142" s="677"/>
      <c r="AQ142" s="677"/>
      <c r="AR142" s="677"/>
      <c r="AS142" s="677"/>
      <c r="AT142" s="677"/>
      <c r="AU142" s="677"/>
      <c r="AV142" s="677"/>
      <c r="AW142" s="677"/>
      <c r="AX142" s="677"/>
      <c r="AY142" s="677"/>
      <c r="AZ142" s="677"/>
      <c r="BA142" s="677"/>
      <c r="BB142" s="677"/>
      <c r="BC142" s="677"/>
      <c r="BD142" s="677"/>
      <c r="BE142" s="677"/>
      <c r="BF142" s="677"/>
      <c r="BG142" s="677"/>
      <c r="BH142" s="677"/>
      <c r="BI142" s="677"/>
    </row>
    <row r="143" spans="1:61" ht="20" customHeight="1">
      <c r="A143" s="677"/>
      <c r="B143" s="677"/>
      <c r="C143" s="677"/>
      <c r="D143" s="677"/>
      <c r="E143" s="677"/>
      <c r="F143" s="677"/>
      <c r="G143" s="677"/>
      <c r="H143" s="677"/>
      <c r="I143" s="677"/>
      <c r="J143" s="677"/>
      <c r="K143" s="677"/>
      <c r="L143" s="677"/>
      <c r="M143" s="677"/>
      <c r="N143" s="677"/>
      <c r="O143" s="677"/>
      <c r="P143" s="677"/>
      <c r="Q143" s="677"/>
      <c r="R143" s="677"/>
      <c r="S143" s="677"/>
      <c r="T143" s="677"/>
      <c r="U143" s="677"/>
      <c r="V143" s="677"/>
      <c r="W143" s="677"/>
      <c r="X143" s="677"/>
      <c r="Y143" s="677"/>
      <c r="Z143" s="677"/>
      <c r="AA143" s="677"/>
      <c r="AB143" s="677"/>
      <c r="AC143" s="677"/>
      <c r="AD143" s="677"/>
      <c r="AE143" s="677"/>
      <c r="AF143" s="677"/>
      <c r="AG143" s="677"/>
      <c r="AH143" s="677"/>
      <c r="AI143" s="677"/>
      <c r="AJ143" s="677"/>
      <c r="AK143" s="677"/>
      <c r="AL143" s="677"/>
      <c r="AM143" s="677"/>
      <c r="AN143" s="677"/>
      <c r="AO143" s="677"/>
      <c r="AP143" s="677"/>
      <c r="AQ143" s="677"/>
      <c r="AR143" s="677"/>
      <c r="AS143" s="677"/>
      <c r="AT143" s="677"/>
      <c r="AU143" s="677"/>
      <c r="AV143" s="677"/>
      <c r="AW143" s="677"/>
      <c r="AX143" s="677"/>
      <c r="AY143" s="677"/>
      <c r="AZ143" s="677"/>
      <c r="BA143" s="677"/>
      <c r="BB143" s="677"/>
      <c r="BC143" s="677"/>
      <c r="BD143" s="677"/>
      <c r="BE143" s="677"/>
      <c r="BF143" s="677"/>
      <c r="BG143" s="677"/>
      <c r="BH143" s="677"/>
      <c r="BI143" s="677"/>
    </row>
    <row r="144" spans="1:61" ht="20" customHeight="1">
      <c r="A144" s="677"/>
      <c r="B144" s="677"/>
      <c r="C144" s="677"/>
      <c r="D144" s="677"/>
      <c r="E144" s="677"/>
      <c r="F144" s="677"/>
      <c r="G144" s="677"/>
      <c r="H144" s="677"/>
      <c r="I144" s="677"/>
      <c r="J144" s="677"/>
      <c r="K144" s="677"/>
      <c r="L144" s="677"/>
      <c r="M144" s="677"/>
      <c r="N144" s="677"/>
      <c r="O144" s="677"/>
      <c r="P144" s="677"/>
      <c r="Q144" s="677"/>
      <c r="R144" s="677"/>
      <c r="S144" s="677"/>
      <c r="T144" s="677"/>
      <c r="U144" s="677"/>
      <c r="V144" s="677"/>
      <c r="W144" s="677"/>
      <c r="X144" s="677"/>
      <c r="Y144" s="677"/>
      <c r="Z144" s="677"/>
      <c r="AA144" s="677"/>
      <c r="AB144" s="677"/>
      <c r="AC144" s="677"/>
      <c r="AD144" s="677"/>
      <c r="AE144" s="677"/>
      <c r="AF144" s="677"/>
      <c r="AG144" s="677"/>
      <c r="AH144" s="677"/>
      <c r="AI144" s="677"/>
      <c r="AJ144" s="677"/>
      <c r="AK144" s="677"/>
      <c r="AL144" s="677"/>
      <c r="AM144" s="677"/>
      <c r="AN144" s="677"/>
      <c r="AO144" s="677"/>
      <c r="AP144" s="677"/>
      <c r="AQ144" s="677"/>
      <c r="AR144" s="677"/>
      <c r="AS144" s="677"/>
      <c r="AT144" s="677"/>
      <c r="AU144" s="677"/>
      <c r="AV144" s="677"/>
      <c r="AW144" s="677"/>
      <c r="AX144" s="677"/>
      <c r="AY144" s="677"/>
      <c r="AZ144" s="677"/>
      <c r="BA144" s="677"/>
      <c r="BB144" s="677"/>
      <c r="BC144" s="677"/>
      <c r="BD144" s="677"/>
      <c r="BE144" s="677"/>
      <c r="BF144" s="677"/>
      <c r="BG144" s="677"/>
      <c r="BH144" s="677"/>
      <c r="BI144" s="677"/>
    </row>
    <row r="145" spans="1:61" ht="20" customHeight="1">
      <c r="A145" s="182"/>
      <c r="B145" s="182"/>
      <c r="C145" s="182"/>
      <c r="D145" s="182"/>
      <c r="E145" s="182"/>
      <c r="F145" s="182"/>
      <c r="G145" s="182"/>
      <c r="H145" s="182"/>
      <c r="I145" s="182"/>
      <c r="J145" s="182"/>
      <c r="K145" s="182"/>
      <c r="L145" s="182"/>
      <c r="M145" s="182"/>
      <c r="N145" s="182"/>
      <c r="O145" s="182"/>
      <c r="P145" s="182"/>
      <c r="Q145" s="182"/>
      <c r="R145" s="182"/>
      <c r="S145" s="182"/>
      <c r="T145" s="182"/>
      <c r="U145" s="182"/>
      <c r="V145" s="182"/>
      <c r="W145" s="182"/>
      <c r="X145" s="182"/>
      <c r="Y145" s="182"/>
      <c r="Z145" s="182"/>
      <c r="AA145" s="182"/>
      <c r="AB145" s="182"/>
      <c r="AC145" s="182"/>
      <c r="AD145" s="182"/>
      <c r="AE145" s="182"/>
      <c r="AF145" s="182"/>
      <c r="AG145" s="182"/>
      <c r="AH145" s="182"/>
      <c r="AI145" s="182"/>
      <c r="AJ145" s="182"/>
      <c r="AK145" s="182"/>
      <c r="AL145" s="182"/>
      <c r="AM145" s="182"/>
      <c r="AN145" s="182"/>
      <c r="AO145" s="182"/>
      <c r="AP145" s="182"/>
      <c r="AQ145" s="182"/>
      <c r="AR145" s="182"/>
      <c r="AS145" s="182"/>
      <c r="AT145" s="182"/>
      <c r="AU145" s="182"/>
      <c r="AV145" s="182"/>
      <c r="AW145" s="182"/>
      <c r="AX145" s="182"/>
      <c r="AY145" s="182"/>
      <c r="AZ145" s="182"/>
      <c r="BA145" s="182"/>
      <c r="BB145" s="182"/>
      <c r="BC145" s="182"/>
      <c r="BD145" s="182"/>
      <c r="BE145" s="182"/>
      <c r="BF145" s="182"/>
      <c r="BG145" s="182"/>
      <c r="BH145" s="182"/>
      <c r="BI145" s="182"/>
    </row>
    <row r="146" spans="1:61" ht="20" customHeight="1">
      <c r="A146" s="182"/>
      <c r="B146" s="182"/>
      <c r="C146" s="182"/>
      <c r="D146" s="182"/>
      <c r="E146" s="182"/>
      <c r="F146" s="182"/>
      <c r="G146" s="182"/>
      <c r="H146" s="182"/>
      <c r="I146" s="182"/>
      <c r="J146" s="182"/>
      <c r="K146" s="182"/>
      <c r="L146" s="182"/>
      <c r="M146" s="182"/>
      <c r="N146" s="182"/>
      <c r="O146" s="182"/>
      <c r="P146" s="182"/>
      <c r="Q146" s="182"/>
      <c r="R146" s="182"/>
      <c r="S146" s="182"/>
      <c r="T146" s="182"/>
      <c r="U146" s="182"/>
      <c r="V146" s="182"/>
      <c r="W146" s="182"/>
      <c r="X146" s="182"/>
      <c r="Y146" s="182"/>
      <c r="Z146" s="182"/>
      <c r="AA146" s="182"/>
      <c r="AB146" s="182"/>
      <c r="AC146" s="182"/>
      <c r="AD146" s="182"/>
      <c r="AE146" s="182"/>
      <c r="AF146" s="182"/>
      <c r="AG146" s="182"/>
      <c r="AH146" s="182"/>
      <c r="AI146" s="182"/>
      <c r="AJ146" s="182"/>
      <c r="AK146" s="182"/>
      <c r="AL146" s="182"/>
      <c r="AM146" s="182"/>
      <c r="AN146" s="182"/>
      <c r="AO146" s="182"/>
      <c r="AP146" s="182"/>
      <c r="AQ146" s="182"/>
      <c r="AR146" s="182"/>
      <c r="AS146" s="182"/>
      <c r="AT146" s="182"/>
      <c r="AU146" s="182"/>
      <c r="AV146" s="182"/>
      <c r="AW146" s="182"/>
      <c r="AX146" s="182"/>
      <c r="AY146" s="182"/>
      <c r="AZ146" s="182"/>
      <c r="BA146" s="182"/>
      <c r="BB146" s="182"/>
      <c r="BC146" s="182"/>
      <c r="BD146" s="182"/>
      <c r="BE146" s="182"/>
      <c r="BF146" s="182"/>
      <c r="BG146" s="182"/>
      <c r="BH146" s="182"/>
      <c r="BI146" s="182"/>
    </row>
    <row r="147" spans="1:61" ht="20" customHeight="1">
      <c r="A147" s="182"/>
      <c r="B147" s="182"/>
      <c r="C147" s="182"/>
      <c r="D147" s="182"/>
      <c r="E147" s="182"/>
      <c r="F147" s="182"/>
      <c r="G147" s="182"/>
      <c r="H147" s="182"/>
      <c r="I147" s="182"/>
      <c r="J147" s="182"/>
      <c r="K147" s="182"/>
      <c r="L147" s="182"/>
      <c r="M147" s="182"/>
      <c r="N147" s="182"/>
      <c r="O147" s="182"/>
      <c r="P147" s="182"/>
      <c r="Q147" s="182"/>
      <c r="R147" s="182"/>
      <c r="S147" s="182"/>
      <c r="T147" s="182"/>
      <c r="U147" s="182"/>
      <c r="V147" s="182"/>
      <c r="W147" s="182"/>
      <c r="X147" s="182"/>
      <c r="Y147" s="182"/>
      <c r="Z147" s="182"/>
      <c r="AA147" s="182"/>
      <c r="AB147" s="182"/>
      <c r="AC147" s="182"/>
      <c r="AD147" s="182"/>
      <c r="AE147" s="182"/>
      <c r="AF147" s="182"/>
      <c r="AG147" s="182"/>
      <c r="AH147" s="182"/>
      <c r="AI147" s="182"/>
      <c r="AJ147" s="182"/>
      <c r="AK147" s="182"/>
      <c r="AL147" s="182"/>
      <c r="AM147" s="182"/>
      <c r="AN147" s="182"/>
      <c r="AO147" s="182"/>
      <c r="AP147" s="182"/>
      <c r="AQ147" s="182"/>
      <c r="AR147" s="182"/>
      <c r="AS147" s="182"/>
      <c r="AT147" s="182"/>
      <c r="AU147" s="182"/>
      <c r="AV147" s="182"/>
      <c r="AW147" s="182"/>
      <c r="AX147" s="182"/>
      <c r="AY147" s="182"/>
      <c r="AZ147" s="182"/>
      <c r="BA147" s="182"/>
      <c r="BB147" s="182"/>
      <c r="BC147" s="182"/>
      <c r="BD147" s="182"/>
      <c r="BE147" s="182"/>
      <c r="BF147" s="182"/>
      <c r="BG147" s="182"/>
      <c r="BH147" s="182"/>
      <c r="BI147" s="182"/>
    </row>
    <row r="148" spans="1:61" ht="20" customHeight="1">
      <c r="A148" s="182"/>
      <c r="B148" s="182"/>
      <c r="C148" s="182"/>
      <c r="D148" s="182"/>
      <c r="E148" s="182"/>
      <c r="F148" s="182"/>
      <c r="G148" s="182"/>
      <c r="H148" s="182"/>
      <c r="I148" s="182"/>
      <c r="J148" s="182"/>
      <c r="K148" s="182"/>
      <c r="L148" s="182"/>
      <c r="M148" s="182"/>
      <c r="N148" s="182"/>
      <c r="O148" s="182"/>
      <c r="P148" s="182"/>
      <c r="Q148" s="182"/>
      <c r="R148" s="182"/>
      <c r="S148" s="182"/>
      <c r="T148" s="182"/>
      <c r="U148" s="182"/>
      <c r="V148" s="182"/>
      <c r="W148" s="182"/>
      <c r="X148" s="182"/>
      <c r="Y148" s="182"/>
      <c r="Z148" s="182"/>
      <c r="AA148" s="182"/>
      <c r="AB148" s="182"/>
      <c r="AC148" s="182"/>
      <c r="AD148" s="182"/>
      <c r="AE148" s="182"/>
      <c r="AF148" s="182"/>
      <c r="AG148" s="182"/>
      <c r="AH148" s="182"/>
      <c r="AI148" s="182"/>
      <c r="AJ148" s="182"/>
      <c r="AK148" s="182"/>
      <c r="AL148" s="182"/>
      <c r="AM148" s="182"/>
      <c r="AN148" s="182"/>
      <c r="AO148" s="182"/>
      <c r="AP148" s="182"/>
      <c r="AQ148" s="182"/>
      <c r="AR148" s="182"/>
      <c r="AS148" s="182"/>
      <c r="AT148" s="182"/>
      <c r="AU148" s="182"/>
      <c r="AV148" s="182"/>
      <c r="AW148" s="182"/>
      <c r="AX148" s="182"/>
      <c r="AY148" s="182"/>
      <c r="AZ148" s="182"/>
      <c r="BA148" s="182"/>
      <c r="BB148" s="182"/>
      <c r="BC148" s="182"/>
      <c r="BD148" s="182"/>
      <c r="BE148" s="182"/>
      <c r="BF148" s="182"/>
      <c r="BG148" s="182"/>
      <c r="BH148" s="182"/>
      <c r="BI148" s="182"/>
    </row>
    <row r="149" spans="1:61" ht="20" customHeight="1">
      <c r="A149" s="182"/>
      <c r="B149" s="182"/>
      <c r="C149" s="182"/>
      <c r="D149" s="182"/>
      <c r="E149" s="182"/>
      <c r="F149" s="182"/>
      <c r="G149" s="182"/>
      <c r="H149" s="182"/>
      <c r="I149" s="182"/>
      <c r="J149" s="182"/>
      <c r="K149" s="182"/>
      <c r="L149" s="182"/>
      <c r="M149" s="182"/>
      <c r="N149" s="182"/>
      <c r="O149" s="182"/>
      <c r="P149" s="182"/>
      <c r="Q149" s="182"/>
      <c r="R149" s="182"/>
      <c r="S149" s="182"/>
      <c r="T149" s="182"/>
      <c r="U149" s="182"/>
      <c r="V149" s="182"/>
      <c r="W149" s="182"/>
      <c r="X149" s="182"/>
      <c r="Y149" s="182"/>
      <c r="Z149" s="182"/>
      <c r="AA149" s="182"/>
      <c r="AB149" s="182"/>
      <c r="AC149" s="182"/>
      <c r="AD149" s="182"/>
      <c r="AE149" s="182"/>
      <c r="AF149" s="182"/>
      <c r="AG149" s="182"/>
      <c r="AH149" s="182"/>
      <c r="AI149" s="182"/>
      <c r="AJ149" s="182"/>
      <c r="AK149" s="182"/>
      <c r="AL149" s="182"/>
      <c r="AM149" s="182"/>
      <c r="AN149" s="182"/>
      <c r="AO149" s="182"/>
      <c r="AP149" s="182"/>
      <c r="AQ149" s="182"/>
      <c r="AR149" s="182"/>
      <c r="AS149" s="182"/>
      <c r="AT149" s="182"/>
      <c r="AU149" s="182"/>
      <c r="AV149" s="182"/>
      <c r="AW149" s="182"/>
      <c r="AX149" s="182"/>
      <c r="AY149" s="182"/>
      <c r="AZ149" s="182"/>
      <c r="BA149" s="182"/>
      <c r="BB149" s="182"/>
      <c r="BC149" s="182"/>
      <c r="BD149" s="182"/>
      <c r="BE149" s="182"/>
      <c r="BF149" s="182"/>
      <c r="BG149" s="182"/>
      <c r="BH149" s="182"/>
      <c r="BI149" s="182"/>
    </row>
    <row r="150" spans="1:61" ht="20" customHeight="1">
      <c r="A150" s="182"/>
      <c r="B150" s="182"/>
      <c r="C150" s="182"/>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82"/>
      <c r="AT150" s="182"/>
      <c r="AU150" s="182"/>
      <c r="AV150" s="182"/>
      <c r="AW150" s="182"/>
      <c r="AX150" s="182"/>
      <c r="AY150" s="182"/>
      <c r="AZ150" s="182"/>
      <c r="BA150" s="182"/>
      <c r="BB150" s="182"/>
      <c r="BC150" s="182"/>
      <c r="BD150" s="182"/>
      <c r="BE150" s="182"/>
      <c r="BF150" s="182"/>
      <c r="BG150" s="182"/>
      <c r="BH150" s="182"/>
      <c r="BI150" s="182"/>
    </row>
    <row r="151" spans="1:61" ht="20" customHeight="1">
      <c r="A151" s="182"/>
      <c r="B151" s="182"/>
      <c r="C151" s="182"/>
      <c r="D151" s="182"/>
      <c r="E151" s="182"/>
      <c r="F151" s="182"/>
      <c r="G151" s="182"/>
      <c r="H151" s="182"/>
      <c r="I151" s="182"/>
      <c r="J151" s="182"/>
      <c r="K151" s="182"/>
      <c r="L151" s="182"/>
      <c r="M151" s="182"/>
      <c r="N151" s="182"/>
      <c r="O151" s="182"/>
      <c r="P151" s="182"/>
      <c r="Q151" s="182"/>
      <c r="R151" s="182"/>
      <c r="S151" s="182"/>
      <c r="T151" s="182"/>
      <c r="U151" s="182"/>
      <c r="V151" s="182"/>
      <c r="W151" s="182"/>
      <c r="X151" s="182"/>
      <c r="Y151" s="182"/>
      <c r="Z151" s="182"/>
      <c r="AA151" s="182"/>
      <c r="AB151" s="182"/>
      <c r="AC151" s="182"/>
      <c r="AD151" s="182"/>
      <c r="AE151" s="182"/>
      <c r="AF151" s="182"/>
      <c r="AG151" s="182"/>
      <c r="AH151" s="182"/>
      <c r="AI151" s="182"/>
      <c r="AJ151" s="182"/>
      <c r="AK151" s="182"/>
      <c r="AL151" s="182"/>
      <c r="AM151" s="182"/>
      <c r="AN151" s="182"/>
      <c r="AO151" s="182"/>
      <c r="AP151" s="182"/>
      <c r="AQ151" s="182"/>
      <c r="AR151" s="182"/>
      <c r="AS151" s="182"/>
      <c r="AT151" s="182"/>
      <c r="AU151" s="182"/>
      <c r="AV151" s="182"/>
      <c r="AW151" s="182"/>
      <c r="AX151" s="182"/>
      <c r="AY151" s="182"/>
      <c r="AZ151" s="182"/>
      <c r="BA151" s="182"/>
      <c r="BB151" s="182"/>
      <c r="BC151" s="182"/>
      <c r="BD151" s="182"/>
      <c r="BE151" s="182"/>
      <c r="BF151" s="182"/>
      <c r="BG151" s="182"/>
      <c r="BH151" s="182"/>
      <c r="BI151" s="182"/>
    </row>
    <row r="152" spans="1:61" ht="20" customHeight="1">
      <c r="A152" s="182"/>
      <c r="B152" s="182"/>
      <c r="C152" s="182"/>
      <c r="D152" s="182"/>
      <c r="E152" s="182"/>
      <c r="F152" s="182"/>
      <c r="G152" s="182"/>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82"/>
      <c r="AT152" s="182"/>
      <c r="AU152" s="182"/>
      <c r="AV152" s="182"/>
      <c r="AW152" s="182"/>
      <c r="AX152" s="182"/>
      <c r="AY152" s="182"/>
      <c r="AZ152" s="182"/>
      <c r="BA152" s="182"/>
      <c r="BB152" s="182"/>
      <c r="BC152" s="182"/>
      <c r="BD152" s="182"/>
      <c r="BE152" s="182"/>
      <c r="BF152" s="182"/>
      <c r="BG152" s="182"/>
      <c r="BH152" s="182"/>
      <c r="BI152" s="182"/>
    </row>
    <row r="153" spans="1:61" ht="20" customHeight="1">
      <c r="A153" s="182"/>
      <c r="B153" s="182"/>
      <c r="C153" s="182"/>
      <c r="D153" s="182"/>
      <c r="E153" s="182"/>
      <c r="F153" s="182"/>
      <c r="G153" s="182"/>
      <c r="H153" s="182"/>
      <c r="I153" s="182"/>
      <c r="J153" s="182"/>
      <c r="K153" s="182"/>
      <c r="L153" s="182"/>
      <c r="M153" s="182"/>
      <c r="N153" s="182"/>
      <c r="O153" s="182"/>
      <c r="P153" s="182"/>
      <c r="Q153" s="182"/>
      <c r="R153" s="182"/>
      <c r="S153" s="182"/>
      <c r="T153" s="182"/>
      <c r="U153" s="182"/>
      <c r="V153" s="182"/>
      <c r="W153" s="182"/>
      <c r="X153" s="182"/>
      <c r="Y153" s="182"/>
      <c r="Z153" s="182"/>
      <c r="AA153" s="182"/>
      <c r="AB153" s="182"/>
      <c r="AC153" s="182"/>
      <c r="AD153" s="182"/>
      <c r="AE153" s="182"/>
      <c r="AF153" s="182"/>
      <c r="AG153" s="182"/>
      <c r="AH153" s="182"/>
      <c r="AI153" s="182"/>
      <c r="AJ153" s="182"/>
      <c r="AK153" s="182"/>
      <c r="AL153" s="182"/>
      <c r="AM153" s="182"/>
      <c r="AN153" s="182"/>
      <c r="AO153" s="182"/>
      <c r="AP153" s="182"/>
      <c r="AQ153" s="182"/>
      <c r="AR153" s="182"/>
      <c r="AS153" s="182"/>
      <c r="AT153" s="182"/>
      <c r="AU153" s="182"/>
      <c r="AV153" s="182"/>
      <c r="AW153" s="182"/>
      <c r="AX153" s="182"/>
      <c r="AY153" s="182"/>
      <c r="AZ153" s="182"/>
      <c r="BA153" s="182"/>
      <c r="BB153" s="182"/>
      <c r="BC153" s="182"/>
      <c r="BD153" s="182"/>
      <c r="BE153" s="182"/>
      <c r="BF153" s="182"/>
      <c r="BG153" s="182"/>
      <c r="BH153" s="182"/>
      <c r="BI153" s="182"/>
    </row>
    <row r="154" spans="1:61" ht="20" customHeight="1">
      <c r="A154" s="179"/>
      <c r="B154" s="179"/>
      <c r="C154" s="182"/>
      <c r="D154" s="182"/>
      <c r="E154" s="182"/>
      <c r="F154" s="182"/>
      <c r="G154" s="182"/>
      <c r="H154" s="182"/>
      <c r="I154" s="182"/>
      <c r="J154" s="182"/>
      <c r="K154" s="182"/>
      <c r="L154" s="182"/>
      <c r="M154" s="182"/>
      <c r="N154" s="182"/>
      <c r="O154" s="182"/>
      <c r="P154" s="182"/>
      <c r="Q154" s="182"/>
      <c r="R154" s="182"/>
      <c r="S154" s="182"/>
      <c r="T154" s="182"/>
      <c r="U154" s="182"/>
      <c r="V154" s="182"/>
      <c r="W154" s="182"/>
      <c r="X154" s="182"/>
      <c r="Y154" s="182"/>
      <c r="Z154" s="182"/>
      <c r="AA154" s="182"/>
      <c r="AB154" s="182"/>
      <c r="AC154" s="182"/>
      <c r="AD154" s="182"/>
      <c r="AE154" s="182"/>
      <c r="AF154" s="182"/>
      <c r="AG154" s="182"/>
      <c r="AH154" s="182"/>
      <c r="AI154" s="182"/>
      <c r="AJ154" s="182"/>
      <c r="AK154" s="182"/>
      <c r="AL154" s="182"/>
      <c r="AM154" s="182"/>
      <c r="AN154" s="182"/>
      <c r="AO154" s="182"/>
      <c r="AP154" s="182"/>
      <c r="AQ154" s="182"/>
      <c r="AR154" s="182"/>
      <c r="AS154" s="182"/>
      <c r="AT154" s="182"/>
      <c r="AU154" s="182"/>
      <c r="AV154" s="182"/>
      <c r="AW154" s="182"/>
      <c r="AX154" s="182"/>
      <c r="AY154" s="182"/>
      <c r="AZ154" s="182"/>
      <c r="BA154" s="182"/>
      <c r="BB154" s="182"/>
      <c r="BC154" s="182"/>
      <c r="BD154" s="182"/>
      <c r="BE154" s="182"/>
      <c r="BF154" s="182"/>
      <c r="BG154" s="182"/>
      <c r="BH154" s="182"/>
      <c r="BI154" s="182"/>
    </row>
    <row r="155" spans="1:61" ht="20" customHeight="1">
      <c r="A155" s="179"/>
      <c r="B155" s="179"/>
      <c r="C155" s="182"/>
      <c r="D155" s="182"/>
      <c r="E155" s="182"/>
      <c r="F155" s="182"/>
      <c r="G155" s="182"/>
      <c r="H155" s="182"/>
      <c r="I155" s="182"/>
      <c r="J155" s="182"/>
      <c r="K155" s="182"/>
      <c r="L155" s="182"/>
      <c r="M155" s="182"/>
      <c r="N155" s="182"/>
      <c r="O155" s="182"/>
      <c r="P155" s="182"/>
      <c r="Q155" s="182"/>
      <c r="R155" s="182"/>
      <c r="S155" s="182"/>
      <c r="T155" s="182"/>
      <c r="U155" s="182"/>
      <c r="V155" s="182"/>
      <c r="W155" s="182"/>
      <c r="X155" s="182"/>
      <c r="Y155" s="182"/>
      <c r="Z155" s="182"/>
      <c r="AA155" s="182"/>
      <c r="AB155" s="182"/>
      <c r="AC155" s="182"/>
      <c r="AD155" s="182"/>
      <c r="AE155" s="182"/>
      <c r="AF155" s="182"/>
      <c r="AG155" s="182"/>
      <c r="AH155" s="182"/>
      <c r="AI155" s="182"/>
      <c r="AJ155" s="182"/>
      <c r="AK155" s="182"/>
      <c r="AL155" s="182"/>
      <c r="AM155" s="182"/>
      <c r="AN155" s="182"/>
      <c r="AO155" s="182"/>
      <c r="AP155" s="182"/>
      <c r="AQ155" s="182"/>
      <c r="AR155" s="182"/>
      <c r="AS155" s="182"/>
      <c r="AT155" s="182"/>
      <c r="AU155" s="182"/>
      <c r="AV155" s="182"/>
      <c r="AW155" s="182"/>
      <c r="AX155" s="182"/>
      <c r="AY155" s="182"/>
      <c r="AZ155" s="182"/>
      <c r="BA155" s="182"/>
      <c r="BB155" s="182"/>
      <c r="BC155" s="182"/>
      <c r="BD155" s="182"/>
      <c r="BE155" s="182"/>
      <c r="BF155" s="182"/>
      <c r="BG155" s="182"/>
      <c r="BH155" s="182"/>
      <c r="BI155" s="182"/>
    </row>
    <row r="156" spans="1:61" ht="20" customHeight="1">
      <c r="A156" s="181"/>
      <c r="B156" s="181"/>
      <c r="C156" s="181"/>
      <c r="D156" s="181"/>
      <c r="E156" s="181"/>
      <c r="F156" s="181"/>
      <c r="G156" s="181"/>
      <c r="H156" s="181"/>
      <c r="I156" s="181"/>
      <c r="J156" s="181"/>
      <c r="K156" s="181"/>
      <c r="L156" s="181"/>
      <c r="M156" s="181"/>
      <c r="N156" s="181"/>
      <c r="O156" s="181"/>
      <c r="P156" s="181"/>
      <c r="Q156" s="181"/>
      <c r="R156" s="181"/>
      <c r="S156" s="181"/>
      <c r="T156" s="181"/>
      <c r="U156" s="181"/>
      <c r="V156" s="181"/>
      <c r="W156" s="181"/>
      <c r="X156" s="181"/>
      <c r="Y156" s="181"/>
      <c r="Z156" s="181"/>
      <c r="AA156" s="181"/>
      <c r="AB156" s="181"/>
      <c r="AC156" s="181"/>
      <c r="AD156" s="181"/>
      <c r="AE156" s="181"/>
      <c r="AF156" s="181"/>
      <c r="AG156" s="181"/>
      <c r="AH156" s="181"/>
      <c r="AI156" s="181"/>
      <c r="AJ156" s="181"/>
      <c r="AK156" s="181"/>
      <c r="AL156" s="181"/>
      <c r="AM156" s="181"/>
      <c r="AN156" s="181"/>
      <c r="AO156" s="181"/>
      <c r="AP156" s="181"/>
      <c r="AQ156" s="181"/>
      <c r="AR156" s="181"/>
      <c r="AS156" s="181"/>
      <c r="AT156" s="181"/>
      <c r="AU156" s="181"/>
      <c r="AV156" s="181"/>
      <c r="AW156" s="181"/>
      <c r="AX156" s="181"/>
      <c r="AY156" s="181"/>
      <c r="AZ156" s="181"/>
      <c r="BA156" s="181"/>
      <c r="BB156" s="181"/>
      <c r="BC156" s="181"/>
      <c r="BD156" s="181"/>
      <c r="BE156" s="181"/>
      <c r="BF156" s="181"/>
      <c r="BG156" s="181"/>
      <c r="BH156" s="181"/>
      <c r="BI156" s="181"/>
    </row>
    <row r="157" spans="1:61" ht="20" customHeight="1">
      <c r="A157" s="181"/>
      <c r="B157" s="181"/>
      <c r="C157" s="181"/>
      <c r="D157" s="181"/>
      <c r="E157" s="181"/>
      <c r="F157" s="181"/>
      <c r="G157" s="181"/>
      <c r="H157" s="181"/>
      <c r="I157" s="181"/>
      <c r="J157" s="181"/>
      <c r="K157" s="181"/>
      <c r="L157" s="181"/>
      <c r="M157" s="181"/>
      <c r="N157" s="181"/>
      <c r="O157" s="181"/>
      <c r="P157" s="181"/>
      <c r="Q157" s="181"/>
      <c r="R157" s="181"/>
      <c r="S157" s="181"/>
      <c r="T157" s="181"/>
      <c r="U157" s="181"/>
      <c r="V157" s="181"/>
      <c r="W157" s="181"/>
      <c r="X157" s="181"/>
      <c r="Y157" s="181"/>
      <c r="Z157" s="181"/>
      <c r="AA157" s="181"/>
      <c r="AB157" s="181"/>
      <c r="AC157" s="181"/>
      <c r="AD157" s="181"/>
      <c r="AE157" s="181"/>
      <c r="AF157" s="181"/>
      <c r="AG157" s="181"/>
      <c r="AH157" s="181"/>
      <c r="AI157" s="181"/>
      <c r="AJ157" s="181"/>
      <c r="AK157" s="181"/>
      <c r="AL157" s="181"/>
      <c r="AM157" s="181"/>
      <c r="AN157" s="181"/>
      <c r="AO157" s="181"/>
      <c r="AP157" s="181"/>
      <c r="AQ157" s="181"/>
      <c r="AR157" s="181"/>
      <c r="AS157" s="181"/>
      <c r="AT157" s="181"/>
      <c r="AU157" s="181"/>
      <c r="AV157" s="181"/>
      <c r="AW157" s="181"/>
      <c r="AX157" s="181"/>
      <c r="AY157" s="181"/>
      <c r="AZ157" s="181"/>
      <c r="BA157" s="181"/>
      <c r="BB157" s="181"/>
      <c r="BC157" s="181"/>
      <c r="BD157" s="181"/>
      <c r="BE157" s="181"/>
      <c r="BF157" s="181"/>
      <c r="BG157" s="181"/>
      <c r="BH157" s="181"/>
      <c r="BI157" s="181"/>
    </row>
    <row r="158" spans="1:61" ht="20" customHeight="1">
      <c r="A158" s="181"/>
      <c r="B158" s="181"/>
      <c r="C158" s="181"/>
      <c r="D158" s="181"/>
      <c r="E158" s="181"/>
      <c r="F158" s="181"/>
      <c r="G158" s="181"/>
      <c r="H158" s="181"/>
      <c r="I158" s="181"/>
      <c r="J158" s="181"/>
      <c r="K158" s="181"/>
      <c r="L158" s="181"/>
      <c r="M158" s="181"/>
      <c r="N158" s="181"/>
      <c r="O158" s="181"/>
      <c r="P158" s="181"/>
      <c r="Q158" s="181"/>
      <c r="R158" s="181"/>
      <c r="S158" s="181"/>
      <c r="T158" s="181"/>
      <c r="U158" s="181"/>
      <c r="V158" s="181"/>
      <c r="W158" s="181"/>
      <c r="X158" s="181"/>
      <c r="Y158" s="181"/>
      <c r="Z158" s="181"/>
      <c r="AA158" s="181"/>
      <c r="AB158" s="181"/>
      <c r="AC158" s="181"/>
      <c r="AD158" s="181"/>
      <c r="AE158" s="181"/>
      <c r="AF158" s="181"/>
      <c r="AG158" s="181"/>
      <c r="AH158" s="181"/>
      <c r="AI158" s="181"/>
      <c r="AJ158" s="181"/>
      <c r="AK158" s="181"/>
      <c r="AL158" s="181"/>
      <c r="AM158" s="181"/>
      <c r="AN158" s="181"/>
      <c r="AO158" s="181"/>
      <c r="AP158" s="181"/>
      <c r="AQ158" s="181"/>
      <c r="AR158" s="181"/>
      <c r="AS158" s="181"/>
      <c r="AT158" s="181"/>
      <c r="AU158" s="181"/>
      <c r="AV158" s="181"/>
      <c r="AW158" s="181"/>
      <c r="AX158" s="181"/>
      <c r="AY158" s="181"/>
      <c r="AZ158" s="181"/>
      <c r="BA158" s="181"/>
      <c r="BB158" s="181"/>
      <c r="BC158" s="181"/>
      <c r="BD158" s="181"/>
      <c r="BE158" s="181"/>
      <c r="BF158" s="181"/>
      <c r="BG158" s="181"/>
      <c r="BH158" s="181"/>
      <c r="BI158" s="181"/>
    </row>
    <row r="159" spans="1:61" ht="20" customHeight="1">
      <c r="A159" s="181"/>
      <c r="B159" s="181"/>
      <c r="C159" s="181"/>
      <c r="D159" s="181"/>
      <c r="E159" s="181"/>
      <c r="F159" s="181"/>
      <c r="G159" s="181"/>
      <c r="H159" s="181"/>
      <c r="I159" s="181"/>
      <c r="J159" s="181"/>
      <c r="K159" s="181"/>
      <c r="L159" s="181"/>
      <c r="M159" s="181"/>
      <c r="N159" s="181"/>
      <c r="O159" s="181"/>
      <c r="P159" s="181"/>
      <c r="Q159" s="181"/>
      <c r="R159" s="181"/>
      <c r="S159" s="181"/>
      <c r="T159" s="181"/>
      <c r="U159" s="181"/>
      <c r="V159" s="181"/>
      <c r="W159" s="181"/>
      <c r="X159" s="181"/>
      <c r="Y159" s="181"/>
      <c r="Z159" s="181"/>
      <c r="AA159" s="181"/>
      <c r="AB159" s="181"/>
      <c r="AC159" s="181"/>
      <c r="AD159" s="181"/>
      <c r="AE159" s="181"/>
      <c r="AF159" s="181"/>
      <c r="AG159" s="181"/>
      <c r="AH159" s="181"/>
      <c r="AI159" s="181"/>
      <c r="AJ159" s="181"/>
      <c r="AK159" s="181"/>
      <c r="AL159" s="181"/>
      <c r="AM159" s="181"/>
      <c r="AN159" s="181"/>
      <c r="AO159" s="181"/>
      <c r="AP159" s="181"/>
      <c r="AQ159" s="181"/>
      <c r="AR159" s="181"/>
      <c r="AS159" s="181"/>
      <c r="AT159" s="181"/>
      <c r="AU159" s="181"/>
      <c r="AV159" s="181"/>
      <c r="AW159" s="181"/>
      <c r="AX159" s="181"/>
      <c r="AY159" s="181"/>
      <c r="AZ159" s="181"/>
      <c r="BA159" s="181"/>
      <c r="BB159" s="181"/>
      <c r="BC159" s="181"/>
      <c r="BD159" s="181"/>
      <c r="BE159" s="181"/>
      <c r="BF159" s="181"/>
      <c r="BG159" s="181"/>
      <c r="BH159" s="181"/>
      <c r="BI159" s="181"/>
    </row>
    <row r="160" spans="1:61" ht="20" customHeight="1">
      <c r="A160" s="181"/>
      <c r="B160" s="181"/>
      <c r="C160" s="181"/>
      <c r="D160" s="181"/>
      <c r="E160" s="181"/>
      <c r="F160" s="181"/>
      <c r="G160" s="181"/>
      <c r="H160" s="181"/>
      <c r="I160" s="181"/>
      <c r="J160" s="181"/>
      <c r="K160" s="181"/>
      <c r="L160" s="181"/>
      <c r="M160" s="181"/>
      <c r="N160" s="181"/>
      <c r="O160" s="181"/>
      <c r="P160" s="181"/>
      <c r="Q160" s="181"/>
      <c r="R160" s="181"/>
      <c r="S160" s="181"/>
      <c r="T160" s="181"/>
      <c r="U160" s="181"/>
      <c r="V160" s="181"/>
      <c r="W160" s="181"/>
      <c r="X160" s="181"/>
      <c r="Y160" s="181"/>
      <c r="Z160" s="181"/>
      <c r="AA160" s="181"/>
      <c r="AB160" s="181"/>
      <c r="AC160" s="181"/>
      <c r="AD160" s="181"/>
      <c r="AE160" s="181"/>
      <c r="AF160" s="181"/>
      <c r="AG160" s="181"/>
      <c r="AH160" s="181"/>
      <c r="AI160" s="181"/>
      <c r="AJ160" s="181"/>
      <c r="AK160" s="181"/>
      <c r="AL160" s="181"/>
      <c r="AM160" s="181"/>
      <c r="AN160" s="181"/>
      <c r="AO160" s="181"/>
      <c r="AP160" s="181"/>
      <c r="AQ160" s="181"/>
      <c r="AR160" s="181"/>
      <c r="AS160" s="181"/>
      <c r="AT160" s="181"/>
      <c r="AU160" s="181"/>
      <c r="AV160" s="181"/>
      <c r="AW160" s="181"/>
      <c r="AX160" s="181"/>
      <c r="AY160" s="181"/>
      <c r="AZ160" s="181"/>
      <c r="BA160" s="181"/>
      <c r="BB160" s="181"/>
      <c r="BC160" s="181"/>
      <c r="BD160" s="181"/>
      <c r="BE160" s="181"/>
      <c r="BF160" s="181"/>
      <c r="BG160" s="181"/>
      <c r="BH160" s="181"/>
      <c r="BI160" s="181"/>
    </row>
    <row r="161" spans="1:61" ht="20" customHeight="1"/>
    <row r="162" spans="1:61" ht="20" customHeight="1"/>
    <row r="163" spans="1:61" ht="20" customHeight="1"/>
    <row r="164" spans="1:61" ht="20" customHeight="1"/>
    <row r="165" spans="1:61" ht="20" customHeight="1"/>
    <row r="166" spans="1:61" ht="20" customHeight="1"/>
    <row r="167" spans="1:61" ht="20" customHeight="1">
      <c r="A167" s="172"/>
      <c r="B167" s="172"/>
      <c r="C167" s="172"/>
      <c r="D167" s="172"/>
      <c r="E167" s="172"/>
      <c r="F167" s="172"/>
      <c r="G167" s="172"/>
      <c r="H167" s="172"/>
      <c r="I167" s="172"/>
      <c r="J167" s="172"/>
      <c r="K167" s="177"/>
      <c r="L167" s="178"/>
      <c r="M167" s="178"/>
      <c r="N167" s="178"/>
      <c r="O167" s="178"/>
      <c r="P167" s="178"/>
      <c r="Q167" s="178"/>
      <c r="R167" s="178"/>
      <c r="S167" s="178"/>
      <c r="T167" s="178"/>
      <c r="U167" s="178"/>
      <c r="V167" s="178"/>
      <c r="W167" s="178"/>
      <c r="X167" s="178"/>
      <c r="Y167" s="178"/>
      <c r="Z167" s="178"/>
      <c r="AA167" s="178"/>
      <c r="AB167" s="178"/>
      <c r="AC167" s="178"/>
      <c r="AD167" s="178"/>
      <c r="AE167" s="178"/>
      <c r="AF167" s="178"/>
      <c r="AG167" s="178"/>
      <c r="AH167" s="178"/>
      <c r="AI167" s="178"/>
      <c r="AJ167" s="178"/>
      <c r="AK167" s="178"/>
      <c r="AL167" s="172"/>
      <c r="AM167" s="172"/>
      <c r="AN167" s="172"/>
      <c r="AO167" s="172"/>
      <c r="AP167" s="172"/>
      <c r="AQ167" s="177"/>
      <c r="AR167" s="173"/>
      <c r="AS167" s="173"/>
      <c r="AT167" s="173"/>
      <c r="AU167" s="173"/>
      <c r="AV167" s="173"/>
      <c r="AW167" s="173"/>
      <c r="AX167" s="173"/>
      <c r="AY167" s="173"/>
      <c r="AZ167" s="173"/>
      <c r="BA167" s="173"/>
      <c r="BB167" s="173"/>
      <c r="BC167" s="173"/>
      <c r="BD167" s="173"/>
      <c r="BE167" s="163"/>
      <c r="BF167" s="163"/>
      <c r="BG167" s="163"/>
      <c r="BH167" s="163"/>
      <c r="BI167" s="164"/>
    </row>
    <row r="168" spans="1:61" ht="20" customHeight="1">
      <c r="A168" s="179"/>
      <c r="B168" s="179"/>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c r="AE168" s="180"/>
      <c r="AF168" s="180"/>
      <c r="AG168" s="180"/>
      <c r="AH168" s="180"/>
      <c r="AI168" s="180"/>
      <c r="AJ168" s="180"/>
      <c r="AK168" s="180"/>
      <c r="AL168" s="180"/>
      <c r="AM168" s="180"/>
      <c r="AN168" s="180"/>
      <c r="AO168" s="180"/>
      <c r="AP168" s="180"/>
      <c r="AQ168" s="180"/>
      <c r="AR168" s="180"/>
      <c r="AS168" s="180"/>
      <c r="AT168" s="180"/>
      <c r="AU168" s="180"/>
      <c r="AV168" s="180"/>
      <c r="AW168" s="180"/>
      <c r="AX168" s="180"/>
      <c r="AY168" s="180"/>
      <c r="AZ168" s="180"/>
      <c r="BA168" s="180"/>
      <c r="BB168" s="180"/>
      <c r="BC168" s="180"/>
      <c r="BD168" s="180"/>
      <c r="BE168" s="180"/>
      <c r="BF168" s="180"/>
      <c r="BG168" s="180"/>
      <c r="BH168" s="180"/>
      <c r="BI168" s="180"/>
    </row>
    <row r="169" spans="1:61" ht="20" customHeight="1">
      <c r="A169" s="179"/>
      <c r="B169" s="179"/>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c r="AI169" s="180"/>
      <c r="AJ169" s="180"/>
      <c r="AK169" s="180"/>
      <c r="AL169" s="180"/>
      <c r="AM169" s="180"/>
      <c r="AN169" s="180"/>
      <c r="AO169" s="180"/>
      <c r="AP169" s="180"/>
      <c r="AQ169" s="180"/>
      <c r="AR169" s="180"/>
      <c r="AS169" s="180"/>
      <c r="AT169" s="180"/>
      <c r="AU169" s="180"/>
      <c r="AV169" s="180"/>
      <c r="AW169" s="180"/>
      <c r="AX169" s="180"/>
      <c r="AY169" s="180"/>
      <c r="AZ169" s="180"/>
      <c r="BA169" s="180"/>
      <c r="BB169" s="180"/>
      <c r="BC169" s="180"/>
      <c r="BD169" s="180"/>
      <c r="BE169" s="180"/>
      <c r="BF169" s="180"/>
      <c r="BG169" s="180"/>
      <c r="BH169" s="180"/>
      <c r="BI169" s="180"/>
    </row>
    <row r="170" spans="1:61" ht="20" customHeight="1">
      <c r="A170" s="179"/>
      <c r="B170" s="179"/>
      <c r="C170" s="182"/>
      <c r="D170" s="182"/>
      <c r="E170" s="182"/>
      <c r="F170" s="182"/>
      <c r="G170" s="182"/>
      <c r="H170" s="182"/>
      <c r="I170" s="182"/>
      <c r="J170" s="182"/>
      <c r="K170" s="182"/>
      <c r="L170" s="182"/>
      <c r="M170" s="182"/>
      <c r="N170" s="182"/>
      <c r="O170" s="182"/>
      <c r="P170" s="182"/>
      <c r="Q170" s="182"/>
      <c r="R170" s="182"/>
      <c r="S170" s="182"/>
      <c r="T170" s="182"/>
      <c r="U170" s="182"/>
      <c r="V170" s="182"/>
      <c r="W170" s="182"/>
      <c r="X170" s="182"/>
      <c r="Y170" s="182"/>
      <c r="Z170" s="182"/>
      <c r="AA170" s="182"/>
      <c r="AB170" s="182"/>
      <c r="AC170" s="182"/>
      <c r="AD170" s="182"/>
      <c r="AE170" s="182"/>
      <c r="AF170" s="182"/>
      <c r="AG170" s="182"/>
      <c r="AH170" s="182"/>
      <c r="AI170" s="182"/>
      <c r="AJ170" s="182"/>
      <c r="AK170" s="182"/>
      <c r="AL170" s="182"/>
      <c r="AM170" s="182"/>
      <c r="AN170" s="182"/>
      <c r="AO170" s="182"/>
      <c r="AP170" s="182"/>
      <c r="AQ170" s="182"/>
      <c r="AR170" s="182"/>
      <c r="AS170" s="182"/>
      <c r="AT170" s="182"/>
      <c r="AU170" s="182"/>
      <c r="AV170" s="182"/>
      <c r="AW170" s="182"/>
      <c r="AX170" s="182"/>
      <c r="AY170" s="182"/>
      <c r="AZ170" s="182"/>
      <c r="BA170" s="182"/>
      <c r="BB170" s="182"/>
      <c r="BC170" s="182"/>
      <c r="BD170" s="182"/>
      <c r="BE170" s="182"/>
      <c r="BF170" s="182"/>
      <c r="BG170" s="182"/>
      <c r="BH170" s="182"/>
      <c r="BI170" s="182"/>
    </row>
    <row r="171" spans="1:61" ht="20" customHeight="1">
      <c r="A171" s="680" t="s">
        <v>211</v>
      </c>
      <c r="B171" s="680"/>
      <c r="C171" s="680"/>
      <c r="D171" s="680"/>
      <c r="E171" s="680"/>
      <c r="F171" s="680"/>
      <c r="G171" s="680"/>
      <c r="H171" s="680"/>
      <c r="I171" s="680"/>
      <c r="J171" s="680"/>
      <c r="K171" s="680"/>
      <c r="L171" s="680"/>
      <c r="M171" s="680"/>
      <c r="N171" s="680"/>
      <c r="O171" s="680"/>
      <c r="P171" s="680"/>
      <c r="Q171" s="680"/>
      <c r="R171" s="680"/>
      <c r="S171" s="680"/>
      <c r="T171" s="680"/>
      <c r="U171" s="680"/>
      <c r="V171" s="680"/>
      <c r="W171" s="680"/>
      <c r="X171" s="680"/>
      <c r="Y171" s="680"/>
      <c r="Z171" s="680"/>
      <c r="AA171" s="680"/>
      <c r="AB171" s="680"/>
      <c r="AC171" s="680"/>
      <c r="AD171" s="680"/>
      <c r="AE171" s="680"/>
      <c r="AF171" s="680"/>
      <c r="AG171" s="680"/>
      <c r="AH171" s="680"/>
      <c r="AI171" s="680"/>
      <c r="AJ171" s="680"/>
      <c r="AK171" s="680"/>
      <c r="AL171" s="680"/>
      <c r="AM171" s="680"/>
      <c r="AN171" s="680"/>
      <c r="AO171" s="680"/>
      <c r="AP171" s="680"/>
      <c r="AQ171" s="680"/>
      <c r="AR171" s="680"/>
      <c r="AS171" s="680"/>
      <c r="AT171" s="680"/>
      <c r="AU171" s="680"/>
      <c r="AV171" s="680"/>
      <c r="AW171" s="680"/>
      <c r="AX171" s="680"/>
      <c r="AY171" s="680"/>
      <c r="AZ171" s="680"/>
      <c r="BA171" s="680"/>
      <c r="BB171" s="680"/>
      <c r="BC171" s="680"/>
      <c r="BD171" s="680"/>
      <c r="BE171" s="680"/>
      <c r="BF171" s="680"/>
      <c r="BG171" s="680"/>
      <c r="BH171" s="680"/>
    </row>
    <row r="172" spans="1:61" ht="20" customHeight="1">
      <c r="A172" s="671" t="s">
        <v>42</v>
      </c>
      <c r="B172" s="671"/>
      <c r="C172" s="671"/>
      <c r="D172" s="671"/>
      <c r="E172" s="671"/>
      <c r="F172" s="671"/>
      <c r="G172" s="671"/>
      <c r="H172" s="671"/>
      <c r="I172" s="671"/>
      <c r="J172" s="671"/>
      <c r="K172" s="177" t="s">
        <v>43</v>
      </c>
      <c r="L172" s="675">
        <f>Name</f>
        <v>0</v>
      </c>
      <c r="M172" s="675"/>
      <c r="N172" s="675"/>
      <c r="O172" s="675"/>
      <c r="P172" s="675"/>
      <c r="Q172" s="675"/>
      <c r="R172" s="675"/>
      <c r="S172" s="675"/>
      <c r="T172" s="675"/>
      <c r="U172" s="675"/>
      <c r="V172" s="675"/>
      <c r="W172" s="675"/>
      <c r="X172" s="675"/>
      <c r="Y172" s="675"/>
      <c r="Z172" s="675"/>
      <c r="AA172" s="675"/>
      <c r="AB172" s="675"/>
      <c r="AC172" s="675"/>
      <c r="AD172" s="675"/>
      <c r="AE172" s="675"/>
      <c r="AF172" s="675"/>
      <c r="AG172" s="675"/>
      <c r="AH172" s="675"/>
      <c r="AI172" s="675"/>
      <c r="AJ172" s="675"/>
      <c r="AK172" s="675"/>
      <c r="AL172" s="671" t="s">
        <v>44</v>
      </c>
      <c r="AM172" s="671"/>
      <c r="AN172" s="671"/>
      <c r="AO172" s="671"/>
      <c r="AP172" s="671"/>
      <c r="AQ172" s="177" t="s">
        <v>43</v>
      </c>
      <c r="AR172" s="675">
        <f>StaffNumber</f>
        <v>0</v>
      </c>
      <c r="AS172" s="675"/>
      <c r="AT172" s="675"/>
      <c r="AU172" s="675"/>
      <c r="AV172" s="675"/>
      <c r="AW172" s="675"/>
      <c r="AX172" s="675"/>
      <c r="AY172" s="675"/>
      <c r="AZ172" s="675"/>
      <c r="BA172" s="675"/>
      <c r="BB172" s="675"/>
      <c r="BC172" s="675"/>
      <c r="BD172" s="675"/>
      <c r="BE172" s="162"/>
      <c r="BF172" s="162"/>
      <c r="BG172" s="162"/>
      <c r="BH172" s="162"/>
    </row>
    <row r="173" spans="1:61" ht="20" customHeight="1">
      <c r="A173" s="671" t="s">
        <v>208</v>
      </c>
      <c r="B173" s="671"/>
      <c r="C173" s="671"/>
      <c r="D173" s="671"/>
      <c r="E173" s="671"/>
      <c r="F173" s="671"/>
      <c r="G173" s="671"/>
      <c r="H173" s="671"/>
      <c r="I173" s="671"/>
      <c r="J173" s="671"/>
      <c r="K173" s="177" t="s">
        <v>43</v>
      </c>
      <c r="L173" s="675" t="str">
        <f>L3</f>
        <v>Rachel Young</v>
      </c>
      <c r="M173" s="675"/>
      <c r="N173" s="675"/>
      <c r="O173" s="675"/>
      <c r="P173" s="675"/>
      <c r="Q173" s="675"/>
      <c r="R173" s="675"/>
      <c r="S173" s="675"/>
      <c r="T173" s="675"/>
      <c r="U173" s="675"/>
      <c r="V173" s="675"/>
      <c r="W173" s="675"/>
      <c r="X173" s="675"/>
      <c r="Y173" s="675"/>
      <c r="Z173" s="675"/>
      <c r="AA173" s="675"/>
      <c r="AB173" s="675"/>
      <c r="AC173" s="675"/>
      <c r="AD173" s="675"/>
      <c r="AE173" s="675"/>
      <c r="AF173" s="675"/>
      <c r="AG173" s="675"/>
      <c r="AH173" s="675"/>
      <c r="AI173" s="675"/>
      <c r="AJ173" s="675"/>
      <c r="AK173" s="675"/>
      <c r="AL173" s="671" t="s">
        <v>207</v>
      </c>
      <c r="AM173" s="671"/>
      <c r="AN173" s="671"/>
      <c r="AO173" s="671"/>
      <c r="AP173" s="671"/>
      <c r="AQ173" s="177" t="s">
        <v>43</v>
      </c>
      <c r="AR173" s="675" t="str">
        <f>AR3</f>
        <v>Month 3</v>
      </c>
      <c r="AS173" s="675"/>
      <c r="AT173" s="675"/>
      <c r="AU173" s="675"/>
      <c r="AV173" s="675"/>
      <c r="AW173" s="675"/>
      <c r="AX173" s="675"/>
      <c r="AY173" s="675"/>
      <c r="AZ173" s="675"/>
      <c r="BA173" s="675"/>
      <c r="BB173" s="675"/>
      <c r="BC173" s="675"/>
      <c r="BD173" s="675"/>
      <c r="BE173" s="162"/>
      <c r="BF173" s="162"/>
      <c r="BG173" s="162"/>
      <c r="BH173" s="162"/>
    </row>
    <row r="174" spans="1:61" ht="20" customHeight="1">
      <c r="A174" s="671" t="s">
        <v>47</v>
      </c>
      <c r="B174" s="671"/>
      <c r="C174" s="671"/>
      <c r="D174" s="671"/>
      <c r="E174" s="671"/>
      <c r="F174" s="671"/>
      <c r="G174" s="671"/>
      <c r="H174" s="671"/>
      <c r="I174" s="671"/>
      <c r="J174" s="671"/>
      <c r="K174" s="177" t="s">
        <v>43</v>
      </c>
      <c r="L174" s="675">
        <f>CCM</f>
        <v>0</v>
      </c>
      <c r="M174" s="675"/>
      <c r="N174" s="675"/>
      <c r="O174" s="675"/>
      <c r="P174" s="675"/>
      <c r="Q174" s="675"/>
      <c r="R174" s="675"/>
      <c r="S174" s="675"/>
      <c r="T174" s="675"/>
      <c r="U174" s="675"/>
      <c r="V174" s="675"/>
      <c r="W174" s="675"/>
      <c r="X174" s="675"/>
      <c r="Y174" s="675"/>
      <c r="Z174" s="675"/>
      <c r="AA174" s="675"/>
      <c r="AB174" s="675"/>
      <c r="AC174" s="675"/>
      <c r="AD174" s="675"/>
      <c r="AE174" s="675"/>
      <c r="AF174" s="675"/>
      <c r="AG174" s="675"/>
      <c r="AH174" s="675"/>
      <c r="AI174" s="675"/>
      <c r="AJ174" s="675"/>
      <c r="AK174" s="675"/>
      <c r="AL174" s="671" t="s">
        <v>206</v>
      </c>
      <c r="AM174" s="671"/>
      <c r="AN174" s="671"/>
      <c r="AO174" s="671"/>
      <c r="AP174" s="671"/>
      <c r="AQ174" s="177" t="s">
        <v>43</v>
      </c>
      <c r="AR174" s="673" t="str">
        <f xml:space="preserve"> AR4</f>
        <v>12/12/16</v>
      </c>
      <c r="AS174" s="722"/>
      <c r="AT174" s="722"/>
      <c r="AU174" s="722"/>
      <c r="AV174" s="722"/>
      <c r="AW174" s="722"/>
      <c r="AX174" s="722"/>
      <c r="AY174" s="722"/>
      <c r="AZ174" s="722"/>
      <c r="BA174" s="722"/>
      <c r="BB174" s="722"/>
      <c r="BC174" s="722"/>
      <c r="BD174" s="722"/>
      <c r="BE174" s="163"/>
      <c r="BF174" s="163"/>
      <c r="BG174" s="163"/>
      <c r="BH174" s="163"/>
      <c r="BI174" s="164"/>
    </row>
    <row r="175" spans="1:61" ht="20" customHeight="1">
      <c r="A175" s="671" t="s">
        <v>209</v>
      </c>
      <c r="B175" s="671"/>
      <c r="C175" s="671"/>
      <c r="D175" s="671"/>
      <c r="E175" s="671"/>
      <c r="F175" s="671"/>
      <c r="G175" s="671"/>
      <c r="H175" s="671"/>
      <c r="I175" s="671"/>
      <c r="J175" s="671"/>
      <c r="K175" s="177" t="s">
        <v>43</v>
      </c>
      <c r="L175" s="675" t="str">
        <f>L5</f>
        <v>Continue working towards preparation for 3 day assessment</v>
      </c>
      <c r="M175" s="675"/>
      <c r="N175" s="675"/>
      <c r="O175" s="675"/>
      <c r="P175" s="675"/>
      <c r="Q175" s="675"/>
      <c r="R175" s="675"/>
      <c r="S175" s="675"/>
      <c r="T175" s="675"/>
      <c r="U175" s="675"/>
      <c r="V175" s="675"/>
      <c r="W175" s="675"/>
      <c r="X175" s="675"/>
      <c r="Y175" s="675"/>
      <c r="Z175" s="675"/>
      <c r="AA175" s="675"/>
      <c r="AB175" s="675"/>
      <c r="AC175" s="675"/>
      <c r="AD175" s="675"/>
      <c r="AE175" s="675"/>
      <c r="AF175" s="675"/>
      <c r="AG175" s="675"/>
      <c r="AH175" s="675"/>
      <c r="AI175" s="675"/>
      <c r="AJ175" s="675"/>
      <c r="AK175" s="675"/>
      <c r="AL175" s="671"/>
      <c r="AM175" s="671"/>
      <c r="AN175" s="671"/>
      <c r="AO175" s="671"/>
      <c r="AP175" s="671"/>
      <c r="AQ175" s="177"/>
      <c r="AR175" s="673"/>
      <c r="AS175" s="673"/>
      <c r="AT175" s="673"/>
      <c r="AU175" s="673"/>
      <c r="AV175" s="673"/>
      <c r="AW175" s="673"/>
      <c r="AX175" s="673"/>
      <c r="AY175" s="673"/>
      <c r="AZ175" s="673"/>
      <c r="BA175" s="673"/>
      <c r="BB175" s="673"/>
      <c r="BC175" s="673"/>
      <c r="BD175" s="673"/>
      <c r="BE175" s="163"/>
      <c r="BF175" s="163"/>
      <c r="BG175" s="163"/>
      <c r="BH175" s="163"/>
      <c r="BI175" s="164"/>
    </row>
    <row r="176" spans="1:61" ht="20" customHeight="1">
      <c r="A176" s="723" t="str">
        <f>'Service Review'!C35</f>
        <v>Peer to Peer</v>
      </c>
      <c r="B176" s="724"/>
      <c r="C176" s="724"/>
      <c r="D176" s="725"/>
      <c r="E176" s="739" t="s">
        <v>303</v>
      </c>
      <c r="F176" s="740"/>
      <c r="G176" s="740"/>
      <c r="H176" s="740"/>
      <c r="I176" s="740"/>
      <c r="J176" s="740"/>
      <c r="K176" s="740"/>
      <c r="L176" s="740" t="s">
        <v>221</v>
      </c>
      <c r="M176" s="740"/>
      <c r="N176" s="740"/>
      <c r="O176" s="740"/>
      <c r="P176" s="740"/>
      <c r="Q176" s="740"/>
      <c r="R176" s="740"/>
      <c r="S176" s="740"/>
      <c r="T176" s="740"/>
      <c r="U176" s="740"/>
      <c r="V176" s="740" t="s">
        <v>222</v>
      </c>
      <c r="W176" s="740"/>
      <c r="X176" s="740"/>
      <c r="Y176" s="740"/>
      <c r="Z176" s="740"/>
      <c r="AA176" s="740"/>
      <c r="AB176" s="740"/>
      <c r="AC176" s="740"/>
      <c r="AD176" s="740"/>
      <c r="AE176" s="740"/>
      <c r="AF176" s="740" t="s">
        <v>223</v>
      </c>
      <c r="AG176" s="740"/>
      <c r="AH176" s="740"/>
      <c r="AI176" s="740"/>
      <c r="AJ176" s="740"/>
      <c r="AK176" s="740"/>
      <c r="AL176" s="740"/>
      <c r="AM176" s="740"/>
      <c r="AN176" s="740"/>
      <c r="AO176" s="740"/>
      <c r="AP176" s="740" t="s">
        <v>224</v>
      </c>
      <c r="AQ176" s="740"/>
      <c r="AR176" s="740"/>
      <c r="AS176" s="740"/>
      <c r="AT176" s="740"/>
      <c r="AU176" s="740"/>
      <c r="AV176" s="740"/>
      <c r="AW176" s="740"/>
      <c r="AX176" s="740"/>
      <c r="AY176" s="740"/>
      <c r="AZ176" s="211"/>
      <c r="BA176" s="211"/>
      <c r="BB176" s="211"/>
      <c r="BC176" s="211"/>
      <c r="BD176" s="211"/>
      <c r="BE176" s="211"/>
      <c r="BF176" s="211"/>
      <c r="BG176" s="211"/>
      <c r="BH176" s="211"/>
      <c r="BI176" s="212"/>
    </row>
    <row r="177" spans="1:61" ht="20" customHeight="1">
      <c r="A177" s="726"/>
      <c r="B177" s="727"/>
      <c r="C177" s="727"/>
      <c r="D177" s="728"/>
      <c r="E177" s="741">
        <f>'Service Review'!AH46</f>
        <v>8</v>
      </c>
      <c r="F177" s="742"/>
      <c r="G177" s="742"/>
      <c r="H177" s="742"/>
      <c r="I177" s="742"/>
      <c r="J177" s="742"/>
      <c r="K177" s="742"/>
      <c r="L177" s="742" t="str">
        <f>'Service Review'!C42</f>
        <v>On track</v>
      </c>
      <c r="M177" s="742"/>
      <c r="N177" s="742"/>
      <c r="O177" s="742"/>
      <c r="P177" s="742"/>
      <c r="Q177" s="742"/>
      <c r="R177" s="742"/>
      <c r="S177" s="742"/>
      <c r="T177" s="742"/>
      <c r="U177" s="742"/>
      <c r="V177" s="742" t="str">
        <f>'Service Review'!O42</f>
        <v>On track</v>
      </c>
      <c r="W177" s="742"/>
      <c r="X177" s="742"/>
      <c r="Y177" s="742"/>
      <c r="Z177" s="742"/>
      <c r="AA177" s="742"/>
      <c r="AB177" s="742"/>
      <c r="AC177" s="742"/>
      <c r="AD177" s="742"/>
      <c r="AE177" s="742"/>
      <c r="AF177" s="742" t="str">
        <f>'Service Review'!AA42</f>
        <v>Must complete required tasks prior to 3 day Service Assessment</v>
      </c>
      <c r="AG177" s="742"/>
      <c r="AH177" s="742"/>
      <c r="AI177" s="742"/>
      <c r="AJ177" s="742"/>
      <c r="AK177" s="742"/>
      <c r="AL177" s="742"/>
      <c r="AM177" s="742"/>
      <c r="AN177" s="742"/>
      <c r="AO177" s="742"/>
      <c r="AP177" s="742" t="str">
        <f>'Service Review'!AM42</f>
        <v>Must complete required tasks prior to 3 day Service Assessment</v>
      </c>
      <c r="AQ177" s="742"/>
      <c r="AR177" s="742"/>
      <c r="AS177" s="742"/>
      <c r="AT177" s="742"/>
      <c r="AU177" s="742"/>
      <c r="AV177" s="742"/>
      <c r="AW177" s="742"/>
      <c r="AX177" s="742"/>
      <c r="AY177" s="742"/>
      <c r="AZ177" s="208"/>
      <c r="BA177" s="208"/>
      <c r="BB177" s="208"/>
      <c r="BC177" s="208"/>
      <c r="BD177" s="208"/>
      <c r="BE177" s="208"/>
      <c r="BF177" s="208"/>
      <c r="BG177" s="208"/>
      <c r="BH177" s="208"/>
      <c r="BI177" s="213"/>
    </row>
    <row r="178" spans="1:61" ht="20" customHeight="1">
      <c r="A178" s="726"/>
      <c r="B178" s="727"/>
      <c r="C178" s="727"/>
      <c r="D178" s="728"/>
      <c r="E178" s="741"/>
      <c r="F178" s="742"/>
      <c r="G178" s="742"/>
      <c r="H178" s="742"/>
      <c r="I178" s="742"/>
      <c r="J178" s="742"/>
      <c r="K178" s="742"/>
      <c r="L178" s="742"/>
      <c r="M178" s="742"/>
      <c r="N178" s="742"/>
      <c r="O178" s="742"/>
      <c r="P178" s="742"/>
      <c r="Q178" s="742"/>
      <c r="R178" s="742"/>
      <c r="S178" s="742"/>
      <c r="T178" s="742"/>
      <c r="U178" s="742"/>
      <c r="V178" s="742"/>
      <c r="W178" s="742"/>
      <c r="X178" s="742"/>
      <c r="Y178" s="742"/>
      <c r="Z178" s="742"/>
      <c r="AA178" s="742"/>
      <c r="AB178" s="742"/>
      <c r="AC178" s="742"/>
      <c r="AD178" s="742"/>
      <c r="AE178" s="742"/>
      <c r="AF178" s="742"/>
      <c r="AG178" s="742"/>
      <c r="AH178" s="742"/>
      <c r="AI178" s="742"/>
      <c r="AJ178" s="742"/>
      <c r="AK178" s="742"/>
      <c r="AL178" s="742"/>
      <c r="AM178" s="742"/>
      <c r="AN178" s="742"/>
      <c r="AO178" s="742"/>
      <c r="AP178" s="742"/>
      <c r="AQ178" s="742"/>
      <c r="AR178" s="742"/>
      <c r="AS178" s="742"/>
      <c r="AT178" s="742"/>
      <c r="AU178" s="742"/>
      <c r="AV178" s="742"/>
      <c r="AW178" s="742"/>
      <c r="AX178" s="742"/>
      <c r="AY178" s="742"/>
      <c r="AZ178" s="208"/>
      <c r="BA178" s="208"/>
      <c r="BB178" s="208"/>
      <c r="BC178" s="208"/>
      <c r="BD178" s="208"/>
      <c r="BE178" s="208"/>
      <c r="BF178" s="208"/>
      <c r="BG178" s="208"/>
      <c r="BH178" s="208"/>
      <c r="BI178" s="213"/>
    </row>
    <row r="179" spans="1:61" ht="20" customHeight="1">
      <c r="A179" s="726"/>
      <c r="B179" s="727"/>
      <c r="C179" s="727"/>
      <c r="D179" s="728"/>
      <c r="E179" s="732" t="str">
        <f>IF('Service Review'!A48=0,"",'Service Review'!A48)</f>
        <v>Insert comments here regarding peer to peer documentation</v>
      </c>
      <c r="F179" s="733"/>
      <c r="G179" s="733"/>
      <c r="H179" s="733"/>
      <c r="I179" s="733"/>
      <c r="J179" s="733"/>
      <c r="K179" s="733"/>
      <c r="L179" s="733"/>
      <c r="M179" s="733"/>
      <c r="N179" s="733"/>
      <c r="O179" s="733"/>
      <c r="P179" s="733"/>
      <c r="Q179" s="733"/>
      <c r="R179" s="733"/>
      <c r="S179" s="733"/>
      <c r="T179" s="733"/>
      <c r="U179" s="733"/>
      <c r="V179" s="733"/>
      <c r="W179" s="733"/>
      <c r="X179" s="733"/>
      <c r="Y179" s="733"/>
      <c r="Z179" s="733"/>
      <c r="AA179" s="733"/>
      <c r="AB179" s="733"/>
      <c r="AC179" s="733"/>
      <c r="AD179" s="733"/>
      <c r="AE179" s="733"/>
      <c r="AF179" s="733"/>
      <c r="AG179" s="733"/>
      <c r="AH179" s="733"/>
      <c r="AI179" s="733"/>
      <c r="AJ179" s="733"/>
      <c r="AK179" s="733"/>
      <c r="AL179" s="733"/>
      <c r="AM179" s="733"/>
      <c r="AN179" s="733"/>
      <c r="AO179" s="733"/>
      <c r="AP179" s="733"/>
      <c r="AQ179" s="733"/>
      <c r="AR179" s="733"/>
      <c r="AS179" s="733"/>
      <c r="AT179" s="733"/>
      <c r="AU179" s="733"/>
      <c r="AV179" s="733"/>
      <c r="AW179" s="733"/>
      <c r="AX179" s="733"/>
      <c r="AY179" s="733"/>
      <c r="AZ179" s="733"/>
      <c r="BA179" s="733"/>
      <c r="BB179" s="733"/>
      <c r="BC179" s="733"/>
      <c r="BD179" s="733"/>
      <c r="BE179" s="733"/>
      <c r="BF179" s="733"/>
      <c r="BG179" s="733"/>
      <c r="BH179" s="733"/>
      <c r="BI179" s="734"/>
    </row>
    <row r="180" spans="1:61" ht="20" customHeight="1">
      <c r="A180" s="726"/>
      <c r="B180" s="727"/>
      <c r="C180" s="727"/>
      <c r="D180" s="728"/>
      <c r="E180" s="732"/>
      <c r="F180" s="733"/>
      <c r="G180" s="733"/>
      <c r="H180" s="733"/>
      <c r="I180" s="733"/>
      <c r="J180" s="733"/>
      <c r="K180" s="733"/>
      <c r="L180" s="733"/>
      <c r="M180" s="733"/>
      <c r="N180" s="733"/>
      <c r="O180" s="733"/>
      <c r="P180" s="733"/>
      <c r="Q180" s="733"/>
      <c r="R180" s="733"/>
      <c r="S180" s="733"/>
      <c r="T180" s="733"/>
      <c r="U180" s="733"/>
      <c r="V180" s="733"/>
      <c r="W180" s="733"/>
      <c r="X180" s="733"/>
      <c r="Y180" s="733"/>
      <c r="Z180" s="733"/>
      <c r="AA180" s="733"/>
      <c r="AB180" s="733"/>
      <c r="AC180" s="733"/>
      <c r="AD180" s="733"/>
      <c r="AE180" s="733"/>
      <c r="AF180" s="733"/>
      <c r="AG180" s="733"/>
      <c r="AH180" s="733"/>
      <c r="AI180" s="733"/>
      <c r="AJ180" s="733"/>
      <c r="AK180" s="733"/>
      <c r="AL180" s="733"/>
      <c r="AM180" s="733"/>
      <c r="AN180" s="733"/>
      <c r="AO180" s="733"/>
      <c r="AP180" s="733"/>
      <c r="AQ180" s="733"/>
      <c r="AR180" s="733"/>
      <c r="AS180" s="733"/>
      <c r="AT180" s="733"/>
      <c r="AU180" s="733"/>
      <c r="AV180" s="733"/>
      <c r="AW180" s="733"/>
      <c r="AX180" s="733"/>
      <c r="AY180" s="733"/>
      <c r="AZ180" s="733"/>
      <c r="BA180" s="733"/>
      <c r="BB180" s="733"/>
      <c r="BC180" s="733"/>
      <c r="BD180" s="733"/>
      <c r="BE180" s="733"/>
      <c r="BF180" s="733"/>
      <c r="BG180" s="733"/>
      <c r="BH180" s="733"/>
      <c r="BI180" s="734"/>
    </row>
    <row r="181" spans="1:61" ht="20" customHeight="1">
      <c r="A181" s="729"/>
      <c r="B181" s="730"/>
      <c r="C181" s="730"/>
      <c r="D181" s="731"/>
      <c r="E181" s="735"/>
      <c r="F181" s="736"/>
      <c r="G181" s="736"/>
      <c r="H181" s="736"/>
      <c r="I181" s="736"/>
      <c r="J181" s="736"/>
      <c r="K181" s="736"/>
      <c r="L181" s="736"/>
      <c r="M181" s="736"/>
      <c r="N181" s="736"/>
      <c r="O181" s="736"/>
      <c r="P181" s="736"/>
      <c r="Q181" s="736"/>
      <c r="R181" s="736"/>
      <c r="S181" s="736"/>
      <c r="T181" s="736"/>
      <c r="U181" s="736"/>
      <c r="V181" s="736"/>
      <c r="W181" s="736"/>
      <c r="X181" s="736"/>
      <c r="Y181" s="736"/>
      <c r="Z181" s="736"/>
      <c r="AA181" s="736"/>
      <c r="AB181" s="736"/>
      <c r="AC181" s="736"/>
      <c r="AD181" s="736"/>
      <c r="AE181" s="736"/>
      <c r="AF181" s="736"/>
      <c r="AG181" s="736"/>
      <c r="AH181" s="736"/>
      <c r="AI181" s="736"/>
      <c r="AJ181" s="736"/>
      <c r="AK181" s="736"/>
      <c r="AL181" s="736"/>
      <c r="AM181" s="736"/>
      <c r="AN181" s="736"/>
      <c r="AO181" s="736"/>
      <c r="AP181" s="736"/>
      <c r="AQ181" s="736"/>
      <c r="AR181" s="736"/>
      <c r="AS181" s="736"/>
      <c r="AT181" s="736"/>
      <c r="AU181" s="736"/>
      <c r="AV181" s="736"/>
      <c r="AW181" s="736"/>
      <c r="AX181" s="736"/>
      <c r="AY181" s="736"/>
      <c r="AZ181" s="736"/>
      <c r="BA181" s="736"/>
      <c r="BB181" s="736"/>
      <c r="BC181" s="736"/>
      <c r="BD181" s="736"/>
      <c r="BE181" s="736"/>
      <c r="BF181" s="736"/>
      <c r="BG181" s="736"/>
      <c r="BH181" s="736"/>
      <c r="BI181" s="737"/>
    </row>
    <row r="182" spans="1:61" ht="20" customHeight="1">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55"/>
      <c r="AK182" s="155"/>
      <c r="AL182" s="155"/>
      <c r="AM182" s="155"/>
      <c r="AN182" s="155"/>
      <c r="AO182" s="155"/>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row>
    <row r="183" spans="1:61" ht="20" customHeight="1">
      <c r="A183" s="723" t="str">
        <f>'Service Review'!C52</f>
        <v>Cabin Supervisor Feedback</v>
      </c>
      <c r="B183" s="724"/>
      <c r="C183" s="724"/>
      <c r="D183" s="725"/>
      <c r="E183" s="739" t="s">
        <v>303</v>
      </c>
      <c r="F183" s="740"/>
      <c r="G183" s="740"/>
      <c r="H183" s="740"/>
      <c r="I183" s="740"/>
      <c r="J183" s="740"/>
      <c r="K183" s="740"/>
      <c r="L183" s="740" t="str">
        <f>'Service Review'!C53</f>
        <v>My Customer Service</v>
      </c>
      <c r="M183" s="740"/>
      <c r="N183" s="740"/>
      <c r="O183" s="740"/>
      <c r="P183" s="740"/>
      <c r="Q183" s="740"/>
      <c r="R183" s="740"/>
      <c r="S183" s="740" t="s">
        <v>222</v>
      </c>
      <c r="T183" s="740"/>
      <c r="U183" s="740"/>
      <c r="V183" s="740" t="str">
        <f>'Service Review'!O53</f>
        <v>My Teamwork</v>
      </c>
      <c r="W183" s="740"/>
      <c r="X183" s="740"/>
      <c r="Y183" s="740"/>
      <c r="Z183" s="740"/>
      <c r="AA183" s="740"/>
      <c r="AB183" s="740"/>
      <c r="AC183" s="740" t="s">
        <v>224</v>
      </c>
      <c r="AD183" s="740"/>
      <c r="AE183" s="740"/>
      <c r="AF183" s="740" t="str">
        <f>'Service Review'!AA53</f>
        <v>My Professionalism</v>
      </c>
      <c r="AG183" s="740"/>
      <c r="AH183" s="740"/>
      <c r="AI183" s="740"/>
      <c r="AJ183" s="740"/>
      <c r="AK183" s="740"/>
      <c r="AL183" s="740"/>
      <c r="AM183" s="740" t="s">
        <v>270</v>
      </c>
      <c r="AN183" s="740"/>
      <c r="AO183" s="740"/>
      <c r="AP183" s="740" t="str">
        <f>'Service Review'!AM53</f>
        <v>My Knowledge and Professional Image</v>
      </c>
      <c r="AQ183" s="740"/>
      <c r="AR183" s="740"/>
      <c r="AS183" s="740"/>
      <c r="AT183" s="740"/>
      <c r="AU183" s="740"/>
      <c r="AV183" s="740"/>
      <c r="AW183" s="740" t="s">
        <v>271</v>
      </c>
      <c r="AX183" s="740"/>
      <c r="AY183" s="740"/>
      <c r="AZ183" s="211"/>
      <c r="BA183" s="211"/>
      <c r="BB183" s="211"/>
      <c r="BC183" s="211"/>
      <c r="BD183" s="211"/>
      <c r="BE183" s="211"/>
      <c r="BF183" s="211"/>
      <c r="BG183" s="211"/>
      <c r="BH183" s="211"/>
      <c r="BI183" s="212"/>
    </row>
    <row r="184" spans="1:61" ht="20" customHeight="1">
      <c r="A184" s="726"/>
      <c r="B184" s="727"/>
      <c r="C184" s="727"/>
      <c r="D184" s="728"/>
      <c r="E184" s="741">
        <f>'Service Review'!AH63</f>
        <v>8</v>
      </c>
      <c r="F184" s="742"/>
      <c r="G184" s="742"/>
      <c r="H184" s="742"/>
      <c r="I184" s="742"/>
      <c r="J184" s="742"/>
      <c r="K184" s="742"/>
      <c r="L184" s="742" t="str">
        <f>'Service Review'!C59</f>
        <v>On track</v>
      </c>
      <c r="M184" s="742"/>
      <c r="N184" s="742"/>
      <c r="O184" s="742"/>
      <c r="P184" s="742"/>
      <c r="Q184" s="742"/>
      <c r="R184" s="742"/>
      <c r="S184" s="742">
        <f>'Service Review'!O48</f>
        <v>0</v>
      </c>
      <c r="T184" s="742"/>
      <c r="U184" s="742"/>
      <c r="V184" s="742" t="str">
        <f>'Service Review'!O59</f>
        <v>On track</v>
      </c>
      <c r="W184" s="742"/>
      <c r="X184" s="742"/>
      <c r="Y184" s="742"/>
      <c r="Z184" s="742"/>
      <c r="AA184" s="742"/>
      <c r="AB184" s="742"/>
      <c r="AC184" s="742"/>
      <c r="AD184" s="742">
        <f>'Service Review'!AA48</f>
        <v>0</v>
      </c>
      <c r="AE184" s="742"/>
      <c r="AF184" s="742" t="str">
        <f>'Service Review'!AA59</f>
        <v>Must complete required tasks prior to 3 day Service Assessment</v>
      </c>
      <c r="AG184" s="742"/>
      <c r="AH184" s="742"/>
      <c r="AI184" s="742"/>
      <c r="AJ184" s="742"/>
      <c r="AK184" s="742"/>
      <c r="AL184" s="742"/>
      <c r="AM184" s="742"/>
      <c r="AN184" s="742"/>
      <c r="AO184" s="742">
        <f>'Service Review'!AM48</f>
        <v>0</v>
      </c>
      <c r="AP184" s="742" t="str">
        <f>'Service Review'!AM59</f>
        <v>Must complete required tasks prior to 3 day Service Assessment</v>
      </c>
      <c r="AQ184" s="742"/>
      <c r="AR184" s="742"/>
      <c r="AS184" s="742"/>
      <c r="AT184" s="742"/>
      <c r="AU184" s="742"/>
      <c r="AV184" s="742"/>
      <c r="AW184" s="742"/>
      <c r="AX184" s="742"/>
      <c r="AY184" s="742"/>
      <c r="AZ184" s="208"/>
      <c r="BA184" s="208"/>
      <c r="BB184" s="208"/>
      <c r="BC184" s="208"/>
      <c r="BD184" s="208"/>
      <c r="BE184" s="208"/>
      <c r="BF184" s="208"/>
      <c r="BG184" s="208"/>
      <c r="BH184" s="208"/>
      <c r="BI184" s="213"/>
    </row>
    <row r="185" spans="1:61" ht="20" customHeight="1">
      <c r="A185" s="726"/>
      <c r="B185" s="727"/>
      <c r="C185" s="727"/>
      <c r="D185" s="728"/>
      <c r="E185" s="741"/>
      <c r="F185" s="742"/>
      <c r="G185" s="742"/>
      <c r="H185" s="742"/>
      <c r="I185" s="742"/>
      <c r="J185" s="742"/>
      <c r="K185" s="742"/>
      <c r="L185" s="742"/>
      <c r="M185" s="742"/>
      <c r="N185" s="742"/>
      <c r="O185" s="742"/>
      <c r="P185" s="742"/>
      <c r="Q185" s="742"/>
      <c r="R185" s="742"/>
      <c r="S185" s="742"/>
      <c r="T185" s="742"/>
      <c r="U185" s="742"/>
      <c r="V185" s="742"/>
      <c r="W185" s="742"/>
      <c r="X185" s="742"/>
      <c r="Y185" s="742"/>
      <c r="Z185" s="742"/>
      <c r="AA185" s="742"/>
      <c r="AB185" s="742"/>
      <c r="AC185" s="742"/>
      <c r="AD185" s="742"/>
      <c r="AE185" s="742"/>
      <c r="AF185" s="742"/>
      <c r="AG185" s="742"/>
      <c r="AH185" s="742"/>
      <c r="AI185" s="742"/>
      <c r="AJ185" s="742"/>
      <c r="AK185" s="742"/>
      <c r="AL185" s="742"/>
      <c r="AM185" s="742"/>
      <c r="AN185" s="742"/>
      <c r="AO185" s="742"/>
      <c r="AP185" s="742"/>
      <c r="AQ185" s="742"/>
      <c r="AR185" s="742"/>
      <c r="AS185" s="742"/>
      <c r="AT185" s="742"/>
      <c r="AU185" s="742"/>
      <c r="AV185" s="742"/>
      <c r="AW185" s="742"/>
      <c r="AX185" s="742"/>
      <c r="AY185" s="742"/>
      <c r="AZ185" s="208"/>
      <c r="BA185" s="208"/>
      <c r="BB185" s="208"/>
      <c r="BC185" s="208"/>
      <c r="BD185" s="208"/>
      <c r="BE185" s="208"/>
      <c r="BF185" s="208"/>
      <c r="BG185" s="208"/>
      <c r="BH185" s="208"/>
      <c r="BI185" s="213"/>
    </row>
    <row r="186" spans="1:61" ht="20" customHeight="1">
      <c r="A186" s="726"/>
      <c r="B186" s="727"/>
      <c r="C186" s="727"/>
      <c r="D186" s="728"/>
      <c r="E186" s="732" t="str">
        <f>IF('Service Review'!A65=0,"",'Service Review'!A65)</f>
        <v>Insert comments here regarding cabin supervisor feedback documentation</v>
      </c>
      <c r="F186" s="733"/>
      <c r="G186" s="733"/>
      <c r="H186" s="733"/>
      <c r="I186" s="733"/>
      <c r="J186" s="733"/>
      <c r="K186" s="733"/>
      <c r="L186" s="733"/>
      <c r="M186" s="733"/>
      <c r="N186" s="733"/>
      <c r="O186" s="733"/>
      <c r="P186" s="733"/>
      <c r="Q186" s="733"/>
      <c r="R186" s="733"/>
      <c r="S186" s="733"/>
      <c r="T186" s="733"/>
      <c r="U186" s="733"/>
      <c r="V186" s="733"/>
      <c r="W186" s="733"/>
      <c r="X186" s="733"/>
      <c r="Y186" s="733"/>
      <c r="Z186" s="733"/>
      <c r="AA186" s="733"/>
      <c r="AB186" s="733"/>
      <c r="AC186" s="733"/>
      <c r="AD186" s="733"/>
      <c r="AE186" s="733"/>
      <c r="AF186" s="733"/>
      <c r="AG186" s="733"/>
      <c r="AH186" s="733"/>
      <c r="AI186" s="733"/>
      <c r="AJ186" s="733"/>
      <c r="AK186" s="733"/>
      <c r="AL186" s="733"/>
      <c r="AM186" s="733"/>
      <c r="AN186" s="733"/>
      <c r="AO186" s="733"/>
      <c r="AP186" s="733"/>
      <c r="AQ186" s="733"/>
      <c r="AR186" s="733"/>
      <c r="AS186" s="733"/>
      <c r="AT186" s="733"/>
      <c r="AU186" s="733"/>
      <c r="AV186" s="733"/>
      <c r="AW186" s="733"/>
      <c r="AX186" s="733"/>
      <c r="AY186" s="733"/>
      <c r="AZ186" s="733"/>
      <c r="BA186" s="733"/>
      <c r="BB186" s="733"/>
      <c r="BC186" s="733"/>
      <c r="BD186" s="733"/>
      <c r="BE186" s="733"/>
      <c r="BF186" s="733"/>
      <c r="BG186" s="733"/>
      <c r="BH186" s="733"/>
      <c r="BI186" s="734"/>
    </row>
    <row r="187" spans="1:61" ht="20" customHeight="1">
      <c r="A187" s="726"/>
      <c r="B187" s="727"/>
      <c r="C187" s="727"/>
      <c r="D187" s="728"/>
      <c r="E187" s="732"/>
      <c r="F187" s="733"/>
      <c r="G187" s="733"/>
      <c r="H187" s="733"/>
      <c r="I187" s="733"/>
      <c r="J187" s="733"/>
      <c r="K187" s="733"/>
      <c r="L187" s="733"/>
      <c r="M187" s="733"/>
      <c r="N187" s="733"/>
      <c r="O187" s="733"/>
      <c r="P187" s="733"/>
      <c r="Q187" s="733"/>
      <c r="R187" s="733"/>
      <c r="S187" s="733"/>
      <c r="T187" s="733"/>
      <c r="U187" s="733"/>
      <c r="V187" s="733"/>
      <c r="W187" s="733"/>
      <c r="X187" s="733"/>
      <c r="Y187" s="733"/>
      <c r="Z187" s="733"/>
      <c r="AA187" s="733"/>
      <c r="AB187" s="733"/>
      <c r="AC187" s="733"/>
      <c r="AD187" s="733"/>
      <c r="AE187" s="733"/>
      <c r="AF187" s="733"/>
      <c r="AG187" s="733"/>
      <c r="AH187" s="733"/>
      <c r="AI187" s="733"/>
      <c r="AJ187" s="733"/>
      <c r="AK187" s="733"/>
      <c r="AL187" s="733"/>
      <c r="AM187" s="733"/>
      <c r="AN187" s="733"/>
      <c r="AO187" s="733"/>
      <c r="AP187" s="733"/>
      <c r="AQ187" s="733"/>
      <c r="AR187" s="733"/>
      <c r="AS187" s="733"/>
      <c r="AT187" s="733"/>
      <c r="AU187" s="733"/>
      <c r="AV187" s="733"/>
      <c r="AW187" s="733"/>
      <c r="AX187" s="733"/>
      <c r="AY187" s="733"/>
      <c r="AZ187" s="733"/>
      <c r="BA187" s="733"/>
      <c r="BB187" s="733"/>
      <c r="BC187" s="733"/>
      <c r="BD187" s="733"/>
      <c r="BE187" s="733"/>
      <c r="BF187" s="733"/>
      <c r="BG187" s="733"/>
      <c r="BH187" s="733"/>
      <c r="BI187" s="734"/>
    </row>
    <row r="188" spans="1:61" ht="20" customHeight="1">
      <c r="A188" s="729"/>
      <c r="B188" s="730"/>
      <c r="C188" s="730"/>
      <c r="D188" s="731"/>
      <c r="E188" s="735"/>
      <c r="F188" s="736"/>
      <c r="G188" s="736"/>
      <c r="H188" s="736"/>
      <c r="I188" s="736"/>
      <c r="J188" s="736"/>
      <c r="K188" s="736"/>
      <c r="L188" s="736"/>
      <c r="M188" s="736"/>
      <c r="N188" s="736"/>
      <c r="O188" s="736"/>
      <c r="P188" s="736"/>
      <c r="Q188" s="736"/>
      <c r="R188" s="736"/>
      <c r="S188" s="736"/>
      <c r="T188" s="736"/>
      <c r="U188" s="736"/>
      <c r="V188" s="736"/>
      <c r="W188" s="736"/>
      <c r="X188" s="736"/>
      <c r="Y188" s="736"/>
      <c r="Z188" s="736"/>
      <c r="AA188" s="736"/>
      <c r="AB188" s="736"/>
      <c r="AC188" s="736"/>
      <c r="AD188" s="736"/>
      <c r="AE188" s="736"/>
      <c r="AF188" s="736"/>
      <c r="AG188" s="736"/>
      <c r="AH188" s="736"/>
      <c r="AI188" s="736"/>
      <c r="AJ188" s="736"/>
      <c r="AK188" s="736"/>
      <c r="AL188" s="736"/>
      <c r="AM188" s="736"/>
      <c r="AN188" s="736"/>
      <c r="AO188" s="736"/>
      <c r="AP188" s="736"/>
      <c r="AQ188" s="736"/>
      <c r="AR188" s="736"/>
      <c r="AS188" s="736"/>
      <c r="AT188" s="736"/>
      <c r="AU188" s="736"/>
      <c r="AV188" s="736"/>
      <c r="AW188" s="736"/>
      <c r="AX188" s="736"/>
      <c r="AY188" s="736"/>
      <c r="AZ188" s="736"/>
      <c r="BA188" s="736"/>
      <c r="BB188" s="736"/>
      <c r="BC188" s="736"/>
      <c r="BD188" s="736"/>
      <c r="BE188" s="736"/>
      <c r="BF188" s="736"/>
      <c r="BG188" s="736"/>
      <c r="BH188" s="736"/>
      <c r="BI188" s="737"/>
    </row>
    <row r="189" spans="1:61" ht="20" customHeight="1">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55"/>
      <c r="AK189" s="155"/>
      <c r="AL189" s="155"/>
      <c r="AM189" s="155"/>
      <c r="AN189" s="155"/>
      <c r="AO189" s="155"/>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row>
    <row r="190" spans="1:61" ht="20" customHeight="1">
      <c r="A190" s="723" t="str">
        <f>'Service Review'!C69</f>
        <v>Self Reflection</v>
      </c>
      <c r="B190" s="724"/>
      <c r="C190" s="724"/>
      <c r="D190" s="725"/>
      <c r="E190" s="739" t="s">
        <v>303</v>
      </c>
      <c r="F190" s="740"/>
      <c r="G190" s="740"/>
      <c r="H190" s="740"/>
      <c r="I190" s="740"/>
      <c r="J190" s="740"/>
      <c r="K190" s="740"/>
      <c r="L190" s="740" t="s">
        <v>221</v>
      </c>
      <c r="M190" s="740"/>
      <c r="N190" s="740"/>
      <c r="O190" s="740"/>
      <c r="P190" s="740"/>
      <c r="Q190" s="740"/>
      <c r="R190" s="740"/>
      <c r="S190" s="740" t="s">
        <v>272</v>
      </c>
      <c r="T190" s="740"/>
      <c r="U190" s="740"/>
      <c r="V190" s="740" t="s">
        <v>222</v>
      </c>
      <c r="W190" s="740"/>
      <c r="X190" s="740"/>
      <c r="Y190" s="740"/>
      <c r="Z190" s="740"/>
      <c r="AA190" s="740"/>
      <c r="AB190" s="740"/>
      <c r="AC190" s="740" t="s">
        <v>271</v>
      </c>
      <c r="AD190" s="740"/>
      <c r="AE190" s="740"/>
      <c r="AF190" s="740" t="s">
        <v>223</v>
      </c>
      <c r="AG190" s="740"/>
      <c r="AH190" s="740"/>
      <c r="AI190" s="740"/>
      <c r="AJ190" s="740"/>
      <c r="AK190" s="740"/>
      <c r="AL190" s="740"/>
      <c r="AM190" s="740" t="s">
        <v>269</v>
      </c>
      <c r="AN190" s="740"/>
      <c r="AO190" s="740"/>
      <c r="AP190" s="740" t="s">
        <v>224</v>
      </c>
      <c r="AQ190" s="740"/>
      <c r="AR190" s="740"/>
      <c r="AS190" s="740"/>
      <c r="AT190" s="740"/>
      <c r="AU190" s="740"/>
      <c r="AV190" s="740"/>
      <c r="AW190" s="740" t="s">
        <v>271</v>
      </c>
      <c r="AX190" s="740"/>
      <c r="AY190" s="740"/>
      <c r="AZ190" s="211"/>
      <c r="BA190" s="211"/>
      <c r="BB190" s="211"/>
      <c r="BC190" s="211"/>
      <c r="BD190" s="211"/>
      <c r="BE190" s="211"/>
      <c r="BF190" s="211"/>
      <c r="BG190" s="211"/>
      <c r="BH190" s="211"/>
      <c r="BI190" s="212"/>
    </row>
    <row r="191" spans="1:61" ht="20" customHeight="1">
      <c r="A191" s="726"/>
      <c r="B191" s="727"/>
      <c r="C191" s="727"/>
      <c r="D191" s="728"/>
      <c r="E191" s="741">
        <f>'Service Review'!AH80</f>
        <v>4</v>
      </c>
      <c r="F191" s="742"/>
      <c r="G191" s="742"/>
      <c r="H191" s="742"/>
      <c r="I191" s="742"/>
      <c r="J191" s="742"/>
      <c r="K191" s="742"/>
      <c r="L191" s="742" t="str">
        <f>'Service Review'!C76</f>
        <v>On track</v>
      </c>
      <c r="M191" s="742"/>
      <c r="N191" s="742"/>
      <c r="O191" s="742"/>
      <c r="P191" s="742"/>
      <c r="Q191" s="742"/>
      <c r="R191" s="742"/>
      <c r="S191" s="742" t="str">
        <f>'Service Review'!O53</f>
        <v>My Teamwork</v>
      </c>
      <c r="T191" s="742"/>
      <c r="U191" s="742"/>
      <c r="V191" s="742" t="str">
        <f>'Service Review'!O76</f>
        <v>On track</v>
      </c>
      <c r="W191" s="742"/>
      <c r="X191" s="742"/>
      <c r="Y191" s="742"/>
      <c r="Z191" s="742"/>
      <c r="AA191" s="742"/>
      <c r="AB191" s="742"/>
      <c r="AC191" s="742"/>
      <c r="AD191" s="742" t="str">
        <f>'Service Review'!AA53</f>
        <v>My Professionalism</v>
      </c>
      <c r="AE191" s="742"/>
      <c r="AF191" s="742" t="str">
        <f>'Service Review'!AA76</f>
        <v>Must complete required tasks prior to 3 day Service Assessment</v>
      </c>
      <c r="AG191" s="742"/>
      <c r="AH191" s="742"/>
      <c r="AI191" s="742"/>
      <c r="AJ191" s="742"/>
      <c r="AK191" s="742"/>
      <c r="AL191" s="742"/>
      <c r="AM191" s="742"/>
      <c r="AN191" s="742"/>
      <c r="AO191" s="742" t="str">
        <f>'Service Review'!AM53</f>
        <v>My Knowledge and Professional Image</v>
      </c>
      <c r="AP191" s="742" t="str">
        <f>'Service Review'!AM76</f>
        <v>Must complete required tasks prior to 3 day Service Assessment</v>
      </c>
      <c r="AQ191" s="742"/>
      <c r="AR191" s="742"/>
      <c r="AS191" s="742"/>
      <c r="AT191" s="742"/>
      <c r="AU191" s="742"/>
      <c r="AV191" s="742"/>
      <c r="AW191" s="742"/>
      <c r="AX191" s="742"/>
      <c r="AY191" s="742"/>
      <c r="AZ191" s="208"/>
      <c r="BA191" s="208"/>
      <c r="BB191" s="208"/>
      <c r="BC191" s="208"/>
      <c r="BD191" s="208"/>
      <c r="BE191" s="208"/>
      <c r="BF191" s="208"/>
      <c r="BG191" s="208"/>
      <c r="BH191" s="208"/>
      <c r="BI191" s="213"/>
    </row>
    <row r="192" spans="1:61" ht="20" customHeight="1">
      <c r="A192" s="726"/>
      <c r="B192" s="727"/>
      <c r="C192" s="727"/>
      <c r="D192" s="728"/>
      <c r="E192" s="741"/>
      <c r="F192" s="742"/>
      <c r="G192" s="742"/>
      <c r="H192" s="742"/>
      <c r="I192" s="742"/>
      <c r="J192" s="742"/>
      <c r="K192" s="742"/>
      <c r="L192" s="742"/>
      <c r="M192" s="742"/>
      <c r="N192" s="742"/>
      <c r="O192" s="742"/>
      <c r="P192" s="742"/>
      <c r="Q192" s="742"/>
      <c r="R192" s="742"/>
      <c r="S192" s="742"/>
      <c r="T192" s="742"/>
      <c r="U192" s="742"/>
      <c r="V192" s="742"/>
      <c r="W192" s="742"/>
      <c r="X192" s="742"/>
      <c r="Y192" s="742"/>
      <c r="Z192" s="742"/>
      <c r="AA192" s="742"/>
      <c r="AB192" s="742"/>
      <c r="AC192" s="742"/>
      <c r="AD192" s="742"/>
      <c r="AE192" s="742"/>
      <c r="AF192" s="742"/>
      <c r="AG192" s="742"/>
      <c r="AH192" s="742"/>
      <c r="AI192" s="742"/>
      <c r="AJ192" s="742"/>
      <c r="AK192" s="742"/>
      <c r="AL192" s="742"/>
      <c r="AM192" s="742"/>
      <c r="AN192" s="742"/>
      <c r="AO192" s="742"/>
      <c r="AP192" s="742"/>
      <c r="AQ192" s="742"/>
      <c r="AR192" s="742"/>
      <c r="AS192" s="742"/>
      <c r="AT192" s="742"/>
      <c r="AU192" s="742"/>
      <c r="AV192" s="742"/>
      <c r="AW192" s="742"/>
      <c r="AX192" s="742"/>
      <c r="AY192" s="742"/>
      <c r="AZ192" s="208"/>
      <c r="BA192" s="208"/>
      <c r="BB192" s="208"/>
      <c r="BC192" s="208"/>
      <c r="BD192" s="208"/>
      <c r="BE192" s="208"/>
      <c r="BF192" s="208"/>
      <c r="BG192" s="208"/>
      <c r="BH192" s="208"/>
      <c r="BI192" s="213"/>
    </row>
    <row r="193" spans="1:61" ht="20" customHeight="1">
      <c r="A193" s="726"/>
      <c r="B193" s="727"/>
      <c r="C193" s="727"/>
      <c r="D193" s="728"/>
      <c r="E193" s="732" t="str">
        <f>IF('Service Review'!A82=0,"",'Service Review'!A82)</f>
        <v>Insert comments here regarding self reflection documentation</v>
      </c>
      <c r="F193" s="733"/>
      <c r="G193" s="733"/>
      <c r="H193" s="733"/>
      <c r="I193" s="733"/>
      <c r="J193" s="733"/>
      <c r="K193" s="733"/>
      <c r="L193" s="733"/>
      <c r="M193" s="733"/>
      <c r="N193" s="733"/>
      <c r="O193" s="733"/>
      <c r="P193" s="733"/>
      <c r="Q193" s="733"/>
      <c r="R193" s="733"/>
      <c r="S193" s="733"/>
      <c r="T193" s="733"/>
      <c r="U193" s="733"/>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33"/>
      <c r="AV193" s="733"/>
      <c r="AW193" s="733"/>
      <c r="AX193" s="733"/>
      <c r="AY193" s="733"/>
      <c r="AZ193" s="733"/>
      <c r="BA193" s="733"/>
      <c r="BB193" s="733"/>
      <c r="BC193" s="733"/>
      <c r="BD193" s="733"/>
      <c r="BE193" s="733"/>
      <c r="BF193" s="733"/>
      <c r="BG193" s="733"/>
      <c r="BH193" s="733"/>
      <c r="BI193" s="734"/>
    </row>
    <row r="194" spans="1:61" ht="20" customHeight="1">
      <c r="A194" s="726"/>
      <c r="B194" s="727"/>
      <c r="C194" s="727"/>
      <c r="D194" s="728"/>
      <c r="E194" s="732"/>
      <c r="F194" s="733"/>
      <c r="G194" s="733"/>
      <c r="H194" s="733"/>
      <c r="I194" s="733"/>
      <c r="J194" s="733"/>
      <c r="K194" s="733"/>
      <c r="L194" s="733"/>
      <c r="M194" s="733"/>
      <c r="N194" s="733"/>
      <c r="O194" s="733"/>
      <c r="P194" s="733"/>
      <c r="Q194" s="733"/>
      <c r="R194" s="733"/>
      <c r="S194" s="733"/>
      <c r="T194" s="733"/>
      <c r="U194" s="733"/>
      <c r="V194" s="733"/>
      <c r="W194" s="733"/>
      <c r="X194" s="733"/>
      <c r="Y194" s="733"/>
      <c r="Z194" s="733"/>
      <c r="AA194" s="733"/>
      <c r="AB194" s="733"/>
      <c r="AC194" s="733"/>
      <c r="AD194" s="733"/>
      <c r="AE194" s="733"/>
      <c r="AF194" s="733"/>
      <c r="AG194" s="733"/>
      <c r="AH194" s="733"/>
      <c r="AI194" s="733"/>
      <c r="AJ194" s="733"/>
      <c r="AK194" s="733"/>
      <c r="AL194" s="733"/>
      <c r="AM194" s="733"/>
      <c r="AN194" s="733"/>
      <c r="AO194" s="733"/>
      <c r="AP194" s="733"/>
      <c r="AQ194" s="733"/>
      <c r="AR194" s="733"/>
      <c r="AS194" s="733"/>
      <c r="AT194" s="733"/>
      <c r="AU194" s="733"/>
      <c r="AV194" s="733"/>
      <c r="AW194" s="733"/>
      <c r="AX194" s="733"/>
      <c r="AY194" s="733"/>
      <c r="AZ194" s="733"/>
      <c r="BA194" s="733"/>
      <c r="BB194" s="733"/>
      <c r="BC194" s="733"/>
      <c r="BD194" s="733"/>
      <c r="BE194" s="733"/>
      <c r="BF194" s="733"/>
      <c r="BG194" s="733"/>
      <c r="BH194" s="733"/>
      <c r="BI194" s="734"/>
    </row>
    <row r="195" spans="1:61" ht="20" customHeight="1">
      <c r="A195" s="729"/>
      <c r="B195" s="730"/>
      <c r="C195" s="730"/>
      <c r="D195" s="731"/>
      <c r="E195" s="735"/>
      <c r="F195" s="736"/>
      <c r="G195" s="736"/>
      <c r="H195" s="736"/>
      <c r="I195" s="736"/>
      <c r="J195" s="736"/>
      <c r="K195" s="736"/>
      <c r="L195" s="736"/>
      <c r="M195" s="736"/>
      <c r="N195" s="736"/>
      <c r="O195" s="736"/>
      <c r="P195" s="736"/>
      <c r="Q195" s="736"/>
      <c r="R195" s="736"/>
      <c r="S195" s="736"/>
      <c r="T195" s="736"/>
      <c r="U195" s="736"/>
      <c r="V195" s="736"/>
      <c r="W195" s="736"/>
      <c r="X195" s="736"/>
      <c r="Y195" s="736"/>
      <c r="Z195" s="736"/>
      <c r="AA195" s="736"/>
      <c r="AB195" s="736"/>
      <c r="AC195" s="736"/>
      <c r="AD195" s="736"/>
      <c r="AE195" s="736"/>
      <c r="AF195" s="736"/>
      <c r="AG195" s="736"/>
      <c r="AH195" s="736"/>
      <c r="AI195" s="736"/>
      <c r="AJ195" s="736"/>
      <c r="AK195" s="736"/>
      <c r="AL195" s="736"/>
      <c r="AM195" s="736"/>
      <c r="AN195" s="736"/>
      <c r="AO195" s="736"/>
      <c r="AP195" s="736"/>
      <c r="AQ195" s="736"/>
      <c r="AR195" s="736"/>
      <c r="AS195" s="736"/>
      <c r="AT195" s="736"/>
      <c r="AU195" s="736"/>
      <c r="AV195" s="736"/>
      <c r="AW195" s="736"/>
      <c r="AX195" s="736"/>
      <c r="AY195" s="736"/>
      <c r="AZ195" s="736"/>
      <c r="BA195" s="736"/>
      <c r="BB195" s="736"/>
      <c r="BC195" s="736"/>
      <c r="BD195" s="736"/>
      <c r="BE195" s="736"/>
      <c r="BF195" s="736"/>
      <c r="BG195" s="736"/>
      <c r="BH195" s="736"/>
      <c r="BI195" s="737"/>
    </row>
    <row r="196" spans="1:61" ht="20" customHeight="1">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55"/>
      <c r="AK196" s="155"/>
      <c r="AL196" s="155"/>
      <c r="AM196" s="155"/>
      <c r="AN196" s="155"/>
      <c r="AO196" s="155"/>
      <c r="AP196" s="155"/>
      <c r="AQ196" s="155"/>
      <c r="AR196" s="155"/>
      <c r="AS196" s="155"/>
      <c r="AT196" s="155"/>
      <c r="AU196" s="155"/>
      <c r="AV196" s="155"/>
      <c r="AW196" s="155"/>
      <c r="AX196" s="155"/>
      <c r="AY196" s="155"/>
      <c r="AZ196" s="155"/>
      <c r="BA196" s="155"/>
      <c r="BB196" s="155"/>
      <c r="BC196" s="155"/>
      <c r="BD196" s="155"/>
      <c r="BE196" s="155"/>
      <c r="BF196" s="155"/>
      <c r="BG196" s="155"/>
      <c r="BH196" s="155"/>
      <c r="BI196" s="155"/>
    </row>
    <row r="197" spans="1:61" ht="20" customHeight="1">
      <c r="A197" s="723" t="str">
        <f>'Service Review'!C86</f>
        <v>Tasks</v>
      </c>
      <c r="B197" s="724"/>
      <c r="C197" s="724"/>
      <c r="D197" s="725"/>
      <c r="E197" s="739" t="s">
        <v>303</v>
      </c>
      <c r="F197" s="740"/>
      <c r="G197" s="740"/>
      <c r="H197" s="740"/>
      <c r="I197" s="740"/>
      <c r="J197" s="740"/>
      <c r="K197" s="740"/>
      <c r="L197" s="740" t="str">
        <f>'Service Review'!C87</f>
        <v>Task My Professionalism</v>
      </c>
      <c r="M197" s="740"/>
      <c r="N197" s="740"/>
      <c r="O197" s="740"/>
      <c r="P197" s="740"/>
      <c r="Q197" s="740"/>
      <c r="R197" s="740"/>
      <c r="S197" s="740" t="s">
        <v>273</v>
      </c>
      <c r="T197" s="740"/>
      <c r="U197" s="740"/>
      <c r="V197" s="740" t="str">
        <f>'Service Review'!O87</f>
        <v>Task My Customer Service</v>
      </c>
      <c r="W197" s="740"/>
      <c r="X197" s="740"/>
      <c r="Y197" s="740"/>
      <c r="Z197" s="740"/>
      <c r="AA197" s="740"/>
      <c r="AB197" s="740"/>
      <c r="AC197" s="740" t="s">
        <v>272</v>
      </c>
      <c r="AD197" s="740"/>
      <c r="AE197" s="740"/>
      <c r="AF197" s="740" t="str">
        <f>'Service Review'!AA87</f>
        <v>Task My Teamwork</v>
      </c>
      <c r="AG197" s="740"/>
      <c r="AH197" s="740"/>
      <c r="AI197" s="740"/>
      <c r="AJ197" s="740"/>
      <c r="AK197" s="740"/>
      <c r="AL197" s="740"/>
      <c r="AM197" s="740" t="s">
        <v>271</v>
      </c>
      <c r="AN197" s="740"/>
      <c r="AO197" s="740"/>
      <c r="AP197" s="740" t="str">
        <f>'Service Review'!AM87</f>
        <v>Task My Knowledge and Professional Image</v>
      </c>
      <c r="AQ197" s="740"/>
      <c r="AR197" s="740"/>
      <c r="AS197" s="740"/>
      <c r="AT197" s="740"/>
      <c r="AU197" s="740"/>
      <c r="AV197" s="740"/>
      <c r="AW197" s="740" t="s">
        <v>269</v>
      </c>
      <c r="AX197" s="740"/>
      <c r="AY197" s="740"/>
      <c r="AZ197" s="740" t="str">
        <f>'Service Review'!AY87</f>
        <v>Task Ideal Crew</v>
      </c>
      <c r="BA197" s="740"/>
      <c r="BB197" s="740"/>
      <c r="BC197" s="740"/>
      <c r="BD197" s="740"/>
      <c r="BE197" s="740"/>
      <c r="BF197" s="740"/>
      <c r="BG197" s="740" t="s">
        <v>271</v>
      </c>
      <c r="BH197" s="740"/>
      <c r="BI197" s="745"/>
    </row>
    <row r="198" spans="1:61" ht="20" customHeight="1">
      <c r="A198" s="726"/>
      <c r="B198" s="727"/>
      <c r="C198" s="727"/>
      <c r="D198" s="728"/>
      <c r="E198" s="741">
        <f>'Service Review'!AH95</f>
        <v>5</v>
      </c>
      <c r="F198" s="742"/>
      <c r="G198" s="742"/>
      <c r="H198" s="742"/>
      <c r="I198" s="742"/>
      <c r="J198" s="742"/>
      <c r="K198" s="742"/>
      <c r="L198" s="742" t="str">
        <f>'Service Review'!C91</f>
        <v>Must complete required tasks prior to 3 day Service Assessment</v>
      </c>
      <c r="M198" s="742"/>
      <c r="N198" s="742"/>
      <c r="O198" s="742"/>
      <c r="P198" s="742"/>
      <c r="Q198" s="742"/>
      <c r="R198" s="742"/>
      <c r="S198" s="742"/>
      <c r="T198" s="742"/>
      <c r="U198" s="742"/>
      <c r="V198" s="742" t="str">
        <f>'Service Review'!O91</f>
        <v>Must complete required tasks prior to 3 day Service Assessment</v>
      </c>
      <c r="W198" s="742"/>
      <c r="X198" s="742"/>
      <c r="Y198" s="742"/>
      <c r="Z198" s="742"/>
      <c r="AA198" s="742"/>
      <c r="AB198" s="742"/>
      <c r="AC198" s="742"/>
      <c r="AD198" s="742"/>
      <c r="AE198" s="742"/>
      <c r="AF198" s="742" t="str">
        <f>'Service Review'!AA91</f>
        <v>Must complete required tasks prior to 3 day Service Assessment</v>
      </c>
      <c r="AG198" s="742"/>
      <c r="AH198" s="742"/>
      <c r="AI198" s="742"/>
      <c r="AJ198" s="742"/>
      <c r="AK198" s="742"/>
      <c r="AL198" s="742"/>
      <c r="AM198" s="742"/>
      <c r="AN198" s="742"/>
      <c r="AO198" s="742"/>
      <c r="AP198" s="742" t="str">
        <f>'Service Review'!AM91</f>
        <v>Must complete required tasks prior to 3 day Service Assessment</v>
      </c>
      <c r="AQ198" s="742"/>
      <c r="AR198" s="742"/>
      <c r="AS198" s="742"/>
      <c r="AT198" s="742"/>
      <c r="AU198" s="742"/>
      <c r="AV198" s="742"/>
      <c r="AW198" s="742"/>
      <c r="AX198" s="742"/>
      <c r="AY198" s="742"/>
      <c r="AZ198" s="742" t="str">
        <f>'Service Review'!AY91</f>
        <v>Must complete required tasks prior to 3 day Service Assessment</v>
      </c>
      <c r="BA198" s="742"/>
      <c r="BB198" s="742"/>
      <c r="BC198" s="742"/>
      <c r="BD198" s="742"/>
      <c r="BE198" s="742"/>
      <c r="BF198" s="742"/>
      <c r="BG198" s="742"/>
      <c r="BH198" s="742"/>
      <c r="BI198" s="744"/>
    </row>
    <row r="199" spans="1:61" ht="20" customHeight="1">
      <c r="A199" s="726"/>
      <c r="B199" s="727"/>
      <c r="C199" s="727"/>
      <c r="D199" s="728"/>
      <c r="E199" s="741"/>
      <c r="F199" s="742"/>
      <c r="G199" s="742"/>
      <c r="H199" s="742"/>
      <c r="I199" s="742"/>
      <c r="J199" s="742"/>
      <c r="K199" s="742"/>
      <c r="L199" s="742"/>
      <c r="M199" s="742"/>
      <c r="N199" s="742"/>
      <c r="O199" s="742"/>
      <c r="P199" s="742"/>
      <c r="Q199" s="742"/>
      <c r="R199" s="742"/>
      <c r="S199" s="742"/>
      <c r="T199" s="742"/>
      <c r="U199" s="742"/>
      <c r="V199" s="742"/>
      <c r="W199" s="742"/>
      <c r="X199" s="742"/>
      <c r="Y199" s="742"/>
      <c r="Z199" s="742"/>
      <c r="AA199" s="742"/>
      <c r="AB199" s="742"/>
      <c r="AC199" s="742"/>
      <c r="AD199" s="742"/>
      <c r="AE199" s="742"/>
      <c r="AF199" s="742"/>
      <c r="AG199" s="742"/>
      <c r="AH199" s="742"/>
      <c r="AI199" s="742"/>
      <c r="AJ199" s="742"/>
      <c r="AK199" s="742"/>
      <c r="AL199" s="742"/>
      <c r="AM199" s="742"/>
      <c r="AN199" s="742"/>
      <c r="AO199" s="742"/>
      <c r="AP199" s="742"/>
      <c r="AQ199" s="742"/>
      <c r="AR199" s="742"/>
      <c r="AS199" s="742"/>
      <c r="AT199" s="742"/>
      <c r="AU199" s="742"/>
      <c r="AV199" s="742"/>
      <c r="AW199" s="742"/>
      <c r="AX199" s="742"/>
      <c r="AY199" s="742"/>
      <c r="AZ199" s="742"/>
      <c r="BA199" s="742"/>
      <c r="BB199" s="742"/>
      <c r="BC199" s="742"/>
      <c r="BD199" s="742"/>
      <c r="BE199" s="742"/>
      <c r="BF199" s="742"/>
      <c r="BG199" s="742"/>
      <c r="BH199" s="742"/>
      <c r="BI199" s="744"/>
    </row>
    <row r="200" spans="1:61" ht="20" customHeight="1">
      <c r="A200" s="726"/>
      <c r="B200" s="727"/>
      <c r="C200" s="727"/>
      <c r="D200" s="728"/>
      <c r="E200" s="732" t="str">
        <f>IF('Service Review'!A97=0,"",'Service Review'!A97)</f>
        <v>Insert comments here regarding tasks documentation</v>
      </c>
      <c r="F200" s="733"/>
      <c r="G200" s="733"/>
      <c r="H200" s="733"/>
      <c r="I200" s="733"/>
      <c r="J200" s="733"/>
      <c r="K200" s="733"/>
      <c r="L200" s="733"/>
      <c r="M200" s="733"/>
      <c r="N200" s="733"/>
      <c r="O200" s="733"/>
      <c r="P200" s="733"/>
      <c r="Q200" s="733"/>
      <c r="R200" s="733"/>
      <c r="S200" s="733"/>
      <c r="T200" s="733"/>
      <c r="U200" s="733"/>
      <c r="V200" s="733"/>
      <c r="W200" s="733"/>
      <c r="X200" s="733"/>
      <c r="Y200" s="733"/>
      <c r="Z200" s="733"/>
      <c r="AA200" s="733"/>
      <c r="AB200" s="733"/>
      <c r="AC200" s="733"/>
      <c r="AD200" s="733"/>
      <c r="AE200" s="733"/>
      <c r="AF200" s="733"/>
      <c r="AG200" s="733"/>
      <c r="AH200" s="733"/>
      <c r="AI200" s="733"/>
      <c r="AJ200" s="733"/>
      <c r="AK200" s="733"/>
      <c r="AL200" s="733"/>
      <c r="AM200" s="733"/>
      <c r="AN200" s="733"/>
      <c r="AO200" s="733"/>
      <c r="AP200" s="733"/>
      <c r="AQ200" s="733"/>
      <c r="AR200" s="733"/>
      <c r="AS200" s="733"/>
      <c r="AT200" s="733"/>
      <c r="AU200" s="733"/>
      <c r="AV200" s="733"/>
      <c r="AW200" s="733"/>
      <c r="AX200" s="733"/>
      <c r="AY200" s="733"/>
      <c r="AZ200" s="733"/>
      <c r="BA200" s="733"/>
      <c r="BB200" s="733"/>
      <c r="BC200" s="733"/>
      <c r="BD200" s="733"/>
      <c r="BE200" s="733"/>
      <c r="BF200" s="733"/>
      <c r="BG200" s="733"/>
      <c r="BH200" s="733"/>
      <c r="BI200" s="734"/>
    </row>
    <row r="201" spans="1:61" ht="20" customHeight="1">
      <c r="A201" s="726"/>
      <c r="B201" s="727"/>
      <c r="C201" s="727"/>
      <c r="D201" s="728"/>
      <c r="E201" s="732"/>
      <c r="F201" s="733"/>
      <c r="G201" s="733"/>
      <c r="H201" s="733"/>
      <c r="I201" s="733"/>
      <c r="J201" s="733"/>
      <c r="K201" s="733"/>
      <c r="L201" s="733"/>
      <c r="M201" s="733"/>
      <c r="N201" s="733"/>
      <c r="O201" s="733"/>
      <c r="P201" s="733"/>
      <c r="Q201" s="733"/>
      <c r="R201" s="733"/>
      <c r="S201" s="733"/>
      <c r="T201" s="733"/>
      <c r="U201" s="733"/>
      <c r="V201" s="733"/>
      <c r="W201" s="733"/>
      <c r="X201" s="733"/>
      <c r="Y201" s="733"/>
      <c r="Z201" s="733"/>
      <c r="AA201" s="733"/>
      <c r="AB201" s="733"/>
      <c r="AC201" s="733"/>
      <c r="AD201" s="733"/>
      <c r="AE201" s="733"/>
      <c r="AF201" s="733"/>
      <c r="AG201" s="733"/>
      <c r="AH201" s="733"/>
      <c r="AI201" s="733"/>
      <c r="AJ201" s="733"/>
      <c r="AK201" s="733"/>
      <c r="AL201" s="733"/>
      <c r="AM201" s="733"/>
      <c r="AN201" s="733"/>
      <c r="AO201" s="733"/>
      <c r="AP201" s="733"/>
      <c r="AQ201" s="733"/>
      <c r="AR201" s="733"/>
      <c r="AS201" s="733"/>
      <c r="AT201" s="733"/>
      <c r="AU201" s="733"/>
      <c r="AV201" s="733"/>
      <c r="AW201" s="733"/>
      <c r="AX201" s="733"/>
      <c r="AY201" s="733"/>
      <c r="AZ201" s="733"/>
      <c r="BA201" s="733"/>
      <c r="BB201" s="733"/>
      <c r="BC201" s="733"/>
      <c r="BD201" s="733"/>
      <c r="BE201" s="733"/>
      <c r="BF201" s="733"/>
      <c r="BG201" s="733"/>
      <c r="BH201" s="733"/>
      <c r="BI201" s="734"/>
    </row>
    <row r="202" spans="1:61" ht="20" customHeight="1">
      <c r="A202" s="726"/>
      <c r="B202" s="727"/>
      <c r="C202" s="727"/>
      <c r="D202" s="728"/>
      <c r="E202" s="732"/>
      <c r="F202" s="733"/>
      <c r="G202" s="733"/>
      <c r="H202" s="733"/>
      <c r="I202" s="733"/>
      <c r="J202" s="733"/>
      <c r="K202" s="733"/>
      <c r="L202" s="733"/>
      <c r="M202" s="733"/>
      <c r="N202" s="733"/>
      <c r="O202" s="733"/>
      <c r="P202" s="733"/>
      <c r="Q202" s="733"/>
      <c r="R202" s="733"/>
      <c r="S202" s="733"/>
      <c r="T202" s="733"/>
      <c r="U202" s="733"/>
      <c r="V202" s="733"/>
      <c r="W202" s="733"/>
      <c r="X202" s="733"/>
      <c r="Y202" s="733"/>
      <c r="Z202" s="733"/>
      <c r="AA202" s="733"/>
      <c r="AB202" s="733"/>
      <c r="AC202" s="733"/>
      <c r="AD202" s="733"/>
      <c r="AE202" s="733"/>
      <c r="AF202" s="733"/>
      <c r="AG202" s="733"/>
      <c r="AH202" s="733"/>
      <c r="AI202" s="733"/>
      <c r="AJ202" s="733"/>
      <c r="AK202" s="733"/>
      <c r="AL202" s="733"/>
      <c r="AM202" s="733"/>
      <c r="AN202" s="733"/>
      <c r="AO202" s="733"/>
      <c r="AP202" s="733"/>
      <c r="AQ202" s="733"/>
      <c r="AR202" s="733"/>
      <c r="AS202" s="733"/>
      <c r="AT202" s="733"/>
      <c r="AU202" s="733"/>
      <c r="AV202" s="733"/>
      <c r="AW202" s="733"/>
      <c r="AX202" s="733"/>
      <c r="AY202" s="733"/>
      <c r="AZ202" s="733"/>
      <c r="BA202" s="733"/>
      <c r="BB202" s="733"/>
      <c r="BC202" s="733"/>
      <c r="BD202" s="733"/>
      <c r="BE202" s="733"/>
      <c r="BF202" s="733"/>
      <c r="BG202" s="733"/>
      <c r="BH202" s="733"/>
      <c r="BI202" s="734"/>
    </row>
    <row r="203" spans="1:61" ht="20" customHeight="1">
      <c r="A203" s="729"/>
      <c r="B203" s="730"/>
      <c r="C203" s="730"/>
      <c r="D203" s="731"/>
      <c r="E203" s="735"/>
      <c r="F203" s="736"/>
      <c r="G203" s="736"/>
      <c r="H203" s="736"/>
      <c r="I203" s="736"/>
      <c r="J203" s="736"/>
      <c r="K203" s="736"/>
      <c r="L203" s="736"/>
      <c r="M203" s="736"/>
      <c r="N203" s="736"/>
      <c r="O203" s="736"/>
      <c r="P203" s="736"/>
      <c r="Q203" s="736"/>
      <c r="R203" s="736"/>
      <c r="S203" s="736"/>
      <c r="T203" s="736"/>
      <c r="U203" s="736"/>
      <c r="V203" s="736"/>
      <c r="W203" s="736"/>
      <c r="X203" s="736"/>
      <c r="Y203" s="736"/>
      <c r="Z203" s="736"/>
      <c r="AA203" s="736"/>
      <c r="AB203" s="736"/>
      <c r="AC203" s="736"/>
      <c r="AD203" s="736"/>
      <c r="AE203" s="736"/>
      <c r="AF203" s="736"/>
      <c r="AG203" s="736"/>
      <c r="AH203" s="736"/>
      <c r="AI203" s="736"/>
      <c r="AJ203" s="736"/>
      <c r="AK203" s="736"/>
      <c r="AL203" s="736"/>
      <c r="AM203" s="736"/>
      <c r="AN203" s="736"/>
      <c r="AO203" s="736"/>
      <c r="AP203" s="736"/>
      <c r="AQ203" s="736"/>
      <c r="AR203" s="736"/>
      <c r="AS203" s="736"/>
      <c r="AT203" s="736"/>
      <c r="AU203" s="736"/>
      <c r="AV203" s="736"/>
      <c r="AW203" s="736"/>
      <c r="AX203" s="736"/>
      <c r="AY203" s="736"/>
      <c r="AZ203" s="736"/>
      <c r="BA203" s="736"/>
      <c r="BB203" s="736"/>
      <c r="BC203" s="736"/>
      <c r="BD203" s="736"/>
      <c r="BE203" s="736"/>
      <c r="BF203" s="736"/>
      <c r="BG203" s="736"/>
      <c r="BH203" s="736"/>
      <c r="BI203" s="737"/>
    </row>
    <row r="204" spans="1:61" ht="20" customHeight="1">
      <c r="A204" s="738" t="s">
        <v>307</v>
      </c>
      <c r="B204" s="738"/>
      <c r="C204" s="738"/>
      <c r="D204" s="738"/>
      <c r="E204" s="738"/>
      <c r="F204" s="738"/>
      <c r="G204" s="738"/>
      <c r="H204" s="738"/>
      <c r="I204" s="738"/>
      <c r="J204" s="738"/>
      <c r="K204" s="738"/>
      <c r="L204" s="738"/>
      <c r="M204" s="738"/>
      <c r="N204" s="738"/>
      <c r="O204" s="738"/>
      <c r="P204" s="738"/>
      <c r="Q204" s="738"/>
      <c r="R204" s="738"/>
      <c r="S204" s="738"/>
      <c r="T204" s="738"/>
      <c r="U204" s="738"/>
      <c r="V204" s="738"/>
      <c r="W204" s="738"/>
      <c r="X204" s="738"/>
      <c r="Y204" s="738"/>
      <c r="Z204" s="738"/>
      <c r="AA204" s="738"/>
      <c r="AB204" s="738"/>
      <c r="AC204" s="738"/>
      <c r="AD204" s="738"/>
      <c r="AE204" s="738"/>
      <c r="AF204" s="738"/>
      <c r="AG204" s="738"/>
      <c r="AH204" s="738"/>
      <c r="AI204" s="738"/>
      <c r="AJ204" s="738"/>
      <c r="AK204" s="738"/>
      <c r="AL204" s="738"/>
      <c r="AM204" s="738"/>
      <c r="AN204" s="738"/>
      <c r="AO204" s="738"/>
      <c r="AP204" s="738"/>
      <c r="AQ204" s="738"/>
      <c r="AR204" s="738"/>
      <c r="AS204" s="738"/>
      <c r="AT204" s="738"/>
      <c r="AU204" s="738"/>
      <c r="AV204" s="738"/>
      <c r="AW204" s="738"/>
      <c r="AX204" s="738"/>
      <c r="AY204" s="738"/>
      <c r="AZ204" s="738"/>
      <c r="BA204" s="738"/>
      <c r="BB204" s="738"/>
      <c r="BC204" s="738"/>
      <c r="BD204" s="738"/>
      <c r="BE204" s="738"/>
      <c r="BF204" s="738"/>
      <c r="BG204" s="738"/>
      <c r="BH204" s="738"/>
      <c r="BI204" s="738"/>
    </row>
    <row r="205" spans="1:61" ht="20" customHeight="1">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55"/>
      <c r="AK205" s="155"/>
      <c r="AL205" s="155"/>
      <c r="AM205" s="155"/>
      <c r="AN205" s="155"/>
      <c r="AO205" s="155"/>
      <c r="AP205" s="155"/>
      <c r="AQ205" s="155"/>
      <c r="AR205" s="155"/>
      <c r="AS205" s="155"/>
      <c r="AT205" s="155"/>
      <c r="AU205" s="155"/>
      <c r="AV205" s="155"/>
      <c r="AW205" s="155"/>
      <c r="AX205" s="155"/>
      <c r="AY205" s="155"/>
      <c r="AZ205" s="155"/>
      <c r="BA205" s="155"/>
      <c r="BB205" s="155"/>
      <c r="BC205" s="155"/>
      <c r="BD205" s="155"/>
      <c r="BE205" s="155"/>
      <c r="BF205" s="155"/>
      <c r="BG205" s="155"/>
      <c r="BH205" s="155"/>
      <c r="BI205" s="155"/>
    </row>
    <row r="206" spans="1:61" ht="20" customHeight="1">
      <c r="A206" s="723" t="str">
        <f>C103</f>
        <v>Drop-in Workshop</v>
      </c>
      <c r="B206" s="724"/>
      <c r="C206" s="724"/>
      <c r="D206" s="725"/>
      <c r="E206" s="739" t="s">
        <v>305</v>
      </c>
      <c r="F206" s="740"/>
      <c r="G206" s="740"/>
      <c r="H206" s="740"/>
      <c r="I206" s="740"/>
      <c r="J206" s="740"/>
      <c r="K206" s="740"/>
      <c r="L206" s="214"/>
      <c r="M206" s="214"/>
      <c r="N206" s="214"/>
      <c r="O206" s="214"/>
      <c r="P206" s="214"/>
      <c r="Q206" s="214"/>
      <c r="R206" s="214"/>
      <c r="S206" s="214"/>
      <c r="T206" s="214"/>
      <c r="U206" s="210"/>
      <c r="V206" s="215"/>
      <c r="W206" s="215"/>
      <c r="X206" s="215"/>
      <c r="Y206" s="215"/>
      <c r="Z206" s="215"/>
      <c r="AA206" s="215"/>
      <c r="AB206" s="215"/>
      <c r="AC206" s="215"/>
      <c r="AD206" s="215"/>
      <c r="AE206" s="215"/>
      <c r="AF206" s="215"/>
      <c r="AG206" s="215"/>
      <c r="AH206" s="215"/>
      <c r="AI206" s="215"/>
      <c r="AJ206" s="215"/>
      <c r="AK206" s="215"/>
      <c r="AL206" s="215"/>
      <c r="AM206" s="215"/>
      <c r="AN206" s="215"/>
      <c r="AO206" s="215"/>
      <c r="AP206" s="210"/>
      <c r="AQ206" s="215"/>
      <c r="AR206" s="215"/>
      <c r="AS206" s="215"/>
      <c r="AT206" s="215"/>
      <c r="AU206" s="215"/>
      <c r="AV206" s="215"/>
      <c r="AW206" s="215"/>
      <c r="AX206" s="215"/>
      <c r="AY206" s="215"/>
      <c r="AZ206" s="215"/>
      <c r="BA206" s="215"/>
      <c r="BB206" s="215"/>
      <c r="BC206" s="215"/>
      <c r="BD206" s="215"/>
      <c r="BE206" s="215"/>
      <c r="BF206" s="215"/>
      <c r="BG206" s="215"/>
      <c r="BH206" s="215"/>
      <c r="BI206" s="216"/>
    </row>
    <row r="207" spans="1:61" ht="20" customHeight="1">
      <c r="A207" s="726"/>
      <c r="B207" s="727"/>
      <c r="C207" s="727"/>
      <c r="D207" s="728"/>
      <c r="E207" s="741">
        <f>AH108</f>
        <v>1</v>
      </c>
      <c r="F207" s="742"/>
      <c r="G207" s="742"/>
      <c r="H207" s="742"/>
      <c r="I207" s="742"/>
      <c r="J207" s="742"/>
      <c r="K207" s="742"/>
      <c r="L207" s="205"/>
      <c r="M207" s="205"/>
      <c r="N207" s="205"/>
      <c r="O207" s="205"/>
      <c r="P207" s="205"/>
      <c r="Q207" s="205"/>
      <c r="R207" s="205"/>
      <c r="S207" s="205"/>
      <c r="T207" s="205"/>
      <c r="U207" s="155"/>
      <c r="V207" s="155"/>
      <c r="W207" s="155"/>
      <c r="X207" s="155"/>
      <c r="Y207" s="155"/>
      <c r="Z207" s="155"/>
      <c r="AA207" s="155"/>
      <c r="AB207" s="155"/>
      <c r="AC207" s="155"/>
      <c r="AD207" s="155"/>
      <c r="AE207" s="155"/>
      <c r="AF207" s="155"/>
      <c r="AG207" s="155"/>
      <c r="AH207" s="155"/>
      <c r="AI207" s="155"/>
      <c r="AJ207" s="155"/>
      <c r="AK207" s="155"/>
      <c r="AL207" s="155"/>
      <c r="AM207" s="155"/>
      <c r="AN207" s="155"/>
      <c r="AO207" s="155"/>
      <c r="AP207" s="155"/>
      <c r="AQ207" s="155"/>
      <c r="AR207" s="155"/>
      <c r="AS207" s="155"/>
      <c r="AT207" s="155"/>
      <c r="AU207" s="155"/>
      <c r="AV207" s="155"/>
      <c r="AW207" s="155"/>
      <c r="AX207" s="155"/>
      <c r="AY207" s="155"/>
      <c r="AZ207" s="155"/>
      <c r="BA207" s="155"/>
      <c r="BB207" s="155"/>
      <c r="BC207" s="155"/>
      <c r="BD207" s="155"/>
      <c r="BE207" s="155"/>
      <c r="BF207" s="155"/>
      <c r="BG207" s="155"/>
      <c r="BH207" s="155"/>
      <c r="BI207" s="217"/>
    </row>
    <row r="208" spans="1:61" ht="20" customHeight="1">
      <c r="A208" s="726"/>
      <c r="B208" s="727"/>
      <c r="C208" s="727"/>
      <c r="D208" s="728"/>
      <c r="E208" s="741"/>
      <c r="F208" s="742"/>
      <c r="G208" s="742"/>
      <c r="H208" s="742"/>
      <c r="I208" s="742"/>
      <c r="J208" s="742"/>
      <c r="K208" s="742"/>
      <c r="L208" s="205"/>
      <c r="M208" s="205"/>
      <c r="N208" s="205"/>
      <c r="O208" s="205"/>
      <c r="P208" s="205"/>
      <c r="Q208" s="205"/>
      <c r="R208" s="205"/>
      <c r="S208" s="205"/>
      <c r="T208" s="205"/>
      <c r="U208" s="155"/>
      <c r="V208" s="155"/>
      <c r="W208" s="155"/>
      <c r="X208" s="155"/>
      <c r="Y208" s="155"/>
      <c r="Z208" s="155"/>
      <c r="AA208" s="155"/>
      <c r="AB208" s="155"/>
      <c r="AC208" s="155"/>
      <c r="AD208" s="155"/>
      <c r="AE208" s="155"/>
      <c r="AF208" s="155"/>
      <c r="AG208" s="155"/>
      <c r="AH208" s="155"/>
      <c r="AI208" s="155"/>
      <c r="AJ208" s="155"/>
      <c r="AK208" s="155"/>
      <c r="AL208" s="155"/>
      <c r="AM208" s="155"/>
      <c r="AN208" s="155"/>
      <c r="AO208" s="155"/>
      <c r="AP208" s="155"/>
      <c r="AQ208" s="155"/>
      <c r="AR208" s="155"/>
      <c r="AS208" s="155"/>
      <c r="AT208" s="155"/>
      <c r="AU208" s="155"/>
      <c r="AV208" s="155"/>
      <c r="AW208" s="155"/>
      <c r="AX208" s="155"/>
      <c r="AY208" s="155"/>
      <c r="AZ208" s="155"/>
      <c r="BA208" s="155"/>
      <c r="BB208" s="155"/>
      <c r="BC208" s="155"/>
      <c r="BD208" s="155"/>
      <c r="BE208" s="155"/>
      <c r="BF208" s="155"/>
      <c r="BG208" s="155"/>
      <c r="BH208" s="155"/>
      <c r="BI208" s="217"/>
    </row>
    <row r="209" spans="1:61" ht="20" customHeight="1">
      <c r="A209" s="726"/>
      <c r="B209" s="727"/>
      <c r="C209" s="727"/>
      <c r="D209" s="728"/>
      <c r="E209" s="732" t="str">
        <f>IF(A110=0,"",A110)</f>
        <v>Insert comments here regarding drop-in workshop and additional/adhoc workshops attended</v>
      </c>
      <c r="F209" s="733"/>
      <c r="G209" s="733"/>
      <c r="H209" s="733"/>
      <c r="I209" s="733"/>
      <c r="J209" s="733"/>
      <c r="K209" s="733"/>
      <c r="L209" s="733"/>
      <c r="M209" s="733"/>
      <c r="N209" s="733"/>
      <c r="O209" s="733"/>
      <c r="P209" s="733"/>
      <c r="Q209" s="733"/>
      <c r="R209" s="733"/>
      <c r="S209" s="733"/>
      <c r="T209" s="733"/>
      <c r="U209" s="733"/>
      <c r="V209" s="733"/>
      <c r="W209" s="733"/>
      <c r="X209" s="733"/>
      <c r="Y209" s="733"/>
      <c r="Z209" s="733"/>
      <c r="AA209" s="733"/>
      <c r="AB209" s="733"/>
      <c r="AC209" s="733"/>
      <c r="AD209" s="733"/>
      <c r="AE209" s="733"/>
      <c r="AF209" s="733"/>
      <c r="AG209" s="733"/>
      <c r="AH209" s="733"/>
      <c r="AI209" s="733"/>
      <c r="AJ209" s="733"/>
      <c r="AK209" s="733"/>
      <c r="AL209" s="733"/>
      <c r="AM209" s="733"/>
      <c r="AN209" s="733"/>
      <c r="AO209" s="733"/>
      <c r="AP209" s="733"/>
      <c r="AQ209" s="733"/>
      <c r="AR209" s="733"/>
      <c r="AS209" s="733"/>
      <c r="AT209" s="733"/>
      <c r="AU209" s="733"/>
      <c r="AV209" s="733"/>
      <c r="AW209" s="733"/>
      <c r="AX209" s="733"/>
      <c r="AY209" s="733"/>
      <c r="AZ209" s="733"/>
      <c r="BA209" s="733"/>
      <c r="BB209" s="733"/>
      <c r="BC209" s="733"/>
      <c r="BD209" s="733"/>
      <c r="BE209" s="733"/>
      <c r="BF209" s="733"/>
      <c r="BG209" s="733"/>
      <c r="BH209" s="733"/>
      <c r="BI209" s="734"/>
    </row>
    <row r="210" spans="1:61" ht="20" customHeight="1">
      <c r="A210" s="726"/>
      <c r="B210" s="727"/>
      <c r="C210" s="727"/>
      <c r="D210" s="728"/>
      <c r="E210" s="732"/>
      <c r="F210" s="733"/>
      <c r="G210" s="733"/>
      <c r="H210" s="733"/>
      <c r="I210" s="733"/>
      <c r="J210" s="733"/>
      <c r="K210" s="733"/>
      <c r="L210" s="733"/>
      <c r="M210" s="733"/>
      <c r="N210" s="733"/>
      <c r="O210" s="733"/>
      <c r="P210" s="733"/>
      <c r="Q210" s="733"/>
      <c r="R210" s="733"/>
      <c r="S210" s="733"/>
      <c r="T210" s="733"/>
      <c r="U210" s="733"/>
      <c r="V210" s="733"/>
      <c r="W210" s="733"/>
      <c r="X210" s="733"/>
      <c r="Y210" s="733"/>
      <c r="Z210" s="733"/>
      <c r="AA210" s="733"/>
      <c r="AB210" s="733"/>
      <c r="AC210" s="733"/>
      <c r="AD210" s="733"/>
      <c r="AE210" s="733"/>
      <c r="AF210" s="733"/>
      <c r="AG210" s="733"/>
      <c r="AH210" s="733"/>
      <c r="AI210" s="733"/>
      <c r="AJ210" s="733"/>
      <c r="AK210" s="733"/>
      <c r="AL210" s="733"/>
      <c r="AM210" s="733"/>
      <c r="AN210" s="733"/>
      <c r="AO210" s="733"/>
      <c r="AP210" s="733"/>
      <c r="AQ210" s="733"/>
      <c r="AR210" s="733"/>
      <c r="AS210" s="733"/>
      <c r="AT210" s="733"/>
      <c r="AU210" s="733"/>
      <c r="AV210" s="733"/>
      <c r="AW210" s="733"/>
      <c r="AX210" s="733"/>
      <c r="AY210" s="733"/>
      <c r="AZ210" s="733"/>
      <c r="BA210" s="733"/>
      <c r="BB210" s="733"/>
      <c r="BC210" s="733"/>
      <c r="BD210" s="733"/>
      <c r="BE210" s="733"/>
      <c r="BF210" s="733"/>
      <c r="BG210" s="733"/>
      <c r="BH210" s="733"/>
      <c r="BI210" s="734"/>
    </row>
    <row r="211" spans="1:61" ht="20" customHeight="1">
      <c r="A211" s="729"/>
      <c r="B211" s="730"/>
      <c r="C211" s="730"/>
      <c r="D211" s="731"/>
      <c r="E211" s="735"/>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c r="AL211" s="736"/>
      <c r="AM211" s="736"/>
      <c r="AN211" s="736"/>
      <c r="AO211" s="736"/>
      <c r="AP211" s="736"/>
      <c r="AQ211" s="736"/>
      <c r="AR211" s="736"/>
      <c r="AS211" s="736"/>
      <c r="AT211" s="736"/>
      <c r="AU211" s="736"/>
      <c r="AV211" s="736"/>
      <c r="AW211" s="736"/>
      <c r="AX211" s="736"/>
      <c r="AY211" s="736"/>
      <c r="AZ211" s="736"/>
      <c r="BA211" s="736"/>
      <c r="BB211" s="736"/>
      <c r="BC211" s="736"/>
      <c r="BD211" s="736"/>
      <c r="BE211" s="736"/>
      <c r="BF211" s="736"/>
      <c r="BG211" s="736"/>
      <c r="BH211" s="736"/>
      <c r="BI211" s="737"/>
    </row>
    <row r="212" spans="1:61" ht="20" customHeight="1">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55"/>
      <c r="AK212" s="155"/>
      <c r="AL212" s="155"/>
      <c r="AM212" s="155"/>
      <c r="AN212" s="155"/>
      <c r="AO212" s="155"/>
      <c r="AP212" s="155"/>
      <c r="AQ212" s="155"/>
      <c r="AR212" s="155"/>
      <c r="AS212" s="155"/>
      <c r="AT212" s="155"/>
      <c r="AU212" s="155"/>
      <c r="AV212" s="155"/>
      <c r="AW212" s="155"/>
      <c r="AX212" s="155"/>
      <c r="AY212" s="155"/>
      <c r="AZ212" s="155"/>
      <c r="BA212" s="155"/>
      <c r="BB212" s="155"/>
      <c r="BC212" s="155"/>
      <c r="BD212" s="155"/>
      <c r="BE212" s="155"/>
      <c r="BF212" s="155"/>
      <c r="BG212" s="155"/>
      <c r="BH212" s="155"/>
      <c r="BI212" s="155"/>
    </row>
    <row r="213" spans="1:61" ht="20" customHeight="1">
      <c r="A213" s="723" t="str">
        <f>C114</f>
        <v>Service Training Webinar</v>
      </c>
      <c r="B213" s="724"/>
      <c r="C213" s="724"/>
      <c r="D213" s="725"/>
      <c r="E213" s="739" t="s">
        <v>304</v>
      </c>
      <c r="F213" s="740"/>
      <c r="G213" s="740"/>
      <c r="H213" s="740"/>
      <c r="I213" s="740"/>
      <c r="J213" s="740"/>
      <c r="K213" s="740"/>
      <c r="L213" s="218"/>
      <c r="M213" s="218"/>
      <c r="N213" s="218"/>
      <c r="O213" s="218"/>
      <c r="P213" s="218"/>
      <c r="Q213" s="218"/>
      <c r="R213" s="218"/>
      <c r="S213" s="218"/>
      <c r="T213" s="218"/>
      <c r="U213" s="215"/>
      <c r="V213" s="215"/>
      <c r="W213" s="215"/>
      <c r="X213" s="215"/>
      <c r="Y213" s="215"/>
      <c r="Z213" s="215"/>
      <c r="AA213" s="215"/>
      <c r="AB213" s="215"/>
      <c r="AC213" s="215"/>
      <c r="AD213" s="215"/>
      <c r="AE213" s="215"/>
      <c r="AF213" s="215"/>
      <c r="AG213" s="215"/>
      <c r="AH213" s="215"/>
      <c r="AI213" s="215"/>
      <c r="AJ213" s="215"/>
      <c r="AK213" s="215"/>
      <c r="AL213" s="215"/>
      <c r="AM213" s="215"/>
      <c r="AN213" s="215"/>
      <c r="AO213" s="215"/>
      <c r="AP213" s="215"/>
      <c r="AQ213" s="215"/>
      <c r="AR213" s="215"/>
      <c r="AS213" s="215"/>
      <c r="AT213" s="215"/>
      <c r="AU213" s="215"/>
      <c r="AV213" s="215"/>
      <c r="AW213" s="215"/>
      <c r="AX213" s="215"/>
      <c r="AY213" s="215"/>
      <c r="AZ213" s="215"/>
      <c r="BA213" s="215"/>
      <c r="BB213" s="215"/>
      <c r="BC213" s="215"/>
      <c r="BD213" s="215"/>
      <c r="BE213" s="215"/>
      <c r="BF213" s="215"/>
      <c r="BG213" s="215"/>
      <c r="BH213" s="215"/>
      <c r="BI213" s="216"/>
    </row>
    <row r="214" spans="1:61" ht="20" customHeight="1">
      <c r="A214" s="726"/>
      <c r="B214" s="727"/>
      <c r="C214" s="727"/>
      <c r="D214" s="728"/>
      <c r="E214" s="741">
        <f>AH119</f>
        <v>1</v>
      </c>
      <c r="F214" s="742"/>
      <c r="G214" s="742"/>
      <c r="H214" s="742"/>
      <c r="I214" s="742"/>
      <c r="J214" s="742"/>
      <c r="K214" s="742"/>
      <c r="L214" s="743"/>
      <c r="M214" s="205"/>
      <c r="N214" s="205"/>
      <c r="O214" s="205"/>
      <c r="P214" s="205"/>
      <c r="Q214" s="205"/>
      <c r="R214" s="205"/>
      <c r="S214" s="205"/>
      <c r="T214" s="205"/>
      <c r="U214" s="155"/>
      <c r="V214" s="155"/>
      <c r="W214" s="155"/>
      <c r="X214" s="155"/>
      <c r="Y214" s="155"/>
      <c r="Z214" s="155"/>
      <c r="AA214" s="155"/>
      <c r="AB214" s="155"/>
      <c r="AC214" s="155"/>
      <c r="AD214" s="155"/>
      <c r="AE214" s="155"/>
      <c r="AF214" s="155"/>
      <c r="AG214" s="155"/>
      <c r="AH214" s="155"/>
      <c r="AI214" s="155"/>
      <c r="AJ214" s="155"/>
      <c r="AK214" s="155"/>
      <c r="AL214" s="155"/>
      <c r="AM214" s="155"/>
      <c r="AN214" s="155"/>
      <c r="AO214" s="155"/>
      <c r="AP214" s="155"/>
      <c r="AQ214" s="155"/>
      <c r="AR214" s="155"/>
      <c r="AS214" s="155"/>
      <c r="AT214" s="155"/>
      <c r="AU214" s="155"/>
      <c r="AV214" s="155"/>
      <c r="AW214" s="155"/>
      <c r="AX214" s="155"/>
      <c r="AY214" s="155"/>
      <c r="AZ214" s="155"/>
      <c r="BA214" s="155"/>
      <c r="BB214" s="155"/>
      <c r="BC214" s="155"/>
      <c r="BD214" s="155"/>
      <c r="BE214" s="155"/>
      <c r="BF214" s="155"/>
      <c r="BG214" s="155"/>
      <c r="BH214" s="155"/>
      <c r="BI214" s="217"/>
    </row>
    <row r="215" spans="1:61" ht="20" customHeight="1">
      <c r="A215" s="726"/>
      <c r="B215" s="727"/>
      <c r="C215" s="727"/>
      <c r="D215" s="728"/>
      <c r="E215" s="741"/>
      <c r="F215" s="742"/>
      <c r="G215" s="742"/>
      <c r="H215" s="742"/>
      <c r="I215" s="742"/>
      <c r="J215" s="742"/>
      <c r="K215" s="742"/>
      <c r="L215" s="743"/>
      <c r="M215" s="205"/>
      <c r="N215" s="205"/>
      <c r="O215" s="205"/>
      <c r="P215" s="205"/>
      <c r="Q215" s="205"/>
      <c r="R215" s="205"/>
      <c r="S215" s="205"/>
      <c r="T215" s="205"/>
      <c r="U215" s="155"/>
      <c r="V215" s="155"/>
      <c r="W215" s="155"/>
      <c r="X215" s="155"/>
      <c r="Y215" s="155"/>
      <c r="Z215" s="155"/>
      <c r="AA215" s="155"/>
      <c r="AB215" s="155"/>
      <c r="AC215" s="155"/>
      <c r="AD215" s="155"/>
      <c r="AE215" s="155"/>
      <c r="AF215" s="155"/>
      <c r="AG215" s="155"/>
      <c r="AH215" s="155"/>
      <c r="AI215" s="155"/>
      <c r="AJ215" s="155"/>
      <c r="AK215" s="155"/>
      <c r="AL215" s="155"/>
      <c r="AM215" s="155"/>
      <c r="AN215" s="155"/>
      <c r="AO215" s="155"/>
      <c r="AP215" s="155"/>
      <c r="AQ215" s="155"/>
      <c r="AR215" s="155"/>
      <c r="AS215" s="155"/>
      <c r="AT215" s="155"/>
      <c r="AU215" s="155"/>
      <c r="AV215" s="155"/>
      <c r="AW215" s="155"/>
      <c r="AX215" s="155"/>
      <c r="AY215" s="155"/>
      <c r="AZ215" s="155"/>
      <c r="BA215" s="155"/>
      <c r="BB215" s="155"/>
      <c r="BC215" s="155"/>
      <c r="BD215" s="155"/>
      <c r="BE215" s="155"/>
      <c r="BF215" s="155"/>
      <c r="BG215" s="155"/>
      <c r="BH215" s="155"/>
      <c r="BI215" s="217"/>
    </row>
    <row r="216" spans="1:61" ht="20" customHeight="1">
      <c r="A216" s="726"/>
      <c r="B216" s="727"/>
      <c r="C216" s="727"/>
      <c r="D216" s="728"/>
      <c r="E216" s="732" t="str">
        <f>IF(A121=0,"",A121)</f>
        <v>Insert comments here regarding webinars viewed and reflection notes</v>
      </c>
      <c r="F216" s="733"/>
      <c r="G216" s="733"/>
      <c r="H216" s="733"/>
      <c r="I216" s="733"/>
      <c r="J216" s="733"/>
      <c r="K216" s="733"/>
      <c r="L216" s="733"/>
      <c r="M216" s="733"/>
      <c r="N216" s="733"/>
      <c r="O216" s="733"/>
      <c r="P216" s="733"/>
      <c r="Q216" s="733"/>
      <c r="R216" s="733"/>
      <c r="S216" s="733"/>
      <c r="T216" s="733"/>
      <c r="U216" s="733"/>
      <c r="V216" s="733"/>
      <c r="W216" s="733"/>
      <c r="X216" s="733"/>
      <c r="Y216" s="733"/>
      <c r="Z216" s="733"/>
      <c r="AA216" s="733"/>
      <c r="AB216" s="733"/>
      <c r="AC216" s="733"/>
      <c r="AD216" s="733"/>
      <c r="AE216" s="733"/>
      <c r="AF216" s="733"/>
      <c r="AG216" s="733"/>
      <c r="AH216" s="733"/>
      <c r="AI216" s="733"/>
      <c r="AJ216" s="733"/>
      <c r="AK216" s="733"/>
      <c r="AL216" s="733"/>
      <c r="AM216" s="733"/>
      <c r="AN216" s="733"/>
      <c r="AO216" s="733"/>
      <c r="AP216" s="733"/>
      <c r="AQ216" s="733"/>
      <c r="AR216" s="733"/>
      <c r="AS216" s="733"/>
      <c r="AT216" s="733"/>
      <c r="AU216" s="733"/>
      <c r="AV216" s="733"/>
      <c r="AW216" s="733"/>
      <c r="AX216" s="733"/>
      <c r="AY216" s="733"/>
      <c r="AZ216" s="733"/>
      <c r="BA216" s="733"/>
      <c r="BB216" s="733"/>
      <c r="BC216" s="733"/>
      <c r="BD216" s="733"/>
      <c r="BE216" s="733"/>
      <c r="BF216" s="733"/>
      <c r="BG216" s="733"/>
      <c r="BH216" s="733"/>
      <c r="BI216" s="734"/>
    </row>
    <row r="217" spans="1:61" ht="20" customHeight="1">
      <c r="A217" s="726"/>
      <c r="B217" s="727"/>
      <c r="C217" s="727"/>
      <c r="D217" s="728"/>
      <c r="E217" s="732"/>
      <c r="F217" s="733"/>
      <c r="G217" s="733"/>
      <c r="H217" s="733"/>
      <c r="I217" s="733"/>
      <c r="J217" s="733"/>
      <c r="K217" s="733"/>
      <c r="L217" s="733"/>
      <c r="M217" s="733"/>
      <c r="N217" s="733"/>
      <c r="O217" s="733"/>
      <c r="P217" s="733"/>
      <c r="Q217" s="733"/>
      <c r="R217" s="733"/>
      <c r="S217" s="733"/>
      <c r="T217" s="733"/>
      <c r="U217" s="733"/>
      <c r="V217" s="733"/>
      <c r="W217" s="733"/>
      <c r="X217" s="733"/>
      <c r="Y217" s="733"/>
      <c r="Z217" s="733"/>
      <c r="AA217" s="733"/>
      <c r="AB217" s="733"/>
      <c r="AC217" s="733"/>
      <c r="AD217" s="733"/>
      <c r="AE217" s="733"/>
      <c r="AF217" s="733"/>
      <c r="AG217" s="733"/>
      <c r="AH217" s="733"/>
      <c r="AI217" s="733"/>
      <c r="AJ217" s="733"/>
      <c r="AK217" s="733"/>
      <c r="AL217" s="733"/>
      <c r="AM217" s="733"/>
      <c r="AN217" s="733"/>
      <c r="AO217" s="733"/>
      <c r="AP217" s="733"/>
      <c r="AQ217" s="733"/>
      <c r="AR217" s="733"/>
      <c r="AS217" s="733"/>
      <c r="AT217" s="733"/>
      <c r="AU217" s="733"/>
      <c r="AV217" s="733"/>
      <c r="AW217" s="733"/>
      <c r="AX217" s="733"/>
      <c r="AY217" s="733"/>
      <c r="AZ217" s="733"/>
      <c r="BA217" s="733"/>
      <c r="BB217" s="733"/>
      <c r="BC217" s="733"/>
      <c r="BD217" s="733"/>
      <c r="BE217" s="733"/>
      <c r="BF217" s="733"/>
      <c r="BG217" s="733"/>
      <c r="BH217" s="733"/>
      <c r="BI217" s="734"/>
    </row>
    <row r="218" spans="1:61" ht="20" customHeight="1">
      <c r="A218" s="729"/>
      <c r="B218" s="730"/>
      <c r="C218" s="730"/>
      <c r="D218" s="731"/>
      <c r="E218" s="735"/>
      <c r="F218" s="736"/>
      <c r="G218" s="736"/>
      <c r="H218" s="736"/>
      <c r="I218" s="736"/>
      <c r="J218" s="736"/>
      <c r="K218" s="736"/>
      <c r="L218" s="736"/>
      <c r="M218" s="736"/>
      <c r="N218" s="736"/>
      <c r="O218" s="736"/>
      <c r="P218" s="736"/>
      <c r="Q218" s="736"/>
      <c r="R218" s="736"/>
      <c r="S218" s="736"/>
      <c r="T218" s="736"/>
      <c r="U218" s="736"/>
      <c r="V218" s="736"/>
      <c r="W218" s="736"/>
      <c r="X218" s="736"/>
      <c r="Y218" s="736"/>
      <c r="Z218" s="736"/>
      <c r="AA218" s="736"/>
      <c r="AB218" s="736"/>
      <c r="AC218" s="736"/>
      <c r="AD218" s="736"/>
      <c r="AE218" s="736"/>
      <c r="AF218" s="736"/>
      <c r="AG218" s="736"/>
      <c r="AH218" s="736"/>
      <c r="AI218" s="736"/>
      <c r="AJ218" s="736"/>
      <c r="AK218" s="736"/>
      <c r="AL218" s="736"/>
      <c r="AM218" s="736"/>
      <c r="AN218" s="736"/>
      <c r="AO218" s="736"/>
      <c r="AP218" s="736"/>
      <c r="AQ218" s="736"/>
      <c r="AR218" s="736"/>
      <c r="AS218" s="736"/>
      <c r="AT218" s="736"/>
      <c r="AU218" s="736"/>
      <c r="AV218" s="736"/>
      <c r="AW218" s="736"/>
      <c r="AX218" s="736"/>
      <c r="AY218" s="736"/>
      <c r="AZ218" s="736"/>
      <c r="BA218" s="736"/>
      <c r="BB218" s="736"/>
      <c r="BC218" s="736"/>
      <c r="BD218" s="736"/>
      <c r="BE218" s="736"/>
      <c r="BF218" s="736"/>
      <c r="BG218" s="736"/>
      <c r="BH218" s="736"/>
      <c r="BI218" s="737"/>
    </row>
    <row r="219" spans="1:61" ht="20" customHeight="1">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55"/>
      <c r="AK219" s="155"/>
      <c r="AL219" s="155"/>
      <c r="AM219" s="155"/>
      <c r="AN219" s="155"/>
      <c r="AO219" s="155"/>
      <c r="AP219" s="155"/>
      <c r="AQ219" s="155"/>
      <c r="AR219" s="155"/>
      <c r="AS219" s="155"/>
      <c r="AT219" s="155"/>
      <c r="AU219" s="155"/>
      <c r="AV219" s="155"/>
      <c r="AW219" s="155"/>
      <c r="AX219" s="155"/>
      <c r="AY219" s="155"/>
      <c r="AZ219" s="155"/>
      <c r="BA219" s="155"/>
      <c r="BB219" s="155"/>
      <c r="BC219" s="155"/>
      <c r="BD219" s="155"/>
      <c r="BE219" s="155"/>
      <c r="BF219" s="155"/>
      <c r="BG219" s="155"/>
      <c r="BH219" s="155"/>
      <c r="BI219" s="155"/>
    </row>
    <row r="220" spans="1:61" ht="20" customHeight="1">
      <c r="A220" s="723" t="str">
        <f>C125</f>
        <v>Quiz</v>
      </c>
      <c r="B220" s="724"/>
      <c r="C220" s="724"/>
      <c r="D220" s="725"/>
      <c r="E220" s="739" t="str">
        <f>A128</f>
        <v>Topics to review to update knowledge</v>
      </c>
      <c r="F220" s="740"/>
      <c r="G220" s="740"/>
      <c r="H220" s="740"/>
      <c r="I220" s="740"/>
      <c r="J220" s="740"/>
      <c r="K220" s="740"/>
      <c r="L220" s="740"/>
      <c r="M220" s="740"/>
      <c r="N220" s="740"/>
      <c r="O220" s="740"/>
      <c r="P220" s="740"/>
      <c r="Q220" s="740"/>
      <c r="R220" s="740"/>
      <c r="S220" s="740"/>
      <c r="T220" s="215"/>
      <c r="U220" s="215"/>
      <c r="V220" s="215"/>
      <c r="W220" s="215"/>
      <c r="X220" s="215"/>
      <c r="Y220" s="215"/>
      <c r="Z220" s="215"/>
      <c r="AA220" s="215"/>
      <c r="AB220" s="215"/>
      <c r="AC220" s="215"/>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c r="BD220" s="215"/>
      <c r="BE220" s="215"/>
      <c r="BF220" s="215"/>
      <c r="BG220" s="215"/>
      <c r="BH220" s="215"/>
      <c r="BI220" s="216"/>
    </row>
    <row r="221" spans="1:61" ht="20" customHeight="1">
      <c r="A221" s="726"/>
      <c r="B221" s="727"/>
      <c r="C221" s="727"/>
      <c r="D221" s="728"/>
      <c r="E221" s="741" t="str">
        <f>AH128</f>
        <v>Juice order form, cart setup</v>
      </c>
      <c r="F221" s="742"/>
      <c r="G221" s="742"/>
      <c r="H221" s="742"/>
      <c r="I221" s="742"/>
      <c r="J221" s="742"/>
      <c r="K221" s="742"/>
      <c r="L221" s="742"/>
      <c r="M221" s="742"/>
      <c r="N221" s="742"/>
      <c r="O221" s="742"/>
      <c r="P221" s="742"/>
      <c r="Q221" s="742"/>
      <c r="R221" s="742"/>
      <c r="S221" s="742"/>
      <c r="T221" s="155"/>
      <c r="U221" s="155"/>
      <c r="V221" s="155"/>
      <c r="W221" s="155"/>
      <c r="X221" s="155"/>
      <c r="Y221" s="155"/>
      <c r="Z221" s="155"/>
      <c r="AA221" s="155"/>
      <c r="AB221" s="155"/>
      <c r="AC221" s="155"/>
      <c r="AD221" s="155"/>
      <c r="AE221" s="155"/>
      <c r="AF221" s="155"/>
      <c r="AG221" s="155"/>
      <c r="AH221" s="155"/>
      <c r="AI221" s="155"/>
      <c r="AJ221" s="155"/>
      <c r="AK221" s="155"/>
      <c r="AL221" s="155"/>
      <c r="AM221" s="155"/>
      <c r="AN221" s="155"/>
      <c r="AO221" s="155"/>
      <c r="AP221" s="155"/>
      <c r="AQ221" s="155"/>
      <c r="AR221" s="155"/>
      <c r="AS221" s="155"/>
      <c r="AT221" s="155"/>
      <c r="AU221" s="155"/>
      <c r="AV221" s="155"/>
      <c r="AW221" s="155"/>
      <c r="AX221" s="155"/>
      <c r="AY221" s="155"/>
      <c r="AZ221" s="155"/>
      <c r="BA221" s="155"/>
      <c r="BB221" s="155"/>
      <c r="BC221" s="155"/>
      <c r="BD221" s="155"/>
      <c r="BE221" s="155"/>
      <c r="BF221" s="155"/>
      <c r="BG221" s="155"/>
      <c r="BH221" s="155"/>
      <c r="BI221" s="217"/>
    </row>
    <row r="222" spans="1:61" ht="20" customHeight="1">
      <c r="A222" s="726"/>
      <c r="B222" s="727"/>
      <c r="C222" s="727"/>
      <c r="D222" s="728"/>
      <c r="E222" s="741"/>
      <c r="F222" s="742"/>
      <c r="G222" s="742"/>
      <c r="H222" s="742"/>
      <c r="I222" s="742"/>
      <c r="J222" s="742"/>
      <c r="K222" s="742"/>
      <c r="L222" s="742"/>
      <c r="M222" s="742"/>
      <c r="N222" s="742"/>
      <c r="O222" s="742"/>
      <c r="P222" s="742"/>
      <c r="Q222" s="742"/>
      <c r="R222" s="742"/>
      <c r="S222" s="742"/>
      <c r="T222" s="155"/>
      <c r="U222" s="155"/>
      <c r="V222" s="155"/>
      <c r="W222" s="155"/>
      <c r="X222" s="155"/>
      <c r="Y222" s="155"/>
      <c r="Z222" s="155"/>
      <c r="AA222" s="155"/>
      <c r="AB222" s="155"/>
      <c r="AC222" s="155"/>
      <c r="AD222" s="155"/>
      <c r="AE222" s="155"/>
      <c r="AF222" s="155"/>
      <c r="AG222" s="155"/>
      <c r="AH222" s="155"/>
      <c r="AI222" s="155"/>
      <c r="AJ222" s="155"/>
      <c r="AK222" s="155"/>
      <c r="AL222" s="155"/>
      <c r="AM222" s="155"/>
      <c r="AN222" s="155"/>
      <c r="AO222" s="155"/>
      <c r="AP222" s="155"/>
      <c r="AQ222" s="155"/>
      <c r="AR222" s="155"/>
      <c r="AS222" s="155"/>
      <c r="AT222" s="155"/>
      <c r="AU222" s="155"/>
      <c r="AV222" s="155"/>
      <c r="AW222" s="155"/>
      <c r="AX222" s="155"/>
      <c r="AY222" s="155"/>
      <c r="AZ222" s="155"/>
      <c r="BA222" s="155"/>
      <c r="BB222" s="155"/>
      <c r="BC222" s="155"/>
      <c r="BD222" s="155"/>
      <c r="BE222" s="155"/>
      <c r="BF222" s="155"/>
      <c r="BG222" s="155"/>
      <c r="BH222" s="155"/>
      <c r="BI222" s="217"/>
    </row>
    <row r="223" spans="1:61" ht="20" customHeight="1">
      <c r="A223" s="726"/>
      <c r="B223" s="727"/>
      <c r="C223" s="727"/>
      <c r="D223" s="728"/>
      <c r="E223" s="732" t="str">
        <f>IF(A131=0,"",A131)</f>
        <v>Insert comments here regarding Quiz and Customer Scenariors Case Study documentation</v>
      </c>
      <c r="F223" s="733"/>
      <c r="G223" s="733"/>
      <c r="H223" s="733"/>
      <c r="I223" s="733"/>
      <c r="J223" s="733"/>
      <c r="K223" s="733"/>
      <c r="L223" s="733"/>
      <c r="M223" s="733"/>
      <c r="N223" s="733"/>
      <c r="O223" s="733"/>
      <c r="P223" s="733"/>
      <c r="Q223" s="733"/>
      <c r="R223" s="733"/>
      <c r="S223" s="733"/>
      <c r="T223" s="733"/>
      <c r="U223" s="733"/>
      <c r="V223" s="733"/>
      <c r="W223" s="733"/>
      <c r="X223" s="733"/>
      <c r="Y223" s="733"/>
      <c r="Z223" s="733"/>
      <c r="AA223" s="733"/>
      <c r="AB223" s="733"/>
      <c r="AC223" s="733"/>
      <c r="AD223" s="733"/>
      <c r="AE223" s="733"/>
      <c r="AF223" s="733"/>
      <c r="AG223" s="733"/>
      <c r="AH223" s="733"/>
      <c r="AI223" s="733"/>
      <c r="AJ223" s="733"/>
      <c r="AK223" s="733"/>
      <c r="AL223" s="733"/>
      <c r="AM223" s="733"/>
      <c r="AN223" s="733"/>
      <c r="AO223" s="733"/>
      <c r="AP223" s="733"/>
      <c r="AQ223" s="733"/>
      <c r="AR223" s="733"/>
      <c r="AS223" s="733"/>
      <c r="AT223" s="733"/>
      <c r="AU223" s="733"/>
      <c r="AV223" s="733"/>
      <c r="AW223" s="733"/>
      <c r="AX223" s="733"/>
      <c r="AY223" s="733"/>
      <c r="AZ223" s="733"/>
      <c r="BA223" s="733"/>
      <c r="BB223" s="733"/>
      <c r="BC223" s="733"/>
      <c r="BD223" s="733"/>
      <c r="BE223" s="733"/>
      <c r="BF223" s="733"/>
      <c r="BG223" s="733"/>
      <c r="BH223" s="733"/>
      <c r="BI223" s="734"/>
    </row>
    <row r="224" spans="1:61" ht="20" customHeight="1">
      <c r="A224" s="726"/>
      <c r="B224" s="727"/>
      <c r="C224" s="727"/>
      <c r="D224" s="728"/>
      <c r="E224" s="732"/>
      <c r="F224" s="733"/>
      <c r="G224" s="733"/>
      <c r="H224" s="733"/>
      <c r="I224" s="733"/>
      <c r="J224" s="733"/>
      <c r="K224" s="733"/>
      <c r="L224" s="733"/>
      <c r="M224" s="733"/>
      <c r="N224" s="733"/>
      <c r="O224" s="733"/>
      <c r="P224" s="733"/>
      <c r="Q224" s="733"/>
      <c r="R224" s="733"/>
      <c r="S224" s="733"/>
      <c r="T224" s="733"/>
      <c r="U224" s="733"/>
      <c r="V224" s="733"/>
      <c r="W224" s="733"/>
      <c r="X224" s="733"/>
      <c r="Y224" s="733"/>
      <c r="Z224" s="733"/>
      <c r="AA224" s="733"/>
      <c r="AB224" s="733"/>
      <c r="AC224" s="733"/>
      <c r="AD224" s="733"/>
      <c r="AE224" s="733"/>
      <c r="AF224" s="733"/>
      <c r="AG224" s="733"/>
      <c r="AH224" s="733"/>
      <c r="AI224" s="733"/>
      <c r="AJ224" s="733"/>
      <c r="AK224" s="733"/>
      <c r="AL224" s="733"/>
      <c r="AM224" s="733"/>
      <c r="AN224" s="733"/>
      <c r="AO224" s="733"/>
      <c r="AP224" s="733"/>
      <c r="AQ224" s="733"/>
      <c r="AR224" s="733"/>
      <c r="AS224" s="733"/>
      <c r="AT224" s="733"/>
      <c r="AU224" s="733"/>
      <c r="AV224" s="733"/>
      <c r="AW224" s="733"/>
      <c r="AX224" s="733"/>
      <c r="AY224" s="733"/>
      <c r="AZ224" s="733"/>
      <c r="BA224" s="733"/>
      <c r="BB224" s="733"/>
      <c r="BC224" s="733"/>
      <c r="BD224" s="733"/>
      <c r="BE224" s="733"/>
      <c r="BF224" s="733"/>
      <c r="BG224" s="733"/>
      <c r="BH224" s="733"/>
      <c r="BI224" s="734"/>
    </row>
    <row r="225" spans="1:61" ht="20" customHeight="1">
      <c r="A225" s="729"/>
      <c r="B225" s="730"/>
      <c r="C225" s="730"/>
      <c r="D225" s="731"/>
      <c r="E225" s="735"/>
      <c r="F225" s="736"/>
      <c r="G225" s="736"/>
      <c r="H225" s="736"/>
      <c r="I225" s="736"/>
      <c r="J225" s="736"/>
      <c r="K225" s="736"/>
      <c r="L225" s="736"/>
      <c r="M225" s="736"/>
      <c r="N225" s="736"/>
      <c r="O225" s="736"/>
      <c r="P225" s="736"/>
      <c r="Q225" s="736"/>
      <c r="R225" s="736"/>
      <c r="S225" s="736"/>
      <c r="T225" s="736"/>
      <c r="U225" s="736"/>
      <c r="V225" s="736"/>
      <c r="W225" s="736"/>
      <c r="X225" s="736"/>
      <c r="Y225" s="736"/>
      <c r="Z225" s="736"/>
      <c r="AA225" s="736"/>
      <c r="AB225" s="736"/>
      <c r="AC225" s="736"/>
      <c r="AD225" s="736"/>
      <c r="AE225" s="736"/>
      <c r="AF225" s="736"/>
      <c r="AG225" s="736"/>
      <c r="AH225" s="736"/>
      <c r="AI225" s="736"/>
      <c r="AJ225" s="736"/>
      <c r="AK225" s="736"/>
      <c r="AL225" s="736"/>
      <c r="AM225" s="736"/>
      <c r="AN225" s="736"/>
      <c r="AO225" s="736"/>
      <c r="AP225" s="736"/>
      <c r="AQ225" s="736"/>
      <c r="AR225" s="736"/>
      <c r="AS225" s="736"/>
      <c r="AT225" s="736"/>
      <c r="AU225" s="736"/>
      <c r="AV225" s="736"/>
      <c r="AW225" s="736"/>
      <c r="AX225" s="736"/>
      <c r="AY225" s="736"/>
      <c r="AZ225" s="736"/>
      <c r="BA225" s="736"/>
      <c r="BB225" s="736"/>
      <c r="BC225" s="736"/>
      <c r="BD225" s="736"/>
      <c r="BE225" s="736"/>
      <c r="BF225" s="736"/>
      <c r="BG225" s="736"/>
      <c r="BH225" s="736"/>
      <c r="BI225" s="737"/>
    </row>
    <row r="226" spans="1:61" ht="20" customHeight="1">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55"/>
      <c r="AK226" s="155"/>
      <c r="AL226" s="155"/>
      <c r="AM226" s="155"/>
      <c r="AN226" s="155"/>
      <c r="AO226" s="155"/>
      <c r="AP226" s="155"/>
      <c r="AQ226" s="155"/>
      <c r="AR226" s="155"/>
      <c r="AS226" s="155"/>
      <c r="AT226" s="155"/>
      <c r="AU226" s="155"/>
      <c r="AV226" s="155"/>
      <c r="AW226" s="155"/>
      <c r="AX226" s="155"/>
      <c r="AY226" s="155"/>
      <c r="AZ226" s="155"/>
      <c r="BA226" s="155"/>
      <c r="BB226" s="155"/>
      <c r="BC226" s="155"/>
      <c r="BD226" s="155"/>
      <c r="BE226" s="155"/>
      <c r="BF226" s="155"/>
      <c r="BG226" s="155"/>
      <c r="BH226" s="155"/>
      <c r="BI226" s="155"/>
    </row>
    <row r="227" spans="1:61" ht="20" customHeight="1">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55"/>
      <c r="AK227" s="155"/>
      <c r="AL227" s="155"/>
      <c r="AM227" s="155"/>
      <c r="AN227" s="155"/>
      <c r="AO227" s="155"/>
      <c r="AP227" s="155"/>
      <c r="AQ227" s="155"/>
      <c r="AR227" s="155"/>
      <c r="AS227" s="155"/>
      <c r="AT227" s="155"/>
      <c r="AU227" s="155"/>
      <c r="AV227" s="155"/>
      <c r="AW227" s="155"/>
      <c r="AX227" s="155"/>
      <c r="AY227" s="155"/>
      <c r="AZ227" s="155"/>
      <c r="BA227" s="155"/>
      <c r="BB227" s="155"/>
      <c r="BC227" s="155"/>
      <c r="BD227" s="155"/>
      <c r="BE227" s="155"/>
      <c r="BF227" s="155"/>
      <c r="BG227" s="155"/>
      <c r="BH227" s="155"/>
      <c r="BI227" s="155"/>
    </row>
    <row r="228" spans="1:61" ht="20" customHeight="1">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55"/>
      <c r="AK228" s="155"/>
      <c r="AL228" s="155"/>
      <c r="AM228" s="155"/>
      <c r="AN228" s="155"/>
      <c r="AO228" s="155"/>
      <c r="AP228" s="155"/>
      <c r="AQ228" s="155"/>
      <c r="AR228" s="155"/>
      <c r="AS228" s="155"/>
      <c r="AT228" s="155"/>
      <c r="AU228" s="155"/>
      <c r="AV228" s="155"/>
      <c r="AW228" s="155"/>
      <c r="AX228" s="155"/>
      <c r="AY228" s="155"/>
      <c r="AZ228" s="155"/>
      <c r="BA228" s="155"/>
      <c r="BB228" s="155"/>
      <c r="BC228" s="155"/>
      <c r="BD228" s="155"/>
      <c r="BE228" s="155"/>
      <c r="BF228" s="155"/>
      <c r="BG228" s="155"/>
      <c r="BH228" s="155"/>
      <c r="BI228" s="155"/>
    </row>
    <row r="229" spans="1:61" ht="20" customHeight="1">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55"/>
      <c r="AK229" s="155"/>
      <c r="AL229" s="155"/>
      <c r="AM229" s="155"/>
      <c r="AN229" s="155"/>
      <c r="AO229" s="155"/>
      <c r="AP229" s="155"/>
      <c r="AQ229" s="155"/>
      <c r="AR229" s="155"/>
      <c r="AS229" s="155"/>
      <c r="AT229" s="155"/>
      <c r="AU229" s="155"/>
      <c r="AV229" s="155"/>
      <c r="AW229" s="155"/>
      <c r="AX229" s="155"/>
      <c r="AY229" s="155"/>
      <c r="AZ229" s="155"/>
      <c r="BA229" s="155"/>
      <c r="BB229" s="155"/>
      <c r="BC229" s="155"/>
      <c r="BD229" s="155"/>
      <c r="BE229" s="155"/>
      <c r="BF229" s="155"/>
      <c r="BG229" s="155"/>
      <c r="BH229" s="155"/>
      <c r="BI229" s="155"/>
    </row>
    <row r="230" spans="1:61" ht="20" customHeight="1">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55"/>
      <c r="AK230" s="155"/>
      <c r="AL230" s="155"/>
      <c r="AM230" s="155"/>
      <c r="AN230" s="155"/>
      <c r="AO230" s="155"/>
      <c r="AP230" s="155"/>
      <c r="AQ230" s="155"/>
      <c r="AR230" s="155"/>
      <c r="AS230" s="155"/>
      <c r="AT230" s="155"/>
      <c r="AU230" s="155"/>
      <c r="AV230" s="155"/>
      <c r="AW230" s="155"/>
      <c r="AX230" s="155"/>
      <c r="AY230" s="155"/>
      <c r="AZ230" s="155"/>
      <c r="BA230" s="155"/>
      <c r="BB230" s="155"/>
      <c r="BC230" s="155"/>
      <c r="BD230" s="155"/>
      <c r="BE230" s="155"/>
      <c r="BF230" s="155"/>
      <c r="BG230" s="155"/>
      <c r="BH230" s="155"/>
      <c r="BI230" s="155"/>
    </row>
    <row r="231" spans="1:61" ht="20" customHeight="1">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55"/>
      <c r="AK231" s="155"/>
      <c r="AL231" s="155"/>
      <c r="AM231" s="155"/>
      <c r="AN231" s="155"/>
      <c r="AO231" s="155"/>
      <c r="AP231" s="155"/>
      <c r="AQ231" s="155"/>
      <c r="AR231" s="155"/>
      <c r="AS231" s="155"/>
      <c r="AT231" s="155"/>
      <c r="AU231" s="155"/>
      <c r="AV231" s="155"/>
      <c r="AW231" s="155"/>
      <c r="AX231" s="155"/>
      <c r="AY231" s="155"/>
      <c r="AZ231" s="155"/>
      <c r="BA231" s="155"/>
      <c r="BB231" s="155"/>
      <c r="BC231" s="155"/>
      <c r="BD231" s="155"/>
      <c r="BE231" s="155"/>
      <c r="BF231" s="155"/>
      <c r="BG231" s="155"/>
      <c r="BH231" s="155"/>
      <c r="BI231" s="155"/>
    </row>
    <row r="232" spans="1:61" ht="20" customHeight="1">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55"/>
      <c r="AK232" s="155"/>
      <c r="AL232" s="155"/>
      <c r="AM232" s="155"/>
      <c r="AN232" s="155"/>
      <c r="AO232" s="155"/>
      <c r="AP232" s="155"/>
      <c r="AQ232" s="155"/>
      <c r="AR232" s="155"/>
      <c r="AS232" s="155"/>
      <c r="AT232" s="155"/>
      <c r="AU232" s="155"/>
      <c r="AV232" s="155"/>
      <c r="AW232" s="155"/>
      <c r="AX232" s="155"/>
      <c r="AY232" s="155"/>
      <c r="AZ232" s="155"/>
      <c r="BA232" s="155"/>
      <c r="BB232" s="155"/>
      <c r="BC232" s="155"/>
      <c r="BD232" s="155"/>
      <c r="BE232" s="155"/>
      <c r="BF232" s="155"/>
      <c r="BG232" s="155"/>
      <c r="BH232" s="155"/>
      <c r="BI232" s="155"/>
    </row>
    <row r="233" spans="1:61" ht="20" customHeight="1">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55"/>
      <c r="AK233" s="155"/>
      <c r="AL233" s="155"/>
      <c r="AM233" s="155"/>
      <c r="AN233" s="155"/>
      <c r="AO233" s="155"/>
      <c r="AP233" s="155"/>
      <c r="AQ233" s="155"/>
      <c r="AR233" s="155"/>
      <c r="AS233" s="155"/>
      <c r="AT233" s="155"/>
      <c r="AU233" s="155"/>
      <c r="AV233" s="155"/>
      <c r="AW233" s="155"/>
      <c r="AX233" s="155"/>
      <c r="AY233" s="155"/>
      <c r="AZ233" s="155"/>
      <c r="BA233" s="155"/>
      <c r="BB233" s="155"/>
      <c r="BC233" s="155"/>
      <c r="BD233" s="155"/>
      <c r="BE233" s="155"/>
      <c r="BF233" s="155"/>
      <c r="BG233" s="155"/>
      <c r="BH233" s="155"/>
      <c r="BI233" s="155"/>
    </row>
    <row r="234" spans="1:61" ht="20" customHeight="1">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55"/>
      <c r="AK234" s="155"/>
      <c r="AL234" s="155"/>
      <c r="AM234" s="155"/>
      <c r="AN234" s="155"/>
      <c r="AO234" s="155"/>
      <c r="AP234" s="155"/>
      <c r="AQ234" s="155"/>
      <c r="AR234" s="155"/>
      <c r="AS234" s="155"/>
      <c r="AT234" s="155"/>
      <c r="AU234" s="155"/>
      <c r="AV234" s="155"/>
      <c r="AW234" s="155"/>
      <c r="AX234" s="155"/>
      <c r="AY234" s="155"/>
      <c r="AZ234" s="155"/>
      <c r="BA234" s="155"/>
      <c r="BB234" s="155"/>
      <c r="BC234" s="155"/>
      <c r="BD234" s="155"/>
      <c r="BE234" s="155"/>
      <c r="BF234" s="155"/>
      <c r="BG234" s="155"/>
      <c r="BH234" s="155"/>
      <c r="BI234" s="155"/>
    </row>
    <row r="235" spans="1:61" ht="20" customHeight="1">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55"/>
      <c r="AK235" s="155"/>
      <c r="AL235" s="155"/>
      <c r="AM235" s="155"/>
      <c r="AN235" s="155"/>
      <c r="AO235" s="155"/>
      <c r="AP235" s="155"/>
      <c r="AQ235" s="155"/>
      <c r="AR235" s="155"/>
      <c r="AS235" s="155"/>
      <c r="AT235" s="155"/>
      <c r="AU235" s="155"/>
      <c r="AV235" s="155"/>
      <c r="AW235" s="155"/>
      <c r="AX235" s="155"/>
      <c r="AY235" s="155"/>
      <c r="AZ235" s="155"/>
      <c r="BA235" s="155"/>
      <c r="BB235" s="155"/>
      <c r="BC235" s="155"/>
      <c r="BD235" s="155"/>
      <c r="BE235" s="155"/>
      <c r="BF235" s="155"/>
      <c r="BG235" s="155"/>
      <c r="BH235" s="155"/>
      <c r="BI235" s="155"/>
    </row>
    <row r="236" spans="1:61" ht="20" customHeight="1">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55"/>
      <c r="AK236" s="155"/>
      <c r="AL236" s="155"/>
      <c r="AM236" s="155"/>
      <c r="AN236" s="155"/>
      <c r="AO236" s="155"/>
      <c r="AP236" s="155"/>
      <c r="AQ236" s="155"/>
      <c r="AR236" s="155"/>
      <c r="AS236" s="155"/>
      <c r="AT236" s="155"/>
      <c r="AU236" s="155"/>
      <c r="AV236" s="155"/>
      <c r="AW236" s="155"/>
      <c r="AX236" s="155"/>
      <c r="AY236" s="155"/>
      <c r="AZ236" s="155"/>
      <c r="BA236" s="155"/>
      <c r="BB236" s="155"/>
      <c r="BC236" s="155"/>
      <c r="BD236" s="155"/>
      <c r="BE236" s="155"/>
      <c r="BF236" s="155"/>
      <c r="BG236" s="155"/>
      <c r="BH236" s="155"/>
      <c r="BI236" s="155"/>
    </row>
    <row r="237" spans="1:61" ht="20" customHeight="1">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55"/>
      <c r="AK237" s="155"/>
      <c r="AL237" s="155"/>
      <c r="AM237" s="155"/>
      <c r="AN237" s="155"/>
      <c r="AO237" s="155"/>
      <c r="AP237" s="155"/>
      <c r="AQ237" s="155"/>
      <c r="AR237" s="155"/>
      <c r="AS237" s="155"/>
      <c r="AT237" s="155"/>
      <c r="AU237" s="155"/>
      <c r="AV237" s="155"/>
      <c r="AW237" s="155"/>
      <c r="AX237" s="155"/>
      <c r="AY237" s="155"/>
      <c r="AZ237" s="155"/>
      <c r="BA237" s="155"/>
      <c r="BB237" s="155"/>
      <c r="BC237" s="155"/>
      <c r="BD237" s="155"/>
      <c r="BE237" s="155"/>
      <c r="BF237" s="155"/>
      <c r="BG237" s="155"/>
      <c r="BH237" s="155"/>
      <c r="BI237" s="155"/>
    </row>
    <row r="238" spans="1:61" ht="20" customHeight="1">
      <c r="A238" s="738" t="s">
        <v>309</v>
      </c>
      <c r="B238" s="738"/>
      <c r="C238" s="738"/>
      <c r="D238" s="738"/>
      <c r="E238" s="738"/>
      <c r="F238" s="738"/>
      <c r="G238" s="738"/>
      <c r="H238" s="738"/>
      <c r="I238" s="738"/>
      <c r="J238" s="738"/>
      <c r="K238" s="738"/>
      <c r="L238" s="738"/>
      <c r="M238" s="738"/>
      <c r="N238" s="738"/>
      <c r="O238" s="738"/>
      <c r="P238" s="738"/>
      <c r="Q238" s="738"/>
      <c r="R238" s="738"/>
      <c r="S238" s="738"/>
      <c r="T238" s="738"/>
      <c r="U238" s="738"/>
      <c r="V238" s="738"/>
      <c r="W238" s="738"/>
      <c r="X238" s="738"/>
      <c r="Y238" s="738"/>
      <c r="Z238" s="738"/>
      <c r="AA238" s="738"/>
      <c r="AB238" s="738"/>
      <c r="AC238" s="738"/>
      <c r="AD238" s="738"/>
      <c r="AE238" s="738"/>
      <c r="AF238" s="738"/>
      <c r="AG238" s="738"/>
      <c r="AH238" s="738"/>
      <c r="AI238" s="738"/>
      <c r="AJ238" s="738"/>
      <c r="AK238" s="738"/>
      <c r="AL238" s="738"/>
      <c r="AM238" s="738"/>
      <c r="AN238" s="738"/>
      <c r="AO238" s="738"/>
      <c r="AP238" s="738"/>
      <c r="AQ238" s="738"/>
      <c r="AR238" s="738"/>
      <c r="AS238" s="738"/>
      <c r="AT238" s="738"/>
      <c r="AU238" s="738"/>
      <c r="AV238" s="738"/>
      <c r="AW238" s="738"/>
      <c r="AX238" s="738"/>
      <c r="AY238" s="738"/>
      <c r="AZ238" s="738"/>
      <c r="BA238" s="738"/>
      <c r="BB238" s="738"/>
      <c r="BC238" s="738"/>
      <c r="BD238" s="738"/>
      <c r="BE238" s="738"/>
      <c r="BF238" s="738"/>
      <c r="BG238" s="738"/>
      <c r="BH238" s="738"/>
      <c r="BI238" s="738"/>
    </row>
    <row r="239" spans="1:61" ht="20" customHeight="1"/>
  </sheetData>
  <sheetProtection sheet="1" objects="1" scenarios="1" selectLockedCells="1"/>
  <dataConsolidate/>
  <customSheetViews>
    <customSheetView guid="{6F32447A-4407-44AD-A35F-AE919A5CF3AF}" showGridLines="0" topLeftCell="A215">
      <selection activeCell="A171" sqref="A171:BI238"/>
    </customSheetView>
    <customSheetView guid="{B4419C5D-1877-4ABB-A46F-9E0AFFC75B59}" showGridLines="0" hiddenRows="1" hiddenColumns="1" state="hidden">
      <selection activeCell="L5" sqref="L5:AK5"/>
      <rowBreaks count="6" manualBreakCount="6">
        <brk id="34" max="60" man="1"/>
        <brk id="68" max="60" man="1"/>
        <brk id="102" max="60" man="1"/>
        <brk id="136" max="60" man="1"/>
        <brk id="170" max="60" man="1"/>
        <brk id="204" max="60" man="1"/>
      </rowBreaks>
      <pageMargins left="0" right="0" top="0" bottom="0" header="0" footer="0"/>
      <pageSetup paperSize="9" scale="85" fitToWidth="0" fitToHeight="0" orientation="landscape" r:id="rId1"/>
      <headerFooter>
        <oddFooter>&amp;C&amp;"Arial,Regular"&amp;6&amp;K01+048G:\CCT-Service Training-PM\L-All Cabins-Matrix Masters\3.Matrix-Economy Master\3.YC Calculator\Version24.4\November2016&amp;R&amp;"Arial,Regular"&amp;6&amp;K01+047Page &amp;P of &amp;N</oddFooter>
      </headerFooter>
    </customSheetView>
  </customSheetViews>
  <mergeCells count="244">
    <mergeCell ref="A197:D203"/>
    <mergeCell ref="E200:BI203"/>
    <mergeCell ref="AH115:BI115"/>
    <mergeCell ref="AH117:BI117"/>
    <mergeCell ref="AH119:BI119"/>
    <mergeCell ref="AH116:BI116"/>
    <mergeCell ref="AH118:BI118"/>
    <mergeCell ref="AZ197:BI197"/>
    <mergeCell ref="L197:U197"/>
    <mergeCell ref="AF183:AO183"/>
    <mergeCell ref="E176:K176"/>
    <mergeCell ref="E177:K178"/>
    <mergeCell ref="E183:K183"/>
    <mergeCell ref="E184:K185"/>
    <mergeCell ref="E190:K190"/>
    <mergeCell ref="A176:D181"/>
    <mergeCell ref="E179:BI181"/>
    <mergeCell ref="A183:D188"/>
    <mergeCell ref="E186:BI188"/>
    <mergeCell ref="A190:D195"/>
    <mergeCell ref="E193:BI195"/>
    <mergeCell ref="E191:K192"/>
    <mergeCell ref="AP176:AY176"/>
    <mergeCell ref="AP183:AY183"/>
    <mergeCell ref="AF198:AO199"/>
    <mergeCell ref="AP198:AY199"/>
    <mergeCell ref="AZ198:BI199"/>
    <mergeCell ref="L176:U176"/>
    <mergeCell ref="V176:AE176"/>
    <mergeCell ref="E197:K197"/>
    <mergeCell ref="E198:K199"/>
    <mergeCell ref="V197:AE197"/>
    <mergeCell ref="L191:U192"/>
    <mergeCell ref="V191:AE192"/>
    <mergeCell ref="AF176:AO176"/>
    <mergeCell ref="L198:U199"/>
    <mergeCell ref="V198:AE199"/>
    <mergeCell ref="AF191:AO192"/>
    <mergeCell ref="AF177:AO178"/>
    <mergeCell ref="L190:U190"/>
    <mergeCell ref="AF197:AO197"/>
    <mergeCell ref="L184:U185"/>
    <mergeCell ref="AP177:AY178"/>
    <mergeCell ref="L177:U178"/>
    <mergeCell ref="V177:AE178"/>
    <mergeCell ref="V184:AE185"/>
    <mergeCell ref="AF184:AO185"/>
    <mergeCell ref="AP184:AY185"/>
    <mergeCell ref="V190:AE190"/>
    <mergeCell ref="AF190:AO190"/>
    <mergeCell ref="L183:U183"/>
    <mergeCell ref="V183:AE183"/>
    <mergeCell ref="AP190:AY190"/>
    <mergeCell ref="AP197:AY197"/>
    <mergeCell ref="AL175:AP175"/>
    <mergeCell ref="AR175:BD175"/>
    <mergeCell ref="AP191:AY192"/>
    <mergeCell ref="A206:D211"/>
    <mergeCell ref="A213:D218"/>
    <mergeCell ref="A220:D225"/>
    <mergeCell ref="E209:BI211"/>
    <mergeCell ref="E216:BI218"/>
    <mergeCell ref="E223:BI225"/>
    <mergeCell ref="A204:BI204"/>
    <mergeCell ref="A238:BI238"/>
    <mergeCell ref="E206:K206"/>
    <mergeCell ref="E207:K208"/>
    <mergeCell ref="E213:K213"/>
    <mergeCell ref="E214:K215"/>
    <mergeCell ref="E220:S220"/>
    <mergeCell ref="E221:S222"/>
    <mergeCell ref="L214:L215"/>
    <mergeCell ref="A173:J173"/>
    <mergeCell ref="L173:AK173"/>
    <mergeCell ref="AL173:AP173"/>
    <mergeCell ref="AR173:BD173"/>
    <mergeCell ref="A174:J174"/>
    <mergeCell ref="L174:AK174"/>
    <mergeCell ref="AL174:AP174"/>
    <mergeCell ref="AR174:BD174"/>
    <mergeCell ref="A175:J175"/>
    <mergeCell ref="L175:AK175"/>
    <mergeCell ref="A76:B77"/>
    <mergeCell ref="C76:N77"/>
    <mergeCell ref="O76:Z77"/>
    <mergeCell ref="AA76:AL77"/>
    <mergeCell ref="AM76:AX77"/>
    <mergeCell ref="A74:B75"/>
    <mergeCell ref="C74:N75"/>
    <mergeCell ref="O74:Z75"/>
    <mergeCell ref="AA74:AL75"/>
    <mergeCell ref="AM74:AX75"/>
    <mergeCell ref="AH78:BI78"/>
    <mergeCell ref="AH79:BI79"/>
    <mergeCell ref="AH80:BI80"/>
    <mergeCell ref="A121:BI124"/>
    <mergeCell ref="A125:B125"/>
    <mergeCell ref="A131:BI134"/>
    <mergeCell ref="AH128:BI129"/>
    <mergeCell ref="AH127:BI127"/>
    <mergeCell ref="AH126:BI126"/>
    <mergeCell ref="AY87:BI88"/>
    <mergeCell ref="A86:B86"/>
    <mergeCell ref="A82:BI85"/>
    <mergeCell ref="A89:B90"/>
    <mergeCell ref="C89:N90"/>
    <mergeCell ref="O89:Z90"/>
    <mergeCell ref="AA89:AL90"/>
    <mergeCell ref="AM89:AX90"/>
    <mergeCell ref="A91:B92"/>
    <mergeCell ref="C91:N92"/>
    <mergeCell ref="O91:Z92"/>
    <mergeCell ref="AA91:AL92"/>
    <mergeCell ref="AM91:AX92"/>
    <mergeCell ref="AH104:BI104"/>
    <mergeCell ref="AH105:BI105"/>
    <mergeCell ref="AH138:BI138"/>
    <mergeCell ref="A7:B7"/>
    <mergeCell ref="AH44:BI44"/>
    <mergeCell ref="AH45:BI45"/>
    <mergeCell ref="AH46:BI46"/>
    <mergeCell ref="AH61:BI61"/>
    <mergeCell ref="AH62:BI62"/>
    <mergeCell ref="AH63:BI63"/>
    <mergeCell ref="AH8:BI8"/>
    <mergeCell ref="A110:BI113"/>
    <mergeCell ref="A114:B114"/>
    <mergeCell ref="A97:BI101"/>
    <mergeCell ref="AY89:BI90"/>
    <mergeCell ref="AY91:BI92"/>
    <mergeCell ref="A103:B103"/>
    <mergeCell ref="AH95:BI95"/>
    <mergeCell ref="AH94:BI94"/>
    <mergeCell ref="AH93:BI93"/>
    <mergeCell ref="C87:N88"/>
    <mergeCell ref="O87:Z88"/>
    <mergeCell ref="AA87:AL88"/>
    <mergeCell ref="AM87:AX88"/>
    <mergeCell ref="AH29:BI29"/>
    <mergeCell ref="AH28:BI28"/>
    <mergeCell ref="A57:B58"/>
    <mergeCell ref="C57:N58"/>
    <mergeCell ref="O57:Z58"/>
    <mergeCell ref="AA57:AL58"/>
    <mergeCell ref="AM57:AX58"/>
    <mergeCell ref="A72:B73"/>
    <mergeCell ref="C72:N73"/>
    <mergeCell ref="O72:Z73"/>
    <mergeCell ref="AA72:AL73"/>
    <mergeCell ref="AM72:AX73"/>
    <mergeCell ref="A65:BI68"/>
    <mergeCell ref="A69:B69"/>
    <mergeCell ref="C70:N71"/>
    <mergeCell ref="O70:Z71"/>
    <mergeCell ref="AA70:AL71"/>
    <mergeCell ref="AM70:AX71"/>
    <mergeCell ref="AY70:BI71"/>
    <mergeCell ref="A48:BI51"/>
    <mergeCell ref="A52:B52"/>
    <mergeCell ref="C53:N54"/>
    <mergeCell ref="O53:Z54"/>
    <mergeCell ref="AA53:AL54"/>
    <mergeCell ref="AM53:AX54"/>
    <mergeCell ref="AY53:BI54"/>
    <mergeCell ref="A55:B56"/>
    <mergeCell ref="C55:N56"/>
    <mergeCell ref="O55:Z56"/>
    <mergeCell ref="AA55:AL56"/>
    <mergeCell ref="AM55:AX56"/>
    <mergeCell ref="C40:N41"/>
    <mergeCell ref="O40:Z41"/>
    <mergeCell ref="AA40:AL41"/>
    <mergeCell ref="AM40:AX41"/>
    <mergeCell ref="A172:J172"/>
    <mergeCell ref="L172:AK172"/>
    <mergeCell ref="AL172:AP172"/>
    <mergeCell ref="AR172:BD172"/>
    <mergeCell ref="A140:BI144"/>
    <mergeCell ref="A40:B41"/>
    <mergeCell ref="A42:B43"/>
    <mergeCell ref="C42:N43"/>
    <mergeCell ref="O42:Z43"/>
    <mergeCell ref="AA42:AL43"/>
    <mergeCell ref="AM42:AX43"/>
    <mergeCell ref="AH106:BI106"/>
    <mergeCell ref="AH107:BI107"/>
    <mergeCell ref="AH108:BI108"/>
    <mergeCell ref="A171:BH171"/>
    <mergeCell ref="A59:B60"/>
    <mergeCell ref="C59:N60"/>
    <mergeCell ref="O59:Z60"/>
    <mergeCell ref="AA59:AL60"/>
    <mergeCell ref="AM59:AX60"/>
    <mergeCell ref="AO15:AU16"/>
    <mergeCell ref="AV15:BB16"/>
    <mergeCell ref="BC15:BI16"/>
    <mergeCell ref="A35:B35"/>
    <mergeCell ref="C38:N39"/>
    <mergeCell ref="O38:Z39"/>
    <mergeCell ref="AA38:AL39"/>
    <mergeCell ref="AM38:AX39"/>
    <mergeCell ref="A38:B39"/>
    <mergeCell ref="AY36:BI37"/>
    <mergeCell ref="AM36:AX37"/>
    <mergeCell ref="AA36:AL37"/>
    <mergeCell ref="O36:Z37"/>
    <mergeCell ref="C36:N37"/>
    <mergeCell ref="A1:BH1"/>
    <mergeCell ref="A2:J2"/>
    <mergeCell ref="L2:AK2"/>
    <mergeCell ref="AL2:AP2"/>
    <mergeCell ref="AR2:BD2"/>
    <mergeCell ref="A4:J4"/>
    <mergeCell ref="L4:AK4"/>
    <mergeCell ref="AL4:AP4"/>
    <mergeCell ref="AR4:BD4"/>
    <mergeCell ref="A3:J3"/>
    <mergeCell ref="L3:AK3"/>
    <mergeCell ref="AL3:AP3"/>
    <mergeCell ref="AR3:BD3"/>
    <mergeCell ref="L7:AK7"/>
    <mergeCell ref="AL7:AP7"/>
    <mergeCell ref="AR7:BD7"/>
    <mergeCell ref="A5:J5"/>
    <mergeCell ref="L5:AK5"/>
    <mergeCell ref="AL5:AP5"/>
    <mergeCell ref="AR5:BD5"/>
    <mergeCell ref="A6:J6"/>
    <mergeCell ref="A30:BI34"/>
    <mergeCell ref="L6:AK6"/>
    <mergeCell ref="AL6:AP6"/>
    <mergeCell ref="AR6:BD6"/>
    <mergeCell ref="A27:B27"/>
    <mergeCell ref="AH9:BI9"/>
    <mergeCell ref="AH13:BI13"/>
    <mergeCell ref="AH14:BI14"/>
    <mergeCell ref="A17:BI20"/>
    <mergeCell ref="A11:BI12"/>
    <mergeCell ref="AH21:AN22"/>
    <mergeCell ref="AO21:AU22"/>
    <mergeCell ref="AV21:BB22"/>
    <mergeCell ref="BC21:BI22"/>
    <mergeCell ref="A23:BI26"/>
    <mergeCell ref="AH15:AN16"/>
  </mergeCells>
  <dataValidations count="9">
    <dataValidation type="custom" operator="greaterThan" allowBlank="1" showInputMessage="1" showErrorMessage="1" prompt="Enter Review date (Must be DD/MM/YY)_x000a_" sqref="AR4:BD4" xr:uid="{00000000-0002-0000-0000-000000000000}">
      <formula1>ISNUMBER(SUMPRODUCT(SEARCH(MID(AR4,ROW(INDIRECT("1:"&amp;LEN(AR4))),1),"0123456789 /to")))</formula1>
    </dataValidation>
    <dataValidation allowBlank="1" showInputMessage="1" showErrorMessage="1" prompt="Enter TS/TO's full name conducting the Review (eg. Holley White)" sqref="L3:AK3" xr:uid="{00000000-0002-0000-0000-000001000000}"/>
    <dataValidation allowBlank="1" showInputMessage="1" showErrorMessage="1" prompt="Enter the total number of peer to peer completed" sqref="AH45:BI45" xr:uid="{00000000-0002-0000-0000-000002000000}"/>
    <dataValidation allowBlank="1" showInputMessage="1" showErrorMessage="1" prompt="Enter the total number of cabin supervisor feedback forms completed" sqref="AH62:BI62" xr:uid="{00000000-0002-0000-0000-000003000000}"/>
    <dataValidation allowBlank="1" showInputMessage="1" showErrorMessage="1" prompt="Enter the total number of self reflections completed" sqref="AH79:BI79" xr:uid="{00000000-0002-0000-0000-000004000000}"/>
    <dataValidation allowBlank="1" showInputMessage="1" showErrorMessage="1" prompt="Enter the total number of tasks completed" sqref="AH94:BI94" xr:uid="{00000000-0002-0000-0000-000005000000}"/>
    <dataValidation allowBlank="1" showInputMessage="1" showErrorMessage="1" prompt="Enter the total number of drop-in workshop attended" sqref="AH107:BI107" xr:uid="{00000000-0002-0000-0000-000006000000}"/>
    <dataValidation allowBlank="1" showInputMessage="1" showErrorMessage="1" prompt="Enter the total number of webinar viewed" sqref="AH118:BI118" xr:uid="{00000000-0002-0000-0000-000007000000}"/>
    <dataValidation allowBlank="1" showInputMessage="1" showErrorMessage="1" prompt="Enter date as per the documents (DD/MM/YY format) If no date is mentioned in the document enter &quot;No Date&quot;" sqref="C38:AX39 C55:AX56 C72:AX73" xr:uid="{00000000-0002-0000-0000-000008000000}"/>
  </dataValidations>
  <pageMargins left="0" right="0" top="0" bottom="0" header="0" footer="0"/>
  <pageSetup paperSize="9" scale="85" fitToWidth="0" fitToHeight="0" orientation="landscape" r:id="rId2"/>
  <headerFooter>
    <oddFooter>&amp;C&amp;"Arial,Regular"&amp;6&amp;K01+048G:\CCT-Service Training-PM\L-All Cabins-Matrix Masters\3.Matrix-Economy Master\3.YC Calculator\Version24.4\November2016&amp;R&amp;"Arial,Regular"&amp;6&amp;K01+047Page &amp;P of &amp;N</oddFooter>
  </headerFooter>
  <rowBreaks count="6" manualBreakCount="6">
    <brk id="34" max="60" man="1"/>
    <brk id="68" max="60" man="1"/>
    <brk id="102" max="60" man="1"/>
    <brk id="136" max="60" man="1"/>
    <brk id="170" max="60" man="1"/>
    <brk id="204" max="60" man="1"/>
  </rowBreaks>
  <ignoredErrors>
    <ignoredError sqref="AR4" twoDigitTextYear="1"/>
    <ignoredError sqref="L174" formula="1"/>
  </ignoredErrors>
  <drawing r:id="rId3"/>
  <extLst>
    <ext xmlns:x14="http://schemas.microsoft.com/office/spreadsheetml/2009/9/main" uri="{CCE6A557-97BC-4b89-ADB6-D9C93CAAB3DF}">
      <x14:dataValidations xmlns:xm="http://schemas.microsoft.com/office/excel/2006/main" count="16">
        <x14:dataValidation type="list" allowBlank="1" showInputMessage="1" showErrorMessage="1" prompt="Select from drop down menu" xr:uid="{00000000-0002-0000-0000-000009000000}">
          <x14:formula1>
            <xm:f>'Drop Down List'!$A$47:$A$51</xm:f>
          </x14:formula1>
          <xm:sqref>AH29:BI29</xm:sqref>
        </x14:dataValidation>
        <x14:dataValidation type="list" showInputMessage="1" showErrorMessage="1" prompt="Select from drop down menu" xr:uid="{00000000-0002-0000-0000-00000A000000}">
          <x14:formula1>
            <xm:f>'Drop Down List'!$B$40:$B$42</xm:f>
          </x14:formula1>
          <xm:sqref>L5:AK5</xm:sqref>
        </x14:dataValidation>
        <x14:dataValidation type="list" allowBlank="1" showInputMessage="1" showErrorMessage="1" prompt="Select from drop down menu" xr:uid="{00000000-0002-0000-0000-00000B000000}">
          <x14:formula1>
            <xm:f>'Drop Down List'!$A$40:$A$44</xm:f>
          </x14:formula1>
          <xm:sqref>AR3:BD3</xm:sqref>
        </x14:dataValidation>
        <x14:dataValidation type="list" allowBlank="1" showInputMessage="1" showErrorMessage="1" prompt="Select from drop down menu" xr:uid="{00000000-0002-0000-0000-00000C000000}">
          <x14:formula1>
            <xm:f>'Drop Down List'!$B$47:$B$53</xm:f>
          </x14:formula1>
          <xm:sqref>AH105:BI105 C40:AX41 C57:AX58 C74:AX75 C89:BI90</xm:sqref>
        </x14:dataValidation>
        <x14:dataValidation type="list" allowBlank="1" showInputMessage="1" showErrorMessage="1" xr:uid="{00000000-0002-0000-0000-00000D000000}">
          <x14:formula1>
            <xm:f>'Drop Down List'!$A$55:$A$62</xm:f>
          </x14:formula1>
          <xm:sqref>C91:BI92</xm:sqref>
        </x14:dataValidation>
        <x14:dataValidation type="list" allowBlank="1" showInputMessage="1" showErrorMessage="1" xr:uid="{00000000-0002-0000-0000-00000E000000}">
          <x14:formula1>
            <xm:f>'Drop Down List'!$D$40:$D$43</xm:f>
          </x14:formula1>
          <xm:sqref>DS17</xm:sqref>
        </x14:dataValidation>
        <x14:dataValidation type="list" allowBlank="1" showInputMessage="1" showErrorMessage="1" prompt="Select from drop down menu" xr:uid="{00000000-0002-0000-0000-00000F000000}">
          <x14:formula1>
            <xm:f>'Drop Down List'!$D$47:$D$48</xm:f>
          </x14:formula1>
          <xm:sqref>AH28:BI28</xm:sqref>
        </x14:dataValidation>
        <x14:dataValidation type="list" allowBlank="1" showInputMessage="1" showErrorMessage="1" prompt="Select from drop down menu" xr:uid="{00000000-0002-0000-0000-000010000000}">
          <x14:formula1>
            <xm:f>'Drop Down List'!$D$55:$D$57</xm:f>
          </x14:formula1>
          <xm:sqref>AH8:BI8</xm:sqref>
        </x14:dataValidation>
        <x14:dataValidation type="list" allowBlank="1" showInputMessage="1" showErrorMessage="1" prompt="Select from drop down menu" xr:uid="{00000000-0002-0000-0000-000011000000}">
          <x14:formula1>
            <xm:f>'Drop Down List'!$C$47:$C$49</xm:f>
          </x14:formula1>
          <xm:sqref>AH9:BI9</xm:sqref>
        </x14:dataValidation>
        <x14:dataValidation type="list" allowBlank="1" showInputMessage="1" showErrorMessage="1" prompt="Select from drop down menu" xr:uid="{00000000-0002-0000-0000-000012000000}">
          <x14:formula1>
            <xm:f>'Drop Down List'!$D$47:$D$49</xm:f>
          </x14:formula1>
          <xm:sqref>AH13:BI14</xm:sqref>
        </x14:dataValidation>
        <x14:dataValidation type="list" allowBlank="1" showInputMessage="1" showErrorMessage="1" prompt="Select from drop down menu" xr:uid="{00000000-0002-0000-0000-000013000000}">
          <x14:formula1>
            <xm:f>'Drop Down List'!$A$55:$A$62</xm:f>
          </x14:formula1>
          <xm:sqref>C42:AX43 C59:AX60 C76:AX77 AH106:BI106</xm:sqref>
        </x14:dataValidation>
        <x14:dataValidation type="list" allowBlank="1" showInputMessage="1" showErrorMessage="1" prompt="Select from drop down menu" xr:uid="{00000000-0002-0000-0000-000014000000}">
          <x14:formula1>
            <xm:f>'Drop Down List'!$A$71:$A$74</xm:f>
          </x14:formula1>
          <xm:sqref>AH44:BI44 AH61:BI61 AH78:BI78 AH93:BI93</xm:sqref>
        </x14:dataValidation>
        <x14:dataValidation type="list" allowBlank="1" showInputMessage="1" showErrorMessage="1" prompt="Select from drop down menu" xr:uid="{00000000-0002-0000-0000-000015000000}">
          <x14:formula1>
            <xm:f>'Drop Down List'!$A$55:$A$61</xm:f>
          </x14:formula1>
          <xm:sqref>AH117:BI117</xm:sqref>
        </x14:dataValidation>
        <x14:dataValidation type="list" allowBlank="1" showInputMessage="1" showErrorMessage="1" xr:uid="{00000000-0002-0000-0000-000016000000}">
          <x14:formula1>
            <xm:f>'Drop Down List'!$A$64:$A$67</xm:f>
          </x14:formula1>
          <xm:sqref>AH126:BI126</xm:sqref>
        </x14:dataValidation>
        <x14:dataValidation type="list" allowBlank="1" showInputMessage="1" showErrorMessage="1" xr:uid="{00000000-0002-0000-0000-000017000000}">
          <x14:formula1>
            <xm:f>'Drop Down List'!$D$47:$D$49</xm:f>
          </x14:formula1>
          <xm:sqref>AH138:BI138</xm:sqref>
        </x14:dataValidation>
        <x14:dataValidation type="list" allowBlank="1" showInputMessage="1" showErrorMessage="1" prompt="Select the Competency from the drop down menu as highlighted by the learner" xr:uid="{00000000-0002-0000-0000-000018000000}">
          <x14:formula1>
            <xm:f>'Drop Down List'!$D$40:$D$44</xm:f>
          </x14:formula1>
          <xm:sqref>AH15:BI16 AH21:BI22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AW87"/>
  <sheetViews>
    <sheetView showGridLines="0" view="pageBreakPreview" zoomScale="60" zoomScaleNormal="100" workbookViewId="0">
      <selection activeCell="T14" sqref="T14"/>
    </sheetView>
  </sheetViews>
  <sheetFormatPr baseColWidth="10" defaultColWidth="0" defaultRowHeight="15" zeroHeight="1"/>
  <cols>
    <col min="1" max="1" width="4.83203125" style="379" customWidth="1"/>
    <col min="2" max="2" width="7" style="379" customWidth="1"/>
    <col min="3" max="3" width="11.6640625" style="379" customWidth="1"/>
    <col min="4" max="19" width="7" style="379" customWidth="1"/>
    <col min="20" max="20" width="9.1640625" customWidth="1"/>
    <col min="21" max="21" width="9.1640625" style="379" hidden="1" customWidth="1"/>
    <col min="22" max="22" width="255.6640625" style="379" hidden="1" customWidth="1"/>
    <col min="23" max="16384" width="9.1640625" style="379" hidden="1"/>
  </cols>
  <sheetData>
    <row r="1" spans="1:49" ht="60" customHeight="1">
      <c r="A1" s="746" t="s">
        <v>859</v>
      </c>
      <c r="B1" s="746"/>
      <c r="C1" s="746"/>
      <c r="D1" s="746"/>
      <c r="E1" s="746"/>
      <c r="F1" s="746"/>
      <c r="G1" s="746"/>
      <c r="H1" s="746"/>
      <c r="I1" s="746"/>
      <c r="J1" s="746"/>
      <c r="K1" s="746"/>
      <c r="L1" s="746"/>
      <c r="M1" s="746"/>
      <c r="N1" s="746"/>
      <c r="O1" s="746"/>
      <c r="P1" s="746"/>
      <c r="Q1" s="746"/>
      <c r="R1" s="746"/>
      <c r="S1" s="746"/>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row>
    <row r="2" spans="1:49" ht="20" customHeight="1">
      <c r="A2" s="769" t="s">
        <v>42</v>
      </c>
      <c r="B2" s="769"/>
      <c r="C2" s="769"/>
      <c r="D2" s="766"/>
      <c r="E2" s="767"/>
      <c r="F2" s="767"/>
      <c r="G2" s="767"/>
      <c r="H2" s="767"/>
      <c r="I2" s="767"/>
      <c r="J2" s="767"/>
      <c r="K2" s="767"/>
      <c r="L2" s="768" t="s">
        <v>860</v>
      </c>
      <c r="M2" s="768"/>
      <c r="N2" s="765"/>
      <c r="O2" s="765"/>
      <c r="P2" s="765"/>
      <c r="Q2" s="765"/>
      <c r="R2" s="765"/>
      <c r="S2" s="765"/>
      <c r="T2" s="379"/>
      <c r="U2" s="52"/>
      <c r="V2" s="52"/>
      <c r="W2" s="52"/>
      <c r="X2" s="52"/>
      <c r="Y2" s="52"/>
      <c r="Z2" s="52"/>
      <c r="AA2" s="52"/>
      <c r="AB2" s="52"/>
      <c r="AC2" s="52"/>
      <c r="AD2" s="52"/>
      <c r="AE2" s="52"/>
      <c r="AF2" s="52"/>
      <c r="AG2" s="52"/>
      <c r="AH2" s="52"/>
      <c r="AI2" s="52"/>
      <c r="AJ2" s="52"/>
      <c r="AK2" s="52"/>
      <c r="AL2" s="52"/>
      <c r="AM2" s="52"/>
      <c r="AN2" s="52"/>
      <c r="AO2" s="52"/>
      <c r="AP2" s="52"/>
      <c r="AQ2" s="52"/>
      <c r="AR2" s="52"/>
      <c r="AS2" s="52"/>
      <c r="AT2" s="52"/>
      <c r="AU2" s="52"/>
      <c r="AV2" s="52"/>
      <c r="AW2" s="52"/>
    </row>
    <row r="3" spans="1:49" ht="20" customHeight="1">
      <c r="A3" s="769" t="s">
        <v>45</v>
      </c>
      <c r="B3" s="769"/>
      <c r="C3" s="769"/>
      <c r="D3" s="770"/>
      <c r="E3" s="770"/>
      <c r="F3" s="770"/>
      <c r="G3" s="770"/>
      <c r="H3" s="770"/>
      <c r="I3" s="770"/>
      <c r="J3" s="770"/>
      <c r="K3" s="770"/>
      <c r="L3" s="769" t="s">
        <v>836</v>
      </c>
      <c r="M3" s="769"/>
      <c r="N3" s="765"/>
      <c r="O3" s="765"/>
      <c r="P3" s="765"/>
      <c r="Q3" s="765"/>
      <c r="R3" s="765"/>
      <c r="S3" s="765"/>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row>
    <row r="4" spans="1:49" ht="20" customHeight="1">
      <c r="A4" s="769" t="s">
        <v>841</v>
      </c>
      <c r="B4" s="769"/>
      <c r="C4" s="769"/>
      <c r="D4" s="767"/>
      <c r="E4" s="767"/>
      <c r="F4" s="767"/>
      <c r="G4" s="767"/>
      <c r="H4" s="767"/>
      <c r="I4" s="767"/>
      <c r="J4" s="767"/>
      <c r="K4" s="767"/>
      <c r="L4" s="782" t="str">
        <f>Report!AL4</f>
        <v>Course Dates</v>
      </c>
      <c r="M4" s="782"/>
      <c r="N4" s="765"/>
      <c r="O4" s="765"/>
      <c r="P4" s="765"/>
      <c r="Q4" s="765"/>
      <c r="R4" s="765"/>
      <c r="S4" s="765"/>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c r="AV4" s="52"/>
      <c r="AW4" s="52"/>
    </row>
    <row r="5" spans="1:49" ht="20" customHeight="1">
      <c r="A5" s="531"/>
      <c r="B5" s="531"/>
      <c r="C5" s="531"/>
      <c r="D5" s="532"/>
      <c r="E5" s="533"/>
      <c r="F5" s="533"/>
      <c r="G5" s="533"/>
      <c r="H5" s="533"/>
      <c r="I5" s="533"/>
      <c r="J5" s="533"/>
      <c r="K5" s="533"/>
      <c r="L5" s="533"/>
      <c r="M5" s="533"/>
      <c r="N5" s="533"/>
      <c r="O5" s="533"/>
      <c r="P5" s="533"/>
      <c r="Q5" s="533"/>
      <c r="R5" s="533"/>
      <c r="S5" s="533"/>
      <c r="U5" s="12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c r="AV5" s="52"/>
      <c r="AW5" s="52"/>
    </row>
    <row r="6" spans="1:49" ht="25" customHeight="1">
      <c r="A6" s="534"/>
      <c r="B6" s="778" t="s">
        <v>851</v>
      </c>
      <c r="C6" s="778"/>
      <c r="D6" s="778"/>
      <c r="E6" s="778"/>
      <c r="F6" s="778"/>
      <c r="G6" s="778"/>
      <c r="H6" s="778"/>
      <c r="I6" s="778"/>
      <c r="J6" s="778"/>
      <c r="K6" s="778"/>
      <c r="L6" s="778"/>
      <c r="M6" s="778"/>
      <c r="N6" s="778"/>
      <c r="O6" s="778"/>
      <c r="P6" s="778"/>
      <c r="Q6" s="778"/>
      <c r="R6" s="778"/>
      <c r="S6" s="779"/>
      <c r="U6" s="333"/>
      <c r="V6" s="118"/>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row>
    <row r="7" spans="1:49" ht="20" customHeight="1">
      <c r="A7" s="750" t="s">
        <v>595</v>
      </c>
      <c r="B7" s="751"/>
      <c r="C7" s="751"/>
      <c r="D7" s="751"/>
      <c r="E7" s="751"/>
      <c r="F7" s="751"/>
      <c r="G7" s="751"/>
      <c r="H7" s="751"/>
      <c r="I7" s="751"/>
      <c r="J7" s="751"/>
      <c r="K7" s="751"/>
      <c r="L7" s="751"/>
      <c r="M7" s="751"/>
      <c r="N7" s="751"/>
      <c r="O7" s="751"/>
      <c r="P7" s="751"/>
      <c r="Q7" s="751"/>
      <c r="R7" s="751"/>
      <c r="S7" s="752"/>
      <c r="U7" s="526"/>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row>
    <row r="8" spans="1:49" ht="33" customHeight="1">
      <c r="A8" s="747" t="str">
        <f>V8</f>
        <v>1.1.2 Had a consistently positive approach during sessions and throughout the course. Body language was open and friendly.</v>
      </c>
      <c r="B8" s="748"/>
      <c r="C8" s="748"/>
      <c r="D8" s="748"/>
      <c r="E8" s="748"/>
      <c r="F8" s="748"/>
      <c r="G8" s="748"/>
      <c r="H8" s="748"/>
      <c r="I8" s="748"/>
      <c r="J8" s="748"/>
      <c r="K8" s="748"/>
      <c r="L8" s="748"/>
      <c r="M8" s="748"/>
      <c r="N8" s="748"/>
      <c r="O8" s="748"/>
      <c r="P8" s="748"/>
      <c r="Q8" s="748"/>
      <c r="R8" s="748"/>
      <c r="S8" s="749"/>
      <c r="U8" s="526">
        <f>Report!BJ7</f>
        <v>98.99</v>
      </c>
      <c r="V8" s="254" t="str">
        <f>IF(U8&lt;=79.99,"1.1.4 Appeared to have a negative attitude to the job. Encouraged negative conversations. Displayed passive or aggressive body language e.g. scowling, pointing or crossing arms.",IF(U8&lt;=89.99,"1.1.3  Could have demonstrated greater enthusiasm when interacting with colleagues and/or customers. Sometimes appeared disinterested.",IF(U8&lt;=98.99,"1.1.2 Had a consistently positive approach during sessions and throughout the course. Body language was open and friendly.",IF(U8&lt;=100, "1.1.1 Passionate and enthusiastic about their role and inspired and encouraged a positive approach in others."))))</f>
        <v>1.1.2 Had a consistently positive approach during sessions and throughout the course. Body language was open and friendly.</v>
      </c>
      <c r="W8" s="52"/>
      <c r="X8" s="52"/>
      <c r="Y8" s="52"/>
      <c r="Z8" s="52"/>
      <c r="AA8" s="52"/>
      <c r="AB8" s="52"/>
      <c r="AC8" s="52"/>
      <c r="AD8" s="52"/>
      <c r="AE8" s="52"/>
      <c r="AF8" s="52"/>
      <c r="AG8" s="52"/>
      <c r="AH8" s="52"/>
      <c r="AI8" s="52"/>
      <c r="AJ8" s="52"/>
      <c r="AK8" s="52"/>
      <c r="AL8" s="52"/>
      <c r="AM8" s="52"/>
      <c r="AN8" s="52"/>
      <c r="AO8" s="52"/>
      <c r="AP8" s="52"/>
      <c r="AQ8" s="52"/>
      <c r="AR8" s="52"/>
      <c r="AS8" s="52"/>
      <c r="AT8" s="52"/>
      <c r="AU8" s="52"/>
      <c r="AV8" s="52"/>
      <c r="AW8" s="52"/>
    </row>
    <row r="9" spans="1:49" ht="20" customHeight="1">
      <c r="A9" s="750" t="s">
        <v>850</v>
      </c>
      <c r="B9" s="751"/>
      <c r="C9" s="751"/>
      <c r="D9" s="751"/>
      <c r="E9" s="751"/>
      <c r="F9" s="751"/>
      <c r="G9" s="751"/>
      <c r="H9" s="751"/>
      <c r="I9" s="751"/>
      <c r="J9" s="751"/>
      <c r="K9" s="751"/>
      <c r="L9" s="751"/>
      <c r="M9" s="751"/>
      <c r="N9" s="751"/>
      <c r="O9" s="751"/>
      <c r="P9" s="751"/>
      <c r="Q9" s="751"/>
      <c r="R9" s="751"/>
      <c r="S9" s="752"/>
      <c r="U9" s="52"/>
      <c r="V9" s="52"/>
      <c r="W9" s="52"/>
      <c r="X9" s="52"/>
      <c r="Y9" s="52"/>
      <c r="Z9" s="52"/>
      <c r="AA9" s="52"/>
      <c r="AB9" s="52"/>
      <c r="AC9" s="52"/>
      <c r="AD9" s="52"/>
      <c r="AE9" s="52"/>
      <c r="AF9" s="52"/>
      <c r="AG9" s="52"/>
      <c r="AH9" s="52"/>
      <c r="AI9" s="52"/>
      <c r="AJ9" s="52"/>
      <c r="AK9" s="52"/>
      <c r="AL9" s="52"/>
      <c r="AM9" s="52"/>
      <c r="AN9" s="52"/>
      <c r="AO9" s="52"/>
      <c r="AP9" s="52"/>
      <c r="AQ9" s="52"/>
      <c r="AR9" s="52"/>
      <c r="AS9" s="52"/>
      <c r="AT9" s="52"/>
      <c r="AU9" s="52"/>
      <c r="AV9" s="52"/>
      <c r="AW9" s="52"/>
    </row>
    <row r="10" spans="1:49" ht="33" customHeight="1">
      <c r="A10" s="747" t="str">
        <f>V10</f>
        <v>1.2.2 Calm and controlled under pressure. Showed flexibility and adapted to changes when needed.</v>
      </c>
      <c r="B10" s="748"/>
      <c r="C10" s="748"/>
      <c r="D10" s="748"/>
      <c r="E10" s="748"/>
      <c r="F10" s="748"/>
      <c r="G10" s="748"/>
      <c r="H10" s="748"/>
      <c r="I10" s="748"/>
      <c r="J10" s="748"/>
      <c r="K10" s="748"/>
      <c r="L10" s="748"/>
      <c r="M10" s="748"/>
      <c r="N10" s="748"/>
      <c r="O10" s="748"/>
      <c r="P10" s="748"/>
      <c r="Q10" s="748"/>
      <c r="R10" s="748"/>
      <c r="S10" s="749"/>
      <c r="U10" s="526">
        <f>Report!BJ12</f>
        <v>98.99</v>
      </c>
      <c r="V10" s="571" t="str">
        <f>IF(U10&lt;=79.99,"1.2.4 Talks negatively about change. Appears agitated or distressed in challenging situations.",IF(U10&lt;=89.99,"1.2.3  Needs support to ensure composure and to develop resilience when faced with challenging situations. ",IF(U10&lt;=98.99,"1.2.2 Calm and controlled under pressure. Showed flexibility and adapted to changes when needed.",IF(U10&lt;=100, "1.2.1 Delivered an excellent service despite challenging circumstances. was able to support others in difficult situations."))))</f>
        <v>1.2.2 Calm and controlled under pressure. Showed flexibility and adapted to changes when needed.</v>
      </c>
      <c r="W10" s="52"/>
      <c r="X10" s="52"/>
      <c r="Y10" s="52"/>
      <c r="Z10" s="52"/>
      <c r="AA10" s="52"/>
      <c r="AB10" s="52"/>
      <c r="AC10" s="52"/>
      <c r="AD10" s="52"/>
      <c r="AE10" s="52"/>
      <c r="AF10" s="52"/>
      <c r="AG10" s="52"/>
      <c r="AH10" s="52"/>
      <c r="AI10" s="52"/>
      <c r="AJ10" s="52"/>
      <c r="AK10" s="52"/>
      <c r="AL10" s="52"/>
      <c r="AM10" s="52"/>
      <c r="AN10" s="52"/>
      <c r="AO10" s="52"/>
      <c r="AP10" s="52"/>
      <c r="AQ10" s="52"/>
      <c r="AR10" s="52"/>
      <c r="AS10" s="52"/>
      <c r="AT10" s="52"/>
      <c r="AU10" s="52"/>
      <c r="AV10" s="52"/>
      <c r="AW10" s="52"/>
    </row>
    <row r="11" spans="1:49" ht="20" customHeight="1">
      <c r="A11" s="750" t="s">
        <v>847</v>
      </c>
      <c r="B11" s="751"/>
      <c r="C11" s="751"/>
      <c r="D11" s="751"/>
      <c r="E11" s="751"/>
      <c r="F11" s="751"/>
      <c r="G11" s="751"/>
      <c r="H11" s="751"/>
      <c r="I11" s="751"/>
      <c r="J11" s="751"/>
      <c r="K11" s="751"/>
      <c r="L11" s="751"/>
      <c r="M11" s="751"/>
      <c r="N11" s="751"/>
      <c r="O11" s="751"/>
      <c r="P11" s="751"/>
      <c r="Q11" s="751"/>
      <c r="R11" s="751"/>
      <c r="S11" s="7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W11" s="52"/>
    </row>
    <row r="12" spans="1:49" ht="33" customHeight="1">
      <c r="A12" s="747" t="str">
        <f>V12</f>
        <v>1.3.2 Showed respect for other cultures and appreciated cultral differnces amongst colleagues and customers.</v>
      </c>
      <c r="B12" s="748"/>
      <c r="C12" s="748"/>
      <c r="D12" s="748"/>
      <c r="E12" s="748"/>
      <c r="F12" s="748"/>
      <c r="G12" s="748"/>
      <c r="H12" s="748"/>
      <c r="I12" s="748"/>
      <c r="J12" s="748"/>
      <c r="K12" s="748"/>
      <c r="L12" s="748"/>
      <c r="M12" s="748"/>
      <c r="N12" s="748"/>
      <c r="O12" s="748"/>
      <c r="P12" s="748"/>
      <c r="Q12" s="748"/>
      <c r="R12" s="748"/>
      <c r="S12" s="749"/>
      <c r="U12" s="526">
        <f>Report!BJ17</f>
        <v>98.99</v>
      </c>
      <c r="V12" s="571" t="str">
        <f>IF(U12&lt;=79.99,"1.3.4 Talks about or behaves in a way which is disrespectful of others. Does not interact with colleagues of other cultures. ",IF(U12&lt;=89.99,"1.3.3  Could demonstrate more awarness/consideration of cultural differences. ",IF(U12&lt;=98.99,"1.3.2 Showed respect for other cultures and appreciated cultral differnces amongst colleagues and customers.",IF(U12&lt;=100, "1.3.1 Proactively used knowledge of different cultures and language skills to enhance the customer experience."))))</f>
        <v>1.3.2 Showed respect for other cultures and appreciated cultral differnces amongst colleagues and customers.</v>
      </c>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W12" s="52"/>
    </row>
    <row r="13" spans="1:49" ht="20" customHeight="1">
      <c r="A13" s="750" t="s">
        <v>848</v>
      </c>
      <c r="B13" s="751"/>
      <c r="C13" s="751"/>
      <c r="D13" s="751"/>
      <c r="E13" s="751"/>
      <c r="F13" s="751"/>
      <c r="G13" s="751"/>
      <c r="H13" s="751"/>
      <c r="I13" s="751"/>
      <c r="J13" s="751"/>
      <c r="K13" s="751"/>
      <c r="L13" s="751"/>
      <c r="M13" s="751"/>
      <c r="N13" s="751"/>
      <c r="O13" s="751"/>
      <c r="P13" s="751"/>
      <c r="Q13" s="751"/>
      <c r="R13" s="751"/>
      <c r="S13" s="7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c r="AV13" s="52"/>
      <c r="AW13" s="52"/>
    </row>
    <row r="14" spans="1:49" ht="33" customHeight="1">
      <c r="A14" s="747" t="str">
        <f>V14</f>
        <v>1.4.2 Planned, prioritised and managed workload effectively in the galley and/or the cabin. Was punctual throughout the course.</v>
      </c>
      <c r="B14" s="748"/>
      <c r="C14" s="748"/>
      <c r="D14" s="748"/>
      <c r="E14" s="748"/>
      <c r="F14" s="748"/>
      <c r="G14" s="748"/>
      <c r="H14" s="748"/>
      <c r="I14" s="748"/>
      <c r="J14" s="748"/>
      <c r="K14" s="748"/>
      <c r="L14" s="748"/>
      <c r="M14" s="748"/>
      <c r="N14" s="748"/>
      <c r="O14" s="748"/>
      <c r="P14" s="748"/>
      <c r="Q14" s="748"/>
      <c r="R14" s="748"/>
      <c r="S14" s="749"/>
      <c r="U14" s="526">
        <f>Report!BJ22</f>
        <v>98.99</v>
      </c>
      <c r="V14" s="571" t="str">
        <f>IF(U14&lt;=79.99,"1.4.4 Reported late for duty or without required elements. ",IF(U14&lt;=89.99,"1.4.3 Encouraged to show more initiative in performing various duties and to manage time more effectively. ",IF(U14&lt;=98.99,"1.4.2 Planned, prioritised and managed workload effectively in the galley and/or the cabin. Was punctual throughout the course.",IF(U14&lt;=100, "1.4.1 Anticipated challenges and put plans in place to overcome them. Adjusted and adapted quickly to changes when needed."))))</f>
        <v>1.4.2 Planned, prioritised and managed workload effectively in the galley and/or the cabin. Was punctual throughout the course.</v>
      </c>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W14" s="52"/>
    </row>
    <row r="15" spans="1:49" ht="20" customHeight="1">
      <c r="A15" s="750" t="s">
        <v>849</v>
      </c>
      <c r="B15" s="751"/>
      <c r="C15" s="751"/>
      <c r="D15" s="751"/>
      <c r="E15" s="751"/>
      <c r="F15" s="751"/>
      <c r="G15" s="751"/>
      <c r="H15" s="751"/>
      <c r="I15" s="751"/>
      <c r="J15" s="751"/>
      <c r="K15" s="751"/>
      <c r="L15" s="751"/>
      <c r="M15" s="751"/>
      <c r="N15" s="751"/>
      <c r="O15" s="751"/>
      <c r="P15" s="751"/>
      <c r="Q15" s="751"/>
      <c r="R15" s="751"/>
      <c r="S15" s="752"/>
      <c r="T15" s="379"/>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row>
    <row r="16" spans="1:49" ht="33" customHeight="1">
      <c r="A16" s="747" t="str">
        <f>V16</f>
        <v>1.5.2 Ensured own work was complete and correct. Fixed any mistakes promptly. Demonstrated good attention to detail.</v>
      </c>
      <c r="B16" s="748"/>
      <c r="C16" s="748"/>
      <c r="D16" s="748"/>
      <c r="E16" s="748"/>
      <c r="F16" s="748"/>
      <c r="G16" s="748"/>
      <c r="H16" s="748"/>
      <c r="I16" s="748"/>
      <c r="J16" s="748"/>
      <c r="K16" s="748"/>
      <c r="L16" s="748"/>
      <c r="M16" s="748"/>
      <c r="N16" s="748"/>
      <c r="O16" s="748"/>
      <c r="P16" s="748"/>
      <c r="Q16" s="748"/>
      <c r="R16" s="748"/>
      <c r="S16" s="749"/>
      <c r="T16" s="379"/>
      <c r="U16" s="526">
        <f>Report!BJ27</f>
        <v>98.99</v>
      </c>
      <c r="V16" s="571" t="str">
        <f>IF(U16&lt;=79.99,"1.5.4 Missed many details or often repeated errors. Did not attempt to correct shortfalls that were highlighted to them.",IF(U16&lt;=89.99,"1.5.3  Needs to ensure details are not missed or errors aren’t repeated. Attempted to correct highlighted shortfalls.",IF(U16&lt;=98.99,"1.5.2 Ensured own work was complete and correct. Fixed any mistakes promptly. Demonstrated good attention to detail.",IF(U16&lt;=100,"1.5.1 Excellent attention to detail. Kept standard and quality of work high even when workload was heavy or complex."))))</f>
        <v>1.5.2 Ensured own work was complete and correct. Fixed any mistakes promptly. Demonstrated good attention to detail.</v>
      </c>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row>
    <row r="17" spans="1:49" ht="20" customHeight="1">
      <c r="A17" s="759" t="s">
        <v>837</v>
      </c>
      <c r="B17" s="760"/>
      <c r="C17" s="760"/>
      <c r="D17" s="760"/>
      <c r="E17" s="760"/>
      <c r="F17" s="760"/>
      <c r="G17" s="760"/>
      <c r="H17" s="760"/>
      <c r="I17" s="760"/>
      <c r="J17" s="760"/>
      <c r="K17" s="760"/>
      <c r="L17" s="760"/>
      <c r="M17" s="760"/>
      <c r="N17" s="760"/>
      <c r="O17" s="760"/>
      <c r="P17" s="760"/>
      <c r="Q17" s="760"/>
      <c r="R17" s="760"/>
      <c r="S17" s="761"/>
      <c r="T17" s="379"/>
      <c r="U17" s="122"/>
      <c r="V17" s="118"/>
      <c r="W17" s="118"/>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52"/>
      <c r="AU17" s="52"/>
      <c r="AV17" s="52"/>
      <c r="AW17" s="52"/>
    </row>
    <row r="18" spans="1:49" ht="20" customHeight="1">
      <c r="A18" s="753" t="str">
        <f>V18</f>
        <v>1.1 Met expectations: Approached the training in a positive and enthusiastic way.</v>
      </c>
      <c r="B18" s="754"/>
      <c r="C18" s="754"/>
      <c r="D18" s="754"/>
      <c r="E18" s="754"/>
      <c r="F18" s="754"/>
      <c r="G18" s="754"/>
      <c r="H18" s="754"/>
      <c r="I18" s="754"/>
      <c r="J18" s="754"/>
      <c r="K18" s="754"/>
      <c r="L18" s="754"/>
      <c r="M18" s="754"/>
      <c r="N18" s="754"/>
      <c r="O18" s="754"/>
      <c r="P18" s="754"/>
      <c r="Q18" s="754"/>
      <c r="R18" s="754"/>
      <c r="S18" s="755"/>
      <c r="T18" s="379"/>
      <c r="U18" s="122"/>
      <c r="V18" s="572" t="str">
        <f>IF(U8&lt;=79.99," 1.1 Did not meet expectations: Must approach the training in a positive and enthusiastic way.",IF(U8&lt;=89.99,"1.1 Did not consistently meet expectations: Needs to consistently approach the training in a positive and enthusiastic way.",IF(U8&lt;=98.99,"1.1 Met expectations: Approached the training in a positive and enthusiastic way.",IF(U8&lt;=100,"1.1 Met and exceeded expectations: Consistently approached the training in a positive and enthusiastic way."))))</f>
        <v>1.1 Met expectations: Approached the training in a positive and enthusiastic way.</v>
      </c>
      <c r="W18" s="118"/>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52"/>
      <c r="AU18" s="52"/>
      <c r="AV18" s="52"/>
      <c r="AW18" s="52"/>
    </row>
    <row r="19" spans="1:49" ht="20" customHeight="1">
      <c r="A19" s="753" t="str">
        <f>V19</f>
        <v>1.2 Met expectations:  Remained calm under pressure by showing flexibility when facing challenging situations.</v>
      </c>
      <c r="B19" s="754"/>
      <c r="C19" s="754"/>
      <c r="D19" s="754"/>
      <c r="E19" s="754"/>
      <c r="F19" s="754"/>
      <c r="G19" s="754"/>
      <c r="H19" s="754"/>
      <c r="I19" s="754"/>
      <c r="J19" s="754"/>
      <c r="K19" s="754"/>
      <c r="L19" s="754"/>
      <c r="M19" s="754"/>
      <c r="N19" s="754"/>
      <c r="O19" s="754"/>
      <c r="P19" s="754"/>
      <c r="Q19" s="754"/>
      <c r="R19" s="754"/>
      <c r="S19" s="755"/>
      <c r="T19" s="379"/>
      <c r="U19" s="122"/>
      <c r="V19" s="572" t="str">
        <f>IF(U10&lt;=79.99," 1.2 Did not meet expectations: Must remain calm under pressure by showing flexibility when facing challenging situations.",IF(U10&lt;=89.99,"1.2 Did not consistently meet expectations: Needs to consistently remain calm under pressure by showing flexibility when facing challenging situations.",IF(U10&lt;=98.99,"1.2 Met expectations:  Remained calm under pressure by showing flexibility when facing challenging situations.",IF(U10&lt;=100,"1.2 Met and exceeded expectations: Consistently emained calm under pressure by showing flexibility when facing challenging situations."))))</f>
        <v>1.2 Met expectations:  Remained calm under pressure by showing flexibility when facing challenging situations.</v>
      </c>
      <c r="W19" s="118"/>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52"/>
      <c r="AU19" s="52"/>
      <c r="AV19" s="52"/>
      <c r="AW19" s="52"/>
    </row>
    <row r="20" spans="1:49" ht="20" customHeight="1">
      <c r="A20" s="753" t="str">
        <f>V20</f>
        <v>1.3 Met expectations: Demonstrated respect for other cultures and adopt a cultural sensitive approach to situations.</v>
      </c>
      <c r="B20" s="754"/>
      <c r="C20" s="754"/>
      <c r="D20" s="754"/>
      <c r="E20" s="754"/>
      <c r="F20" s="754"/>
      <c r="G20" s="754"/>
      <c r="H20" s="754"/>
      <c r="I20" s="754"/>
      <c r="J20" s="754"/>
      <c r="K20" s="754"/>
      <c r="L20" s="754"/>
      <c r="M20" s="754"/>
      <c r="N20" s="754"/>
      <c r="O20" s="754"/>
      <c r="P20" s="754"/>
      <c r="Q20" s="754"/>
      <c r="R20" s="754"/>
      <c r="S20" s="755"/>
      <c r="T20" s="379"/>
      <c r="U20" s="122"/>
      <c r="V20" s="573" t="str">
        <f>IF(U12&lt;=79.99,"1.3 Did not meet expectations: Must demonstrate respect for other cultures and adopt a cultural sensitive approach to situations.",IF(U12&lt;=89.99,"1.3 Did not consistently meet expectations: Needs to consistently demonstrate respect for other cultures and adopt a cultural sensitive approach to situations.",IF(U12&lt;=98.99,"1.3 Met expectations: Demonstrated respect for other cultures and adopt a cultural sensitive approach to situations.",IF(U12&lt;=100,"1.3 Met and exceeded expectations: Consistently demonstrated respect for other cultures and adopted a cultural sensitive approach to situations."))))</f>
        <v>1.3 Met expectations: Demonstrated respect for other cultures and adopt a cultural sensitive approach to situations.</v>
      </c>
      <c r="W20" s="118"/>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52"/>
      <c r="AU20" s="52"/>
      <c r="AV20" s="52"/>
      <c r="AW20" s="52"/>
    </row>
    <row r="21" spans="1:49" ht="20" customHeight="1">
      <c r="A21" s="753" t="str">
        <f>V21</f>
        <v>1.4 Met expectations: Arrived in classroom on time and ensured to be back from break at the agreed timings.</v>
      </c>
      <c r="B21" s="754"/>
      <c r="C21" s="754"/>
      <c r="D21" s="754"/>
      <c r="E21" s="754"/>
      <c r="F21" s="754"/>
      <c r="G21" s="754"/>
      <c r="H21" s="754"/>
      <c r="I21" s="754"/>
      <c r="J21" s="754"/>
      <c r="K21" s="754"/>
      <c r="L21" s="754"/>
      <c r="M21" s="754"/>
      <c r="N21" s="754"/>
      <c r="O21" s="754"/>
      <c r="P21" s="754"/>
      <c r="Q21" s="754"/>
      <c r="R21" s="754"/>
      <c r="S21" s="755"/>
      <c r="T21" s="379"/>
      <c r="U21" s="122"/>
      <c r="V21" s="573" t="str">
        <f>IF(U14&lt;=79.99,"1.4 Did not meet expectations: Must arrive in classroom on time and ensure to be back from break at the agreed timing.",IF(U14&lt;=89.99,"1.4 Did not consistently meet expectations: Needs to arrive in classroom on time and ensure to be back from break at the agreed timing.",IF(U14&lt;=98.99,"1.4 Met expectations: Arrived in classroom on time and ensured to be back from break at the agreed timings.",IF(U14&lt;=100,"1.4 Met and exceeded expectations: Consistently arrived in classroom on time and ensured to be back from break at the agreed timing."))))</f>
        <v>1.4 Met expectations: Arrived in classroom on time and ensured to be back from break at the agreed timings.</v>
      </c>
      <c r="W21" s="118"/>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52"/>
      <c r="AU21" s="52"/>
      <c r="AV21" s="52"/>
      <c r="AW21" s="52"/>
    </row>
    <row r="22" spans="1:49" ht="20" customHeight="1">
      <c r="A22" s="756" t="str">
        <f>V22</f>
        <v>1.5 Met expectations: maintained a high standard of work by ensuring attention to detail.</v>
      </c>
      <c r="B22" s="757"/>
      <c r="C22" s="757"/>
      <c r="D22" s="757"/>
      <c r="E22" s="757"/>
      <c r="F22" s="757"/>
      <c r="G22" s="757"/>
      <c r="H22" s="757"/>
      <c r="I22" s="757"/>
      <c r="J22" s="757"/>
      <c r="K22" s="757"/>
      <c r="L22" s="757"/>
      <c r="M22" s="757"/>
      <c r="N22" s="757"/>
      <c r="O22" s="757"/>
      <c r="P22" s="757"/>
      <c r="Q22" s="757"/>
      <c r="R22" s="757"/>
      <c r="S22" s="758"/>
      <c r="T22" s="379"/>
      <c r="U22" s="122"/>
      <c r="V22" s="573" t="str">
        <f>IF(U16&lt;=79.99,"1.5  Did not meet expectations: Must maintain a high standard of work by ensuring attention to detail.",IF(U16&lt;=89.99,"1.5 Did not consistently meet expectations: Needs to consistently maintain a high standard of work by ensuring attention to detail.",IF(U16&lt;=98.99,"1.5 Met expectations: maintained a high standard of work by ensuring attention to detail.",IF(U16&lt;=100, "1.5 Met and exceeded expectations: Consistently maintained a high standard of work by ensuring attention to detail."))))</f>
        <v>1.5 Met expectations: maintained a high standard of work by ensuring attention to detail.</v>
      </c>
      <c r="W22" s="118"/>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52"/>
      <c r="AU22" s="52"/>
      <c r="AV22" s="52"/>
      <c r="AW22" s="52"/>
    </row>
    <row r="23" spans="1:49" ht="40" customHeight="1">
      <c r="A23" s="762"/>
      <c r="B23" s="763"/>
      <c r="C23" s="763"/>
      <c r="D23" s="763"/>
      <c r="E23" s="763"/>
      <c r="F23" s="763"/>
      <c r="G23" s="763"/>
      <c r="H23" s="763"/>
      <c r="I23" s="763"/>
      <c r="J23" s="763"/>
      <c r="K23" s="763"/>
      <c r="L23" s="763"/>
      <c r="M23" s="763"/>
      <c r="N23" s="763"/>
      <c r="O23" s="763"/>
      <c r="P23" s="763"/>
      <c r="Q23" s="763"/>
      <c r="R23" s="763"/>
      <c r="S23" s="764"/>
      <c r="T23" s="379"/>
      <c r="U23" s="122"/>
      <c r="V23" s="528"/>
      <c r="W23" s="118"/>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52"/>
      <c r="AU23" s="52"/>
      <c r="AV23" s="52"/>
      <c r="AW23" s="52"/>
    </row>
    <row r="24" spans="1:49" ht="25" customHeight="1">
      <c r="A24" s="535"/>
      <c r="B24" s="780" t="s">
        <v>608</v>
      </c>
      <c r="C24" s="780"/>
      <c r="D24" s="780"/>
      <c r="E24" s="780"/>
      <c r="F24" s="780"/>
      <c r="G24" s="780"/>
      <c r="H24" s="780"/>
      <c r="I24" s="780"/>
      <c r="J24" s="780"/>
      <c r="K24" s="780"/>
      <c r="L24" s="780"/>
      <c r="M24" s="780"/>
      <c r="N24" s="780"/>
      <c r="O24" s="780"/>
      <c r="P24" s="780"/>
      <c r="Q24" s="780"/>
      <c r="R24" s="780"/>
      <c r="S24" s="781"/>
      <c r="T24" s="379"/>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row>
    <row r="25" spans="1:49" ht="20" customHeight="1">
      <c r="A25" s="750" t="s">
        <v>854</v>
      </c>
      <c r="B25" s="751"/>
      <c r="C25" s="751"/>
      <c r="D25" s="751"/>
      <c r="E25" s="751"/>
      <c r="F25" s="751"/>
      <c r="G25" s="751"/>
      <c r="H25" s="751"/>
      <c r="I25" s="751"/>
      <c r="J25" s="751"/>
      <c r="K25" s="751"/>
      <c r="L25" s="751"/>
      <c r="M25" s="751"/>
      <c r="N25" s="751"/>
      <c r="O25" s="751"/>
      <c r="P25" s="751"/>
      <c r="Q25" s="751"/>
      <c r="R25" s="751"/>
      <c r="S25" s="752"/>
      <c r="T25" s="379"/>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row>
    <row r="26" spans="1:49" ht="33" customHeight="1">
      <c r="A26" s="747" t="str">
        <f>V26</f>
        <v xml:space="preserve">2.1.2 Greeted and welcomed customers on-board. Was friendly, smiling and initiated conversation with customers. Ensured customers were comfortable throughout their flight. </v>
      </c>
      <c r="B26" s="748"/>
      <c r="C26" s="748"/>
      <c r="D26" s="748"/>
      <c r="E26" s="748"/>
      <c r="F26" s="748"/>
      <c r="G26" s="748"/>
      <c r="H26" s="748"/>
      <c r="I26" s="748"/>
      <c r="J26" s="748"/>
      <c r="K26" s="748"/>
      <c r="L26" s="748"/>
      <c r="M26" s="748"/>
      <c r="N26" s="748"/>
      <c r="O26" s="748"/>
      <c r="P26" s="748"/>
      <c r="Q26" s="748"/>
      <c r="R26" s="748"/>
      <c r="S26" s="749"/>
      <c r="T26" s="379"/>
      <c r="U26" s="526">
        <f>Report!BJ35</f>
        <v>98.99</v>
      </c>
      <c r="V26" s="573" t="str">
        <f>IF(U26&lt;=79.99,"2.1.4 Dismissive, abrupt or insincere with customers. Creates a negative first impression.",IF(U26&lt;=89.99,"2.1.3 Needs to ensure customers feel welcome and comfortable by engaging in conversation with them and smiling.",IF(U26&lt;=98.99,"2.1.2 Greeted and welcomed customers on-board. Was friendly, smiling and initiated conversation with customers. Ensured customers were comfortable throughout their flight. ",IF(U26&lt;=100,"2.1.1 Built strong rapport with customers. Made exceptional effort to engage with customers and inspired others in customer care."))))</f>
        <v xml:space="preserve">2.1.2 Greeted and welcomed customers on-board. Was friendly, smiling and initiated conversation with customers. Ensured customers were comfortable throughout their flight. </v>
      </c>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row>
    <row r="27" spans="1:49" ht="20" customHeight="1">
      <c r="A27" s="750" t="s">
        <v>855</v>
      </c>
      <c r="B27" s="751"/>
      <c r="C27" s="751"/>
      <c r="D27" s="751"/>
      <c r="E27" s="751"/>
      <c r="F27" s="751"/>
      <c r="G27" s="751"/>
      <c r="H27" s="751"/>
      <c r="I27" s="751"/>
      <c r="J27" s="751"/>
      <c r="K27" s="751"/>
      <c r="L27" s="751"/>
      <c r="M27" s="751"/>
      <c r="N27" s="751"/>
      <c r="O27" s="751"/>
      <c r="P27" s="751"/>
      <c r="Q27" s="751"/>
      <c r="R27" s="751"/>
      <c r="S27" s="752"/>
      <c r="T27" s="379"/>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W27" s="52"/>
    </row>
    <row r="28" spans="1:49" ht="33" customHeight="1">
      <c r="A28" s="747" t="str">
        <f>V28</f>
        <v xml:space="preserve">2.2.2 Available and active in the cabin. Checked cabin and lavatories to ensure customer comfort. Anticipated customer needs and was proactive in looking and finding ways to help them. </v>
      </c>
      <c r="B28" s="748"/>
      <c r="C28" s="748"/>
      <c r="D28" s="748"/>
      <c r="E28" s="748"/>
      <c r="F28" s="748"/>
      <c r="G28" s="748"/>
      <c r="H28" s="748"/>
      <c r="I28" s="748"/>
      <c r="J28" s="748"/>
      <c r="K28" s="748"/>
      <c r="L28" s="748"/>
      <c r="M28" s="748"/>
      <c r="N28" s="748"/>
      <c r="O28" s="748"/>
      <c r="P28" s="748"/>
      <c r="Q28" s="748"/>
      <c r="R28" s="748"/>
      <c r="S28" s="749"/>
      <c r="T28" s="379"/>
      <c r="U28" s="526">
        <f>Report!BJ40</f>
        <v>98.99</v>
      </c>
      <c r="V28" s="573" t="str">
        <f>IF(U28&lt;=79.99,"2.2.4  Avoids spending time in the cabin with customers. Appears indifferent to customer needs.",IF(U28&lt;=89.99,"2.2.3  Could be more attentive to customer needs eg: those travelling with children; replenishing drinks; being more present in the cabin.",IF(U28&lt;=98.99,"2.2.2 Available and active in the cabin. Checked cabin and lavatories to ensure customer comfort. Anticipated customer needs and was proactive in looking and finding ways to help them. ",IF(U28&lt;=100, "2.2.1 Used their initiative and found ways and opportunities to really exceed customer expectations and enhance their overall experience."))))</f>
        <v xml:space="preserve">2.2.2 Available and active in the cabin. Checked cabin and lavatories to ensure customer comfort. Anticipated customer needs and was proactive in looking and finding ways to help them. </v>
      </c>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row>
    <row r="29" spans="1:49" ht="20" customHeight="1">
      <c r="A29" s="750" t="s">
        <v>856</v>
      </c>
      <c r="B29" s="751"/>
      <c r="C29" s="751"/>
      <c r="D29" s="751"/>
      <c r="E29" s="751"/>
      <c r="F29" s="751"/>
      <c r="G29" s="751"/>
      <c r="H29" s="751"/>
      <c r="I29" s="751"/>
      <c r="J29" s="751"/>
      <c r="K29" s="751"/>
      <c r="L29" s="751"/>
      <c r="M29" s="751"/>
      <c r="N29" s="751"/>
      <c r="O29" s="751"/>
      <c r="P29" s="751"/>
      <c r="Q29" s="751"/>
      <c r="R29" s="751"/>
      <c r="S29" s="752"/>
      <c r="T29" s="379"/>
      <c r="U29" s="52"/>
      <c r="V29" s="528"/>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W29" s="52"/>
    </row>
    <row r="30" spans="1:49" ht="33" customHeight="1">
      <c r="A30" s="747" t="str">
        <f>V30</f>
        <v xml:space="preserve">2.3.2 Helpful and prompt in response to customer requests. Flexible and offered alternatives when needs could not be met. Made effort to resolve customer concerns or complaints. </v>
      </c>
      <c r="B30" s="748"/>
      <c r="C30" s="748"/>
      <c r="D30" s="748"/>
      <c r="E30" s="748"/>
      <c r="F30" s="748"/>
      <c r="G30" s="748"/>
      <c r="H30" s="748"/>
      <c r="I30" s="748"/>
      <c r="J30" s="748"/>
      <c r="K30" s="748"/>
      <c r="L30" s="748"/>
      <c r="M30" s="748"/>
      <c r="N30" s="748"/>
      <c r="O30" s="748"/>
      <c r="P30" s="748"/>
      <c r="Q30" s="748"/>
      <c r="R30" s="748"/>
      <c r="S30" s="749"/>
      <c r="T30" s="379"/>
      <c r="U30" s="526">
        <f>Report!BJ45</f>
        <v>98.99</v>
      </c>
      <c r="V30" s="573" t="str">
        <f>IF(U30&lt;=79.99,"2.3.4 Did not identify or acknowledge customer requests.",IF(U30&lt;=89.99,"2.3.3 Not always responsive to call bells and/or customer requests. Had to be repeatedly reminded to assist customers.",IF(U30&lt;=98.99,"2.3.2 Helpful and prompt in response to customer requests. Flexible and offered alternatives when needs could not be met. Made effort to resolve customer concerns or complaints. ",IF(U30&lt;=100, "2.3.1 Demonstrated exceptional effort in response to challenging customer needs or requests. Able to deal with difficult customer complaints; provided solutions and ensured follow up."))))</f>
        <v xml:space="preserve">2.3.2 Helpful and prompt in response to customer requests. Flexible and offered alternatives when needs could not be met. Made effort to resolve customer concerns or complaints. </v>
      </c>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row>
    <row r="31" spans="1:49" ht="20" customHeight="1">
      <c r="A31" s="750" t="s">
        <v>857</v>
      </c>
      <c r="B31" s="751"/>
      <c r="C31" s="751"/>
      <c r="D31" s="751"/>
      <c r="E31" s="751"/>
      <c r="F31" s="751"/>
      <c r="G31" s="751"/>
      <c r="H31" s="751"/>
      <c r="I31" s="751"/>
      <c r="J31" s="751"/>
      <c r="K31" s="751"/>
      <c r="L31" s="751"/>
      <c r="M31" s="751"/>
      <c r="N31" s="751"/>
      <c r="O31" s="751"/>
      <c r="P31" s="751"/>
      <c r="Q31" s="751"/>
      <c r="R31" s="751"/>
      <c r="S31" s="752"/>
      <c r="T31" s="379"/>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W31" s="52"/>
    </row>
    <row r="32" spans="1:49" ht="33" customHeight="1">
      <c r="A32" s="747" t="str">
        <f>V32</f>
        <v xml:space="preserve">2.4.2 Ensured service style was confident and professional. Used correct service phrases. Was aware of noise made in the galley and cabin and worked to minimise this. </v>
      </c>
      <c r="B32" s="748"/>
      <c r="C32" s="748"/>
      <c r="D32" s="748"/>
      <c r="E32" s="748"/>
      <c r="F32" s="748"/>
      <c r="G32" s="748"/>
      <c r="H32" s="748"/>
      <c r="I32" s="748"/>
      <c r="J32" s="748"/>
      <c r="K32" s="748"/>
      <c r="L32" s="748"/>
      <c r="M32" s="748"/>
      <c r="N32" s="748"/>
      <c r="O32" s="748"/>
      <c r="P32" s="748"/>
      <c r="Q32" s="748"/>
      <c r="R32" s="748"/>
      <c r="S32" s="749"/>
      <c r="T32" s="379"/>
      <c r="U32" s="526">
        <f>Report!BJ50</f>
        <v>98.99</v>
      </c>
      <c r="V32" s="573" t="str">
        <f>IF(U32&lt;=79.99,"2.4.4 Presented service awkwardly. Appears clumsy when handling service items.",IF(U32&lt;=89.99,"2.4.3 Needs to ensure service style and presentation is confident and professional. Had some shortfalls.",IF(U32&lt;=98.99,"2.4.2 Ensured service style was confident and professional. Used correct service phrases. Was aware of noise made in the galley and cabin and worked to minimise this. ",IF(U32&lt;=100, "2.4.1 Demonstrated a detailed awareness of service and presentation. Was able to make personal recommendations. Delivered service with style and finesse."))))</f>
        <v xml:space="preserve">2.4.2 Ensured service style was confident and professional. Used correct service phrases. Was aware of noise made in the galley and cabin and worked to minimise this. </v>
      </c>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row>
    <row r="33" spans="1:49" ht="20" customHeight="1">
      <c r="A33" s="759" t="s">
        <v>837</v>
      </c>
      <c r="B33" s="760"/>
      <c r="C33" s="760"/>
      <c r="D33" s="760"/>
      <c r="E33" s="760"/>
      <c r="F33" s="760"/>
      <c r="G33" s="760"/>
      <c r="H33" s="760"/>
      <c r="I33" s="760"/>
      <c r="J33" s="760"/>
      <c r="K33" s="760"/>
      <c r="L33" s="760"/>
      <c r="M33" s="760"/>
      <c r="N33" s="760"/>
      <c r="O33" s="760"/>
      <c r="P33" s="760"/>
      <c r="Q33" s="760"/>
      <c r="R33" s="760"/>
      <c r="S33" s="761"/>
      <c r="U33" s="118"/>
      <c r="V33" s="118"/>
      <c r="W33" s="118"/>
      <c r="X33" s="122"/>
      <c r="Y33" s="122"/>
      <c r="Z33" s="122"/>
      <c r="AA33" s="122"/>
      <c r="AB33" s="122"/>
      <c r="AC33" s="122"/>
      <c r="AD33" s="122"/>
      <c r="AE33" s="122"/>
      <c r="AF33" s="122"/>
      <c r="AG33" s="122"/>
      <c r="AH33" s="122"/>
      <c r="AI33" s="122"/>
      <c r="AJ33" s="122"/>
      <c r="AK33" s="122"/>
      <c r="AL33" s="122"/>
      <c r="AM33" s="122"/>
      <c r="AN33" s="122"/>
      <c r="AO33" s="122"/>
      <c r="AP33" s="122"/>
      <c r="AQ33" s="122"/>
      <c r="AR33" s="52"/>
      <c r="AS33" s="52"/>
      <c r="AT33" s="52"/>
      <c r="AU33" s="52"/>
      <c r="AV33" s="52"/>
      <c r="AW33" s="52"/>
    </row>
    <row r="34" spans="1:49" ht="20" customHeight="1">
      <c r="A34" s="753" t="str">
        <f>V34</f>
        <v>2.1 Met expectations: Built relationship with customers by creating an environment that was welcoming and comfortable.</v>
      </c>
      <c r="B34" s="754"/>
      <c r="C34" s="754"/>
      <c r="D34" s="754"/>
      <c r="E34" s="754"/>
      <c r="F34" s="754"/>
      <c r="G34" s="754"/>
      <c r="H34" s="754"/>
      <c r="I34" s="754"/>
      <c r="J34" s="754"/>
      <c r="K34" s="754"/>
      <c r="L34" s="754"/>
      <c r="M34" s="754"/>
      <c r="N34" s="754"/>
      <c r="O34" s="754"/>
      <c r="P34" s="754"/>
      <c r="Q34" s="754"/>
      <c r="R34" s="754"/>
      <c r="S34" s="755"/>
      <c r="U34" s="118"/>
      <c r="V34" s="573" t="str">
        <f>IF(U26&lt;=79.99,"2.1 Did not meet expectations: Must build relationship with customers by creating an environment that was welcoming and comfortable.",IF(U26&lt;=89.99,"2.1 Did not consistently meet expectations: Needs to consistently build relationship with customers by creating an environment that was welcoming and comfortable. ",IF(U26&lt;=98.99,"2.1 Met expectations: Built relationship with customers by creating an environment that was welcoming and comfortable.",IF(U26&lt;=100,"2.1 Met and exceeded expectations: Consistently built relationship with customers by creating an environment that was welcoming and comfortable."))))</f>
        <v>2.1 Met expectations: Built relationship with customers by creating an environment that was welcoming and comfortable.</v>
      </c>
      <c r="W34" s="118"/>
      <c r="X34" s="122"/>
      <c r="Y34" s="122"/>
      <c r="Z34" s="122"/>
      <c r="AA34" s="122"/>
      <c r="AB34" s="122"/>
      <c r="AC34" s="122"/>
      <c r="AD34" s="122"/>
      <c r="AE34" s="122"/>
      <c r="AF34" s="122"/>
      <c r="AG34" s="122"/>
      <c r="AH34" s="122"/>
      <c r="AI34" s="122"/>
      <c r="AJ34" s="122"/>
      <c r="AK34" s="122"/>
      <c r="AL34" s="122"/>
      <c r="AM34" s="122"/>
      <c r="AN34" s="122"/>
      <c r="AO34" s="122"/>
      <c r="AP34" s="122"/>
      <c r="AQ34" s="122"/>
      <c r="AR34" s="52"/>
      <c r="AS34" s="52"/>
      <c r="AT34" s="52"/>
      <c r="AU34" s="52"/>
      <c r="AV34" s="52"/>
      <c r="AW34" s="52"/>
    </row>
    <row r="35" spans="1:49" ht="20" customHeight="1">
      <c r="A35" s="753" t="str">
        <f>V35</f>
        <v>2.2 Met expectations: Anticipated customers’ needs and looked for ways to enhance their experience on board.</v>
      </c>
      <c r="B35" s="754"/>
      <c r="C35" s="754"/>
      <c r="D35" s="754"/>
      <c r="E35" s="754"/>
      <c r="F35" s="754"/>
      <c r="G35" s="754"/>
      <c r="H35" s="754"/>
      <c r="I35" s="754"/>
      <c r="J35" s="754"/>
      <c r="K35" s="754"/>
      <c r="L35" s="754"/>
      <c r="M35" s="754"/>
      <c r="N35" s="754"/>
      <c r="O35" s="754"/>
      <c r="P35" s="754"/>
      <c r="Q35" s="754"/>
      <c r="R35" s="754"/>
      <c r="S35" s="755"/>
      <c r="U35" s="118"/>
      <c r="V35" s="573" t="str">
        <f>IF(U28&lt;=79.99,"2.2 Did not meet expectations: Must anticipate customers’ needs and look for ways to enhance their experience on board.",IF(U28&lt;=89.99,"2.2 Did not consistently meet expectations: Needs to consistently anticipate customers’ needs and look for ways to enhance their experience on board. ",IF(U28&lt;=98.99,"2.2 Met expectations: Anticipated customers’ needs and looked for ways to enhance their experience on board.",IF(U28&lt;=100,"2.2 Met and exceeded expectations: Consistently anticipated customers’ needs and looked for ways to enhance their experience on board."))))</f>
        <v>2.2 Met expectations: Anticipated customers’ needs and looked for ways to enhance their experience on board.</v>
      </c>
      <c r="W35" s="118"/>
      <c r="X35" s="122"/>
      <c r="Y35" s="122"/>
      <c r="Z35" s="122"/>
      <c r="AA35" s="122"/>
      <c r="AB35" s="122"/>
      <c r="AC35" s="122"/>
      <c r="AD35" s="122"/>
      <c r="AE35" s="122"/>
      <c r="AF35" s="122"/>
      <c r="AG35" s="122"/>
      <c r="AH35" s="122"/>
      <c r="AI35" s="122"/>
      <c r="AJ35" s="122"/>
      <c r="AK35" s="122"/>
      <c r="AL35" s="122"/>
      <c r="AM35" s="122"/>
      <c r="AN35" s="122"/>
      <c r="AO35" s="122"/>
      <c r="AP35" s="122"/>
      <c r="AQ35" s="122"/>
      <c r="AR35" s="52"/>
      <c r="AS35" s="52"/>
      <c r="AT35" s="52"/>
      <c r="AU35" s="52"/>
      <c r="AV35" s="52"/>
      <c r="AW35" s="52"/>
    </row>
    <row r="36" spans="1:49" ht="20" customHeight="1">
      <c r="A36" s="753" t="str">
        <f>V36</f>
        <v>2.3 Met expectations: Provided customers with solutions and ensured follow up upon their requests.</v>
      </c>
      <c r="B36" s="754"/>
      <c r="C36" s="754"/>
      <c r="D36" s="754"/>
      <c r="E36" s="754"/>
      <c r="F36" s="754"/>
      <c r="G36" s="754"/>
      <c r="H36" s="754"/>
      <c r="I36" s="754"/>
      <c r="J36" s="754"/>
      <c r="K36" s="754"/>
      <c r="L36" s="754"/>
      <c r="M36" s="754"/>
      <c r="N36" s="754"/>
      <c r="O36" s="754"/>
      <c r="P36" s="754"/>
      <c r="Q36" s="754"/>
      <c r="R36" s="754"/>
      <c r="S36" s="755"/>
      <c r="U36" s="118"/>
      <c r="V36" s="573" t="str">
        <f>IF(U30&lt;=79.99,"2.3 Did not meet expectations: Must provide customers with solutions and follow up.",IF(U30&lt;=89.99,"2.3 Did not consistently meet expectations: Needs to consistently provide customers with solutions and follow up. ",IF(U30&lt;=98.99,"2.3 Met expectations: Provided customers with solutions and ensured follow up upon their requests.",IF(U30&lt;=100,"2.3 Met and exceeded expectations: Consistently provided customers with solutions and ensured follow up upon their requests."))))</f>
        <v>2.3 Met expectations: Provided customers with solutions and ensured follow up upon their requests.</v>
      </c>
      <c r="W36" s="118"/>
      <c r="X36" s="122"/>
      <c r="Y36" s="122"/>
      <c r="Z36" s="122"/>
      <c r="AA36" s="122"/>
      <c r="AB36" s="122"/>
      <c r="AC36" s="122"/>
      <c r="AD36" s="122"/>
      <c r="AE36" s="122"/>
      <c r="AF36" s="122"/>
      <c r="AG36" s="122"/>
      <c r="AH36" s="122"/>
      <c r="AI36" s="122"/>
      <c r="AJ36" s="122"/>
      <c r="AK36" s="122"/>
      <c r="AL36" s="122"/>
      <c r="AM36" s="122"/>
      <c r="AN36" s="122"/>
      <c r="AO36" s="122"/>
      <c r="AP36" s="122"/>
      <c r="AQ36" s="122"/>
      <c r="AR36" s="52"/>
      <c r="AS36" s="52"/>
      <c r="AT36" s="52"/>
      <c r="AU36" s="52"/>
      <c r="AV36" s="52"/>
      <c r="AW36" s="52"/>
    </row>
    <row r="37" spans="1:49" ht="20" customHeight="1">
      <c r="A37" s="756" t="str">
        <f>V37</f>
        <v>2.4 Met expectations: Worked in a way that reflected customers’ expectations in relation to the cabin that they are traveling in.</v>
      </c>
      <c r="B37" s="757"/>
      <c r="C37" s="757"/>
      <c r="D37" s="757"/>
      <c r="E37" s="757"/>
      <c r="F37" s="757"/>
      <c r="G37" s="757"/>
      <c r="H37" s="757"/>
      <c r="I37" s="757"/>
      <c r="J37" s="757"/>
      <c r="K37" s="757"/>
      <c r="L37" s="757"/>
      <c r="M37" s="757"/>
      <c r="N37" s="757"/>
      <c r="O37" s="757"/>
      <c r="P37" s="757"/>
      <c r="Q37" s="757"/>
      <c r="R37" s="757"/>
      <c r="S37" s="758"/>
      <c r="U37" s="118"/>
      <c r="V37" s="573" t="str">
        <f>IF(U32&lt;=79.99,"2.4  Did not meet expectations: Must work in a way that reflects customers’ expectations in relation to the cabin that they are traveling in.",IF(U32&lt;=89.99,"2.4 Did not consistently meet expectations: Needs to consistently work in a way that reflects customers’ expectations in relation to the cabin that they are traveling in. ", IF(U32&lt;=98.99, "2.4 Met expectations: Worked in a way that reflected customers’ expectations in relation to the cabin that they are traveling in.",IF(U32&lt;=100, "2.4 Met and exceeded expectations: Consistently worked in a way that reflected customers’ expectations in relation to the cabin that they are traveling in."))))</f>
        <v>2.4 Met expectations: Worked in a way that reflected customers’ expectations in relation to the cabin that they are traveling in.</v>
      </c>
      <c r="W37" s="118"/>
      <c r="X37" s="122"/>
      <c r="Y37" s="122"/>
      <c r="Z37" s="122"/>
      <c r="AA37" s="122"/>
      <c r="AB37" s="122"/>
      <c r="AC37" s="122"/>
      <c r="AD37" s="122"/>
      <c r="AE37" s="122"/>
      <c r="AF37" s="122"/>
      <c r="AG37" s="122"/>
      <c r="AH37" s="122"/>
      <c r="AI37" s="122"/>
      <c r="AJ37" s="122"/>
      <c r="AK37" s="122"/>
      <c r="AL37" s="122"/>
      <c r="AM37" s="122"/>
      <c r="AN37" s="122"/>
      <c r="AO37" s="122"/>
      <c r="AP37" s="122"/>
      <c r="AQ37" s="122"/>
      <c r="AR37" s="52"/>
      <c r="AS37" s="52"/>
      <c r="AT37" s="52"/>
      <c r="AU37" s="52"/>
      <c r="AV37" s="52"/>
      <c r="AW37" s="52"/>
    </row>
    <row r="38" spans="1:49" ht="40" customHeight="1">
      <c r="A38" s="762"/>
      <c r="B38" s="763"/>
      <c r="C38" s="763"/>
      <c r="D38" s="763"/>
      <c r="E38" s="763"/>
      <c r="F38" s="763"/>
      <c r="G38" s="763"/>
      <c r="H38" s="763"/>
      <c r="I38" s="763"/>
      <c r="J38" s="763"/>
      <c r="K38" s="763"/>
      <c r="L38" s="763"/>
      <c r="M38" s="763"/>
      <c r="N38" s="763"/>
      <c r="O38" s="763"/>
      <c r="P38" s="763"/>
      <c r="Q38" s="763"/>
      <c r="R38" s="763"/>
      <c r="S38" s="764"/>
      <c r="T38" s="379"/>
      <c r="U38" s="118"/>
      <c r="V38" s="528"/>
      <c r="W38" s="118"/>
      <c r="X38" s="122"/>
      <c r="Y38" s="122"/>
      <c r="Z38" s="122"/>
      <c r="AA38" s="122"/>
      <c r="AB38" s="122"/>
      <c r="AC38" s="122"/>
      <c r="AD38" s="122"/>
      <c r="AE38" s="122"/>
      <c r="AF38" s="122"/>
      <c r="AG38" s="122"/>
      <c r="AH38" s="122"/>
      <c r="AI38" s="122"/>
      <c r="AJ38" s="122"/>
      <c r="AK38" s="122"/>
      <c r="AL38" s="122"/>
      <c r="AM38" s="122"/>
      <c r="AN38" s="122"/>
      <c r="AO38" s="122"/>
      <c r="AP38" s="122"/>
      <c r="AQ38" s="122"/>
      <c r="AR38" s="52"/>
      <c r="AS38" s="52"/>
      <c r="AT38" s="52"/>
      <c r="AU38" s="52"/>
      <c r="AV38" s="52"/>
      <c r="AW38" s="52"/>
    </row>
    <row r="39" spans="1:49" ht="25" customHeight="1">
      <c r="A39" s="536"/>
      <c r="B39" s="780" t="s">
        <v>609</v>
      </c>
      <c r="C39" s="780"/>
      <c r="D39" s="780"/>
      <c r="E39" s="780"/>
      <c r="F39" s="780"/>
      <c r="G39" s="780"/>
      <c r="H39" s="780"/>
      <c r="I39" s="780"/>
      <c r="J39" s="780"/>
      <c r="K39" s="780"/>
      <c r="L39" s="780"/>
      <c r="M39" s="780"/>
      <c r="N39" s="780"/>
      <c r="O39" s="780"/>
      <c r="P39" s="780"/>
      <c r="Q39" s="780"/>
      <c r="R39" s="780"/>
      <c r="S39" s="781"/>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W39" s="52"/>
    </row>
    <row r="40" spans="1:49" ht="20" customHeight="1">
      <c r="A40" s="750" t="s">
        <v>852</v>
      </c>
      <c r="B40" s="751"/>
      <c r="C40" s="751"/>
      <c r="D40" s="751"/>
      <c r="E40" s="751"/>
      <c r="F40" s="751"/>
      <c r="G40" s="751"/>
      <c r="H40" s="751"/>
      <c r="I40" s="751"/>
      <c r="J40" s="751"/>
      <c r="K40" s="751"/>
      <c r="L40" s="751"/>
      <c r="M40" s="751"/>
      <c r="N40" s="751"/>
      <c r="O40" s="751"/>
      <c r="P40" s="751"/>
      <c r="Q40" s="751"/>
      <c r="R40" s="751"/>
      <c r="S40" s="7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row>
    <row r="41" spans="1:49" ht="33" customHeight="1">
      <c r="A41" s="747" t="str">
        <f>V41</f>
        <v>3.1.2 Showed consideration to colleagues. Contributed to an enjoyable and effective working environment. Created a strong team spirit.</v>
      </c>
      <c r="B41" s="748"/>
      <c r="C41" s="748"/>
      <c r="D41" s="748"/>
      <c r="E41" s="748"/>
      <c r="F41" s="748"/>
      <c r="G41" s="748"/>
      <c r="H41" s="748"/>
      <c r="I41" s="748"/>
      <c r="J41" s="748"/>
      <c r="K41" s="748"/>
      <c r="L41" s="748"/>
      <c r="M41" s="748"/>
      <c r="N41" s="748"/>
      <c r="O41" s="748"/>
      <c r="P41" s="748"/>
      <c r="Q41" s="748"/>
      <c r="R41" s="748"/>
      <c r="S41" s="749"/>
      <c r="U41" s="526">
        <f>Report!BJ58</f>
        <v>98.99</v>
      </c>
      <c r="V41" s="573" t="str">
        <f>IF(U41&lt;=79.99,"3.1.4 Does not interact or involve others in discussions.",IF(U41&lt;=89.99,"3.1.3 Needs to ensure builds good working relationships with colleagues. Be aware not to make others feel excluded.",IF(U41&lt;=98.99,"3.1.2 Showed consideration to colleagues. Contributed to an enjoyable and effective working environment. Created a strong team spirit.",IF(U41&lt;=100,"3.1.1 Built strong relationships and/or engaged with wider teams eg. Ground staff. Provided encouragement to colleagues in challenging situations."))))</f>
        <v>3.1.2 Showed consideration to colleagues. Contributed to an enjoyable and effective working environment. Created a strong team spirit.</v>
      </c>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W41" s="52"/>
    </row>
    <row r="42" spans="1:49" ht="20" customHeight="1">
      <c r="A42" s="750" t="s">
        <v>593</v>
      </c>
      <c r="B42" s="751"/>
      <c r="C42" s="751"/>
      <c r="D42" s="751"/>
      <c r="E42" s="751"/>
      <c r="F42" s="751"/>
      <c r="G42" s="751"/>
      <c r="H42" s="751"/>
      <c r="I42" s="751"/>
      <c r="J42" s="751"/>
      <c r="K42" s="751"/>
      <c r="L42" s="751"/>
      <c r="M42" s="751"/>
      <c r="N42" s="751"/>
      <c r="O42" s="751"/>
      <c r="P42" s="751"/>
      <c r="Q42" s="751"/>
      <c r="R42" s="751"/>
      <c r="S42" s="752"/>
      <c r="U42" s="52"/>
      <c r="V42" s="528"/>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row>
    <row r="43" spans="1:49" ht="33" customHeight="1">
      <c r="A43" s="747" t="str">
        <f>V43</f>
        <v>3.2.2 Accepted an equal workload and contributed to achieving team goals. Shared experience and knowledge with colleagues. Actively supported colleagues as needed.</v>
      </c>
      <c r="B43" s="748"/>
      <c r="C43" s="748"/>
      <c r="D43" s="748"/>
      <c r="E43" s="748"/>
      <c r="F43" s="748"/>
      <c r="G43" s="748"/>
      <c r="H43" s="748"/>
      <c r="I43" s="748"/>
      <c r="J43" s="748"/>
      <c r="K43" s="748"/>
      <c r="L43" s="748"/>
      <c r="M43" s="748"/>
      <c r="N43" s="748"/>
      <c r="O43" s="748"/>
      <c r="P43" s="748"/>
      <c r="Q43" s="748"/>
      <c r="R43" s="748"/>
      <c r="S43" s="749"/>
      <c r="U43" s="526">
        <f>Report!BJ63</f>
        <v>98.99</v>
      </c>
      <c r="V43" s="573" t="str">
        <f>IF(U43&lt;=79.99,"3.2.4 Appeared to avoid taking ownership or working with others. Does not assist colleagues or acknowldge ideas of others.",IF(U43&lt;=89.99,"3.2.3 Could have worked more closely with colleagues throughout the flight. Encouraged to offer assistance to colleagues in need.",IF(U43&lt;=98.99,"3.2.2 Accepted an equal workload and contributed to achieving team goals. Shared experience and knowledge with colleagues. Actively supported colleagues as needed.",IF(U43&lt;=100,"3.2.1 Actively encouraged team work. Offered solutions to help resolve team challenges. Exceptional support to colleagues through challenging situations." ))))</f>
        <v>3.2.2 Accepted an equal workload and contributed to achieving team goals. Shared experience and knowledge with colleagues. Actively supported colleagues as needed.</v>
      </c>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W43" s="52"/>
    </row>
    <row r="44" spans="1:49" ht="20" customHeight="1">
      <c r="A44" s="750" t="s">
        <v>853</v>
      </c>
      <c r="B44" s="751"/>
      <c r="C44" s="751"/>
      <c r="D44" s="751"/>
      <c r="E44" s="751"/>
      <c r="F44" s="751"/>
      <c r="G44" s="751"/>
      <c r="H44" s="751"/>
      <c r="I44" s="751"/>
      <c r="J44" s="751"/>
      <c r="K44" s="751"/>
      <c r="L44" s="751"/>
      <c r="M44" s="751"/>
      <c r="N44" s="751"/>
      <c r="O44" s="751"/>
      <c r="P44" s="751"/>
      <c r="Q44" s="751"/>
      <c r="R44" s="751"/>
      <c r="S44" s="752"/>
      <c r="U44" s="52"/>
      <c r="V44" s="528"/>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W44" s="52"/>
    </row>
    <row r="45" spans="1:49" ht="33" customHeight="1">
      <c r="A45" s="747" t="str">
        <f>V45</f>
        <v>3.3.2 Communicated clearly, openly and appropriately with colleagues and customers. Sought clarification and guidance when unsure.</v>
      </c>
      <c r="B45" s="748"/>
      <c r="C45" s="748"/>
      <c r="D45" s="748"/>
      <c r="E45" s="748"/>
      <c r="F45" s="748"/>
      <c r="G45" s="748"/>
      <c r="H45" s="748"/>
      <c r="I45" s="748"/>
      <c r="J45" s="748"/>
      <c r="K45" s="748"/>
      <c r="L45" s="748"/>
      <c r="M45" s="748"/>
      <c r="N45" s="748"/>
      <c r="O45" s="748"/>
      <c r="P45" s="748"/>
      <c r="Q45" s="748"/>
      <c r="R45" s="748"/>
      <c r="S45" s="749"/>
      <c r="U45" s="526">
        <f>Report!BJ68</f>
        <v>98.99</v>
      </c>
      <c r="V45" s="573" t="str">
        <f>IF(U45&lt;=79.99," 3.3.4 Interrups others or does not listen to the full communication. Appears to dominate others or retain important information.",IF(U45&lt;=89.99,"3.3.3 Needs to ensure that communication is clear and appropriate.",IF(U45&lt;=98.99,"3.3.2 Communicated clearly, openly and appropriately with colleagues and customers. Sought clarification and guidance when unsure.", IF(U45&lt;=100,"3.3.1 Took a leading role in sharing and communicating with others. An inspirational communicator; able to capture and hold people’s attention."))))</f>
        <v>3.3.2 Communicated clearly, openly and appropriately with colleagues and customers. Sought clarification and guidance when unsure.</v>
      </c>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c r="AV45" s="52"/>
      <c r="AW45" s="52"/>
    </row>
    <row r="46" spans="1:49" ht="20" customHeight="1">
      <c r="A46" s="774" t="s">
        <v>837</v>
      </c>
      <c r="B46" s="775"/>
      <c r="C46" s="775"/>
      <c r="D46" s="775"/>
      <c r="E46" s="775"/>
      <c r="F46" s="775"/>
      <c r="G46" s="775"/>
      <c r="H46" s="775"/>
      <c r="I46" s="775"/>
      <c r="J46" s="775"/>
      <c r="K46" s="775"/>
      <c r="L46" s="775"/>
      <c r="M46" s="775"/>
      <c r="N46" s="775"/>
      <c r="O46" s="775"/>
      <c r="P46" s="775"/>
      <c r="Q46" s="775"/>
      <c r="R46" s="775"/>
      <c r="S46" s="776"/>
      <c r="U46" s="122"/>
      <c r="V46" s="118"/>
      <c r="W46" s="118"/>
      <c r="X46" s="122"/>
      <c r="Y46" s="122"/>
      <c r="Z46" s="122"/>
      <c r="AA46" s="122"/>
      <c r="AB46" s="122"/>
      <c r="AC46" s="122"/>
      <c r="AD46" s="122"/>
      <c r="AE46" s="122"/>
      <c r="AF46" s="122"/>
      <c r="AG46" s="122"/>
      <c r="AH46" s="122"/>
      <c r="AI46" s="122"/>
      <c r="AJ46" s="122"/>
      <c r="AK46" s="122"/>
      <c r="AL46" s="122"/>
      <c r="AM46" s="122"/>
      <c r="AN46" s="122"/>
      <c r="AO46" s="122"/>
      <c r="AP46" s="122"/>
      <c r="AQ46" s="122"/>
      <c r="AR46" s="122"/>
      <c r="AS46" s="122"/>
      <c r="AT46" s="52"/>
      <c r="AU46" s="52"/>
      <c r="AV46" s="52"/>
      <c r="AW46" s="52"/>
    </row>
    <row r="47" spans="1:49" ht="20" customHeight="1">
      <c r="A47" s="753" t="str">
        <f>V47</f>
        <v xml:space="preserve"> 3.1 Met expectations: Engaged in conversations with colleagues in order to create a positive working environment. </v>
      </c>
      <c r="B47" s="754"/>
      <c r="C47" s="754"/>
      <c r="D47" s="754"/>
      <c r="E47" s="754"/>
      <c r="F47" s="754"/>
      <c r="G47" s="754"/>
      <c r="H47" s="754"/>
      <c r="I47" s="754"/>
      <c r="J47" s="754"/>
      <c r="K47" s="754"/>
      <c r="L47" s="754"/>
      <c r="M47" s="754"/>
      <c r="N47" s="754"/>
      <c r="O47" s="754"/>
      <c r="P47" s="754"/>
      <c r="Q47" s="754"/>
      <c r="R47" s="754"/>
      <c r="S47" s="755"/>
      <c r="U47" s="122"/>
      <c r="V47" s="573" t="str">
        <f>IF(U41&lt;=79.99,"3.1 Did not meet expectations: Must engage in conversations with colleagues in order to create a positive working environment. ",IF(U41&lt;=89.99," 3.1 Did not consistently meet expectations: Needs toengage in conversations with colleagues in order to create a positive working environment. ",IF(U41&lt;=98.99," 3.1 Met expectations: Engaged in conversations with colleagues in order to create a positive working environment. ",IF(U41&lt;=100,"3.1 Met and exceeded expectations: Consistently engaged in conversations with colleagues in order to create a positive working environment."))))</f>
        <v xml:space="preserve"> 3.1 Met expectations: Engaged in conversations with colleagues in order to create a positive working environment. </v>
      </c>
      <c r="W47" s="118"/>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52"/>
      <c r="AU47" s="52"/>
      <c r="AV47" s="52"/>
      <c r="AW47" s="52"/>
    </row>
    <row r="48" spans="1:49" ht="20" customHeight="1">
      <c r="A48" s="753" t="str">
        <f>V48</f>
        <v xml:space="preserve"> 3.2 Met expectations: Supported colleagues and shared workload in order to achieve team goals. </v>
      </c>
      <c r="B48" s="754"/>
      <c r="C48" s="754"/>
      <c r="D48" s="754"/>
      <c r="E48" s="754"/>
      <c r="F48" s="754"/>
      <c r="G48" s="754"/>
      <c r="H48" s="754"/>
      <c r="I48" s="754"/>
      <c r="J48" s="754"/>
      <c r="K48" s="754"/>
      <c r="L48" s="754"/>
      <c r="M48" s="754"/>
      <c r="N48" s="754"/>
      <c r="O48" s="754"/>
      <c r="P48" s="754"/>
      <c r="Q48" s="754"/>
      <c r="R48" s="754"/>
      <c r="S48" s="755"/>
      <c r="U48" s="122"/>
      <c r="V48" s="573" t="str">
        <f>IF(U43&lt;=79.99,"3.2 Did not meet expectations: Must support colleagues and share workload in order to achieve team goals. ",IF(U43&lt;=89.99," 3.2 Did not consistently meet expectations: Needs to csupport colleagues and share workload in order to achieve team goals. ",IF(U43&lt;=98.99," 3.2 Met expectations: Supported colleagues and shared workload in order to achieve team goals. ",IF(U43&lt;=100,"3.2 Met and exceeded expectations: Consistently support colleagues and share workload in order to achieve team goals."))))</f>
        <v xml:space="preserve"> 3.2 Met expectations: Supported colleagues and shared workload in order to achieve team goals. </v>
      </c>
      <c r="W48" s="118"/>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52"/>
      <c r="AU48" s="52"/>
      <c r="AV48" s="52"/>
      <c r="AW48" s="52"/>
    </row>
    <row r="49" spans="1:49" ht="20" customHeight="1">
      <c r="A49" s="756" t="str">
        <f>V49</f>
        <v xml:space="preserve"> 3.3 Met expectations: Communicated clearly to ensure an efficient and effective delivery of service. </v>
      </c>
      <c r="B49" s="757"/>
      <c r="C49" s="757"/>
      <c r="D49" s="757"/>
      <c r="E49" s="757"/>
      <c r="F49" s="757"/>
      <c r="G49" s="757"/>
      <c r="H49" s="757"/>
      <c r="I49" s="757"/>
      <c r="J49" s="757"/>
      <c r="K49" s="757"/>
      <c r="L49" s="757"/>
      <c r="M49" s="757"/>
      <c r="N49" s="757"/>
      <c r="O49" s="757"/>
      <c r="P49" s="757"/>
      <c r="Q49" s="757"/>
      <c r="R49" s="757"/>
      <c r="S49" s="758"/>
      <c r="U49" s="122"/>
      <c r="V49" s="573" t="str">
        <f>IF(U45&lt;=79.99,"3.3 Did not meet expectations: Must communicate clearly to ensure an efficient and effective delivery of service. ",IF(U45&lt;=89.99," 3.3 Did not consistently meet expectations: Needs to communicate clearly to ensure an efficient and effective delivery of service. ",IF(U45&lt;=98.99," 3.3 Met expectations: Communicated clearly to ensure an efficient and effective delivery of service. ",IF(U45&lt;=100,"3.3 Met and exceeded expectations: Consistently communicated clearly to ensure an efficient and effective delivery of service."))))</f>
        <v xml:space="preserve"> 3.3 Met expectations: Communicated clearly to ensure an efficient and effective delivery of service. </v>
      </c>
      <c r="W49" s="118"/>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52"/>
      <c r="AU49" s="52"/>
      <c r="AV49" s="52"/>
      <c r="AW49" s="52"/>
    </row>
    <row r="50" spans="1:49" s="566" customFormat="1" ht="40" customHeight="1">
      <c r="A50" s="762"/>
      <c r="B50" s="763"/>
      <c r="C50" s="763"/>
      <c r="D50" s="763"/>
      <c r="E50" s="763"/>
      <c r="F50" s="763"/>
      <c r="G50" s="763"/>
      <c r="H50" s="763"/>
      <c r="I50" s="763"/>
      <c r="J50" s="763"/>
      <c r="K50" s="763"/>
      <c r="L50" s="763"/>
      <c r="M50" s="763"/>
      <c r="N50" s="763"/>
      <c r="O50" s="763"/>
      <c r="P50" s="763"/>
      <c r="Q50" s="763"/>
      <c r="R50" s="763"/>
      <c r="S50" s="764"/>
      <c r="U50" s="567"/>
      <c r="V50" s="568"/>
      <c r="W50" s="569"/>
      <c r="X50" s="567"/>
      <c r="Y50" s="567"/>
      <c r="Z50" s="567"/>
      <c r="AA50" s="567"/>
      <c r="AB50" s="567"/>
      <c r="AC50" s="567"/>
      <c r="AD50" s="567"/>
      <c r="AE50" s="567"/>
      <c r="AF50" s="567"/>
      <c r="AG50" s="567"/>
      <c r="AH50" s="567"/>
      <c r="AI50" s="567"/>
      <c r="AJ50" s="567"/>
      <c r="AK50" s="567"/>
      <c r="AL50" s="567"/>
      <c r="AM50" s="567"/>
      <c r="AN50" s="567"/>
      <c r="AO50" s="567"/>
      <c r="AP50" s="567"/>
      <c r="AQ50" s="567"/>
      <c r="AR50" s="567"/>
      <c r="AS50" s="567"/>
      <c r="AT50" s="570"/>
      <c r="AU50" s="570"/>
      <c r="AV50" s="570"/>
      <c r="AW50" s="570"/>
    </row>
    <row r="51" spans="1:49" ht="25" customHeight="1">
      <c r="A51" s="537"/>
      <c r="B51" s="780" t="s">
        <v>858</v>
      </c>
      <c r="C51" s="780"/>
      <c r="D51" s="780"/>
      <c r="E51" s="780"/>
      <c r="F51" s="780"/>
      <c r="G51" s="780"/>
      <c r="H51" s="780"/>
      <c r="I51" s="780"/>
      <c r="J51" s="780"/>
      <c r="K51" s="780"/>
      <c r="L51" s="780"/>
      <c r="M51" s="780"/>
      <c r="N51" s="780"/>
      <c r="O51" s="780"/>
      <c r="P51" s="780"/>
      <c r="Q51" s="780"/>
      <c r="R51" s="780"/>
      <c r="S51" s="781"/>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c r="AV51" s="52"/>
      <c r="AW51" s="52"/>
    </row>
    <row r="52" spans="1:49" ht="20" customHeight="1">
      <c r="A52" s="538" t="s">
        <v>838</v>
      </c>
      <c r="B52" s="529"/>
      <c r="C52" s="529"/>
      <c r="D52" s="529"/>
      <c r="E52" s="529"/>
      <c r="F52" s="529"/>
      <c r="G52" s="529"/>
      <c r="H52" s="529"/>
      <c r="I52" s="529"/>
      <c r="J52" s="529"/>
      <c r="K52" s="529"/>
      <c r="L52" s="529"/>
      <c r="M52" s="529"/>
      <c r="N52" s="529"/>
      <c r="O52" s="529"/>
      <c r="P52" s="529"/>
      <c r="Q52" s="529"/>
      <c r="R52" s="529"/>
      <c r="S52" s="539"/>
      <c r="U52" s="526"/>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W52" s="52"/>
    </row>
    <row r="53" spans="1:49" ht="33" customHeight="1">
      <c r="A53" s="747" t="str">
        <f>V53</f>
        <v>4.1.1 Met Image and Uniform standards. Any shortfalls they had were corrected promptly. Portrayed a professional Emirates image.</v>
      </c>
      <c r="B53" s="748"/>
      <c r="C53" s="748"/>
      <c r="D53" s="748"/>
      <c r="E53" s="748"/>
      <c r="F53" s="748"/>
      <c r="G53" s="748"/>
      <c r="H53" s="748"/>
      <c r="I53" s="748"/>
      <c r="J53" s="748"/>
      <c r="K53" s="748"/>
      <c r="L53" s="748"/>
      <c r="M53" s="748"/>
      <c r="N53" s="748"/>
      <c r="O53" s="748"/>
      <c r="P53" s="748"/>
      <c r="Q53" s="748"/>
      <c r="R53" s="748"/>
      <c r="S53" s="749"/>
      <c r="U53" s="526">
        <f>Report!BJ76</f>
        <v>98.99</v>
      </c>
      <c r="V53" s="573" t="str">
        <f>IF(U53&lt;=79.99,"4.1.3 Image and Uniform was not to standard and/or their shortfalls were not corrected. ",IF(U53&lt;=89.99, "4.1.2 Attempted to correct Image &amp; Uniform shortfalls.",IF(U53&lt;=100, "4.1.1 Met Image and Uniform standards. Any shortfalls they had were corrected promptly. Portrayed a professional Emirates image.")))</f>
        <v>4.1.1 Met Image and Uniform standards. Any shortfalls they had were corrected promptly. Portrayed a professional Emirates image.</v>
      </c>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c r="AV53" s="52"/>
      <c r="AW53" s="52"/>
    </row>
    <row r="54" spans="1:49" ht="20" customHeight="1">
      <c r="A54" s="538" t="s">
        <v>842</v>
      </c>
      <c r="B54" s="529"/>
      <c r="C54" s="529"/>
      <c r="D54" s="529"/>
      <c r="E54" s="529"/>
      <c r="F54" s="529"/>
      <c r="G54" s="529"/>
      <c r="H54" s="529"/>
      <c r="I54" s="529"/>
      <c r="J54" s="529"/>
      <c r="K54" s="529"/>
      <c r="L54" s="529"/>
      <c r="M54" s="529"/>
      <c r="N54" s="529"/>
      <c r="O54" s="529"/>
      <c r="P54" s="529"/>
      <c r="Q54" s="529"/>
      <c r="R54" s="529"/>
      <c r="S54" s="539"/>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row>
    <row r="55" spans="1:49" ht="33" customHeight="1">
      <c r="A55" s="747" t="str">
        <f>V55</f>
        <v>4.2.1 Met knowledge standards in theory and practise. Correctly answered Safe Talk. Conducted thorough pre-flight security search. Consistently adhered to SOPs during normal situations. Regurarly monitored cabin for safety/medical concerns.</v>
      </c>
      <c r="B55" s="748"/>
      <c r="C55" s="748"/>
      <c r="D55" s="748"/>
      <c r="E55" s="748"/>
      <c r="F55" s="748"/>
      <c r="G55" s="748"/>
      <c r="H55" s="748"/>
      <c r="I55" s="748"/>
      <c r="J55" s="748"/>
      <c r="K55" s="748"/>
      <c r="L55" s="748"/>
      <c r="M55" s="748"/>
      <c r="N55" s="748"/>
      <c r="O55" s="748"/>
      <c r="P55" s="748"/>
      <c r="Q55" s="748"/>
      <c r="R55" s="748"/>
      <c r="S55" s="749"/>
      <c r="U55" s="526">
        <f>Report!BJ80</f>
        <v>98.99</v>
      </c>
      <c r="V55" s="573" t="str">
        <f>IF(U55&lt;=79.99,"4.2.3 Did not meet knowldge standards in theory and/or practise. Gave incorrect or uncertain answers to safe talk questions. Did not adhere to SOPs during the flight. ",IF(U55&lt;=89.99, "4.2.2 Managed scenarios with guidance from trainers.",IF(U55&lt;=100, "4.2.1 Met knowledge standards in theory and practise. Correctly answered Safe Talk. Conducted thorough pre-flight security search. Consistently adhered to SOPs during normal situations. Regurarly monitored cabin for safety/medical concerns.")))</f>
        <v>4.2.1 Met knowledge standards in theory and practise. Correctly answered Safe Talk. Conducted thorough pre-flight security search. Consistently adhered to SOPs during normal situations. Regurarly monitored cabin for safety/medical concerns.</v>
      </c>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W55" s="52"/>
    </row>
    <row r="56" spans="1:49" ht="20" customHeight="1">
      <c r="A56" s="538" t="s">
        <v>839</v>
      </c>
      <c r="B56" s="529"/>
      <c r="C56" s="529"/>
      <c r="D56" s="529"/>
      <c r="E56" s="529"/>
      <c r="F56" s="529"/>
      <c r="G56" s="529"/>
      <c r="H56" s="529"/>
      <c r="I56" s="529"/>
      <c r="J56" s="529"/>
      <c r="K56" s="529"/>
      <c r="L56" s="529"/>
      <c r="M56" s="529"/>
      <c r="N56" s="529"/>
      <c r="O56" s="529"/>
      <c r="P56" s="529"/>
      <c r="Q56" s="529"/>
      <c r="R56" s="529"/>
      <c r="S56" s="539"/>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row>
    <row r="57" spans="1:49" ht="33" customHeight="1">
      <c r="A57" s="747" t="str">
        <f>V57</f>
        <v>4.3.1 Good knowledge of menu and products, including terminology and pronunciation. Ensured that products were offered to customers. Was able to share information on EK services and products. Able to answer queries correctly.</v>
      </c>
      <c r="B57" s="748"/>
      <c r="C57" s="748"/>
      <c r="D57" s="748"/>
      <c r="E57" s="748"/>
      <c r="F57" s="748"/>
      <c r="G57" s="748"/>
      <c r="H57" s="748"/>
      <c r="I57" s="748"/>
      <c r="J57" s="748"/>
      <c r="K57" s="748"/>
      <c r="L57" s="748"/>
      <c r="M57" s="748"/>
      <c r="N57" s="748"/>
      <c r="O57" s="748"/>
      <c r="P57" s="748"/>
      <c r="Q57" s="748"/>
      <c r="R57" s="748"/>
      <c r="S57" s="749"/>
      <c r="U57" s="526">
        <f>Report!BJ84</f>
        <v>98.99</v>
      </c>
      <c r="V57" s="528" t="str">
        <f>IF(U57&lt;=79.99,"4.3.3 Did not use accurate terminology when offering ordelivering products on-board. Oversimplified menu terminology. Needs to demonstrate knowledge of wider EK product eg: Emirates Skywards.",IF(U57&lt;=89.99, "4.3.2 Terminology or pronunciation is inconsistent when introducing items to customers. Shared basic information of products. Response Response to queries at times incorrect.",IF(U57&lt;=100, "4.3.1 Good knowledge of menu and products, including terminology and pronunciation. Ensured that products were offered to customers. Was able to share information on EK services and products. Able to answer queries correctly.")))</f>
        <v>4.3.1 Good knowledge of menu and products, including terminology and pronunciation. Ensured that products were offered to customers. Was able to share information on EK services and products. Able to answer queries correctly.</v>
      </c>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row>
    <row r="58" spans="1:49" ht="20" customHeight="1">
      <c r="A58" s="538" t="s">
        <v>840</v>
      </c>
      <c r="B58" s="529"/>
      <c r="C58" s="529"/>
      <c r="D58" s="529"/>
      <c r="E58" s="529"/>
      <c r="F58" s="529"/>
      <c r="G58" s="529"/>
      <c r="H58" s="529"/>
      <c r="I58" s="529"/>
      <c r="J58" s="529"/>
      <c r="K58" s="529"/>
      <c r="L58" s="529"/>
      <c r="M58" s="529"/>
      <c r="N58" s="529"/>
      <c r="O58" s="529"/>
      <c r="P58" s="529"/>
      <c r="Q58" s="529"/>
      <c r="R58" s="529"/>
      <c r="S58" s="539"/>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row>
    <row r="59" spans="1:49" ht="33" customHeight="1">
      <c r="A59" s="747" t="str">
        <f>V59</f>
        <v>4.4.1 Knowledge was up to date. Followed service standards and procedures and applied correct service order/flow.</v>
      </c>
      <c r="B59" s="748"/>
      <c r="C59" s="748"/>
      <c r="D59" s="748"/>
      <c r="E59" s="748"/>
      <c r="F59" s="748"/>
      <c r="G59" s="748"/>
      <c r="H59" s="748"/>
      <c r="I59" s="748"/>
      <c r="J59" s="748"/>
      <c r="K59" s="748"/>
      <c r="L59" s="748"/>
      <c r="M59" s="748"/>
      <c r="N59" s="748"/>
      <c r="O59" s="748"/>
      <c r="P59" s="748"/>
      <c r="Q59" s="748"/>
      <c r="R59" s="748"/>
      <c r="S59" s="749"/>
      <c r="U59" s="526">
        <f>Report!BJ88</f>
        <v>98.99</v>
      </c>
      <c r="V59" s="528" t="str">
        <f>IF(U59&lt;=79.99,"4.4.3 Unable to follow the correct service sequence or presentation. Lacked knowledge of service standards or procedures/knowledge not updated. ",IF(U59&lt;=89.99,"4.4.2 Demonstrated basic awareness of service standards. Standards or procedures delivered out of correct sequence or service order.",IF(U59&lt;=100,"4.4.1 Knowledge was up to date. Followed service standards and procedures and applied correct service order/flow.")))</f>
        <v>4.4.1 Knowledge was up to date. Followed service standards and procedures and applied correct service order/flow.</v>
      </c>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row>
    <row r="60" spans="1:49" ht="20" customHeight="1">
      <c r="A60" s="774" t="s">
        <v>837</v>
      </c>
      <c r="B60" s="775"/>
      <c r="C60" s="775"/>
      <c r="D60" s="775"/>
      <c r="E60" s="775"/>
      <c r="F60" s="775"/>
      <c r="G60" s="775"/>
      <c r="H60" s="775"/>
      <c r="I60" s="775"/>
      <c r="J60" s="775"/>
      <c r="K60" s="775"/>
      <c r="L60" s="775"/>
      <c r="M60" s="775"/>
      <c r="N60" s="775"/>
      <c r="O60" s="775"/>
      <c r="P60" s="775"/>
      <c r="Q60" s="775"/>
      <c r="R60" s="775"/>
      <c r="S60" s="776"/>
      <c r="U60" s="52"/>
      <c r="V60" s="52"/>
      <c r="W60" s="5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52"/>
      <c r="AU60" s="52"/>
      <c r="AV60" s="52"/>
      <c r="AW60" s="52"/>
    </row>
    <row r="61" spans="1:49" ht="20" customHeight="1">
      <c r="A61" s="753" t="str">
        <f>V61</f>
        <v>4.1 Met expectations: Met Image and Uniform standards and portrayed a professional Emirates image. Any shortfall was promptly corrected.</v>
      </c>
      <c r="B61" s="754"/>
      <c r="C61" s="754"/>
      <c r="D61" s="754"/>
      <c r="E61" s="754"/>
      <c r="F61" s="754"/>
      <c r="G61" s="754"/>
      <c r="H61" s="754"/>
      <c r="I61" s="754"/>
      <c r="J61" s="754"/>
      <c r="K61" s="754"/>
      <c r="L61" s="754"/>
      <c r="M61" s="754"/>
      <c r="N61" s="754"/>
      <c r="O61" s="754"/>
      <c r="P61" s="754"/>
      <c r="Q61" s="754"/>
      <c r="R61" s="754"/>
      <c r="S61" s="755"/>
      <c r="U61" s="52"/>
      <c r="V61" s="528" t="str">
        <f>IF(U53&lt;=79.99,"4.1 Did not meet expectations: Must meet Image and Uniform standards and portray a professional Emirates image.",IF(U53&lt;=89.99,"4.1 Did not consistently meet expectations: Needs to consistently meet Image and Uniform standards and portray a professional Emirates image.",IF(U53&lt;=100,"4.1 Met expectations: Met Image and Uniform standards and portrayed a professional Emirates image. Any shortfall was promptly corrected.")))</f>
        <v>4.1 Met expectations: Met Image and Uniform standards and portrayed a professional Emirates image. Any shortfall was promptly corrected.</v>
      </c>
      <c r="W61" s="5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52"/>
      <c r="AU61" s="52"/>
      <c r="AV61" s="52"/>
      <c r="AW61" s="52"/>
    </row>
    <row r="62" spans="1:49" ht="20" customHeight="1">
      <c r="A62" s="753" t="str">
        <f>V62</f>
        <v>4.2 Met expectations: Met SOPs knowledge standards in theory and/or practise.</v>
      </c>
      <c r="B62" s="754"/>
      <c r="C62" s="754"/>
      <c r="D62" s="754"/>
      <c r="E62" s="754"/>
      <c r="F62" s="754"/>
      <c r="G62" s="754"/>
      <c r="H62" s="754"/>
      <c r="I62" s="754"/>
      <c r="J62" s="754"/>
      <c r="K62" s="754"/>
      <c r="L62" s="754"/>
      <c r="M62" s="754"/>
      <c r="N62" s="754"/>
      <c r="O62" s="754"/>
      <c r="P62" s="754"/>
      <c r="Q62" s="754"/>
      <c r="R62" s="754"/>
      <c r="S62" s="755"/>
      <c r="U62" s="52"/>
      <c r="V62" s="528" t="str">
        <f>IF(U55&lt;=79.99,"4.2 Did not meet expectations: Must meet SOPs knowledge standards in theory and/or practise.",IF(U55&lt;=89.99,"4.2 Did not consistently meet expectations: Needs to consistently meet SOPs knowledge standards in theory and/or practise.",IF(U55&lt;=100,"4.2 Met expectations: Met SOPs knowledge standards in theory and/or practise.")))</f>
        <v>4.2 Met expectations: Met SOPs knowledge standards in theory and/or practise.</v>
      </c>
      <c r="W62" s="52"/>
      <c r="X62" s="122"/>
      <c r="Y62" s="122"/>
      <c r="Z62" s="122"/>
      <c r="AA62" s="122"/>
      <c r="AB62" s="122"/>
      <c r="AC62" s="122"/>
      <c r="AD62" s="122"/>
      <c r="AE62" s="122"/>
      <c r="AF62" s="122"/>
      <c r="AG62" s="122"/>
      <c r="AH62" s="122"/>
      <c r="AI62" s="122"/>
      <c r="AJ62" s="122"/>
      <c r="AK62" s="122"/>
      <c r="AL62" s="122"/>
      <c r="AM62" s="122"/>
      <c r="AN62" s="122"/>
      <c r="AO62" s="122"/>
      <c r="AP62" s="122"/>
      <c r="AQ62" s="122"/>
      <c r="AR62" s="122"/>
      <c r="AS62" s="122"/>
      <c r="AT62" s="52"/>
      <c r="AU62" s="52"/>
      <c r="AV62" s="52"/>
      <c r="AW62" s="52"/>
    </row>
    <row r="63" spans="1:49" ht="20" customHeight="1">
      <c r="A63" s="753" t="str">
        <f>V63</f>
        <v>4.3 Met expectations: Demonstrated knowledge of the Emirates products when promoting items to customers.</v>
      </c>
      <c r="B63" s="754"/>
      <c r="C63" s="754"/>
      <c r="D63" s="754"/>
      <c r="E63" s="754"/>
      <c r="F63" s="754"/>
      <c r="G63" s="754"/>
      <c r="H63" s="754"/>
      <c r="I63" s="754"/>
      <c r="J63" s="754"/>
      <c r="K63" s="754"/>
      <c r="L63" s="754"/>
      <c r="M63" s="754"/>
      <c r="N63" s="754"/>
      <c r="O63" s="754"/>
      <c r="P63" s="754"/>
      <c r="Q63" s="754"/>
      <c r="R63" s="754"/>
      <c r="S63" s="755"/>
      <c r="U63" s="52"/>
      <c r="V63" s="528" t="str">
        <f>IF(U57&lt;=79.99,"4.3 Did not meet expectations: Must demonstrate knowledge of the Emirates products when promoting items to customers.",IF(U57&lt;=89.99,"4.3 Did not consistently meet expectations: Needs to consistently demonstrate knowledge of the Emirates products when promoting items to customers. ",IF(U57&lt;=100, "4.3 Met expectations: Demonstrated knowledge of the Emirates products when promoting items to customers.")))</f>
        <v>4.3 Met expectations: Demonstrated knowledge of the Emirates products when promoting items to customers.</v>
      </c>
      <c r="W63" s="5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52"/>
      <c r="AU63" s="52"/>
      <c r="AV63" s="52"/>
      <c r="AW63" s="52"/>
    </row>
    <row r="64" spans="1:49" ht="20" customHeight="1">
      <c r="A64" s="753" t="str">
        <f>V64</f>
        <v>4.4 Met expectations: Demonstrated knowledge of service procedure and applied correct service procedures when delivering items to customers.</v>
      </c>
      <c r="B64" s="754"/>
      <c r="C64" s="754"/>
      <c r="D64" s="754"/>
      <c r="E64" s="754"/>
      <c r="F64" s="754"/>
      <c r="G64" s="754"/>
      <c r="H64" s="754"/>
      <c r="I64" s="754"/>
      <c r="J64" s="754"/>
      <c r="K64" s="754"/>
      <c r="L64" s="754"/>
      <c r="M64" s="754"/>
      <c r="N64" s="754"/>
      <c r="O64" s="754"/>
      <c r="P64" s="754"/>
      <c r="Q64" s="754"/>
      <c r="R64" s="754"/>
      <c r="S64" s="755"/>
      <c r="U64" s="52"/>
      <c r="V64" s="528" t="str">
        <f>IF(U59&lt;=79.99,"4.4 Did not meet expectations: Must demonstrate knowledge of service procedure and apply correct service procedures when delivering items to customers. ",IF(U59&lt;=89.99,"4.4 Did not consistently meet expectations: Needs to consistently demonstrate knowledge of service procedure and apply correct service procedures when delivering items to customers. ",IF(U59&lt;=100,"4.4 Met expectations: Demonstrated knowledge of service procedure and applied correct service procedures when delivering items to customers.")))</f>
        <v>4.4 Met expectations: Demonstrated knowledge of service procedure and applied correct service procedures when delivering items to customers.</v>
      </c>
      <c r="W64" s="5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52"/>
      <c r="AU64" s="52"/>
      <c r="AV64" s="52"/>
      <c r="AW64" s="52"/>
    </row>
    <row r="65" spans="1:49" ht="40" customHeight="1">
      <c r="A65" s="777"/>
      <c r="B65" s="777"/>
      <c r="C65" s="777"/>
      <c r="D65" s="777"/>
      <c r="E65" s="777"/>
      <c r="F65" s="777"/>
      <c r="G65" s="777"/>
      <c r="H65" s="777"/>
      <c r="I65" s="777"/>
      <c r="J65" s="777"/>
      <c r="K65" s="777"/>
      <c r="L65" s="777"/>
      <c r="M65" s="777"/>
      <c r="N65" s="777"/>
      <c r="O65" s="777"/>
      <c r="P65" s="777"/>
      <c r="Q65" s="777"/>
      <c r="R65" s="777"/>
      <c r="S65" s="777"/>
      <c r="T65" s="379"/>
      <c r="U65" s="52"/>
      <c r="V65" s="528"/>
      <c r="W65" s="5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52"/>
      <c r="AU65" s="52"/>
      <c r="AV65" s="52"/>
      <c r="AW65" s="52"/>
    </row>
    <row r="66" spans="1:49" ht="20" customHeight="1">
      <c r="A66" s="774" t="s">
        <v>867</v>
      </c>
      <c r="B66" s="775"/>
      <c r="C66" s="775"/>
      <c r="D66" s="775"/>
      <c r="E66" s="775"/>
      <c r="F66" s="775"/>
      <c r="G66" s="775"/>
      <c r="H66" s="775"/>
      <c r="I66" s="775"/>
      <c r="J66" s="775"/>
      <c r="K66" s="775"/>
      <c r="L66" s="775"/>
      <c r="M66" s="775"/>
      <c r="N66" s="775"/>
      <c r="O66" s="775"/>
      <c r="P66" s="775"/>
      <c r="Q66" s="775"/>
      <c r="R66" s="775"/>
      <c r="S66" s="776"/>
      <c r="T66" s="379"/>
      <c r="U66" s="52"/>
      <c r="V66" s="528"/>
      <c r="W66" s="5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52"/>
      <c r="AU66" s="52"/>
      <c r="AV66" s="52"/>
      <c r="AW66" s="52"/>
    </row>
    <row r="67" spans="1:49" ht="60" customHeight="1">
      <c r="A67" s="772"/>
      <c r="B67" s="773"/>
      <c r="C67" s="773"/>
      <c r="D67" s="773"/>
      <c r="E67" s="773"/>
      <c r="F67" s="773"/>
      <c r="G67" s="773"/>
      <c r="H67" s="773"/>
      <c r="I67" s="773"/>
      <c r="J67" s="773"/>
      <c r="K67" s="773"/>
      <c r="L67" s="773"/>
      <c r="M67" s="773"/>
      <c r="N67" s="773"/>
      <c r="O67" s="773"/>
      <c r="P67" s="773"/>
      <c r="Q67" s="773"/>
      <c r="R67" s="773"/>
      <c r="S67" s="773"/>
      <c r="U67" s="527"/>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row>
    <row r="68" spans="1:49" ht="18" hidden="1" customHeight="1">
      <c r="A68" s="530"/>
      <c r="B68" s="530"/>
      <c r="C68" s="530"/>
      <c r="D68" s="530"/>
      <c r="E68" s="530"/>
      <c r="F68" s="530"/>
      <c r="G68" s="530"/>
      <c r="H68" s="530"/>
      <c r="I68" s="530"/>
      <c r="J68" s="530"/>
      <c r="K68" s="530"/>
      <c r="L68" s="530"/>
      <c r="M68" s="530"/>
      <c r="N68" s="530"/>
      <c r="O68" s="530"/>
      <c r="P68" s="530"/>
      <c r="Q68" s="530"/>
      <c r="R68" s="530"/>
      <c r="S68" s="530"/>
      <c r="U68" s="525" t="e">
        <f>CONCATENATE(U73,LEFT(Name,FIND(" ",Name)-1),V73)</f>
        <v>#VALUE!</v>
      </c>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row>
    <row r="69" spans="1:49" ht="18" hidden="1" customHeight="1">
      <c r="A69" s="530"/>
      <c r="B69" s="530"/>
      <c r="C69" s="530"/>
      <c r="D69" s="530"/>
      <c r="E69" s="530"/>
      <c r="F69" s="530"/>
      <c r="G69" s="530"/>
      <c r="H69" s="530"/>
      <c r="I69" s="530"/>
      <c r="J69" s="530"/>
      <c r="K69" s="530"/>
      <c r="L69" s="530"/>
      <c r="M69" s="530"/>
      <c r="N69" s="530"/>
      <c r="O69" s="530"/>
      <c r="P69" s="530"/>
      <c r="Q69" s="530"/>
      <c r="R69" s="530"/>
      <c r="S69" s="530"/>
      <c r="U69" s="525" t="e">
        <f>CONCATENATE(U74,LEFT(Name,FIND(" ",Name)-1),V74)</f>
        <v>#VALUE!</v>
      </c>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row>
    <row r="70" spans="1:49" ht="18" hidden="1" customHeight="1">
      <c r="A70" s="530"/>
      <c r="B70" s="530"/>
      <c r="C70" s="530"/>
      <c r="D70" s="530"/>
      <c r="E70" s="530"/>
      <c r="F70" s="530"/>
      <c r="G70" s="530"/>
      <c r="H70" s="530"/>
      <c r="I70" s="530"/>
      <c r="J70" s="530"/>
      <c r="K70" s="530"/>
      <c r="L70" s="530"/>
      <c r="M70" s="530"/>
      <c r="N70" s="530"/>
      <c r="O70" s="530"/>
      <c r="P70" s="530"/>
      <c r="Q70" s="530"/>
      <c r="R70" s="530"/>
      <c r="S70" s="530"/>
      <c r="U70" s="525" t="e">
        <f>CONCATENATE(U75,LEFT(Name,FIND(" ",Name)-1),V75)</f>
        <v>#VALUE!</v>
      </c>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row>
    <row r="71" spans="1:49" ht="18" hidden="1" customHeight="1">
      <c r="A71" s="530"/>
      <c r="B71" s="530"/>
      <c r="C71" s="530"/>
      <c r="D71" s="530"/>
      <c r="E71" s="530"/>
      <c r="F71" s="530"/>
      <c r="G71" s="530"/>
      <c r="H71" s="530"/>
      <c r="I71" s="530"/>
      <c r="J71" s="530"/>
      <c r="K71" s="530"/>
      <c r="L71" s="530"/>
      <c r="M71" s="530"/>
      <c r="N71" s="530"/>
      <c r="O71" s="530"/>
      <c r="P71" s="530"/>
      <c r="Q71" s="530"/>
      <c r="R71" s="530"/>
      <c r="S71" s="530"/>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row>
    <row r="72" spans="1:49" ht="18" hidden="1" customHeight="1">
      <c r="A72" s="530"/>
      <c r="B72" s="530"/>
      <c r="C72" s="530"/>
      <c r="D72" s="530"/>
      <c r="E72" s="530"/>
      <c r="F72" s="530"/>
      <c r="G72" s="530"/>
      <c r="H72" s="530"/>
      <c r="I72" s="530"/>
      <c r="J72" s="530"/>
      <c r="K72" s="530"/>
      <c r="L72" s="530"/>
      <c r="M72" s="530"/>
      <c r="N72" s="530"/>
      <c r="O72" s="530"/>
      <c r="P72" s="530"/>
      <c r="Q72" s="530"/>
      <c r="R72" s="530"/>
      <c r="S72" s="530"/>
    </row>
    <row r="73" spans="1:49" ht="18" hidden="1" customHeight="1">
      <c r="A73" s="530"/>
      <c r="B73" s="530"/>
      <c r="C73" s="530"/>
      <c r="D73" s="530"/>
      <c r="E73" s="530"/>
      <c r="F73" s="530"/>
      <c r="G73" s="530"/>
      <c r="H73" s="530"/>
      <c r="I73" s="530"/>
      <c r="J73" s="530"/>
      <c r="K73" s="530"/>
      <c r="L73" s="530"/>
      <c r="M73" s="530"/>
      <c r="N73" s="530"/>
      <c r="O73" s="530"/>
      <c r="P73" s="530"/>
      <c r="Q73" s="530"/>
      <c r="R73" s="530"/>
      <c r="S73" s="530"/>
      <c r="U73" s="540" t="s">
        <v>864</v>
      </c>
      <c r="V73" s="540" t="s">
        <v>862</v>
      </c>
    </row>
    <row r="74" spans="1:49" ht="18" hidden="1" customHeight="1">
      <c r="A74" s="530"/>
      <c r="B74" s="530"/>
      <c r="C74" s="530"/>
      <c r="D74" s="530"/>
      <c r="E74" s="530"/>
      <c r="F74" s="530"/>
      <c r="G74" s="530"/>
      <c r="H74" s="530"/>
      <c r="I74" s="530"/>
      <c r="J74" s="530"/>
      <c r="K74" s="530"/>
      <c r="L74" s="530"/>
      <c r="M74" s="530"/>
      <c r="N74" s="530"/>
      <c r="O74" s="530"/>
      <c r="P74" s="530"/>
      <c r="Q74" s="530"/>
      <c r="R74" s="530"/>
      <c r="S74" s="530"/>
      <c r="U74" s="540" t="s">
        <v>864</v>
      </c>
      <c r="V74" s="540" t="s">
        <v>863</v>
      </c>
    </row>
    <row r="75" spans="1:49" ht="18" hidden="1" customHeight="1">
      <c r="A75" s="530"/>
      <c r="B75" s="530"/>
      <c r="C75" s="771"/>
      <c r="D75" s="771"/>
      <c r="E75" s="771"/>
      <c r="F75" s="771"/>
      <c r="G75" s="530"/>
      <c r="H75" s="530"/>
      <c r="I75" s="530"/>
      <c r="J75" s="530"/>
      <c r="K75" s="530"/>
      <c r="L75" s="530"/>
      <c r="M75" s="530"/>
      <c r="N75" s="530"/>
      <c r="O75" s="530"/>
      <c r="P75" s="530"/>
      <c r="Q75" s="530"/>
      <c r="R75" s="530"/>
      <c r="S75" s="530"/>
      <c r="U75" s="540" t="s">
        <v>864</v>
      </c>
      <c r="V75" s="540" t="s">
        <v>865</v>
      </c>
    </row>
    <row r="76" spans="1:49" ht="18" hidden="1" customHeight="1"/>
    <row r="77" spans="1:49" ht="18" hidden="1" customHeight="1"/>
    <row r="78" spans="1:49" ht="18" hidden="1" customHeight="1"/>
    <row r="79" spans="1:49" ht="18" hidden="1" customHeight="1"/>
    <row r="80" spans="1:49" ht="18" hidden="1" customHeight="1"/>
    <row r="81" ht="18" hidden="1" customHeight="1"/>
    <row r="82" ht="18" hidden="1" customHeight="1"/>
    <row r="83" hidden="1"/>
    <row r="84" hidden="1"/>
    <row r="85" hidden="1"/>
    <row r="86" hidden="1"/>
    <row r="87"/>
  </sheetData>
  <sheetProtection sheet="1" objects="1" scenarios="1"/>
  <customSheetViews>
    <customSheetView guid="{B4419C5D-1877-4ABB-A46F-9E0AFFC75B59}" showGridLines="0" hiddenRows="1" hiddenColumns="1">
      <selection activeCell="B6" sqref="B6:S6"/>
      <rowBreaks count="1" manualBreakCount="1">
        <brk id="38" max="16383" man="1"/>
      </rowBreaks>
      <pageMargins left="0.23622047244094491" right="0.23622047244094491" top="0.74803149606299213" bottom="0.74803149606299213" header="0.31496062992125984" footer="0.31496062992125984"/>
      <printOptions horizontalCentered="1"/>
      <pageSetup paperSize="9" scale="70" orientation="portrait" r:id="rId1"/>
    </customSheetView>
  </customSheetViews>
  <mergeCells count="72">
    <mergeCell ref="B51:S51"/>
    <mergeCell ref="A41:S41"/>
    <mergeCell ref="A42:S42"/>
    <mergeCell ref="A44:S44"/>
    <mergeCell ref="L4:M4"/>
    <mergeCell ref="A31:S31"/>
    <mergeCell ref="A32:S32"/>
    <mergeCell ref="A34:S34"/>
    <mergeCell ref="A35:S35"/>
    <mergeCell ref="A36:S36"/>
    <mergeCell ref="A37:S37"/>
    <mergeCell ref="A40:S40"/>
    <mergeCell ref="A33:S33"/>
    <mergeCell ref="D4:K4"/>
    <mergeCell ref="A38:S38"/>
    <mergeCell ref="A50:S50"/>
    <mergeCell ref="A46:S46"/>
    <mergeCell ref="A48:S48"/>
    <mergeCell ref="A49:S49"/>
    <mergeCell ref="A43:S43"/>
    <mergeCell ref="B6:S6"/>
    <mergeCell ref="B24:S24"/>
    <mergeCell ref="B39:S39"/>
    <mergeCell ref="A45:S45"/>
    <mergeCell ref="A47:S47"/>
    <mergeCell ref="A28:S28"/>
    <mergeCell ref="A29:S29"/>
    <mergeCell ref="A30:S30"/>
    <mergeCell ref="A67:S67"/>
    <mergeCell ref="A64:S64"/>
    <mergeCell ref="A53:S53"/>
    <mergeCell ref="A61:S61"/>
    <mergeCell ref="A57:S57"/>
    <mergeCell ref="A59:S59"/>
    <mergeCell ref="A63:S63"/>
    <mergeCell ref="A62:S62"/>
    <mergeCell ref="A55:S55"/>
    <mergeCell ref="A66:S66"/>
    <mergeCell ref="A65:S65"/>
    <mergeCell ref="A60:S60"/>
    <mergeCell ref="C75:F75"/>
    <mergeCell ref="A7:S7"/>
    <mergeCell ref="A8:S8"/>
    <mergeCell ref="A9:S9"/>
    <mergeCell ref="A2:C2"/>
    <mergeCell ref="A3:C3"/>
    <mergeCell ref="A4:C4"/>
    <mergeCell ref="A21:S21"/>
    <mergeCell ref="A10:S10"/>
    <mergeCell ref="A11:S11"/>
    <mergeCell ref="A12:S12"/>
    <mergeCell ref="A13:S13"/>
    <mergeCell ref="A14:S14"/>
    <mergeCell ref="A15:S15"/>
    <mergeCell ref="A16:S16"/>
    <mergeCell ref="A25:S25"/>
    <mergeCell ref="A1:S1"/>
    <mergeCell ref="A26:S26"/>
    <mergeCell ref="A27:S27"/>
    <mergeCell ref="A18:S18"/>
    <mergeCell ref="A19:S19"/>
    <mergeCell ref="A20:S20"/>
    <mergeCell ref="A22:S22"/>
    <mergeCell ref="A17:S17"/>
    <mergeCell ref="A23:S23"/>
    <mergeCell ref="N2:S2"/>
    <mergeCell ref="N3:S3"/>
    <mergeCell ref="N4:S4"/>
    <mergeCell ref="D2:K2"/>
    <mergeCell ref="L2:M2"/>
    <mergeCell ref="L3:M3"/>
    <mergeCell ref="D3:K3"/>
  </mergeCells>
  <conditionalFormatting sqref="A18">
    <cfRule type="containsText" dxfId="10754" priority="11" operator="containsText" text="0">
      <formula>NOT(ISERROR(SEARCH("0",A18)))</formula>
    </cfRule>
  </conditionalFormatting>
  <conditionalFormatting sqref="A20:A23">
    <cfRule type="containsText" dxfId="10753" priority="9" operator="containsText" text="0">
      <formula>NOT(ISERROR(SEARCH("0",A20)))</formula>
    </cfRule>
  </conditionalFormatting>
  <conditionalFormatting sqref="A19">
    <cfRule type="containsText" dxfId="10752" priority="10" operator="containsText" text="0">
      <formula>NOT(ISERROR(SEARCH("0",A19)))</formula>
    </cfRule>
  </conditionalFormatting>
  <conditionalFormatting sqref="A36:A38">
    <cfRule type="containsText" dxfId="10751" priority="5" operator="containsText" text="0">
      <formula>NOT(ISERROR(SEARCH("0",A36)))</formula>
    </cfRule>
  </conditionalFormatting>
  <conditionalFormatting sqref="A34">
    <cfRule type="containsText" dxfId="10750" priority="7" operator="containsText" text="0">
      <formula>NOT(ISERROR(SEARCH("0",A34)))</formula>
    </cfRule>
  </conditionalFormatting>
  <conditionalFormatting sqref="A47">
    <cfRule type="containsText" dxfId="10749" priority="4" operator="containsText" text="0">
      <formula>NOT(ISERROR(SEARCH("0",A47)))</formula>
    </cfRule>
  </conditionalFormatting>
  <conditionalFormatting sqref="A35">
    <cfRule type="containsText" dxfId="10748" priority="6" operator="containsText" text="0">
      <formula>NOT(ISERROR(SEARCH("0",A35)))</formula>
    </cfRule>
  </conditionalFormatting>
  <conditionalFormatting sqref="A49:A50">
    <cfRule type="containsText" dxfId="10747" priority="2" operator="containsText" text="0">
      <formula>NOT(ISERROR(SEARCH("0",A49)))</formula>
    </cfRule>
  </conditionalFormatting>
  <conditionalFormatting sqref="A48">
    <cfRule type="containsText" dxfId="10746" priority="3" operator="containsText" text="0">
      <formula>NOT(ISERROR(SEARCH("0",A48)))</formula>
    </cfRule>
  </conditionalFormatting>
  <conditionalFormatting sqref="A61:A65">
    <cfRule type="containsText" dxfId="10745" priority="1" operator="containsText" text="0">
      <formula>NOT(ISERROR(SEARCH("0",A61)))</formula>
    </cfRule>
  </conditionalFormatting>
  <dataValidations xWindow="517" yWindow="436" count="7">
    <dataValidation type="list" errorStyle="warning" allowBlank="1" showInputMessage="1" errorTitle="Click for Dropdown" error="Click for Dropdown" promptTitle="Click for Dropdown" prompt="Click for Dropdown" sqref="A67:S67" xr:uid="{00000000-0002-0000-0100-000000000000}">
      <formula1>$U$68:$U$70</formula1>
    </dataValidation>
    <dataValidation allowBlank="1" showInputMessage="1" showErrorMessage="1" prompt="Enter learner's full name (eg. Sonial Gopaul)" sqref="D2:K2" xr:uid="{00000000-0002-0000-0100-000001000000}"/>
    <dataValidation allowBlank="1" showInputMessage="1" showErrorMessage="1" prompt="Enter both trainers' full name (eg. Holley White / Kelly Hewitt)" sqref="D3:K3" xr:uid="{00000000-0002-0000-0100-000002000000}"/>
    <dataValidation allowBlank="1" showInputMessage="1" showErrorMessage="1" prompt="Enter Performance Manager Name" sqref="D4:K4" xr:uid="{00000000-0002-0000-0100-000003000000}"/>
    <dataValidation allowBlank="1" showInputMessage="1" showErrorMessage="1" prompt="Enter learner's staff no (without s)" sqref="N2:S2" xr:uid="{00000000-0002-0000-0100-000004000000}"/>
    <dataValidation allowBlank="1" showInputMessage="1" showErrorMessage="1" prompt="Enter Abinito No (eg. AB 1234)" sqref="N3:S3" xr:uid="{00000000-0002-0000-0100-000005000000}"/>
    <dataValidation allowBlank="1" showInputMessage="1" showErrorMessage="1" prompt="Enter dates for the course (MUST be DD/MM/YY to DD/MM/YY)" sqref="N4:S4" xr:uid="{00000000-0002-0000-0100-000006000000}"/>
  </dataValidations>
  <printOptions horizontalCentered="1"/>
  <pageMargins left="0.23622047244094491" right="0.23622047244094491" top="0.74803149606299213" bottom="0.74803149606299213" header="0.31496062992125984" footer="0.31496062992125984"/>
  <pageSetup paperSize="9" scale="68" orientation="portrait" r:id="rId2"/>
  <rowBreaks count="1" manualBreakCount="1">
    <brk id="38" max="16383" man="1"/>
  </rowBreak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BL113"/>
  <sheetViews>
    <sheetView showGridLines="0" zoomScale="85" zoomScaleNormal="85" workbookViewId="0">
      <selection activeCell="L2" sqref="L2:AK2"/>
    </sheetView>
  </sheetViews>
  <sheetFormatPr baseColWidth="10" defaultColWidth="0.5" defaultRowHeight="15" customHeight="1" zeroHeight="1"/>
  <cols>
    <col min="1" max="60" width="2.6640625" style="379" customWidth="1"/>
    <col min="61" max="61" width="10.6640625" customWidth="1"/>
    <col min="62" max="74" width="10.6640625" style="379" customWidth="1"/>
    <col min="75" max="86" width="5.6640625" style="379" customWidth="1"/>
    <col min="87" max="16384" width="0.5" style="379"/>
  </cols>
  <sheetData>
    <row r="1" spans="1:64" ht="20" customHeight="1">
      <c r="A1" s="680" t="s">
        <v>34</v>
      </c>
      <c r="B1" s="680"/>
      <c r="C1" s="680"/>
      <c r="D1" s="680"/>
      <c r="E1" s="680"/>
      <c r="F1" s="680"/>
      <c r="G1" s="680"/>
      <c r="H1" s="680"/>
      <c r="I1" s="680"/>
      <c r="J1" s="680"/>
      <c r="K1" s="680"/>
      <c r="L1" s="680"/>
      <c r="M1" s="680"/>
      <c r="N1" s="680"/>
      <c r="O1" s="680"/>
      <c r="P1" s="680"/>
      <c r="Q1" s="680"/>
      <c r="R1" s="680"/>
      <c r="S1" s="680"/>
      <c r="T1" s="680"/>
      <c r="U1" s="680"/>
      <c r="V1" s="680"/>
      <c r="W1" s="680"/>
      <c r="X1" s="680"/>
      <c r="Y1" s="680"/>
      <c r="Z1" s="680"/>
      <c r="AA1" s="680"/>
      <c r="AB1" s="680"/>
      <c r="AC1" s="680"/>
      <c r="AD1" s="680"/>
      <c r="AE1" s="680"/>
      <c r="AF1" s="680"/>
      <c r="AG1" s="680"/>
      <c r="AH1" s="680"/>
      <c r="AI1" s="680"/>
      <c r="AJ1" s="680"/>
      <c r="AK1" s="680"/>
      <c r="AL1" s="680"/>
      <c r="AM1" s="680"/>
      <c r="AN1" s="680"/>
      <c r="AO1" s="680"/>
      <c r="AP1" s="680"/>
      <c r="AQ1" s="680"/>
      <c r="AR1" s="680"/>
      <c r="AS1" s="680"/>
      <c r="AT1" s="680"/>
      <c r="AU1" s="680"/>
      <c r="AV1" s="680"/>
      <c r="AW1" s="680"/>
      <c r="AX1" s="680"/>
      <c r="AY1" s="680"/>
      <c r="AZ1" s="680"/>
      <c r="BA1" s="680"/>
      <c r="BB1" s="680"/>
      <c r="BC1" s="680"/>
      <c r="BD1" s="680"/>
      <c r="BE1" s="680"/>
      <c r="BF1" s="680"/>
      <c r="BG1" s="680"/>
      <c r="BH1" s="680"/>
    </row>
    <row r="2" spans="1:64" ht="20" customHeight="1">
      <c r="A2" s="799" t="s">
        <v>42</v>
      </c>
      <c r="B2" s="799"/>
      <c r="C2" s="799"/>
      <c r="D2" s="799"/>
      <c r="E2" s="799"/>
      <c r="F2" s="799"/>
      <c r="G2" s="799"/>
      <c r="H2" s="799"/>
      <c r="I2" s="799"/>
      <c r="J2" s="799"/>
      <c r="K2" s="41" t="s">
        <v>43</v>
      </c>
      <c r="L2" s="798"/>
      <c r="M2" s="798"/>
      <c r="N2" s="798"/>
      <c r="O2" s="798"/>
      <c r="P2" s="798"/>
      <c r="Q2" s="798"/>
      <c r="R2" s="798"/>
      <c r="S2" s="798"/>
      <c r="T2" s="798"/>
      <c r="U2" s="798"/>
      <c r="V2" s="798"/>
      <c r="W2" s="798"/>
      <c r="X2" s="798"/>
      <c r="Y2" s="798"/>
      <c r="Z2" s="798"/>
      <c r="AA2" s="798"/>
      <c r="AB2" s="798"/>
      <c r="AC2" s="798"/>
      <c r="AD2" s="798"/>
      <c r="AE2" s="798"/>
      <c r="AF2" s="798"/>
      <c r="AG2" s="798"/>
      <c r="AH2" s="798"/>
      <c r="AI2" s="798"/>
      <c r="AJ2" s="798"/>
      <c r="AK2" s="798"/>
      <c r="AL2" s="799" t="s">
        <v>44</v>
      </c>
      <c r="AM2" s="799"/>
      <c r="AN2" s="799"/>
      <c r="AO2" s="799"/>
      <c r="AP2" s="799"/>
      <c r="AQ2" s="41" t="s">
        <v>43</v>
      </c>
      <c r="AR2" s="798"/>
      <c r="AS2" s="798"/>
      <c r="AT2" s="798"/>
      <c r="AU2" s="798"/>
      <c r="AV2" s="798"/>
      <c r="AW2" s="798"/>
      <c r="AX2" s="798"/>
      <c r="AY2" s="798"/>
      <c r="AZ2" s="798"/>
      <c r="BA2" s="798"/>
      <c r="BB2" s="798"/>
      <c r="BC2" s="798"/>
      <c r="BD2" s="798"/>
      <c r="BE2" s="42"/>
      <c r="BF2" s="42"/>
      <c r="BG2" s="42"/>
      <c r="BH2" s="42"/>
    </row>
    <row r="3" spans="1:64" ht="20" customHeight="1">
      <c r="A3" s="797" t="s">
        <v>45</v>
      </c>
      <c r="B3" s="797"/>
      <c r="C3" s="797"/>
      <c r="D3" s="797"/>
      <c r="E3" s="797"/>
      <c r="F3" s="797"/>
      <c r="G3" s="797"/>
      <c r="H3" s="797"/>
      <c r="I3" s="797"/>
      <c r="J3" s="797"/>
      <c r="K3" s="43" t="s">
        <v>43</v>
      </c>
      <c r="L3" s="798"/>
      <c r="M3" s="798"/>
      <c r="N3" s="798"/>
      <c r="O3" s="798"/>
      <c r="P3" s="798"/>
      <c r="Q3" s="798"/>
      <c r="R3" s="798"/>
      <c r="S3" s="798"/>
      <c r="T3" s="798"/>
      <c r="U3" s="798"/>
      <c r="V3" s="798"/>
      <c r="W3" s="798"/>
      <c r="X3" s="798"/>
      <c r="Y3" s="798"/>
      <c r="Z3" s="798"/>
      <c r="AA3" s="798"/>
      <c r="AB3" s="798"/>
      <c r="AC3" s="798"/>
      <c r="AD3" s="798"/>
      <c r="AE3" s="798"/>
      <c r="AF3" s="798"/>
      <c r="AG3" s="798"/>
      <c r="AH3" s="798"/>
      <c r="AI3" s="798"/>
      <c r="AJ3" s="798"/>
      <c r="AK3" s="798"/>
      <c r="AL3" s="799" t="s">
        <v>46</v>
      </c>
      <c r="AM3" s="799"/>
      <c r="AN3" s="799"/>
      <c r="AO3" s="799"/>
      <c r="AP3" s="799"/>
      <c r="AQ3" s="41" t="s">
        <v>43</v>
      </c>
      <c r="AR3" s="798"/>
      <c r="AS3" s="798"/>
      <c r="AT3" s="798"/>
      <c r="AU3" s="798"/>
      <c r="AV3" s="798"/>
      <c r="AW3" s="798"/>
      <c r="AX3" s="798"/>
      <c r="AY3" s="798"/>
      <c r="AZ3" s="798"/>
      <c r="BA3" s="798"/>
      <c r="BB3" s="798"/>
      <c r="BC3" s="798"/>
      <c r="BD3" s="798"/>
      <c r="BE3" s="42"/>
      <c r="BF3" s="42"/>
      <c r="BG3" s="42"/>
      <c r="BH3" s="42"/>
    </row>
    <row r="4" spans="1:64" s="13" customFormat="1" ht="20" customHeight="1">
      <c r="A4" s="797" t="s">
        <v>47</v>
      </c>
      <c r="B4" s="797"/>
      <c r="C4" s="797"/>
      <c r="D4" s="797"/>
      <c r="E4" s="797"/>
      <c r="F4" s="797"/>
      <c r="G4" s="797"/>
      <c r="H4" s="797"/>
      <c r="I4" s="797"/>
      <c r="J4" s="797"/>
      <c r="K4" s="43" t="s">
        <v>43</v>
      </c>
      <c r="L4" s="798"/>
      <c r="M4" s="798"/>
      <c r="N4" s="798"/>
      <c r="O4" s="798"/>
      <c r="P4" s="798"/>
      <c r="Q4" s="798"/>
      <c r="R4" s="798"/>
      <c r="S4" s="798"/>
      <c r="T4" s="798"/>
      <c r="U4" s="798"/>
      <c r="V4" s="798"/>
      <c r="W4" s="798"/>
      <c r="X4" s="798"/>
      <c r="Y4" s="798"/>
      <c r="Z4" s="798"/>
      <c r="AA4" s="798"/>
      <c r="AB4" s="798"/>
      <c r="AC4" s="798"/>
      <c r="AD4" s="798"/>
      <c r="AE4" s="798"/>
      <c r="AF4" s="798"/>
      <c r="AG4" s="798"/>
      <c r="AH4" s="798"/>
      <c r="AI4" s="798"/>
      <c r="AJ4" s="798"/>
      <c r="AK4" s="798"/>
      <c r="AL4" s="799" t="s">
        <v>85</v>
      </c>
      <c r="AM4" s="799"/>
      <c r="AN4" s="799"/>
      <c r="AO4" s="799"/>
      <c r="AP4" s="799"/>
      <c r="AQ4" s="41" t="s">
        <v>43</v>
      </c>
      <c r="AR4" s="800"/>
      <c r="AS4" s="800"/>
      <c r="AT4" s="800"/>
      <c r="AU4" s="800"/>
      <c r="AV4" s="800"/>
      <c r="AW4" s="800"/>
      <c r="AX4" s="800"/>
      <c r="AY4" s="800"/>
      <c r="AZ4" s="800"/>
      <c r="BA4" s="800"/>
      <c r="BB4" s="800"/>
      <c r="BC4" s="800"/>
      <c r="BD4" s="800"/>
      <c r="BE4" s="44"/>
      <c r="BF4" s="44"/>
      <c r="BG4" s="44"/>
      <c r="BH4" s="44"/>
    </row>
    <row r="5" spans="1:64" ht="30" customHeight="1">
      <c r="A5" s="801" t="s">
        <v>599</v>
      </c>
      <c r="B5" s="801"/>
      <c r="C5" s="801"/>
      <c r="D5" s="801"/>
      <c r="E5" s="801"/>
      <c r="F5" s="801"/>
      <c r="G5" s="801"/>
      <c r="H5" s="801"/>
      <c r="I5" s="801"/>
      <c r="J5" s="801"/>
      <c r="K5" s="801"/>
      <c r="L5" s="801"/>
      <c r="M5" s="801"/>
      <c r="N5" s="801"/>
      <c r="O5" s="801"/>
      <c r="P5" s="801" t="s">
        <v>600</v>
      </c>
      <c r="Q5" s="801"/>
      <c r="R5" s="801"/>
      <c r="S5" s="801"/>
      <c r="T5" s="801"/>
      <c r="U5" s="801"/>
      <c r="V5" s="801"/>
      <c r="W5" s="801"/>
      <c r="X5" s="801"/>
      <c r="Y5" s="801"/>
      <c r="Z5" s="801"/>
      <c r="AA5" s="801"/>
      <c r="AB5" s="801"/>
      <c r="AC5" s="801"/>
      <c r="AD5" s="801"/>
      <c r="AE5" s="801" t="s">
        <v>601</v>
      </c>
      <c r="AF5" s="801"/>
      <c r="AG5" s="801"/>
      <c r="AH5" s="801"/>
      <c r="AI5" s="801"/>
      <c r="AJ5" s="801"/>
      <c r="AK5" s="801"/>
      <c r="AL5" s="801"/>
      <c r="AM5" s="801"/>
      <c r="AN5" s="801"/>
      <c r="AO5" s="801"/>
      <c r="AP5" s="801"/>
      <c r="AQ5" s="801"/>
      <c r="AR5" s="801"/>
      <c r="AS5" s="801"/>
      <c r="AT5" s="801" t="s">
        <v>602</v>
      </c>
      <c r="AU5" s="801"/>
      <c r="AV5" s="801"/>
      <c r="AW5" s="801"/>
      <c r="AX5" s="801"/>
      <c r="AY5" s="801"/>
      <c r="AZ5" s="801"/>
      <c r="BA5" s="801"/>
      <c r="BB5" s="801"/>
      <c r="BC5" s="801"/>
      <c r="BD5" s="801"/>
      <c r="BE5" s="801"/>
      <c r="BF5" s="801"/>
      <c r="BG5" s="801"/>
      <c r="BH5" s="801"/>
    </row>
    <row r="6" spans="1:64" ht="30" customHeight="1">
      <c r="A6" s="796" t="str">
        <f>'Rubric (.)'!A1:D1</f>
        <v>1. My Professionalism</v>
      </c>
      <c r="B6" s="796"/>
      <c r="C6" s="796"/>
      <c r="D6" s="796"/>
      <c r="E6" s="796"/>
      <c r="F6" s="796"/>
      <c r="G6" s="796"/>
      <c r="H6" s="796"/>
      <c r="I6" s="796"/>
      <c r="J6" s="796"/>
      <c r="K6" s="796"/>
      <c r="L6" s="796"/>
      <c r="M6" s="796"/>
      <c r="N6" s="796"/>
      <c r="O6" s="796"/>
      <c r="P6" s="796"/>
      <c r="Q6" s="796"/>
      <c r="R6" s="796"/>
      <c r="S6" s="796"/>
      <c r="T6" s="796"/>
      <c r="U6" s="796"/>
      <c r="V6" s="796"/>
      <c r="W6" s="796"/>
      <c r="X6" s="796"/>
      <c r="Y6" s="796"/>
      <c r="Z6" s="796"/>
      <c r="AA6" s="796"/>
      <c r="AB6" s="796"/>
      <c r="AC6" s="796"/>
      <c r="AD6" s="796"/>
      <c r="AE6" s="796"/>
      <c r="AF6" s="796"/>
      <c r="AG6" s="796"/>
      <c r="AH6" s="796"/>
      <c r="AI6" s="796"/>
      <c r="AJ6" s="796"/>
      <c r="AK6" s="796"/>
      <c r="AL6" s="796"/>
      <c r="AM6" s="796"/>
      <c r="AN6" s="796"/>
      <c r="AO6" s="796"/>
      <c r="AP6" s="796"/>
      <c r="AQ6" s="796"/>
      <c r="AR6" s="796"/>
      <c r="AS6" s="796"/>
      <c r="AT6" s="796"/>
      <c r="AU6" s="796"/>
      <c r="AV6" s="796"/>
      <c r="AW6" s="796"/>
      <c r="AX6" s="796"/>
      <c r="AY6" s="796"/>
      <c r="AZ6" s="796"/>
      <c r="BA6" s="796"/>
      <c r="BB6" s="796"/>
      <c r="BC6" s="796"/>
      <c r="BD6" s="796"/>
      <c r="BE6" s="796"/>
      <c r="BF6" s="796"/>
      <c r="BG6" s="796"/>
      <c r="BH6" s="796"/>
    </row>
    <row r="7" spans="1:64" ht="15" customHeight="1">
      <c r="A7" s="795" t="str">
        <f>'Rubric (.)'!A2:D2</f>
        <v>1.1 Positive Approach: Shows drive, passion and energy</v>
      </c>
      <c r="B7" s="795"/>
      <c r="C7" s="795"/>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c r="AE7" s="795"/>
      <c r="AF7" s="795"/>
      <c r="AG7" s="795"/>
      <c r="AH7" s="795"/>
      <c r="AI7" s="795"/>
      <c r="AJ7" s="795"/>
      <c r="AK7" s="795"/>
      <c r="AL7" s="795"/>
      <c r="AM7" s="795"/>
      <c r="AN7" s="795"/>
      <c r="AO7" s="795"/>
      <c r="AP7" s="795"/>
      <c r="AQ7" s="795"/>
      <c r="AR7" s="795"/>
      <c r="AS7" s="795"/>
      <c r="AT7" s="795"/>
      <c r="AU7" s="795"/>
      <c r="AV7" s="795"/>
      <c r="AW7" s="795"/>
      <c r="AX7" s="795"/>
      <c r="AY7" s="795"/>
      <c r="AZ7" s="795"/>
      <c r="BA7" s="795"/>
      <c r="BB7" s="795"/>
      <c r="BC7" s="795"/>
      <c r="BD7" s="795"/>
      <c r="BE7" s="795"/>
      <c r="BF7" s="795"/>
      <c r="BG7" s="795"/>
      <c r="BH7" s="795"/>
      <c r="BJ7" s="40">
        <f>IF(Rotation="B",BKBI1.1,AKBI1.1)</f>
        <v>98.99</v>
      </c>
      <c r="BL7" s="524"/>
    </row>
    <row r="8" spans="1:64" ht="50" customHeight="1">
      <c r="A8" s="792" t="str">
        <f>IF(AND((BJ7&gt;=0),(BJ7&lt;=84.99)),'Rubric (.)'!A3,"")</f>
        <v/>
      </c>
      <c r="B8" s="793"/>
      <c r="C8" s="793"/>
      <c r="D8" s="793"/>
      <c r="E8" s="793"/>
      <c r="F8" s="793"/>
      <c r="G8" s="793"/>
      <c r="H8" s="793"/>
      <c r="I8" s="793"/>
      <c r="J8" s="793"/>
      <c r="K8" s="793"/>
      <c r="L8" s="793"/>
      <c r="M8" s="793"/>
      <c r="N8" s="793"/>
      <c r="O8" s="793"/>
      <c r="P8" s="793"/>
      <c r="Q8" s="793"/>
      <c r="R8" s="793"/>
      <c r="S8" s="793"/>
      <c r="T8" s="793"/>
      <c r="U8" s="793"/>
      <c r="V8" s="793"/>
      <c r="W8" s="793"/>
      <c r="X8" s="793"/>
      <c r="Y8" s="793"/>
      <c r="Z8" s="793"/>
      <c r="AA8" s="793"/>
      <c r="AB8" s="793"/>
      <c r="AC8" s="793"/>
      <c r="AD8" s="793"/>
      <c r="AE8" s="793"/>
      <c r="AF8" s="793"/>
      <c r="AG8" s="793"/>
      <c r="AH8" s="793"/>
      <c r="AI8" s="793"/>
      <c r="AJ8" s="793"/>
      <c r="AK8" s="793"/>
      <c r="AL8" s="793"/>
      <c r="AM8" s="793"/>
      <c r="AN8" s="793"/>
      <c r="AO8" s="793"/>
      <c r="AP8" s="793"/>
      <c r="AQ8" s="793"/>
      <c r="AR8" s="793"/>
      <c r="AS8" s="793"/>
      <c r="AT8" s="793"/>
      <c r="AU8" s="793"/>
      <c r="AV8" s="793"/>
      <c r="AW8" s="793"/>
      <c r="AX8" s="793"/>
      <c r="AY8" s="793"/>
      <c r="AZ8" s="793"/>
      <c r="BA8" s="793"/>
      <c r="BB8" s="793"/>
      <c r="BC8" s="793"/>
      <c r="BD8" s="793"/>
      <c r="BE8" s="793"/>
      <c r="BF8" s="793"/>
      <c r="BG8" s="793"/>
      <c r="BH8" s="794"/>
      <c r="BI8" s="379"/>
    </row>
    <row r="9" spans="1:64" ht="50" customHeight="1">
      <c r="A9" s="792" t="str">
        <f>IF(AND((BJ7&gt;=85),(BJ7&lt;=89.99)),'Rubric (.)'!B3,"")</f>
        <v/>
      </c>
      <c r="B9" s="793"/>
      <c r="C9" s="793"/>
      <c r="D9" s="793"/>
      <c r="E9" s="793"/>
      <c r="F9" s="793"/>
      <c r="G9" s="793"/>
      <c r="H9" s="793"/>
      <c r="I9" s="793"/>
      <c r="J9" s="793"/>
      <c r="K9" s="793"/>
      <c r="L9" s="793"/>
      <c r="M9" s="793"/>
      <c r="N9" s="793"/>
      <c r="O9" s="793"/>
      <c r="P9" s="793"/>
      <c r="Q9" s="793"/>
      <c r="R9" s="793"/>
      <c r="S9" s="793"/>
      <c r="T9" s="793"/>
      <c r="U9" s="793"/>
      <c r="V9" s="793"/>
      <c r="W9" s="793"/>
      <c r="X9" s="793"/>
      <c r="Y9" s="793"/>
      <c r="Z9" s="793"/>
      <c r="AA9" s="793"/>
      <c r="AB9" s="793"/>
      <c r="AC9" s="793"/>
      <c r="AD9" s="793"/>
      <c r="AE9" s="793"/>
      <c r="AF9" s="793"/>
      <c r="AG9" s="793"/>
      <c r="AH9" s="793"/>
      <c r="AI9" s="793"/>
      <c r="AJ9" s="793"/>
      <c r="AK9" s="793"/>
      <c r="AL9" s="793"/>
      <c r="AM9" s="793"/>
      <c r="AN9" s="793"/>
      <c r="AO9" s="793"/>
      <c r="AP9" s="793"/>
      <c r="AQ9" s="793"/>
      <c r="AR9" s="793"/>
      <c r="AS9" s="793"/>
      <c r="AT9" s="793"/>
      <c r="AU9" s="793"/>
      <c r="AV9" s="793"/>
      <c r="AW9" s="793"/>
      <c r="AX9" s="793"/>
      <c r="AY9" s="793"/>
      <c r="AZ9" s="793"/>
      <c r="BA9" s="793"/>
      <c r="BB9" s="793"/>
      <c r="BC9" s="793"/>
      <c r="BD9" s="793"/>
      <c r="BE9" s="793"/>
      <c r="BF9" s="793"/>
      <c r="BG9" s="793"/>
      <c r="BH9" s="794"/>
      <c r="BI9" s="379"/>
    </row>
    <row r="10" spans="1:64" ht="50" customHeight="1">
      <c r="A10" s="792" t="str">
        <f>IF(AND((BJ7&gt;=90),(BJ7&lt;=98.99)),'Rubric (.)'!C3,"")</f>
        <v>•  1.1.2 Had a consistently positive approach during sessions and throughout the course
•  Body language was open and friendly.</v>
      </c>
      <c r="B10" s="793"/>
      <c r="C10" s="793"/>
      <c r="D10" s="793"/>
      <c r="E10" s="793"/>
      <c r="F10" s="793"/>
      <c r="G10" s="793"/>
      <c r="H10" s="793"/>
      <c r="I10" s="793"/>
      <c r="J10" s="793"/>
      <c r="K10" s="793"/>
      <c r="L10" s="793"/>
      <c r="M10" s="793"/>
      <c r="N10" s="793"/>
      <c r="O10" s="793"/>
      <c r="P10" s="793"/>
      <c r="Q10" s="793"/>
      <c r="R10" s="793"/>
      <c r="S10" s="793"/>
      <c r="T10" s="793"/>
      <c r="U10" s="793"/>
      <c r="V10" s="793"/>
      <c r="W10" s="793"/>
      <c r="X10" s="793"/>
      <c r="Y10" s="793"/>
      <c r="Z10" s="793"/>
      <c r="AA10" s="793"/>
      <c r="AB10" s="793"/>
      <c r="AC10" s="793"/>
      <c r="AD10" s="793"/>
      <c r="AE10" s="793"/>
      <c r="AF10" s="793"/>
      <c r="AG10" s="793"/>
      <c r="AH10" s="793"/>
      <c r="AI10" s="793"/>
      <c r="AJ10" s="793"/>
      <c r="AK10" s="793"/>
      <c r="AL10" s="793"/>
      <c r="AM10" s="793"/>
      <c r="AN10" s="793"/>
      <c r="AO10" s="793"/>
      <c r="AP10" s="793"/>
      <c r="AQ10" s="793"/>
      <c r="AR10" s="793"/>
      <c r="AS10" s="793"/>
      <c r="AT10" s="793"/>
      <c r="AU10" s="793"/>
      <c r="AV10" s="793"/>
      <c r="AW10" s="793"/>
      <c r="AX10" s="793"/>
      <c r="AY10" s="793"/>
      <c r="AZ10" s="793"/>
      <c r="BA10" s="793"/>
      <c r="BB10" s="793"/>
      <c r="BC10" s="793"/>
      <c r="BD10" s="793"/>
      <c r="BE10" s="793"/>
      <c r="BF10" s="793"/>
      <c r="BG10" s="793"/>
      <c r="BH10" s="794"/>
      <c r="BI10" s="379"/>
    </row>
    <row r="11" spans="1:64" ht="50" customHeight="1">
      <c r="A11" s="792" t="str">
        <f>IF(AND((BJ7&gt;=99),(BJ7&lt;=110)),'Rubric (.)'!D3,"")</f>
        <v/>
      </c>
      <c r="B11" s="793"/>
      <c r="C11" s="793"/>
      <c r="D11" s="793"/>
      <c r="E11" s="793"/>
      <c r="F11" s="793"/>
      <c r="G11" s="793"/>
      <c r="H11" s="793"/>
      <c r="I11" s="793"/>
      <c r="J11" s="793"/>
      <c r="K11" s="793"/>
      <c r="L11" s="793"/>
      <c r="M11" s="793"/>
      <c r="N11" s="793"/>
      <c r="O11" s="793"/>
      <c r="P11" s="793"/>
      <c r="Q11" s="793"/>
      <c r="R11" s="793"/>
      <c r="S11" s="793"/>
      <c r="T11" s="793"/>
      <c r="U11" s="793"/>
      <c r="V11" s="793"/>
      <c r="W11" s="793"/>
      <c r="X11" s="793"/>
      <c r="Y11" s="793"/>
      <c r="Z11" s="793"/>
      <c r="AA11" s="793"/>
      <c r="AB11" s="793"/>
      <c r="AC11" s="793"/>
      <c r="AD11" s="793"/>
      <c r="AE11" s="793"/>
      <c r="AF11" s="793"/>
      <c r="AG11" s="793"/>
      <c r="AH11" s="793"/>
      <c r="AI11" s="793"/>
      <c r="AJ11" s="793"/>
      <c r="AK11" s="793"/>
      <c r="AL11" s="793"/>
      <c r="AM11" s="793"/>
      <c r="AN11" s="793"/>
      <c r="AO11" s="793"/>
      <c r="AP11" s="793"/>
      <c r="AQ11" s="793"/>
      <c r="AR11" s="793"/>
      <c r="AS11" s="793"/>
      <c r="AT11" s="793"/>
      <c r="AU11" s="793"/>
      <c r="AV11" s="793"/>
      <c r="AW11" s="793"/>
      <c r="AX11" s="793"/>
      <c r="AY11" s="793"/>
      <c r="AZ11" s="793"/>
      <c r="BA11" s="793"/>
      <c r="BB11" s="793"/>
      <c r="BC11" s="793"/>
      <c r="BD11" s="793"/>
      <c r="BE11" s="793"/>
      <c r="BF11" s="793"/>
      <c r="BG11" s="793"/>
      <c r="BH11" s="794"/>
      <c r="BI11" s="379"/>
    </row>
    <row r="12" spans="1:64" ht="15" customHeight="1">
      <c r="A12" s="795" t="str">
        <f>'Rubric (.)'!A4:D4</f>
        <v>1.2 Resilient: Is calm and controlled under pressure. Adjusts to changes and manages challenging situations effectively</v>
      </c>
      <c r="B12" s="795"/>
      <c r="C12" s="795"/>
      <c r="D12" s="795"/>
      <c r="E12" s="795"/>
      <c r="F12" s="795"/>
      <c r="G12" s="795"/>
      <c r="H12" s="795"/>
      <c r="I12" s="795"/>
      <c r="J12" s="795"/>
      <c r="K12" s="795"/>
      <c r="L12" s="795"/>
      <c r="M12" s="795"/>
      <c r="N12" s="795"/>
      <c r="O12" s="795"/>
      <c r="P12" s="795"/>
      <c r="Q12" s="795"/>
      <c r="R12" s="795"/>
      <c r="S12" s="795"/>
      <c r="T12" s="795"/>
      <c r="U12" s="795"/>
      <c r="V12" s="795"/>
      <c r="W12" s="795"/>
      <c r="X12" s="795"/>
      <c r="Y12" s="795"/>
      <c r="Z12" s="795"/>
      <c r="AA12" s="795"/>
      <c r="AB12" s="795"/>
      <c r="AC12" s="795"/>
      <c r="AD12" s="795"/>
      <c r="AE12" s="795"/>
      <c r="AF12" s="795"/>
      <c r="AG12" s="795"/>
      <c r="AH12" s="795"/>
      <c r="AI12" s="795"/>
      <c r="AJ12" s="795"/>
      <c r="AK12" s="795"/>
      <c r="AL12" s="795"/>
      <c r="AM12" s="795"/>
      <c r="AN12" s="795"/>
      <c r="AO12" s="795"/>
      <c r="AP12" s="795"/>
      <c r="AQ12" s="795"/>
      <c r="AR12" s="795"/>
      <c r="AS12" s="795"/>
      <c r="AT12" s="795"/>
      <c r="AU12" s="795"/>
      <c r="AV12" s="795"/>
      <c r="AW12" s="795"/>
      <c r="AX12" s="795"/>
      <c r="AY12" s="795"/>
      <c r="AZ12" s="795"/>
      <c r="BA12" s="795"/>
      <c r="BB12" s="795"/>
      <c r="BC12" s="795"/>
      <c r="BD12" s="795"/>
      <c r="BE12" s="795"/>
      <c r="BF12" s="795"/>
      <c r="BG12" s="795"/>
      <c r="BH12" s="795"/>
      <c r="BJ12" s="40">
        <f>IF(Rotation="B",BKBI1.2,AKBI1.2)</f>
        <v>98.99</v>
      </c>
    </row>
    <row r="13" spans="1:64" ht="50" customHeight="1">
      <c r="A13" s="792" t="str">
        <f>IF(AND((BJ12&gt;=0),(BJ12&lt;=84.99)),'Rubric (.)'!A5,"")</f>
        <v/>
      </c>
      <c r="B13" s="793"/>
      <c r="C13" s="793"/>
      <c r="D13" s="793"/>
      <c r="E13" s="793"/>
      <c r="F13" s="793"/>
      <c r="G13" s="793"/>
      <c r="H13" s="793"/>
      <c r="I13" s="793"/>
      <c r="J13" s="793"/>
      <c r="K13" s="793"/>
      <c r="L13" s="793"/>
      <c r="M13" s="793"/>
      <c r="N13" s="793"/>
      <c r="O13" s="793"/>
      <c r="P13" s="793"/>
      <c r="Q13" s="793"/>
      <c r="R13" s="793"/>
      <c r="S13" s="793"/>
      <c r="T13" s="793"/>
      <c r="U13" s="793"/>
      <c r="V13" s="793"/>
      <c r="W13" s="793"/>
      <c r="X13" s="793"/>
      <c r="Y13" s="793"/>
      <c r="Z13" s="793"/>
      <c r="AA13" s="793"/>
      <c r="AB13" s="793"/>
      <c r="AC13" s="793"/>
      <c r="AD13" s="793"/>
      <c r="AE13" s="793"/>
      <c r="AF13" s="793"/>
      <c r="AG13" s="793"/>
      <c r="AH13" s="793"/>
      <c r="AI13" s="793"/>
      <c r="AJ13" s="793"/>
      <c r="AK13" s="793"/>
      <c r="AL13" s="793"/>
      <c r="AM13" s="793"/>
      <c r="AN13" s="793"/>
      <c r="AO13" s="793"/>
      <c r="AP13" s="793"/>
      <c r="AQ13" s="793"/>
      <c r="AR13" s="793"/>
      <c r="AS13" s="793"/>
      <c r="AT13" s="793"/>
      <c r="AU13" s="793"/>
      <c r="AV13" s="793"/>
      <c r="AW13" s="793"/>
      <c r="AX13" s="793"/>
      <c r="AY13" s="793"/>
      <c r="AZ13" s="793"/>
      <c r="BA13" s="793"/>
      <c r="BB13" s="793"/>
      <c r="BC13" s="793"/>
      <c r="BD13" s="793"/>
      <c r="BE13" s="793"/>
      <c r="BF13" s="793"/>
      <c r="BG13" s="793"/>
      <c r="BH13" s="794"/>
      <c r="BI13" s="379"/>
      <c r="BJ13" s="40"/>
    </row>
    <row r="14" spans="1:64" ht="50" customHeight="1">
      <c r="A14" s="792" t="str">
        <f>IF(AND((BJ12&gt;=85),(BJ12&lt;=89.99)),'Rubric (.)'!B5,"")</f>
        <v/>
      </c>
      <c r="B14" s="793"/>
      <c r="C14" s="793"/>
      <c r="D14" s="793"/>
      <c r="E14" s="793"/>
      <c r="F14" s="793"/>
      <c r="G14" s="793"/>
      <c r="H14" s="793"/>
      <c r="I14" s="793"/>
      <c r="J14" s="793"/>
      <c r="K14" s="793"/>
      <c r="L14" s="793"/>
      <c r="M14" s="793"/>
      <c r="N14" s="793"/>
      <c r="O14" s="793"/>
      <c r="P14" s="793"/>
      <c r="Q14" s="793"/>
      <c r="R14" s="793"/>
      <c r="S14" s="793"/>
      <c r="T14" s="793"/>
      <c r="U14" s="793"/>
      <c r="V14" s="793"/>
      <c r="W14" s="793"/>
      <c r="X14" s="793"/>
      <c r="Y14" s="793"/>
      <c r="Z14" s="793"/>
      <c r="AA14" s="793"/>
      <c r="AB14" s="793"/>
      <c r="AC14" s="793"/>
      <c r="AD14" s="793"/>
      <c r="AE14" s="793"/>
      <c r="AF14" s="793"/>
      <c r="AG14" s="793"/>
      <c r="AH14" s="793"/>
      <c r="AI14" s="793"/>
      <c r="AJ14" s="793"/>
      <c r="AK14" s="793"/>
      <c r="AL14" s="793"/>
      <c r="AM14" s="793"/>
      <c r="AN14" s="793"/>
      <c r="AO14" s="793"/>
      <c r="AP14" s="793"/>
      <c r="AQ14" s="793"/>
      <c r="AR14" s="793"/>
      <c r="AS14" s="793"/>
      <c r="AT14" s="793"/>
      <c r="AU14" s="793"/>
      <c r="AV14" s="793"/>
      <c r="AW14" s="793"/>
      <c r="AX14" s="793"/>
      <c r="AY14" s="793"/>
      <c r="AZ14" s="793"/>
      <c r="BA14" s="793"/>
      <c r="BB14" s="793"/>
      <c r="BC14" s="793"/>
      <c r="BD14" s="793"/>
      <c r="BE14" s="793"/>
      <c r="BF14" s="793"/>
      <c r="BG14" s="793"/>
      <c r="BH14" s="794"/>
      <c r="BI14" s="379"/>
      <c r="BJ14" s="40"/>
    </row>
    <row r="15" spans="1:64" ht="50" customHeight="1">
      <c r="A15" s="792" t="str">
        <f>IF(AND((BJ12&gt;=90),(BJ12&lt;=98.99)),'Rubric (.)'!C5,"")</f>
        <v>•  1.2.2 Calm and controlled under pressure
•  Showed flexibility and adapted to changes when needed.</v>
      </c>
      <c r="B15" s="793"/>
      <c r="C15" s="793"/>
      <c r="D15" s="793"/>
      <c r="E15" s="793"/>
      <c r="F15" s="793"/>
      <c r="G15" s="793"/>
      <c r="H15" s="793"/>
      <c r="I15" s="793"/>
      <c r="J15" s="793"/>
      <c r="K15" s="793"/>
      <c r="L15" s="793"/>
      <c r="M15" s="793"/>
      <c r="N15" s="793"/>
      <c r="O15" s="793"/>
      <c r="P15" s="793"/>
      <c r="Q15" s="793"/>
      <c r="R15" s="793"/>
      <c r="S15" s="793"/>
      <c r="T15" s="793"/>
      <c r="U15" s="793"/>
      <c r="V15" s="793"/>
      <c r="W15" s="793"/>
      <c r="X15" s="793"/>
      <c r="Y15" s="793"/>
      <c r="Z15" s="793"/>
      <c r="AA15" s="793"/>
      <c r="AB15" s="793"/>
      <c r="AC15" s="793"/>
      <c r="AD15" s="793"/>
      <c r="AE15" s="793"/>
      <c r="AF15" s="793"/>
      <c r="AG15" s="793"/>
      <c r="AH15" s="793"/>
      <c r="AI15" s="793"/>
      <c r="AJ15" s="793"/>
      <c r="AK15" s="793"/>
      <c r="AL15" s="793"/>
      <c r="AM15" s="793"/>
      <c r="AN15" s="793"/>
      <c r="AO15" s="793"/>
      <c r="AP15" s="793"/>
      <c r="AQ15" s="793"/>
      <c r="AR15" s="793"/>
      <c r="AS15" s="793"/>
      <c r="AT15" s="793"/>
      <c r="AU15" s="793"/>
      <c r="AV15" s="793"/>
      <c r="AW15" s="793"/>
      <c r="AX15" s="793"/>
      <c r="AY15" s="793"/>
      <c r="AZ15" s="793"/>
      <c r="BA15" s="793"/>
      <c r="BB15" s="793"/>
      <c r="BC15" s="793"/>
      <c r="BD15" s="793"/>
      <c r="BE15" s="793"/>
      <c r="BF15" s="793"/>
      <c r="BG15" s="793"/>
      <c r="BH15" s="794"/>
      <c r="BI15" s="379"/>
      <c r="BJ15" s="40"/>
    </row>
    <row r="16" spans="1:64" ht="50" customHeight="1">
      <c r="A16" s="792" t="str">
        <f>IF(AND((BJ12&gt;=99),(BJ12&lt;=110)),'Rubric (.)'!D5,"")</f>
        <v/>
      </c>
      <c r="B16" s="793"/>
      <c r="C16" s="793"/>
      <c r="D16" s="793"/>
      <c r="E16" s="793"/>
      <c r="F16" s="793"/>
      <c r="G16" s="793"/>
      <c r="H16" s="793"/>
      <c r="I16" s="793"/>
      <c r="J16" s="793"/>
      <c r="K16" s="793"/>
      <c r="L16" s="793"/>
      <c r="M16" s="793"/>
      <c r="N16" s="793"/>
      <c r="O16" s="793"/>
      <c r="P16" s="793"/>
      <c r="Q16" s="793"/>
      <c r="R16" s="793"/>
      <c r="S16" s="793"/>
      <c r="T16" s="793"/>
      <c r="U16" s="793"/>
      <c r="V16" s="793"/>
      <c r="W16" s="793"/>
      <c r="X16" s="793"/>
      <c r="Y16" s="793"/>
      <c r="Z16" s="793"/>
      <c r="AA16" s="793"/>
      <c r="AB16" s="793"/>
      <c r="AC16" s="793"/>
      <c r="AD16" s="793"/>
      <c r="AE16" s="793"/>
      <c r="AF16" s="793"/>
      <c r="AG16" s="793"/>
      <c r="AH16" s="793"/>
      <c r="AI16" s="793"/>
      <c r="AJ16" s="793"/>
      <c r="AK16" s="793"/>
      <c r="AL16" s="793"/>
      <c r="AM16" s="793"/>
      <c r="AN16" s="793"/>
      <c r="AO16" s="793"/>
      <c r="AP16" s="793"/>
      <c r="AQ16" s="793"/>
      <c r="AR16" s="793"/>
      <c r="AS16" s="793"/>
      <c r="AT16" s="793"/>
      <c r="AU16" s="793"/>
      <c r="AV16" s="793"/>
      <c r="AW16" s="793"/>
      <c r="AX16" s="793"/>
      <c r="AY16" s="793"/>
      <c r="AZ16" s="793"/>
      <c r="BA16" s="793"/>
      <c r="BB16" s="793"/>
      <c r="BC16" s="793"/>
      <c r="BD16" s="793"/>
      <c r="BE16" s="793"/>
      <c r="BF16" s="793"/>
      <c r="BG16" s="793"/>
      <c r="BH16" s="794"/>
      <c r="BI16" s="379"/>
      <c r="BJ16" s="40"/>
    </row>
    <row r="17" spans="1:62" ht="15" customHeight="1">
      <c r="A17" s="795" t="str">
        <f>'Rubric (.)'!A6:D6</f>
        <v>1.3 Cosmopolitan: Shows respect for other cultures and appreciates differences</v>
      </c>
      <c r="B17" s="795"/>
      <c r="C17" s="795"/>
      <c r="D17" s="795"/>
      <c r="E17" s="795"/>
      <c r="F17" s="795"/>
      <c r="G17" s="795"/>
      <c r="H17" s="795"/>
      <c r="I17" s="795"/>
      <c r="J17" s="795"/>
      <c r="K17" s="795"/>
      <c r="L17" s="795"/>
      <c r="M17" s="795"/>
      <c r="N17" s="795"/>
      <c r="O17" s="795"/>
      <c r="P17" s="795"/>
      <c r="Q17" s="795"/>
      <c r="R17" s="795"/>
      <c r="S17" s="795"/>
      <c r="T17" s="795"/>
      <c r="U17" s="795"/>
      <c r="V17" s="795"/>
      <c r="W17" s="795"/>
      <c r="X17" s="795"/>
      <c r="Y17" s="795"/>
      <c r="Z17" s="795"/>
      <c r="AA17" s="795"/>
      <c r="AB17" s="795"/>
      <c r="AC17" s="795"/>
      <c r="AD17" s="795"/>
      <c r="AE17" s="795"/>
      <c r="AF17" s="795"/>
      <c r="AG17" s="795"/>
      <c r="AH17" s="795"/>
      <c r="AI17" s="795"/>
      <c r="AJ17" s="795"/>
      <c r="AK17" s="795"/>
      <c r="AL17" s="795"/>
      <c r="AM17" s="795"/>
      <c r="AN17" s="795"/>
      <c r="AO17" s="795"/>
      <c r="AP17" s="795"/>
      <c r="AQ17" s="795"/>
      <c r="AR17" s="795"/>
      <c r="AS17" s="795"/>
      <c r="AT17" s="795"/>
      <c r="AU17" s="795"/>
      <c r="AV17" s="795"/>
      <c r="AW17" s="795"/>
      <c r="AX17" s="795"/>
      <c r="AY17" s="795"/>
      <c r="AZ17" s="795"/>
      <c r="BA17" s="795"/>
      <c r="BB17" s="795"/>
      <c r="BC17" s="795"/>
      <c r="BD17" s="795"/>
      <c r="BE17" s="795"/>
      <c r="BF17" s="795"/>
      <c r="BG17" s="795"/>
      <c r="BH17" s="795"/>
      <c r="BJ17" s="40">
        <f>IF(Rotation="B",BKBI1.3,AKBI1.3)</f>
        <v>98.99</v>
      </c>
    </row>
    <row r="18" spans="1:62" ht="50" customHeight="1">
      <c r="A18" s="792" t="str">
        <f>IF(AND((BJ17&gt;=0),(BJ17&lt;=84.99)),'Rubric (.)'!A7,"")</f>
        <v/>
      </c>
      <c r="B18" s="793"/>
      <c r="C18" s="793"/>
      <c r="D18" s="793"/>
      <c r="E18" s="793"/>
      <c r="F18" s="793"/>
      <c r="G18" s="793"/>
      <c r="H18" s="793"/>
      <c r="I18" s="793"/>
      <c r="J18" s="793"/>
      <c r="K18" s="793"/>
      <c r="L18" s="793"/>
      <c r="M18" s="793"/>
      <c r="N18" s="793"/>
      <c r="O18" s="793"/>
      <c r="P18" s="793"/>
      <c r="Q18" s="793"/>
      <c r="R18" s="793"/>
      <c r="S18" s="793"/>
      <c r="T18" s="793"/>
      <c r="U18" s="793"/>
      <c r="V18" s="793"/>
      <c r="W18" s="793"/>
      <c r="X18" s="793"/>
      <c r="Y18" s="793"/>
      <c r="Z18" s="793"/>
      <c r="AA18" s="793"/>
      <c r="AB18" s="793"/>
      <c r="AC18" s="793"/>
      <c r="AD18" s="793"/>
      <c r="AE18" s="793"/>
      <c r="AF18" s="793"/>
      <c r="AG18" s="793"/>
      <c r="AH18" s="793"/>
      <c r="AI18" s="793"/>
      <c r="AJ18" s="793"/>
      <c r="AK18" s="793"/>
      <c r="AL18" s="793"/>
      <c r="AM18" s="793"/>
      <c r="AN18" s="793"/>
      <c r="AO18" s="793"/>
      <c r="AP18" s="793"/>
      <c r="AQ18" s="793"/>
      <c r="AR18" s="793"/>
      <c r="AS18" s="793"/>
      <c r="AT18" s="793"/>
      <c r="AU18" s="793"/>
      <c r="AV18" s="793"/>
      <c r="AW18" s="793"/>
      <c r="AX18" s="793"/>
      <c r="AY18" s="793"/>
      <c r="AZ18" s="793"/>
      <c r="BA18" s="793"/>
      <c r="BB18" s="793"/>
      <c r="BC18" s="793"/>
      <c r="BD18" s="793"/>
      <c r="BE18" s="793"/>
      <c r="BF18" s="793"/>
      <c r="BG18" s="793"/>
      <c r="BH18" s="794"/>
      <c r="BI18" s="379"/>
      <c r="BJ18" s="40"/>
    </row>
    <row r="19" spans="1:62" ht="50" customHeight="1">
      <c r="A19" s="792" t="str">
        <f>IF(AND((BJ17&gt;=85),(BJ17&lt;=89.99)),'Rubric (.)'!B7,"")</f>
        <v/>
      </c>
      <c r="B19" s="793"/>
      <c r="C19" s="793"/>
      <c r="D19" s="793"/>
      <c r="E19" s="793"/>
      <c r="F19" s="793"/>
      <c r="G19" s="793"/>
      <c r="H19" s="793"/>
      <c r="I19" s="793"/>
      <c r="J19" s="793"/>
      <c r="K19" s="793"/>
      <c r="L19" s="793"/>
      <c r="M19" s="793"/>
      <c r="N19" s="793"/>
      <c r="O19" s="793"/>
      <c r="P19" s="793"/>
      <c r="Q19" s="793"/>
      <c r="R19" s="793"/>
      <c r="S19" s="793"/>
      <c r="T19" s="793"/>
      <c r="U19" s="793"/>
      <c r="V19" s="793"/>
      <c r="W19" s="793"/>
      <c r="X19" s="793"/>
      <c r="Y19" s="793"/>
      <c r="Z19" s="793"/>
      <c r="AA19" s="793"/>
      <c r="AB19" s="793"/>
      <c r="AC19" s="793"/>
      <c r="AD19" s="793"/>
      <c r="AE19" s="793"/>
      <c r="AF19" s="793"/>
      <c r="AG19" s="793"/>
      <c r="AH19" s="793"/>
      <c r="AI19" s="793"/>
      <c r="AJ19" s="793"/>
      <c r="AK19" s="793"/>
      <c r="AL19" s="793"/>
      <c r="AM19" s="793"/>
      <c r="AN19" s="793"/>
      <c r="AO19" s="793"/>
      <c r="AP19" s="793"/>
      <c r="AQ19" s="793"/>
      <c r="AR19" s="793"/>
      <c r="AS19" s="793"/>
      <c r="AT19" s="793"/>
      <c r="AU19" s="793"/>
      <c r="AV19" s="793"/>
      <c r="AW19" s="793"/>
      <c r="AX19" s="793"/>
      <c r="AY19" s="793"/>
      <c r="AZ19" s="793"/>
      <c r="BA19" s="793"/>
      <c r="BB19" s="793"/>
      <c r="BC19" s="793"/>
      <c r="BD19" s="793"/>
      <c r="BE19" s="793"/>
      <c r="BF19" s="793"/>
      <c r="BG19" s="793"/>
      <c r="BH19" s="794"/>
      <c r="BI19" s="379"/>
      <c r="BJ19" s="40"/>
    </row>
    <row r="20" spans="1:62" ht="50" customHeight="1">
      <c r="A20" s="792" t="str">
        <f>IF(AND((BJ17&gt;=90),(BJ17&lt;=98.99)),'Rubric (.)'!C7,"")</f>
        <v>•  1.3.2 Showed respect for other cultures and appreciated cultural differences amongst colleagues and customers.</v>
      </c>
      <c r="B20" s="793"/>
      <c r="C20" s="793"/>
      <c r="D20" s="793"/>
      <c r="E20" s="793"/>
      <c r="F20" s="793"/>
      <c r="G20" s="793"/>
      <c r="H20" s="793"/>
      <c r="I20" s="793"/>
      <c r="J20" s="793"/>
      <c r="K20" s="793"/>
      <c r="L20" s="793"/>
      <c r="M20" s="793"/>
      <c r="N20" s="793"/>
      <c r="O20" s="793"/>
      <c r="P20" s="793"/>
      <c r="Q20" s="793"/>
      <c r="R20" s="793"/>
      <c r="S20" s="793"/>
      <c r="T20" s="793"/>
      <c r="U20" s="793"/>
      <c r="V20" s="793"/>
      <c r="W20" s="793"/>
      <c r="X20" s="793"/>
      <c r="Y20" s="793"/>
      <c r="Z20" s="793"/>
      <c r="AA20" s="793"/>
      <c r="AB20" s="793"/>
      <c r="AC20" s="793"/>
      <c r="AD20" s="793"/>
      <c r="AE20" s="793"/>
      <c r="AF20" s="793"/>
      <c r="AG20" s="793"/>
      <c r="AH20" s="793"/>
      <c r="AI20" s="793"/>
      <c r="AJ20" s="793"/>
      <c r="AK20" s="793"/>
      <c r="AL20" s="793"/>
      <c r="AM20" s="793"/>
      <c r="AN20" s="793"/>
      <c r="AO20" s="793"/>
      <c r="AP20" s="793"/>
      <c r="AQ20" s="793"/>
      <c r="AR20" s="793"/>
      <c r="AS20" s="793"/>
      <c r="AT20" s="793"/>
      <c r="AU20" s="793"/>
      <c r="AV20" s="793"/>
      <c r="AW20" s="793"/>
      <c r="AX20" s="793"/>
      <c r="AY20" s="793"/>
      <c r="AZ20" s="793"/>
      <c r="BA20" s="793"/>
      <c r="BB20" s="793"/>
      <c r="BC20" s="793"/>
      <c r="BD20" s="793"/>
      <c r="BE20" s="793"/>
      <c r="BF20" s="793"/>
      <c r="BG20" s="793"/>
      <c r="BH20" s="794"/>
      <c r="BI20" s="379"/>
      <c r="BJ20" s="40"/>
    </row>
    <row r="21" spans="1:62" ht="50" customHeight="1">
      <c r="A21" s="792" t="str">
        <f>IF(AND((BJ17&gt;=99),(BJ17&lt;=110)),'Rubric (.)'!D7,"")</f>
        <v/>
      </c>
      <c r="B21" s="793"/>
      <c r="C21" s="793"/>
      <c r="D21" s="793"/>
      <c r="E21" s="793"/>
      <c r="F21" s="793"/>
      <c r="G21" s="793"/>
      <c r="H21" s="793"/>
      <c r="I21" s="793"/>
      <c r="J21" s="793"/>
      <c r="K21" s="793"/>
      <c r="L21" s="793"/>
      <c r="M21" s="793"/>
      <c r="N21" s="793"/>
      <c r="O21" s="793"/>
      <c r="P21" s="793"/>
      <c r="Q21" s="793"/>
      <c r="R21" s="793"/>
      <c r="S21" s="793"/>
      <c r="T21" s="793"/>
      <c r="U21" s="793"/>
      <c r="V21" s="793"/>
      <c r="W21" s="793"/>
      <c r="X21" s="793"/>
      <c r="Y21" s="793"/>
      <c r="Z21" s="793"/>
      <c r="AA21" s="793"/>
      <c r="AB21" s="793"/>
      <c r="AC21" s="793"/>
      <c r="AD21" s="793"/>
      <c r="AE21" s="793"/>
      <c r="AF21" s="793"/>
      <c r="AG21" s="793"/>
      <c r="AH21" s="793"/>
      <c r="AI21" s="793"/>
      <c r="AJ21" s="793"/>
      <c r="AK21" s="793"/>
      <c r="AL21" s="793"/>
      <c r="AM21" s="793"/>
      <c r="AN21" s="793"/>
      <c r="AO21" s="793"/>
      <c r="AP21" s="793"/>
      <c r="AQ21" s="793"/>
      <c r="AR21" s="793"/>
      <c r="AS21" s="793"/>
      <c r="AT21" s="793"/>
      <c r="AU21" s="793"/>
      <c r="AV21" s="793"/>
      <c r="AW21" s="793"/>
      <c r="AX21" s="793"/>
      <c r="AY21" s="793"/>
      <c r="AZ21" s="793"/>
      <c r="BA21" s="793"/>
      <c r="BB21" s="793"/>
      <c r="BC21" s="793"/>
      <c r="BD21" s="793"/>
      <c r="BE21" s="793"/>
      <c r="BF21" s="793"/>
      <c r="BG21" s="793"/>
      <c r="BH21" s="794"/>
      <c r="BI21" s="379"/>
      <c r="BJ21" s="40"/>
    </row>
    <row r="22" spans="1:62">
      <c r="A22" s="795" t="str">
        <f>'Rubric (.)'!A8:D8</f>
        <v>1.4 Organised: Has an organised and structured approach to work</v>
      </c>
      <c r="B22" s="795"/>
      <c r="C22" s="795"/>
      <c r="D22" s="795"/>
      <c r="E22" s="795"/>
      <c r="F22" s="795"/>
      <c r="G22" s="795"/>
      <c r="H22" s="795"/>
      <c r="I22" s="795"/>
      <c r="J22" s="795"/>
      <c r="K22" s="795"/>
      <c r="L22" s="795"/>
      <c r="M22" s="795"/>
      <c r="N22" s="795"/>
      <c r="O22" s="795"/>
      <c r="P22" s="795"/>
      <c r="Q22" s="795"/>
      <c r="R22" s="795"/>
      <c r="S22" s="795"/>
      <c r="T22" s="795"/>
      <c r="U22" s="795"/>
      <c r="V22" s="795"/>
      <c r="W22" s="795"/>
      <c r="X22" s="795"/>
      <c r="Y22" s="795"/>
      <c r="Z22" s="795"/>
      <c r="AA22" s="795"/>
      <c r="AB22" s="795"/>
      <c r="AC22" s="795"/>
      <c r="AD22" s="795"/>
      <c r="AE22" s="795"/>
      <c r="AF22" s="795"/>
      <c r="AG22" s="795"/>
      <c r="AH22" s="795"/>
      <c r="AI22" s="795"/>
      <c r="AJ22" s="795"/>
      <c r="AK22" s="795"/>
      <c r="AL22" s="795"/>
      <c r="AM22" s="795"/>
      <c r="AN22" s="795"/>
      <c r="AO22" s="795"/>
      <c r="AP22" s="795"/>
      <c r="AQ22" s="795"/>
      <c r="AR22" s="795"/>
      <c r="AS22" s="795"/>
      <c r="AT22" s="795"/>
      <c r="AU22" s="795"/>
      <c r="AV22" s="795"/>
      <c r="AW22" s="795"/>
      <c r="AX22" s="795"/>
      <c r="AY22" s="795"/>
      <c r="AZ22" s="795"/>
      <c r="BA22" s="795"/>
      <c r="BB22" s="795"/>
      <c r="BC22" s="795"/>
      <c r="BD22" s="795"/>
      <c r="BE22" s="795"/>
      <c r="BF22" s="795"/>
      <c r="BG22" s="795"/>
      <c r="BH22" s="795"/>
      <c r="BJ22" s="40">
        <f>IF(Rotation="B",BKBI1.4,AKBI1.4)</f>
        <v>98.99</v>
      </c>
    </row>
    <row r="23" spans="1:62" ht="50" customHeight="1">
      <c r="A23" s="792" t="str">
        <f>IF(AND((BJ22&gt;=0),(BJ22&lt;=84.99)),'Rubric (.)'!A9,"")</f>
        <v/>
      </c>
      <c r="B23" s="793"/>
      <c r="C23" s="793"/>
      <c r="D23" s="793"/>
      <c r="E23" s="793"/>
      <c r="F23" s="793"/>
      <c r="G23" s="793"/>
      <c r="H23" s="793"/>
      <c r="I23" s="793"/>
      <c r="J23" s="793"/>
      <c r="K23" s="793"/>
      <c r="L23" s="793"/>
      <c r="M23" s="793"/>
      <c r="N23" s="793"/>
      <c r="O23" s="793"/>
      <c r="P23" s="793"/>
      <c r="Q23" s="793"/>
      <c r="R23" s="793"/>
      <c r="S23" s="793"/>
      <c r="T23" s="793"/>
      <c r="U23" s="793"/>
      <c r="V23" s="793"/>
      <c r="W23" s="793"/>
      <c r="X23" s="793"/>
      <c r="Y23" s="793"/>
      <c r="Z23" s="793"/>
      <c r="AA23" s="793"/>
      <c r="AB23" s="793"/>
      <c r="AC23" s="793"/>
      <c r="AD23" s="793"/>
      <c r="AE23" s="793"/>
      <c r="AF23" s="793"/>
      <c r="AG23" s="793"/>
      <c r="AH23" s="793"/>
      <c r="AI23" s="793"/>
      <c r="AJ23" s="793"/>
      <c r="AK23" s="793"/>
      <c r="AL23" s="793"/>
      <c r="AM23" s="793"/>
      <c r="AN23" s="793"/>
      <c r="AO23" s="793"/>
      <c r="AP23" s="793"/>
      <c r="AQ23" s="793"/>
      <c r="AR23" s="793"/>
      <c r="AS23" s="793"/>
      <c r="AT23" s="793"/>
      <c r="AU23" s="793"/>
      <c r="AV23" s="793"/>
      <c r="AW23" s="793"/>
      <c r="AX23" s="793"/>
      <c r="AY23" s="793"/>
      <c r="AZ23" s="793"/>
      <c r="BA23" s="793"/>
      <c r="BB23" s="793"/>
      <c r="BC23" s="793"/>
      <c r="BD23" s="793"/>
      <c r="BE23" s="793"/>
      <c r="BF23" s="793"/>
      <c r="BG23" s="793"/>
      <c r="BH23" s="794"/>
      <c r="BI23" s="379"/>
      <c r="BJ23" s="40"/>
    </row>
    <row r="24" spans="1:62" ht="50" customHeight="1">
      <c r="A24" s="792" t="str">
        <f>IF(AND((BJ22&gt;=85),(BJ22&lt;=89.99)),'Rubric (.)'!B9,"")</f>
        <v/>
      </c>
      <c r="B24" s="793"/>
      <c r="C24" s="793"/>
      <c r="D24" s="793"/>
      <c r="E24" s="793"/>
      <c r="F24" s="793"/>
      <c r="G24" s="793"/>
      <c r="H24" s="793"/>
      <c r="I24" s="793"/>
      <c r="J24" s="793"/>
      <c r="K24" s="793"/>
      <c r="L24" s="793"/>
      <c r="M24" s="793"/>
      <c r="N24" s="793"/>
      <c r="O24" s="793"/>
      <c r="P24" s="793"/>
      <c r="Q24" s="793"/>
      <c r="R24" s="793"/>
      <c r="S24" s="793"/>
      <c r="T24" s="793"/>
      <c r="U24" s="793"/>
      <c r="V24" s="793"/>
      <c r="W24" s="793"/>
      <c r="X24" s="793"/>
      <c r="Y24" s="793"/>
      <c r="Z24" s="793"/>
      <c r="AA24" s="793"/>
      <c r="AB24" s="793"/>
      <c r="AC24" s="793"/>
      <c r="AD24" s="793"/>
      <c r="AE24" s="793"/>
      <c r="AF24" s="793"/>
      <c r="AG24" s="793"/>
      <c r="AH24" s="793"/>
      <c r="AI24" s="793"/>
      <c r="AJ24" s="793"/>
      <c r="AK24" s="793"/>
      <c r="AL24" s="793"/>
      <c r="AM24" s="793"/>
      <c r="AN24" s="793"/>
      <c r="AO24" s="793"/>
      <c r="AP24" s="793"/>
      <c r="AQ24" s="793"/>
      <c r="AR24" s="793"/>
      <c r="AS24" s="793"/>
      <c r="AT24" s="793"/>
      <c r="AU24" s="793"/>
      <c r="AV24" s="793"/>
      <c r="AW24" s="793"/>
      <c r="AX24" s="793"/>
      <c r="AY24" s="793"/>
      <c r="AZ24" s="793"/>
      <c r="BA24" s="793"/>
      <c r="BB24" s="793"/>
      <c r="BC24" s="793"/>
      <c r="BD24" s="793"/>
      <c r="BE24" s="793"/>
      <c r="BF24" s="793"/>
      <c r="BG24" s="793"/>
      <c r="BH24" s="794"/>
      <c r="BI24" s="379"/>
      <c r="BJ24" s="40"/>
    </row>
    <row r="25" spans="1:62" ht="50" customHeight="1">
      <c r="A25" s="792" t="str">
        <f>IF(AND((BJ22&gt;=90),(BJ22&lt;=98.99)),'Rubric (.)'!C9,"")</f>
        <v>•  1.4.2 Planned, prioritised and managed workload effectively in the galley and/or the cabin
•  Was punctual throughout the course.</v>
      </c>
      <c r="B25" s="793"/>
      <c r="C25" s="793"/>
      <c r="D25" s="793"/>
      <c r="E25" s="793"/>
      <c r="F25" s="793"/>
      <c r="G25" s="793"/>
      <c r="H25" s="793"/>
      <c r="I25" s="793"/>
      <c r="J25" s="793"/>
      <c r="K25" s="793"/>
      <c r="L25" s="793"/>
      <c r="M25" s="793"/>
      <c r="N25" s="793"/>
      <c r="O25" s="793"/>
      <c r="P25" s="793"/>
      <c r="Q25" s="793"/>
      <c r="R25" s="793"/>
      <c r="S25" s="793"/>
      <c r="T25" s="793"/>
      <c r="U25" s="793"/>
      <c r="V25" s="793"/>
      <c r="W25" s="793"/>
      <c r="X25" s="793"/>
      <c r="Y25" s="793"/>
      <c r="Z25" s="793"/>
      <c r="AA25" s="793"/>
      <c r="AB25" s="793"/>
      <c r="AC25" s="793"/>
      <c r="AD25" s="793"/>
      <c r="AE25" s="793"/>
      <c r="AF25" s="793"/>
      <c r="AG25" s="793"/>
      <c r="AH25" s="793"/>
      <c r="AI25" s="793"/>
      <c r="AJ25" s="793"/>
      <c r="AK25" s="793"/>
      <c r="AL25" s="793"/>
      <c r="AM25" s="793"/>
      <c r="AN25" s="793"/>
      <c r="AO25" s="793"/>
      <c r="AP25" s="793"/>
      <c r="AQ25" s="793"/>
      <c r="AR25" s="793"/>
      <c r="AS25" s="793"/>
      <c r="AT25" s="793"/>
      <c r="AU25" s="793"/>
      <c r="AV25" s="793"/>
      <c r="AW25" s="793"/>
      <c r="AX25" s="793"/>
      <c r="AY25" s="793"/>
      <c r="AZ25" s="793"/>
      <c r="BA25" s="793"/>
      <c r="BB25" s="793"/>
      <c r="BC25" s="793"/>
      <c r="BD25" s="793"/>
      <c r="BE25" s="793"/>
      <c r="BF25" s="793"/>
      <c r="BG25" s="793"/>
      <c r="BH25" s="794"/>
      <c r="BI25" s="379"/>
      <c r="BJ25" s="40"/>
    </row>
    <row r="26" spans="1:62" ht="50" customHeight="1">
      <c r="A26" s="792" t="str">
        <f>IF(AND((BJ22&gt;=99),(BJ22&lt;=110)),'Rubric (.)'!D9,"")</f>
        <v/>
      </c>
      <c r="B26" s="793"/>
      <c r="C26" s="793"/>
      <c r="D26" s="793"/>
      <c r="E26" s="793"/>
      <c r="F26" s="793"/>
      <c r="G26" s="793"/>
      <c r="H26" s="793"/>
      <c r="I26" s="793"/>
      <c r="J26" s="793"/>
      <c r="K26" s="793"/>
      <c r="L26" s="793"/>
      <c r="M26" s="793"/>
      <c r="N26" s="793"/>
      <c r="O26" s="793"/>
      <c r="P26" s="793"/>
      <c r="Q26" s="793"/>
      <c r="R26" s="793"/>
      <c r="S26" s="793"/>
      <c r="T26" s="793"/>
      <c r="U26" s="793"/>
      <c r="V26" s="793"/>
      <c r="W26" s="793"/>
      <c r="X26" s="793"/>
      <c r="Y26" s="793"/>
      <c r="Z26" s="793"/>
      <c r="AA26" s="793"/>
      <c r="AB26" s="793"/>
      <c r="AC26" s="793"/>
      <c r="AD26" s="793"/>
      <c r="AE26" s="793"/>
      <c r="AF26" s="793"/>
      <c r="AG26" s="793"/>
      <c r="AH26" s="793"/>
      <c r="AI26" s="793"/>
      <c r="AJ26" s="793"/>
      <c r="AK26" s="793"/>
      <c r="AL26" s="793"/>
      <c r="AM26" s="793"/>
      <c r="AN26" s="793"/>
      <c r="AO26" s="793"/>
      <c r="AP26" s="793"/>
      <c r="AQ26" s="793"/>
      <c r="AR26" s="793"/>
      <c r="AS26" s="793"/>
      <c r="AT26" s="793"/>
      <c r="AU26" s="793"/>
      <c r="AV26" s="793"/>
      <c r="AW26" s="793"/>
      <c r="AX26" s="793"/>
      <c r="AY26" s="793"/>
      <c r="AZ26" s="793"/>
      <c r="BA26" s="793"/>
      <c r="BB26" s="793"/>
      <c r="BC26" s="793"/>
      <c r="BD26" s="793"/>
      <c r="BE26" s="793"/>
      <c r="BF26" s="793"/>
      <c r="BG26" s="793"/>
      <c r="BH26" s="794"/>
      <c r="BI26" s="379"/>
      <c r="BJ26" s="40"/>
    </row>
    <row r="27" spans="1:62">
      <c r="A27" s="795" t="str">
        <f>'Rubric (.)'!A10</f>
        <v>1.5 Thorough: Demonstrates a strong attention to detail</v>
      </c>
      <c r="B27" s="795"/>
      <c r="C27" s="795"/>
      <c r="D27" s="795"/>
      <c r="E27" s="795"/>
      <c r="F27" s="795"/>
      <c r="G27" s="795"/>
      <c r="H27" s="795"/>
      <c r="I27" s="795"/>
      <c r="J27" s="795"/>
      <c r="K27" s="795"/>
      <c r="L27" s="795"/>
      <c r="M27" s="795"/>
      <c r="N27" s="795"/>
      <c r="O27" s="795"/>
      <c r="P27" s="795"/>
      <c r="Q27" s="795"/>
      <c r="R27" s="795"/>
      <c r="S27" s="795"/>
      <c r="T27" s="795"/>
      <c r="U27" s="795"/>
      <c r="V27" s="795"/>
      <c r="W27" s="795"/>
      <c r="X27" s="795"/>
      <c r="Y27" s="795"/>
      <c r="Z27" s="795"/>
      <c r="AA27" s="795"/>
      <c r="AB27" s="795"/>
      <c r="AC27" s="795"/>
      <c r="AD27" s="795"/>
      <c r="AE27" s="795"/>
      <c r="AF27" s="795"/>
      <c r="AG27" s="795"/>
      <c r="AH27" s="795"/>
      <c r="AI27" s="795"/>
      <c r="AJ27" s="795"/>
      <c r="AK27" s="795"/>
      <c r="AL27" s="795"/>
      <c r="AM27" s="795"/>
      <c r="AN27" s="795"/>
      <c r="AO27" s="795"/>
      <c r="AP27" s="795"/>
      <c r="AQ27" s="795"/>
      <c r="AR27" s="795"/>
      <c r="AS27" s="795"/>
      <c r="AT27" s="795"/>
      <c r="AU27" s="795"/>
      <c r="AV27" s="795"/>
      <c r="AW27" s="795"/>
      <c r="AX27" s="795"/>
      <c r="AY27" s="795"/>
      <c r="AZ27" s="795"/>
      <c r="BA27" s="795"/>
      <c r="BB27" s="795"/>
      <c r="BC27" s="795"/>
      <c r="BD27" s="795"/>
      <c r="BE27" s="795"/>
      <c r="BF27" s="795"/>
      <c r="BG27" s="795"/>
      <c r="BH27" s="795"/>
      <c r="BJ27" s="40">
        <f>IF(Rotation="B",BKBI1.5,AKBI1.5)</f>
        <v>98.99</v>
      </c>
    </row>
    <row r="28" spans="1:62" ht="50" customHeight="1">
      <c r="A28" s="792" t="str">
        <f>IF(AND((BJ27&gt;=0),(BJ27&lt;=84.99)),'Rubric (.)'!A11,"")</f>
        <v/>
      </c>
      <c r="B28" s="793"/>
      <c r="C28" s="793"/>
      <c r="D28" s="793"/>
      <c r="E28" s="793"/>
      <c r="F28" s="793"/>
      <c r="G28" s="793"/>
      <c r="H28" s="793"/>
      <c r="I28" s="793"/>
      <c r="J28" s="793"/>
      <c r="K28" s="793"/>
      <c r="L28" s="793"/>
      <c r="M28" s="793"/>
      <c r="N28" s="793"/>
      <c r="O28" s="793"/>
      <c r="P28" s="793"/>
      <c r="Q28" s="793"/>
      <c r="R28" s="793"/>
      <c r="S28" s="793"/>
      <c r="T28" s="793"/>
      <c r="U28" s="793"/>
      <c r="V28" s="793"/>
      <c r="W28" s="793"/>
      <c r="X28" s="793"/>
      <c r="Y28" s="793"/>
      <c r="Z28" s="793"/>
      <c r="AA28" s="793"/>
      <c r="AB28" s="793"/>
      <c r="AC28" s="793"/>
      <c r="AD28" s="793"/>
      <c r="AE28" s="793"/>
      <c r="AF28" s="793"/>
      <c r="AG28" s="793"/>
      <c r="AH28" s="793"/>
      <c r="AI28" s="793"/>
      <c r="AJ28" s="793"/>
      <c r="AK28" s="793"/>
      <c r="AL28" s="793"/>
      <c r="AM28" s="793"/>
      <c r="AN28" s="793"/>
      <c r="AO28" s="793"/>
      <c r="AP28" s="793"/>
      <c r="AQ28" s="793"/>
      <c r="AR28" s="793"/>
      <c r="AS28" s="793"/>
      <c r="AT28" s="793"/>
      <c r="AU28" s="793"/>
      <c r="AV28" s="793"/>
      <c r="AW28" s="793"/>
      <c r="AX28" s="793"/>
      <c r="AY28" s="793"/>
      <c r="AZ28" s="793"/>
      <c r="BA28" s="793"/>
      <c r="BB28" s="793"/>
      <c r="BC28" s="793"/>
      <c r="BD28" s="793"/>
      <c r="BE28" s="793"/>
      <c r="BF28" s="793"/>
      <c r="BG28" s="793"/>
      <c r="BH28" s="794"/>
      <c r="BI28" s="379"/>
      <c r="BJ28" s="40"/>
    </row>
    <row r="29" spans="1:62" ht="50" customHeight="1">
      <c r="A29" s="792" t="str">
        <f>IF(AND((BJ27&gt;=85),(BJ27&lt;=89.99)),'Rubric (.)'!B11,"")</f>
        <v/>
      </c>
      <c r="B29" s="793"/>
      <c r="C29" s="793"/>
      <c r="D29" s="793"/>
      <c r="E29" s="793"/>
      <c r="F29" s="793"/>
      <c r="G29" s="793"/>
      <c r="H29" s="793"/>
      <c r="I29" s="793"/>
      <c r="J29" s="793"/>
      <c r="K29" s="793"/>
      <c r="L29" s="793"/>
      <c r="M29" s="793"/>
      <c r="N29" s="793"/>
      <c r="O29" s="793"/>
      <c r="P29" s="793"/>
      <c r="Q29" s="793"/>
      <c r="R29" s="793"/>
      <c r="S29" s="793"/>
      <c r="T29" s="793"/>
      <c r="U29" s="793"/>
      <c r="V29" s="793"/>
      <c r="W29" s="793"/>
      <c r="X29" s="793"/>
      <c r="Y29" s="793"/>
      <c r="Z29" s="793"/>
      <c r="AA29" s="793"/>
      <c r="AB29" s="793"/>
      <c r="AC29" s="793"/>
      <c r="AD29" s="793"/>
      <c r="AE29" s="793"/>
      <c r="AF29" s="793"/>
      <c r="AG29" s="793"/>
      <c r="AH29" s="793"/>
      <c r="AI29" s="793"/>
      <c r="AJ29" s="793"/>
      <c r="AK29" s="793"/>
      <c r="AL29" s="793"/>
      <c r="AM29" s="793"/>
      <c r="AN29" s="793"/>
      <c r="AO29" s="793"/>
      <c r="AP29" s="793"/>
      <c r="AQ29" s="793"/>
      <c r="AR29" s="793"/>
      <c r="AS29" s="793"/>
      <c r="AT29" s="793"/>
      <c r="AU29" s="793"/>
      <c r="AV29" s="793"/>
      <c r="AW29" s="793"/>
      <c r="AX29" s="793"/>
      <c r="AY29" s="793"/>
      <c r="AZ29" s="793"/>
      <c r="BA29" s="793"/>
      <c r="BB29" s="793"/>
      <c r="BC29" s="793"/>
      <c r="BD29" s="793"/>
      <c r="BE29" s="793"/>
      <c r="BF29" s="793"/>
      <c r="BG29" s="793"/>
      <c r="BH29" s="794"/>
      <c r="BI29" s="379"/>
      <c r="BJ29" s="40"/>
    </row>
    <row r="30" spans="1:62" ht="50" customHeight="1">
      <c r="A30" s="792" t="str">
        <f>IF(AND((BJ27&gt;=90),(BJ27&lt;=98.99)),'Rubric (.)'!C11,"")</f>
        <v>•  1.5.2 Ensured own work was complete and correct
•  Fixed any mistakes promptly
•  Demonstrated good attention to detail.</v>
      </c>
      <c r="B30" s="793"/>
      <c r="C30" s="793"/>
      <c r="D30" s="793"/>
      <c r="E30" s="793"/>
      <c r="F30" s="793"/>
      <c r="G30" s="793"/>
      <c r="H30" s="793"/>
      <c r="I30" s="793"/>
      <c r="J30" s="793"/>
      <c r="K30" s="793"/>
      <c r="L30" s="793"/>
      <c r="M30" s="793"/>
      <c r="N30" s="793"/>
      <c r="O30" s="793"/>
      <c r="P30" s="793"/>
      <c r="Q30" s="793"/>
      <c r="R30" s="793"/>
      <c r="S30" s="793"/>
      <c r="T30" s="793"/>
      <c r="U30" s="793"/>
      <c r="V30" s="793"/>
      <c r="W30" s="793"/>
      <c r="X30" s="793"/>
      <c r="Y30" s="793"/>
      <c r="Z30" s="793"/>
      <c r="AA30" s="793"/>
      <c r="AB30" s="793"/>
      <c r="AC30" s="793"/>
      <c r="AD30" s="793"/>
      <c r="AE30" s="793"/>
      <c r="AF30" s="793"/>
      <c r="AG30" s="793"/>
      <c r="AH30" s="793"/>
      <c r="AI30" s="793"/>
      <c r="AJ30" s="793"/>
      <c r="AK30" s="793"/>
      <c r="AL30" s="793"/>
      <c r="AM30" s="793"/>
      <c r="AN30" s="793"/>
      <c r="AO30" s="793"/>
      <c r="AP30" s="793"/>
      <c r="AQ30" s="793"/>
      <c r="AR30" s="793"/>
      <c r="AS30" s="793"/>
      <c r="AT30" s="793"/>
      <c r="AU30" s="793"/>
      <c r="AV30" s="793"/>
      <c r="AW30" s="793"/>
      <c r="AX30" s="793"/>
      <c r="AY30" s="793"/>
      <c r="AZ30" s="793"/>
      <c r="BA30" s="793"/>
      <c r="BB30" s="793"/>
      <c r="BC30" s="793"/>
      <c r="BD30" s="793"/>
      <c r="BE30" s="793"/>
      <c r="BF30" s="793"/>
      <c r="BG30" s="793"/>
      <c r="BH30" s="794"/>
      <c r="BI30" s="379"/>
      <c r="BJ30" s="40"/>
    </row>
    <row r="31" spans="1:62" ht="50" customHeight="1">
      <c r="A31" s="792" t="str">
        <f>IF(AND((BJ27&gt;=99),(BJ27&lt;=110)),'Rubric (.)'!D11,"")</f>
        <v/>
      </c>
      <c r="B31" s="793"/>
      <c r="C31" s="793"/>
      <c r="D31" s="793"/>
      <c r="E31" s="793"/>
      <c r="F31" s="793"/>
      <c r="G31" s="793"/>
      <c r="H31" s="793"/>
      <c r="I31" s="793"/>
      <c r="J31" s="793"/>
      <c r="K31" s="793"/>
      <c r="L31" s="793"/>
      <c r="M31" s="793"/>
      <c r="N31" s="793"/>
      <c r="O31" s="793"/>
      <c r="P31" s="793"/>
      <c r="Q31" s="793"/>
      <c r="R31" s="793"/>
      <c r="S31" s="793"/>
      <c r="T31" s="793"/>
      <c r="U31" s="793"/>
      <c r="V31" s="793"/>
      <c r="W31" s="793"/>
      <c r="X31" s="793"/>
      <c r="Y31" s="793"/>
      <c r="Z31" s="793"/>
      <c r="AA31" s="793"/>
      <c r="AB31" s="793"/>
      <c r="AC31" s="793"/>
      <c r="AD31" s="793"/>
      <c r="AE31" s="793"/>
      <c r="AF31" s="793"/>
      <c r="AG31" s="793"/>
      <c r="AH31" s="793"/>
      <c r="AI31" s="793"/>
      <c r="AJ31" s="793"/>
      <c r="AK31" s="793"/>
      <c r="AL31" s="793"/>
      <c r="AM31" s="793"/>
      <c r="AN31" s="793"/>
      <c r="AO31" s="793"/>
      <c r="AP31" s="793"/>
      <c r="AQ31" s="793"/>
      <c r="AR31" s="793"/>
      <c r="AS31" s="793"/>
      <c r="AT31" s="793"/>
      <c r="AU31" s="793"/>
      <c r="AV31" s="793"/>
      <c r="AW31" s="793"/>
      <c r="AX31" s="793"/>
      <c r="AY31" s="793"/>
      <c r="AZ31" s="793"/>
      <c r="BA31" s="793"/>
      <c r="BB31" s="793"/>
      <c r="BC31" s="793"/>
      <c r="BD31" s="793"/>
      <c r="BE31" s="793"/>
      <c r="BF31" s="793"/>
      <c r="BG31" s="793"/>
      <c r="BH31" s="794"/>
      <c r="BI31" s="379"/>
      <c r="BJ31" s="40"/>
    </row>
    <row r="32" spans="1:62" ht="20" hidden="1" customHeight="1">
      <c r="A32" s="786" t="s">
        <v>761</v>
      </c>
      <c r="B32" s="786"/>
      <c r="C32" s="786"/>
      <c r="D32" s="786"/>
      <c r="E32" s="786"/>
      <c r="F32" s="786"/>
      <c r="G32" s="786"/>
      <c r="H32" s="786"/>
      <c r="I32" s="786"/>
      <c r="J32" s="786"/>
      <c r="K32" s="786"/>
      <c r="L32" s="786"/>
      <c r="M32" s="786"/>
      <c r="N32" s="786"/>
      <c r="O32" s="786"/>
      <c r="P32" s="786"/>
      <c r="Q32" s="786"/>
      <c r="R32" s="786"/>
      <c r="S32" s="786"/>
      <c r="T32" s="786"/>
      <c r="U32" s="786"/>
      <c r="V32" s="786"/>
      <c r="W32" s="786"/>
      <c r="X32" s="786"/>
      <c r="Y32" s="786"/>
      <c r="Z32" s="786"/>
      <c r="AA32" s="786"/>
      <c r="AB32" s="786"/>
      <c r="AC32" s="786"/>
      <c r="AD32" s="786"/>
      <c r="AE32" s="786"/>
      <c r="AF32" s="786"/>
      <c r="AG32" s="786"/>
      <c r="AH32" s="786"/>
      <c r="AI32" s="786"/>
      <c r="AJ32" s="786"/>
      <c r="AK32" s="786"/>
      <c r="AL32" s="786"/>
      <c r="AM32" s="786"/>
      <c r="AN32" s="786"/>
      <c r="AO32" s="786"/>
      <c r="AP32" s="786"/>
      <c r="AQ32" s="786"/>
      <c r="AR32" s="786"/>
      <c r="AS32" s="786"/>
      <c r="AT32" s="786"/>
      <c r="AU32" s="786"/>
      <c r="AV32" s="786"/>
      <c r="AW32" s="786"/>
      <c r="AX32" s="786"/>
      <c r="AY32" s="786"/>
      <c r="AZ32" s="786"/>
      <c r="BA32" s="786"/>
      <c r="BB32" s="786"/>
      <c r="BC32" s="786"/>
      <c r="BD32" s="786"/>
      <c r="BE32" s="786"/>
      <c r="BF32" s="786"/>
      <c r="BG32" s="786"/>
      <c r="BH32" s="786"/>
      <c r="BJ32" s="40"/>
    </row>
    <row r="33" spans="1:62" ht="120" hidden="1" customHeight="1">
      <c r="A33" s="789">
        <f>'D3 to D14'!A18</f>
        <v>0</v>
      </c>
      <c r="B33" s="789"/>
      <c r="C33" s="789"/>
      <c r="D33" s="789"/>
      <c r="E33" s="789"/>
      <c r="F33" s="789"/>
      <c r="G33" s="789"/>
      <c r="H33" s="789"/>
      <c r="I33" s="789"/>
      <c r="J33" s="789"/>
      <c r="K33" s="789"/>
      <c r="L33" s="789"/>
      <c r="M33" s="789"/>
      <c r="N33" s="789"/>
      <c r="O33" s="789"/>
      <c r="P33" s="790">
        <f>'D3 to D14'!N18</f>
        <v>0</v>
      </c>
      <c r="Q33" s="790"/>
      <c r="R33" s="790"/>
      <c r="S33" s="790"/>
      <c r="T33" s="790"/>
      <c r="U33" s="790"/>
      <c r="V33" s="790"/>
      <c r="W33" s="790"/>
      <c r="X33" s="790"/>
      <c r="Y33" s="790"/>
      <c r="Z33" s="790"/>
      <c r="AA33" s="790"/>
      <c r="AB33" s="790"/>
      <c r="AC33" s="790"/>
      <c r="AD33" s="790"/>
      <c r="AE33" s="789">
        <f>'D3 to D14'!AA18</f>
        <v>0</v>
      </c>
      <c r="AF33" s="789"/>
      <c r="AG33" s="789"/>
      <c r="AH33" s="789"/>
      <c r="AI33" s="789"/>
      <c r="AJ33" s="789"/>
      <c r="AK33" s="789"/>
      <c r="AL33" s="789"/>
      <c r="AM33" s="789"/>
      <c r="AN33" s="789"/>
      <c r="AO33" s="789"/>
      <c r="AP33" s="789"/>
      <c r="AQ33" s="789"/>
      <c r="AR33" s="789"/>
      <c r="AS33" s="789"/>
      <c r="AT33" s="790">
        <f>'D3 to D14'!AN18</f>
        <v>0</v>
      </c>
      <c r="AU33" s="790"/>
      <c r="AV33" s="790"/>
      <c r="AW33" s="790"/>
      <c r="AX33" s="790"/>
      <c r="AY33" s="790"/>
      <c r="AZ33" s="790"/>
      <c r="BA33" s="790"/>
      <c r="BB33" s="790"/>
      <c r="BC33" s="790"/>
      <c r="BD33" s="790"/>
      <c r="BE33" s="790"/>
      <c r="BF33" s="790"/>
      <c r="BG33" s="790"/>
      <c r="BH33" s="790"/>
      <c r="BJ33" s="40"/>
    </row>
    <row r="34" spans="1:62" ht="30" customHeight="1">
      <c r="A34" s="788" t="str">
        <f>'Rubric (.)'!A12</f>
        <v>2. My Customer Service</v>
      </c>
      <c r="B34" s="788"/>
      <c r="C34" s="788"/>
      <c r="D34" s="788"/>
      <c r="E34" s="788"/>
      <c r="F34" s="788"/>
      <c r="G34" s="788"/>
      <c r="H34" s="788"/>
      <c r="I34" s="788"/>
      <c r="J34" s="788"/>
      <c r="K34" s="788"/>
      <c r="L34" s="788"/>
      <c r="M34" s="788"/>
      <c r="N34" s="788"/>
      <c r="O34" s="788"/>
      <c r="P34" s="788"/>
      <c r="Q34" s="788"/>
      <c r="R34" s="788"/>
      <c r="S34" s="788"/>
      <c r="T34" s="788"/>
      <c r="U34" s="788"/>
      <c r="V34" s="788"/>
      <c r="W34" s="788"/>
      <c r="X34" s="788"/>
      <c r="Y34" s="788"/>
      <c r="Z34" s="788"/>
      <c r="AA34" s="788"/>
      <c r="AB34" s="788"/>
      <c r="AC34" s="788"/>
      <c r="AD34" s="788"/>
      <c r="AE34" s="788"/>
      <c r="AF34" s="788"/>
      <c r="AG34" s="788"/>
      <c r="AH34" s="788"/>
      <c r="AI34" s="788"/>
      <c r="AJ34" s="788"/>
      <c r="AK34" s="788"/>
      <c r="AL34" s="788"/>
      <c r="AM34" s="788"/>
      <c r="AN34" s="788"/>
      <c r="AO34" s="788"/>
      <c r="AP34" s="788"/>
      <c r="AQ34" s="788"/>
      <c r="AR34" s="788"/>
      <c r="AS34" s="788"/>
      <c r="AT34" s="788"/>
      <c r="AU34" s="788"/>
      <c r="AV34" s="788"/>
      <c r="AW34" s="788"/>
      <c r="AX34" s="788"/>
      <c r="AY34" s="788"/>
      <c r="AZ34" s="788"/>
      <c r="BA34" s="788"/>
      <c r="BB34" s="788"/>
      <c r="BC34" s="788"/>
      <c r="BD34" s="788"/>
      <c r="BE34" s="788"/>
      <c r="BF34" s="788"/>
      <c r="BG34" s="788"/>
      <c r="BH34" s="788"/>
    </row>
    <row r="35" spans="1:62">
      <c r="A35" s="787" t="str">
        <f>'D3 to D14'!A20:AZ20</f>
        <v>2.1 Friendly and Caring: Builds relationships with customers and creates a welcoming and comfortable environment</v>
      </c>
      <c r="B35" s="787"/>
      <c r="C35" s="787"/>
      <c r="D35" s="787"/>
      <c r="E35" s="787"/>
      <c r="F35" s="787"/>
      <c r="G35" s="787"/>
      <c r="H35" s="787"/>
      <c r="I35" s="787"/>
      <c r="J35" s="787"/>
      <c r="K35" s="787"/>
      <c r="L35" s="787"/>
      <c r="M35" s="787"/>
      <c r="N35" s="787"/>
      <c r="O35" s="787"/>
      <c r="P35" s="787"/>
      <c r="Q35" s="787"/>
      <c r="R35" s="787"/>
      <c r="S35" s="787"/>
      <c r="T35" s="787"/>
      <c r="U35" s="787"/>
      <c r="V35" s="787"/>
      <c r="W35" s="787"/>
      <c r="X35" s="787"/>
      <c r="Y35" s="787"/>
      <c r="Z35" s="787"/>
      <c r="AA35" s="787"/>
      <c r="AB35" s="787"/>
      <c r="AC35" s="787"/>
      <c r="AD35" s="787"/>
      <c r="AE35" s="787"/>
      <c r="AF35" s="787"/>
      <c r="AG35" s="787"/>
      <c r="AH35" s="787"/>
      <c r="AI35" s="787"/>
      <c r="AJ35" s="787"/>
      <c r="AK35" s="787"/>
      <c r="AL35" s="787"/>
      <c r="AM35" s="787"/>
      <c r="AN35" s="787"/>
      <c r="AO35" s="787"/>
      <c r="AP35" s="787"/>
      <c r="AQ35" s="787"/>
      <c r="AR35" s="787"/>
      <c r="AS35" s="787"/>
      <c r="AT35" s="787"/>
      <c r="AU35" s="787"/>
      <c r="AV35" s="787"/>
      <c r="AW35" s="787"/>
      <c r="AX35" s="787"/>
      <c r="AY35" s="787"/>
      <c r="AZ35" s="787"/>
      <c r="BA35" s="787"/>
      <c r="BB35" s="787"/>
      <c r="BC35" s="787"/>
      <c r="BD35" s="787"/>
      <c r="BE35" s="787"/>
      <c r="BF35" s="787"/>
      <c r="BG35" s="787"/>
      <c r="BH35" s="787"/>
      <c r="BI35" s="379"/>
      <c r="BJ35" s="40">
        <f>IF(Rotation="B",BKBI2.1,AKBI2.1)</f>
        <v>98.99</v>
      </c>
    </row>
    <row r="36" spans="1:62" ht="50" customHeight="1">
      <c r="A36" s="792" t="str">
        <f>IF(AND((BJ35&gt;=0),(BJ35&lt;=84.99)),'Rubric (.)'!A14,"")</f>
        <v/>
      </c>
      <c r="B36" s="793"/>
      <c r="C36" s="793"/>
      <c r="D36" s="793"/>
      <c r="E36" s="793"/>
      <c r="F36" s="793"/>
      <c r="G36" s="793"/>
      <c r="H36" s="793"/>
      <c r="I36" s="793"/>
      <c r="J36" s="793"/>
      <c r="K36" s="793"/>
      <c r="L36" s="793"/>
      <c r="M36" s="793"/>
      <c r="N36" s="793"/>
      <c r="O36" s="793"/>
      <c r="P36" s="793"/>
      <c r="Q36" s="793"/>
      <c r="R36" s="793"/>
      <c r="S36" s="793"/>
      <c r="T36" s="793"/>
      <c r="U36" s="793"/>
      <c r="V36" s="793"/>
      <c r="W36" s="793"/>
      <c r="X36" s="793"/>
      <c r="Y36" s="793"/>
      <c r="Z36" s="793"/>
      <c r="AA36" s="793"/>
      <c r="AB36" s="793"/>
      <c r="AC36" s="793"/>
      <c r="AD36" s="793"/>
      <c r="AE36" s="793"/>
      <c r="AF36" s="793"/>
      <c r="AG36" s="793"/>
      <c r="AH36" s="793"/>
      <c r="AI36" s="793"/>
      <c r="AJ36" s="793"/>
      <c r="AK36" s="793"/>
      <c r="AL36" s="793"/>
      <c r="AM36" s="793"/>
      <c r="AN36" s="793"/>
      <c r="AO36" s="793"/>
      <c r="AP36" s="793"/>
      <c r="AQ36" s="793"/>
      <c r="AR36" s="793"/>
      <c r="AS36" s="793"/>
      <c r="AT36" s="793"/>
      <c r="AU36" s="793"/>
      <c r="AV36" s="793"/>
      <c r="AW36" s="793"/>
      <c r="AX36" s="793"/>
      <c r="AY36" s="793"/>
      <c r="AZ36" s="793"/>
      <c r="BA36" s="793"/>
      <c r="BB36" s="793"/>
      <c r="BC36" s="793"/>
      <c r="BD36" s="793"/>
      <c r="BE36" s="793"/>
      <c r="BF36" s="793"/>
      <c r="BG36" s="793"/>
      <c r="BH36" s="794"/>
      <c r="BI36" s="379"/>
    </row>
    <row r="37" spans="1:62" ht="50" customHeight="1">
      <c r="A37" s="792" t="str">
        <f>IF(AND((BJ35&gt;=85),(BJ35&lt;=89.99)),'Rubric (.)'!B14,"")</f>
        <v/>
      </c>
      <c r="B37" s="793"/>
      <c r="C37" s="793"/>
      <c r="D37" s="793"/>
      <c r="E37" s="793"/>
      <c r="F37" s="793"/>
      <c r="G37" s="793"/>
      <c r="H37" s="793"/>
      <c r="I37" s="793"/>
      <c r="J37" s="793"/>
      <c r="K37" s="793"/>
      <c r="L37" s="793"/>
      <c r="M37" s="793"/>
      <c r="N37" s="793"/>
      <c r="O37" s="793"/>
      <c r="P37" s="793"/>
      <c r="Q37" s="793"/>
      <c r="R37" s="793"/>
      <c r="S37" s="793"/>
      <c r="T37" s="793"/>
      <c r="U37" s="793"/>
      <c r="V37" s="793"/>
      <c r="W37" s="793"/>
      <c r="X37" s="793"/>
      <c r="Y37" s="793"/>
      <c r="Z37" s="793"/>
      <c r="AA37" s="793"/>
      <c r="AB37" s="793"/>
      <c r="AC37" s="793"/>
      <c r="AD37" s="793"/>
      <c r="AE37" s="793"/>
      <c r="AF37" s="793"/>
      <c r="AG37" s="793"/>
      <c r="AH37" s="793"/>
      <c r="AI37" s="793"/>
      <c r="AJ37" s="793"/>
      <c r="AK37" s="793"/>
      <c r="AL37" s="793"/>
      <c r="AM37" s="793"/>
      <c r="AN37" s="793"/>
      <c r="AO37" s="793"/>
      <c r="AP37" s="793"/>
      <c r="AQ37" s="793"/>
      <c r="AR37" s="793"/>
      <c r="AS37" s="793"/>
      <c r="AT37" s="793"/>
      <c r="AU37" s="793"/>
      <c r="AV37" s="793"/>
      <c r="AW37" s="793"/>
      <c r="AX37" s="793"/>
      <c r="AY37" s="793"/>
      <c r="AZ37" s="793"/>
      <c r="BA37" s="793"/>
      <c r="BB37" s="793"/>
      <c r="BC37" s="793"/>
      <c r="BD37" s="793"/>
      <c r="BE37" s="793"/>
      <c r="BF37" s="793"/>
      <c r="BG37" s="793"/>
      <c r="BH37" s="794"/>
      <c r="BI37" s="379"/>
    </row>
    <row r="38" spans="1:62" ht="50" customHeight="1">
      <c r="A38" s="792" t="str">
        <f>IF(AND((BJ35&gt;=90),(BJ35&lt;=98.99)),'Rubric (.)'!C14,"")</f>
        <v>•  2.1.2 Greeted and welcomed customers on-board
•  Was friendly, smiling and initiated conversation with customers
•  Ensured customers were comfortable throughout their flight.</v>
      </c>
      <c r="B38" s="793"/>
      <c r="C38" s="793"/>
      <c r="D38" s="793"/>
      <c r="E38" s="793"/>
      <c r="F38" s="793"/>
      <c r="G38" s="793"/>
      <c r="H38" s="793"/>
      <c r="I38" s="793"/>
      <c r="J38" s="793"/>
      <c r="K38" s="793"/>
      <c r="L38" s="793"/>
      <c r="M38" s="793"/>
      <c r="N38" s="793"/>
      <c r="O38" s="793"/>
      <c r="P38" s="793"/>
      <c r="Q38" s="793"/>
      <c r="R38" s="793"/>
      <c r="S38" s="793"/>
      <c r="T38" s="793"/>
      <c r="U38" s="793"/>
      <c r="V38" s="793"/>
      <c r="W38" s="793"/>
      <c r="X38" s="793"/>
      <c r="Y38" s="793"/>
      <c r="Z38" s="793"/>
      <c r="AA38" s="793"/>
      <c r="AB38" s="793"/>
      <c r="AC38" s="793"/>
      <c r="AD38" s="793"/>
      <c r="AE38" s="793"/>
      <c r="AF38" s="793"/>
      <c r="AG38" s="793"/>
      <c r="AH38" s="793"/>
      <c r="AI38" s="793"/>
      <c r="AJ38" s="793"/>
      <c r="AK38" s="793"/>
      <c r="AL38" s="793"/>
      <c r="AM38" s="793"/>
      <c r="AN38" s="793"/>
      <c r="AO38" s="793"/>
      <c r="AP38" s="793"/>
      <c r="AQ38" s="793"/>
      <c r="AR38" s="793"/>
      <c r="AS38" s="793"/>
      <c r="AT38" s="793"/>
      <c r="AU38" s="793"/>
      <c r="AV38" s="793"/>
      <c r="AW38" s="793"/>
      <c r="AX38" s="793"/>
      <c r="AY38" s="793"/>
      <c r="AZ38" s="793"/>
      <c r="BA38" s="793"/>
      <c r="BB38" s="793"/>
      <c r="BC38" s="793"/>
      <c r="BD38" s="793"/>
      <c r="BE38" s="793"/>
      <c r="BF38" s="793"/>
      <c r="BG38" s="793"/>
      <c r="BH38" s="794"/>
      <c r="BI38" s="379"/>
    </row>
    <row r="39" spans="1:62" ht="50" customHeight="1">
      <c r="A39" s="792" t="str">
        <f>IF(AND((BJ35&gt;=99),(BJ35&lt;=110)),'Rubric (.)'!D14,"")</f>
        <v/>
      </c>
      <c r="B39" s="793"/>
      <c r="C39" s="793"/>
      <c r="D39" s="793"/>
      <c r="E39" s="793"/>
      <c r="F39" s="793"/>
      <c r="G39" s="793"/>
      <c r="H39" s="793"/>
      <c r="I39" s="793"/>
      <c r="J39" s="793"/>
      <c r="K39" s="793"/>
      <c r="L39" s="793"/>
      <c r="M39" s="793"/>
      <c r="N39" s="793"/>
      <c r="O39" s="793"/>
      <c r="P39" s="793"/>
      <c r="Q39" s="793"/>
      <c r="R39" s="793"/>
      <c r="S39" s="793"/>
      <c r="T39" s="793"/>
      <c r="U39" s="793"/>
      <c r="V39" s="793"/>
      <c r="W39" s="793"/>
      <c r="X39" s="793"/>
      <c r="Y39" s="793"/>
      <c r="Z39" s="793"/>
      <c r="AA39" s="793"/>
      <c r="AB39" s="793"/>
      <c r="AC39" s="793"/>
      <c r="AD39" s="793"/>
      <c r="AE39" s="793"/>
      <c r="AF39" s="793"/>
      <c r="AG39" s="793"/>
      <c r="AH39" s="793"/>
      <c r="AI39" s="793"/>
      <c r="AJ39" s="793"/>
      <c r="AK39" s="793"/>
      <c r="AL39" s="793"/>
      <c r="AM39" s="793"/>
      <c r="AN39" s="793"/>
      <c r="AO39" s="793"/>
      <c r="AP39" s="793"/>
      <c r="AQ39" s="793"/>
      <c r="AR39" s="793"/>
      <c r="AS39" s="793"/>
      <c r="AT39" s="793"/>
      <c r="AU39" s="793"/>
      <c r="AV39" s="793"/>
      <c r="AW39" s="793"/>
      <c r="AX39" s="793"/>
      <c r="AY39" s="793"/>
      <c r="AZ39" s="793"/>
      <c r="BA39" s="793"/>
      <c r="BB39" s="793"/>
      <c r="BC39" s="793"/>
      <c r="BD39" s="793"/>
      <c r="BE39" s="793"/>
      <c r="BF39" s="793"/>
      <c r="BG39" s="793"/>
      <c r="BH39" s="794"/>
      <c r="BI39" s="379"/>
    </row>
    <row r="40" spans="1:62">
      <c r="A40" s="787" t="str">
        <f>'D3 to D14'!A22:AZ22</f>
        <v>2.2 Anticipating customer needs: Anticipates customers’ needs and uses their initiative to meet them</v>
      </c>
      <c r="B40" s="787"/>
      <c r="C40" s="787"/>
      <c r="D40" s="787"/>
      <c r="E40" s="787"/>
      <c r="F40" s="787"/>
      <c r="G40" s="787"/>
      <c r="H40" s="787"/>
      <c r="I40" s="787"/>
      <c r="J40" s="787"/>
      <c r="K40" s="787"/>
      <c r="L40" s="787"/>
      <c r="M40" s="787"/>
      <c r="N40" s="787"/>
      <c r="O40" s="787"/>
      <c r="P40" s="787"/>
      <c r="Q40" s="787"/>
      <c r="R40" s="787"/>
      <c r="S40" s="787"/>
      <c r="T40" s="787"/>
      <c r="U40" s="787"/>
      <c r="V40" s="787"/>
      <c r="W40" s="787"/>
      <c r="X40" s="787"/>
      <c r="Y40" s="787"/>
      <c r="Z40" s="787"/>
      <c r="AA40" s="787"/>
      <c r="AB40" s="787"/>
      <c r="AC40" s="787"/>
      <c r="AD40" s="787"/>
      <c r="AE40" s="787"/>
      <c r="AF40" s="787"/>
      <c r="AG40" s="787"/>
      <c r="AH40" s="787"/>
      <c r="AI40" s="787"/>
      <c r="AJ40" s="787"/>
      <c r="AK40" s="787"/>
      <c r="AL40" s="787"/>
      <c r="AM40" s="787"/>
      <c r="AN40" s="787"/>
      <c r="AO40" s="787"/>
      <c r="AP40" s="787"/>
      <c r="AQ40" s="787"/>
      <c r="AR40" s="787"/>
      <c r="AS40" s="787"/>
      <c r="AT40" s="787"/>
      <c r="AU40" s="787"/>
      <c r="AV40" s="787"/>
      <c r="AW40" s="787"/>
      <c r="AX40" s="787"/>
      <c r="AY40" s="787"/>
      <c r="AZ40" s="787"/>
      <c r="BA40" s="787"/>
      <c r="BB40" s="787"/>
      <c r="BC40" s="787"/>
      <c r="BD40" s="787"/>
      <c r="BE40" s="787"/>
      <c r="BF40" s="787"/>
      <c r="BG40" s="787"/>
      <c r="BH40" s="787"/>
      <c r="BJ40" s="40">
        <f>IF(Rotation="B",BKBI2.2,AKBI2.2)</f>
        <v>98.99</v>
      </c>
    </row>
    <row r="41" spans="1:62" ht="50" customHeight="1">
      <c r="A41" s="792" t="str">
        <f>IF(AND((BJ40&gt;=0),(BJ40&lt;=84.99)),'Rubric (.)'!A16,"")</f>
        <v/>
      </c>
      <c r="B41" s="793"/>
      <c r="C41" s="793"/>
      <c r="D41" s="793"/>
      <c r="E41" s="793"/>
      <c r="F41" s="793"/>
      <c r="G41" s="793"/>
      <c r="H41" s="793"/>
      <c r="I41" s="793"/>
      <c r="J41" s="793"/>
      <c r="K41" s="793"/>
      <c r="L41" s="793"/>
      <c r="M41" s="793"/>
      <c r="N41" s="793"/>
      <c r="O41" s="793"/>
      <c r="P41" s="793"/>
      <c r="Q41" s="793"/>
      <c r="R41" s="793"/>
      <c r="S41" s="793"/>
      <c r="T41" s="793"/>
      <c r="U41" s="793"/>
      <c r="V41" s="793"/>
      <c r="W41" s="793"/>
      <c r="X41" s="793"/>
      <c r="Y41" s="793"/>
      <c r="Z41" s="793"/>
      <c r="AA41" s="793"/>
      <c r="AB41" s="793"/>
      <c r="AC41" s="793"/>
      <c r="AD41" s="793"/>
      <c r="AE41" s="793"/>
      <c r="AF41" s="793"/>
      <c r="AG41" s="793"/>
      <c r="AH41" s="793"/>
      <c r="AI41" s="793"/>
      <c r="AJ41" s="793"/>
      <c r="AK41" s="793"/>
      <c r="AL41" s="793"/>
      <c r="AM41" s="793"/>
      <c r="AN41" s="793"/>
      <c r="AO41" s="793"/>
      <c r="AP41" s="793"/>
      <c r="AQ41" s="793"/>
      <c r="AR41" s="793"/>
      <c r="AS41" s="793"/>
      <c r="AT41" s="793"/>
      <c r="AU41" s="793"/>
      <c r="AV41" s="793"/>
      <c r="AW41" s="793"/>
      <c r="AX41" s="793"/>
      <c r="AY41" s="793"/>
      <c r="AZ41" s="793"/>
      <c r="BA41" s="793"/>
      <c r="BB41" s="793"/>
      <c r="BC41" s="793"/>
      <c r="BD41" s="793"/>
      <c r="BE41" s="793"/>
      <c r="BF41" s="793"/>
      <c r="BG41" s="793"/>
      <c r="BH41" s="794"/>
      <c r="BI41" s="379"/>
      <c r="BJ41" s="40"/>
    </row>
    <row r="42" spans="1:62" ht="50" customHeight="1">
      <c r="A42" s="792" t="str">
        <f>IF(AND((BJ40&gt;=85),(BJ40&lt;=89.99)),'Rubric (.)'!B16,"")</f>
        <v/>
      </c>
      <c r="B42" s="793"/>
      <c r="C42" s="793"/>
      <c r="D42" s="793"/>
      <c r="E42" s="793"/>
      <c r="F42" s="793"/>
      <c r="G42" s="793"/>
      <c r="H42" s="793"/>
      <c r="I42" s="793"/>
      <c r="J42" s="793"/>
      <c r="K42" s="793"/>
      <c r="L42" s="793"/>
      <c r="M42" s="793"/>
      <c r="N42" s="793"/>
      <c r="O42" s="793"/>
      <c r="P42" s="793"/>
      <c r="Q42" s="793"/>
      <c r="R42" s="793"/>
      <c r="S42" s="793"/>
      <c r="T42" s="793"/>
      <c r="U42" s="793"/>
      <c r="V42" s="793"/>
      <c r="W42" s="793"/>
      <c r="X42" s="793"/>
      <c r="Y42" s="793"/>
      <c r="Z42" s="793"/>
      <c r="AA42" s="793"/>
      <c r="AB42" s="793"/>
      <c r="AC42" s="793"/>
      <c r="AD42" s="793"/>
      <c r="AE42" s="793"/>
      <c r="AF42" s="793"/>
      <c r="AG42" s="793"/>
      <c r="AH42" s="793"/>
      <c r="AI42" s="793"/>
      <c r="AJ42" s="793"/>
      <c r="AK42" s="793"/>
      <c r="AL42" s="793"/>
      <c r="AM42" s="793"/>
      <c r="AN42" s="793"/>
      <c r="AO42" s="793"/>
      <c r="AP42" s="793"/>
      <c r="AQ42" s="793"/>
      <c r="AR42" s="793"/>
      <c r="AS42" s="793"/>
      <c r="AT42" s="793"/>
      <c r="AU42" s="793"/>
      <c r="AV42" s="793"/>
      <c r="AW42" s="793"/>
      <c r="AX42" s="793"/>
      <c r="AY42" s="793"/>
      <c r="AZ42" s="793"/>
      <c r="BA42" s="793"/>
      <c r="BB42" s="793"/>
      <c r="BC42" s="793"/>
      <c r="BD42" s="793"/>
      <c r="BE42" s="793"/>
      <c r="BF42" s="793"/>
      <c r="BG42" s="793"/>
      <c r="BH42" s="794"/>
      <c r="BI42" s="379"/>
      <c r="BJ42" s="40"/>
    </row>
    <row r="43" spans="1:62" ht="50" customHeight="1">
      <c r="A43" s="792" t="str">
        <f>IF(AND((BJ40&gt;=90),(BJ40&lt;=98.99)),'Rubric (.)'!C16,"")</f>
        <v>•  2.2.2 Available and active in the cabin
•  Checked cabin and lavatories
•  Anticipated customer needs and was proactive in looking and finding ways to help them.</v>
      </c>
      <c r="B43" s="793"/>
      <c r="C43" s="793"/>
      <c r="D43" s="793"/>
      <c r="E43" s="793"/>
      <c r="F43" s="793"/>
      <c r="G43" s="793"/>
      <c r="H43" s="793"/>
      <c r="I43" s="793"/>
      <c r="J43" s="793"/>
      <c r="K43" s="793"/>
      <c r="L43" s="793"/>
      <c r="M43" s="793"/>
      <c r="N43" s="793"/>
      <c r="O43" s="793"/>
      <c r="P43" s="793"/>
      <c r="Q43" s="793"/>
      <c r="R43" s="793"/>
      <c r="S43" s="793"/>
      <c r="T43" s="793"/>
      <c r="U43" s="793"/>
      <c r="V43" s="793"/>
      <c r="W43" s="793"/>
      <c r="X43" s="793"/>
      <c r="Y43" s="793"/>
      <c r="Z43" s="793"/>
      <c r="AA43" s="793"/>
      <c r="AB43" s="793"/>
      <c r="AC43" s="793"/>
      <c r="AD43" s="793"/>
      <c r="AE43" s="793"/>
      <c r="AF43" s="793"/>
      <c r="AG43" s="793"/>
      <c r="AH43" s="793"/>
      <c r="AI43" s="793"/>
      <c r="AJ43" s="793"/>
      <c r="AK43" s="793"/>
      <c r="AL43" s="793"/>
      <c r="AM43" s="793"/>
      <c r="AN43" s="793"/>
      <c r="AO43" s="793"/>
      <c r="AP43" s="793"/>
      <c r="AQ43" s="793"/>
      <c r="AR43" s="793"/>
      <c r="AS43" s="793"/>
      <c r="AT43" s="793"/>
      <c r="AU43" s="793"/>
      <c r="AV43" s="793"/>
      <c r="AW43" s="793"/>
      <c r="AX43" s="793"/>
      <c r="AY43" s="793"/>
      <c r="AZ43" s="793"/>
      <c r="BA43" s="793"/>
      <c r="BB43" s="793"/>
      <c r="BC43" s="793"/>
      <c r="BD43" s="793"/>
      <c r="BE43" s="793"/>
      <c r="BF43" s="793"/>
      <c r="BG43" s="793"/>
      <c r="BH43" s="794"/>
      <c r="BI43" s="379"/>
      <c r="BJ43" s="40"/>
    </row>
    <row r="44" spans="1:62" ht="50" customHeight="1">
      <c r="A44" s="792" t="str">
        <f>IF(AND((BJ40&gt;=99),(BJ40&lt;=110)),'Rubric (.)'!D16,"")</f>
        <v/>
      </c>
      <c r="B44" s="793"/>
      <c r="C44" s="793"/>
      <c r="D44" s="793"/>
      <c r="E44" s="793"/>
      <c r="F44" s="793"/>
      <c r="G44" s="793"/>
      <c r="H44" s="793"/>
      <c r="I44" s="793"/>
      <c r="J44" s="793"/>
      <c r="K44" s="793"/>
      <c r="L44" s="793"/>
      <c r="M44" s="793"/>
      <c r="N44" s="793"/>
      <c r="O44" s="793"/>
      <c r="P44" s="793"/>
      <c r="Q44" s="793"/>
      <c r="R44" s="793"/>
      <c r="S44" s="793"/>
      <c r="T44" s="793"/>
      <c r="U44" s="793"/>
      <c r="V44" s="793"/>
      <c r="W44" s="793"/>
      <c r="X44" s="793"/>
      <c r="Y44" s="793"/>
      <c r="Z44" s="793"/>
      <c r="AA44" s="793"/>
      <c r="AB44" s="793"/>
      <c r="AC44" s="793"/>
      <c r="AD44" s="793"/>
      <c r="AE44" s="793"/>
      <c r="AF44" s="793"/>
      <c r="AG44" s="793"/>
      <c r="AH44" s="793"/>
      <c r="AI44" s="793"/>
      <c r="AJ44" s="793"/>
      <c r="AK44" s="793"/>
      <c r="AL44" s="793"/>
      <c r="AM44" s="793"/>
      <c r="AN44" s="793"/>
      <c r="AO44" s="793"/>
      <c r="AP44" s="793"/>
      <c r="AQ44" s="793"/>
      <c r="AR44" s="793"/>
      <c r="AS44" s="793"/>
      <c r="AT44" s="793"/>
      <c r="AU44" s="793"/>
      <c r="AV44" s="793"/>
      <c r="AW44" s="793"/>
      <c r="AX44" s="793"/>
      <c r="AY44" s="793"/>
      <c r="AZ44" s="793"/>
      <c r="BA44" s="793"/>
      <c r="BB44" s="793"/>
      <c r="BC44" s="793"/>
      <c r="BD44" s="793"/>
      <c r="BE44" s="793"/>
      <c r="BF44" s="793"/>
      <c r="BG44" s="793"/>
      <c r="BH44" s="794"/>
      <c r="BI44" s="379"/>
      <c r="BJ44" s="40"/>
    </row>
    <row r="45" spans="1:62">
      <c r="A45" s="787" t="str">
        <f>'D3 to D14'!A24:AZ24</f>
        <v>2.3 Responsive and Helpful: Provides a prompt and flexible approach to meeting customer needs and requests. Ability to handle customer complaints and concerns.</v>
      </c>
      <c r="B45" s="787"/>
      <c r="C45" s="787"/>
      <c r="D45" s="787"/>
      <c r="E45" s="787"/>
      <c r="F45" s="787"/>
      <c r="G45" s="787"/>
      <c r="H45" s="787"/>
      <c r="I45" s="787"/>
      <c r="J45" s="787"/>
      <c r="K45" s="787"/>
      <c r="L45" s="787"/>
      <c r="M45" s="787"/>
      <c r="N45" s="787"/>
      <c r="O45" s="787"/>
      <c r="P45" s="787"/>
      <c r="Q45" s="787"/>
      <c r="R45" s="787"/>
      <c r="S45" s="787"/>
      <c r="T45" s="787"/>
      <c r="U45" s="787"/>
      <c r="V45" s="787"/>
      <c r="W45" s="787"/>
      <c r="X45" s="787"/>
      <c r="Y45" s="787"/>
      <c r="Z45" s="787"/>
      <c r="AA45" s="787"/>
      <c r="AB45" s="787"/>
      <c r="AC45" s="787"/>
      <c r="AD45" s="787"/>
      <c r="AE45" s="787"/>
      <c r="AF45" s="787"/>
      <c r="AG45" s="787"/>
      <c r="AH45" s="787"/>
      <c r="AI45" s="787"/>
      <c r="AJ45" s="787"/>
      <c r="AK45" s="787"/>
      <c r="AL45" s="787"/>
      <c r="AM45" s="787"/>
      <c r="AN45" s="787"/>
      <c r="AO45" s="787"/>
      <c r="AP45" s="787"/>
      <c r="AQ45" s="787"/>
      <c r="AR45" s="787"/>
      <c r="AS45" s="787"/>
      <c r="AT45" s="787"/>
      <c r="AU45" s="787"/>
      <c r="AV45" s="787"/>
      <c r="AW45" s="787"/>
      <c r="AX45" s="787"/>
      <c r="AY45" s="787"/>
      <c r="AZ45" s="787"/>
      <c r="BA45" s="787"/>
      <c r="BB45" s="787"/>
      <c r="BC45" s="787"/>
      <c r="BD45" s="787"/>
      <c r="BE45" s="787"/>
      <c r="BF45" s="787"/>
      <c r="BG45" s="787"/>
      <c r="BH45" s="787"/>
      <c r="BJ45" s="40">
        <f>IF(Rotation="B",BKBI2.3,AKBI2.3)</f>
        <v>98.99</v>
      </c>
    </row>
    <row r="46" spans="1:62" ht="50" customHeight="1">
      <c r="A46" s="792" t="str">
        <f>IF(AND((BJ45&gt;=0),(BJ45&lt;=84.99)),'Rubric (.)'!A18,"")</f>
        <v/>
      </c>
      <c r="B46" s="793"/>
      <c r="C46" s="793"/>
      <c r="D46" s="793"/>
      <c r="E46" s="793"/>
      <c r="F46" s="793"/>
      <c r="G46" s="793"/>
      <c r="H46" s="793"/>
      <c r="I46" s="793"/>
      <c r="J46" s="793"/>
      <c r="K46" s="793"/>
      <c r="L46" s="793"/>
      <c r="M46" s="793"/>
      <c r="N46" s="793"/>
      <c r="O46" s="793"/>
      <c r="P46" s="793"/>
      <c r="Q46" s="793"/>
      <c r="R46" s="793"/>
      <c r="S46" s="793"/>
      <c r="T46" s="793"/>
      <c r="U46" s="793"/>
      <c r="V46" s="793"/>
      <c r="W46" s="793"/>
      <c r="X46" s="793"/>
      <c r="Y46" s="793"/>
      <c r="Z46" s="793"/>
      <c r="AA46" s="793"/>
      <c r="AB46" s="793"/>
      <c r="AC46" s="793"/>
      <c r="AD46" s="793"/>
      <c r="AE46" s="793"/>
      <c r="AF46" s="793"/>
      <c r="AG46" s="793"/>
      <c r="AH46" s="793"/>
      <c r="AI46" s="793"/>
      <c r="AJ46" s="793"/>
      <c r="AK46" s="793"/>
      <c r="AL46" s="793"/>
      <c r="AM46" s="793"/>
      <c r="AN46" s="793"/>
      <c r="AO46" s="793"/>
      <c r="AP46" s="793"/>
      <c r="AQ46" s="793"/>
      <c r="AR46" s="793"/>
      <c r="AS46" s="793"/>
      <c r="AT46" s="793"/>
      <c r="AU46" s="793"/>
      <c r="AV46" s="793"/>
      <c r="AW46" s="793"/>
      <c r="AX46" s="793"/>
      <c r="AY46" s="793"/>
      <c r="AZ46" s="793"/>
      <c r="BA46" s="793"/>
      <c r="BB46" s="793"/>
      <c r="BC46" s="793"/>
      <c r="BD46" s="793"/>
      <c r="BE46" s="793"/>
      <c r="BF46" s="793"/>
      <c r="BG46" s="793"/>
      <c r="BH46" s="794"/>
      <c r="BI46" s="379"/>
      <c r="BJ46" s="40"/>
    </row>
    <row r="47" spans="1:62" ht="50" customHeight="1">
      <c r="A47" s="792" t="str">
        <f>IF(AND((BJ45&gt;=85),(BJ45&lt;=89.99)),'Rubric (.)'!B18,"")</f>
        <v/>
      </c>
      <c r="B47" s="793"/>
      <c r="C47" s="793"/>
      <c r="D47" s="793"/>
      <c r="E47" s="793"/>
      <c r="F47" s="793"/>
      <c r="G47" s="793"/>
      <c r="H47" s="793"/>
      <c r="I47" s="793"/>
      <c r="J47" s="793"/>
      <c r="K47" s="793"/>
      <c r="L47" s="793"/>
      <c r="M47" s="793"/>
      <c r="N47" s="793"/>
      <c r="O47" s="793"/>
      <c r="P47" s="793"/>
      <c r="Q47" s="793"/>
      <c r="R47" s="793"/>
      <c r="S47" s="793"/>
      <c r="T47" s="793"/>
      <c r="U47" s="793"/>
      <c r="V47" s="793"/>
      <c r="W47" s="793"/>
      <c r="X47" s="793"/>
      <c r="Y47" s="793"/>
      <c r="Z47" s="793"/>
      <c r="AA47" s="793"/>
      <c r="AB47" s="793"/>
      <c r="AC47" s="793"/>
      <c r="AD47" s="793"/>
      <c r="AE47" s="793"/>
      <c r="AF47" s="793"/>
      <c r="AG47" s="793"/>
      <c r="AH47" s="793"/>
      <c r="AI47" s="793"/>
      <c r="AJ47" s="793"/>
      <c r="AK47" s="793"/>
      <c r="AL47" s="793"/>
      <c r="AM47" s="793"/>
      <c r="AN47" s="793"/>
      <c r="AO47" s="793"/>
      <c r="AP47" s="793"/>
      <c r="AQ47" s="793"/>
      <c r="AR47" s="793"/>
      <c r="AS47" s="793"/>
      <c r="AT47" s="793"/>
      <c r="AU47" s="793"/>
      <c r="AV47" s="793"/>
      <c r="AW47" s="793"/>
      <c r="AX47" s="793"/>
      <c r="AY47" s="793"/>
      <c r="AZ47" s="793"/>
      <c r="BA47" s="793"/>
      <c r="BB47" s="793"/>
      <c r="BC47" s="793"/>
      <c r="BD47" s="793"/>
      <c r="BE47" s="793"/>
      <c r="BF47" s="793"/>
      <c r="BG47" s="793"/>
      <c r="BH47" s="794"/>
      <c r="BI47" s="379"/>
      <c r="BJ47" s="40"/>
    </row>
    <row r="48" spans="1:62" ht="50" customHeight="1">
      <c r="A48" s="792" t="str">
        <f>IF(AND((BJ45&gt;=90),(BJ45&lt;=98.99)),'Rubric (.)'!C18,"")</f>
        <v>•  2.3.2 Helpful and prompt in response to customer requests
•  Flexible and offered alternatives when needs could not be met
•  Made effort to resolve customer concerns or complaints.</v>
      </c>
      <c r="B48" s="793"/>
      <c r="C48" s="793"/>
      <c r="D48" s="793"/>
      <c r="E48" s="793"/>
      <c r="F48" s="793"/>
      <c r="G48" s="793"/>
      <c r="H48" s="793"/>
      <c r="I48" s="793"/>
      <c r="J48" s="793"/>
      <c r="K48" s="793"/>
      <c r="L48" s="793"/>
      <c r="M48" s="793"/>
      <c r="N48" s="793"/>
      <c r="O48" s="793"/>
      <c r="P48" s="793"/>
      <c r="Q48" s="793"/>
      <c r="R48" s="793"/>
      <c r="S48" s="793"/>
      <c r="T48" s="793"/>
      <c r="U48" s="793"/>
      <c r="V48" s="793"/>
      <c r="W48" s="793"/>
      <c r="X48" s="793"/>
      <c r="Y48" s="793"/>
      <c r="Z48" s="793"/>
      <c r="AA48" s="793"/>
      <c r="AB48" s="793"/>
      <c r="AC48" s="793"/>
      <c r="AD48" s="793"/>
      <c r="AE48" s="793"/>
      <c r="AF48" s="793"/>
      <c r="AG48" s="793"/>
      <c r="AH48" s="793"/>
      <c r="AI48" s="793"/>
      <c r="AJ48" s="793"/>
      <c r="AK48" s="793"/>
      <c r="AL48" s="793"/>
      <c r="AM48" s="793"/>
      <c r="AN48" s="793"/>
      <c r="AO48" s="793"/>
      <c r="AP48" s="793"/>
      <c r="AQ48" s="793"/>
      <c r="AR48" s="793"/>
      <c r="AS48" s="793"/>
      <c r="AT48" s="793"/>
      <c r="AU48" s="793"/>
      <c r="AV48" s="793"/>
      <c r="AW48" s="793"/>
      <c r="AX48" s="793"/>
      <c r="AY48" s="793"/>
      <c r="AZ48" s="793"/>
      <c r="BA48" s="793"/>
      <c r="BB48" s="793"/>
      <c r="BC48" s="793"/>
      <c r="BD48" s="793"/>
      <c r="BE48" s="793"/>
      <c r="BF48" s="793"/>
      <c r="BG48" s="793"/>
      <c r="BH48" s="794"/>
      <c r="BI48" s="379"/>
      <c r="BJ48" s="40"/>
    </row>
    <row r="49" spans="1:62" ht="50" customHeight="1">
      <c r="A49" s="792" t="str">
        <f>IF(AND((BJ45&gt;=99),(BJ45&lt;=110)),'Rubric (.)'!D18,"")</f>
        <v/>
      </c>
      <c r="B49" s="793"/>
      <c r="C49" s="793"/>
      <c r="D49" s="793"/>
      <c r="E49" s="793"/>
      <c r="F49" s="793"/>
      <c r="G49" s="793"/>
      <c r="H49" s="793"/>
      <c r="I49" s="793"/>
      <c r="J49" s="793"/>
      <c r="K49" s="793"/>
      <c r="L49" s="793"/>
      <c r="M49" s="793"/>
      <c r="N49" s="793"/>
      <c r="O49" s="793"/>
      <c r="P49" s="793"/>
      <c r="Q49" s="793"/>
      <c r="R49" s="793"/>
      <c r="S49" s="793"/>
      <c r="T49" s="793"/>
      <c r="U49" s="793"/>
      <c r="V49" s="793"/>
      <c r="W49" s="793"/>
      <c r="X49" s="793"/>
      <c r="Y49" s="793"/>
      <c r="Z49" s="793"/>
      <c r="AA49" s="793"/>
      <c r="AB49" s="793"/>
      <c r="AC49" s="793"/>
      <c r="AD49" s="793"/>
      <c r="AE49" s="793"/>
      <c r="AF49" s="793"/>
      <c r="AG49" s="793"/>
      <c r="AH49" s="793"/>
      <c r="AI49" s="793"/>
      <c r="AJ49" s="793"/>
      <c r="AK49" s="793"/>
      <c r="AL49" s="793"/>
      <c r="AM49" s="793"/>
      <c r="AN49" s="793"/>
      <c r="AO49" s="793"/>
      <c r="AP49" s="793"/>
      <c r="AQ49" s="793"/>
      <c r="AR49" s="793"/>
      <c r="AS49" s="793"/>
      <c r="AT49" s="793"/>
      <c r="AU49" s="793"/>
      <c r="AV49" s="793"/>
      <c r="AW49" s="793"/>
      <c r="AX49" s="793"/>
      <c r="AY49" s="793"/>
      <c r="AZ49" s="793"/>
      <c r="BA49" s="793"/>
      <c r="BB49" s="793"/>
      <c r="BC49" s="793"/>
      <c r="BD49" s="793"/>
      <c r="BE49" s="793"/>
      <c r="BF49" s="793"/>
      <c r="BG49" s="793"/>
      <c r="BH49" s="794"/>
      <c r="BI49" s="379"/>
      <c r="BJ49" s="40"/>
    </row>
    <row r="50" spans="1:62">
      <c r="A50" s="787" t="str">
        <f>'D3 to D14'!A26:AZ26</f>
        <v>2.4 Service Style: Fully reflected expectations for their cabin</v>
      </c>
      <c r="B50" s="787"/>
      <c r="C50" s="787"/>
      <c r="D50" s="787"/>
      <c r="E50" s="787"/>
      <c r="F50" s="787"/>
      <c r="G50" s="787"/>
      <c r="H50" s="787"/>
      <c r="I50" s="787"/>
      <c r="J50" s="787"/>
      <c r="K50" s="787"/>
      <c r="L50" s="787"/>
      <c r="M50" s="787"/>
      <c r="N50" s="787"/>
      <c r="O50" s="787"/>
      <c r="P50" s="787"/>
      <c r="Q50" s="787"/>
      <c r="R50" s="787"/>
      <c r="S50" s="787"/>
      <c r="T50" s="787"/>
      <c r="U50" s="787"/>
      <c r="V50" s="787"/>
      <c r="W50" s="787"/>
      <c r="X50" s="787"/>
      <c r="Y50" s="787"/>
      <c r="Z50" s="787"/>
      <c r="AA50" s="787"/>
      <c r="AB50" s="787"/>
      <c r="AC50" s="787"/>
      <c r="AD50" s="787"/>
      <c r="AE50" s="787"/>
      <c r="AF50" s="787"/>
      <c r="AG50" s="787"/>
      <c r="AH50" s="787"/>
      <c r="AI50" s="787"/>
      <c r="AJ50" s="787"/>
      <c r="AK50" s="787"/>
      <c r="AL50" s="787"/>
      <c r="AM50" s="787"/>
      <c r="AN50" s="787"/>
      <c r="AO50" s="787"/>
      <c r="AP50" s="787"/>
      <c r="AQ50" s="787"/>
      <c r="AR50" s="787"/>
      <c r="AS50" s="787"/>
      <c r="AT50" s="787"/>
      <c r="AU50" s="787"/>
      <c r="AV50" s="787"/>
      <c r="AW50" s="787"/>
      <c r="AX50" s="787"/>
      <c r="AY50" s="787"/>
      <c r="AZ50" s="787"/>
      <c r="BA50" s="787"/>
      <c r="BB50" s="787"/>
      <c r="BC50" s="787"/>
      <c r="BD50" s="787"/>
      <c r="BE50" s="787"/>
      <c r="BF50" s="787"/>
      <c r="BG50" s="787"/>
      <c r="BH50" s="787"/>
      <c r="BJ50" s="40">
        <f>IF(Rotation="B",BKBI2.4,AKBI2.4)</f>
        <v>98.99</v>
      </c>
    </row>
    <row r="51" spans="1:62" ht="50" customHeight="1">
      <c r="A51" s="792" t="str">
        <f>IF(AND((BJ50&gt;=0),(BJ50&lt;=84.99)),'Rubric (.)'!A20,"")</f>
        <v/>
      </c>
      <c r="B51" s="793"/>
      <c r="C51" s="793"/>
      <c r="D51" s="793"/>
      <c r="E51" s="793"/>
      <c r="F51" s="793"/>
      <c r="G51" s="793"/>
      <c r="H51" s="793"/>
      <c r="I51" s="793"/>
      <c r="J51" s="793"/>
      <c r="K51" s="793"/>
      <c r="L51" s="793"/>
      <c r="M51" s="793"/>
      <c r="N51" s="793"/>
      <c r="O51" s="793"/>
      <c r="P51" s="793"/>
      <c r="Q51" s="793"/>
      <c r="R51" s="793"/>
      <c r="S51" s="793"/>
      <c r="T51" s="793"/>
      <c r="U51" s="793"/>
      <c r="V51" s="793"/>
      <c r="W51" s="793"/>
      <c r="X51" s="793"/>
      <c r="Y51" s="793"/>
      <c r="Z51" s="793"/>
      <c r="AA51" s="793"/>
      <c r="AB51" s="793"/>
      <c r="AC51" s="793"/>
      <c r="AD51" s="793"/>
      <c r="AE51" s="793"/>
      <c r="AF51" s="793"/>
      <c r="AG51" s="793"/>
      <c r="AH51" s="793"/>
      <c r="AI51" s="793"/>
      <c r="AJ51" s="793"/>
      <c r="AK51" s="793"/>
      <c r="AL51" s="793"/>
      <c r="AM51" s="793"/>
      <c r="AN51" s="793"/>
      <c r="AO51" s="793"/>
      <c r="AP51" s="793"/>
      <c r="AQ51" s="793"/>
      <c r="AR51" s="793"/>
      <c r="AS51" s="793"/>
      <c r="AT51" s="793"/>
      <c r="AU51" s="793"/>
      <c r="AV51" s="793"/>
      <c r="AW51" s="793"/>
      <c r="AX51" s="793"/>
      <c r="AY51" s="793"/>
      <c r="AZ51" s="793"/>
      <c r="BA51" s="793"/>
      <c r="BB51" s="793"/>
      <c r="BC51" s="793"/>
      <c r="BD51" s="793"/>
      <c r="BE51" s="793"/>
      <c r="BF51" s="793"/>
      <c r="BG51" s="793"/>
      <c r="BH51" s="794"/>
      <c r="BI51" s="379"/>
      <c r="BJ51" s="40"/>
    </row>
    <row r="52" spans="1:62" ht="50" customHeight="1">
      <c r="A52" s="792" t="str">
        <f>IF(AND((BJ50&gt;=85),(BJ50&lt;=89.99)),'Rubric (.)'!B20,"")</f>
        <v/>
      </c>
      <c r="B52" s="793"/>
      <c r="C52" s="793"/>
      <c r="D52" s="793"/>
      <c r="E52" s="793"/>
      <c r="F52" s="793"/>
      <c r="G52" s="793"/>
      <c r="H52" s="793"/>
      <c r="I52" s="793"/>
      <c r="J52" s="793"/>
      <c r="K52" s="793"/>
      <c r="L52" s="793"/>
      <c r="M52" s="793"/>
      <c r="N52" s="793"/>
      <c r="O52" s="793"/>
      <c r="P52" s="793"/>
      <c r="Q52" s="793"/>
      <c r="R52" s="793"/>
      <c r="S52" s="793"/>
      <c r="T52" s="793"/>
      <c r="U52" s="793"/>
      <c r="V52" s="793"/>
      <c r="W52" s="793"/>
      <c r="X52" s="793"/>
      <c r="Y52" s="793"/>
      <c r="Z52" s="793"/>
      <c r="AA52" s="793"/>
      <c r="AB52" s="793"/>
      <c r="AC52" s="793"/>
      <c r="AD52" s="793"/>
      <c r="AE52" s="793"/>
      <c r="AF52" s="793"/>
      <c r="AG52" s="793"/>
      <c r="AH52" s="793"/>
      <c r="AI52" s="793"/>
      <c r="AJ52" s="793"/>
      <c r="AK52" s="793"/>
      <c r="AL52" s="793"/>
      <c r="AM52" s="793"/>
      <c r="AN52" s="793"/>
      <c r="AO52" s="793"/>
      <c r="AP52" s="793"/>
      <c r="AQ52" s="793"/>
      <c r="AR52" s="793"/>
      <c r="AS52" s="793"/>
      <c r="AT52" s="793"/>
      <c r="AU52" s="793"/>
      <c r="AV52" s="793"/>
      <c r="AW52" s="793"/>
      <c r="AX52" s="793"/>
      <c r="AY52" s="793"/>
      <c r="AZ52" s="793"/>
      <c r="BA52" s="793"/>
      <c r="BB52" s="793"/>
      <c r="BC52" s="793"/>
      <c r="BD52" s="793"/>
      <c r="BE52" s="793"/>
      <c r="BF52" s="793"/>
      <c r="BG52" s="793"/>
      <c r="BH52" s="794"/>
      <c r="BI52" s="379"/>
      <c r="BJ52" s="40"/>
    </row>
    <row r="53" spans="1:62" ht="50" customHeight="1">
      <c r="A53" s="792" t="str">
        <f>IF(AND((BJ50&gt;=90),(BJ50&lt;=98.99)),'Rubric (.)'!C20,"")</f>
        <v>•  2.4.2 Ensured service style was confident and professional
•  Used correct service phrases
•  Was aware of noise made in the galley and cabin and worked to minimise this.</v>
      </c>
      <c r="B53" s="793"/>
      <c r="C53" s="793"/>
      <c r="D53" s="793"/>
      <c r="E53" s="793"/>
      <c r="F53" s="793"/>
      <c r="G53" s="793"/>
      <c r="H53" s="793"/>
      <c r="I53" s="793"/>
      <c r="J53" s="793"/>
      <c r="K53" s="793"/>
      <c r="L53" s="793"/>
      <c r="M53" s="793"/>
      <c r="N53" s="793"/>
      <c r="O53" s="793"/>
      <c r="P53" s="793"/>
      <c r="Q53" s="793"/>
      <c r="R53" s="793"/>
      <c r="S53" s="793"/>
      <c r="T53" s="793"/>
      <c r="U53" s="793"/>
      <c r="V53" s="793"/>
      <c r="W53" s="793"/>
      <c r="X53" s="793"/>
      <c r="Y53" s="793"/>
      <c r="Z53" s="793"/>
      <c r="AA53" s="793"/>
      <c r="AB53" s="793"/>
      <c r="AC53" s="793"/>
      <c r="AD53" s="793"/>
      <c r="AE53" s="793"/>
      <c r="AF53" s="793"/>
      <c r="AG53" s="793"/>
      <c r="AH53" s="793"/>
      <c r="AI53" s="793"/>
      <c r="AJ53" s="793"/>
      <c r="AK53" s="793"/>
      <c r="AL53" s="793"/>
      <c r="AM53" s="793"/>
      <c r="AN53" s="793"/>
      <c r="AO53" s="793"/>
      <c r="AP53" s="793"/>
      <c r="AQ53" s="793"/>
      <c r="AR53" s="793"/>
      <c r="AS53" s="793"/>
      <c r="AT53" s="793"/>
      <c r="AU53" s="793"/>
      <c r="AV53" s="793"/>
      <c r="AW53" s="793"/>
      <c r="AX53" s="793"/>
      <c r="AY53" s="793"/>
      <c r="AZ53" s="793"/>
      <c r="BA53" s="793"/>
      <c r="BB53" s="793"/>
      <c r="BC53" s="793"/>
      <c r="BD53" s="793"/>
      <c r="BE53" s="793"/>
      <c r="BF53" s="793"/>
      <c r="BG53" s="793"/>
      <c r="BH53" s="794"/>
      <c r="BI53" s="379"/>
      <c r="BJ53" s="40"/>
    </row>
    <row r="54" spans="1:62" ht="50" customHeight="1">
      <c r="A54" s="792" t="str">
        <f>IF(AND((BJ50&gt;=99),(BJ50&lt;=110)),'Rubric (.)'!D20,"")</f>
        <v/>
      </c>
      <c r="B54" s="793"/>
      <c r="C54" s="793"/>
      <c r="D54" s="793"/>
      <c r="E54" s="793"/>
      <c r="F54" s="793"/>
      <c r="G54" s="793"/>
      <c r="H54" s="793"/>
      <c r="I54" s="793"/>
      <c r="J54" s="793"/>
      <c r="K54" s="793"/>
      <c r="L54" s="793"/>
      <c r="M54" s="793"/>
      <c r="N54" s="793"/>
      <c r="O54" s="793"/>
      <c r="P54" s="793"/>
      <c r="Q54" s="793"/>
      <c r="R54" s="793"/>
      <c r="S54" s="793"/>
      <c r="T54" s="793"/>
      <c r="U54" s="793"/>
      <c r="V54" s="793"/>
      <c r="W54" s="793"/>
      <c r="X54" s="793"/>
      <c r="Y54" s="793"/>
      <c r="Z54" s="793"/>
      <c r="AA54" s="793"/>
      <c r="AB54" s="793"/>
      <c r="AC54" s="793"/>
      <c r="AD54" s="793"/>
      <c r="AE54" s="793"/>
      <c r="AF54" s="793"/>
      <c r="AG54" s="793"/>
      <c r="AH54" s="793"/>
      <c r="AI54" s="793"/>
      <c r="AJ54" s="793"/>
      <c r="AK54" s="793"/>
      <c r="AL54" s="793"/>
      <c r="AM54" s="793"/>
      <c r="AN54" s="793"/>
      <c r="AO54" s="793"/>
      <c r="AP54" s="793"/>
      <c r="AQ54" s="793"/>
      <c r="AR54" s="793"/>
      <c r="AS54" s="793"/>
      <c r="AT54" s="793"/>
      <c r="AU54" s="793"/>
      <c r="AV54" s="793"/>
      <c r="AW54" s="793"/>
      <c r="AX54" s="793"/>
      <c r="AY54" s="793"/>
      <c r="AZ54" s="793"/>
      <c r="BA54" s="793"/>
      <c r="BB54" s="793"/>
      <c r="BC54" s="793"/>
      <c r="BD54" s="793"/>
      <c r="BE54" s="793"/>
      <c r="BF54" s="793"/>
      <c r="BG54" s="793"/>
      <c r="BH54" s="794"/>
      <c r="BI54" s="379"/>
      <c r="BJ54" s="40"/>
    </row>
    <row r="55" spans="1:62" ht="20" hidden="1" customHeight="1">
      <c r="A55" s="786" t="s">
        <v>761</v>
      </c>
      <c r="B55" s="786"/>
      <c r="C55" s="786"/>
      <c r="D55" s="786"/>
      <c r="E55" s="786"/>
      <c r="F55" s="786"/>
      <c r="G55" s="786"/>
      <c r="H55" s="786"/>
      <c r="I55" s="786"/>
      <c r="J55" s="786"/>
      <c r="K55" s="786"/>
      <c r="L55" s="786"/>
      <c r="M55" s="786"/>
      <c r="N55" s="786"/>
      <c r="O55" s="786"/>
      <c r="P55" s="786"/>
      <c r="Q55" s="786"/>
      <c r="R55" s="786"/>
      <c r="S55" s="786"/>
      <c r="T55" s="786"/>
      <c r="U55" s="786"/>
      <c r="V55" s="786"/>
      <c r="W55" s="786"/>
      <c r="X55" s="786"/>
      <c r="Y55" s="786"/>
      <c r="Z55" s="786"/>
      <c r="AA55" s="786"/>
      <c r="AB55" s="786"/>
      <c r="AC55" s="786"/>
      <c r="AD55" s="786"/>
      <c r="AE55" s="786"/>
      <c r="AF55" s="786"/>
      <c r="AG55" s="786"/>
      <c r="AH55" s="786"/>
      <c r="AI55" s="786"/>
      <c r="AJ55" s="786"/>
      <c r="AK55" s="786"/>
      <c r="AL55" s="786"/>
      <c r="AM55" s="786"/>
      <c r="AN55" s="786"/>
      <c r="AO55" s="786"/>
      <c r="AP55" s="786"/>
      <c r="AQ55" s="786"/>
      <c r="AR55" s="786"/>
      <c r="AS55" s="786"/>
      <c r="AT55" s="786"/>
      <c r="AU55" s="786"/>
      <c r="AV55" s="786"/>
      <c r="AW55" s="786"/>
      <c r="AX55" s="786"/>
      <c r="AY55" s="786"/>
      <c r="AZ55" s="786"/>
      <c r="BA55" s="786"/>
      <c r="BB55" s="786"/>
      <c r="BC55" s="786"/>
      <c r="BD55" s="786"/>
      <c r="BE55" s="786"/>
      <c r="BF55" s="786"/>
      <c r="BG55" s="786"/>
      <c r="BH55" s="786"/>
      <c r="BJ55" s="40"/>
    </row>
    <row r="56" spans="1:62" ht="120" hidden="1" customHeight="1">
      <c r="A56" s="789">
        <f>'D3 to D14'!A29</f>
        <v>0</v>
      </c>
      <c r="B56" s="789"/>
      <c r="C56" s="789"/>
      <c r="D56" s="789"/>
      <c r="E56" s="789"/>
      <c r="F56" s="789"/>
      <c r="G56" s="789"/>
      <c r="H56" s="789"/>
      <c r="I56" s="789"/>
      <c r="J56" s="789"/>
      <c r="K56" s="789"/>
      <c r="L56" s="789"/>
      <c r="M56" s="789"/>
      <c r="N56" s="789"/>
      <c r="O56" s="789"/>
      <c r="P56" s="790">
        <f>'D3 to D14'!N29</f>
        <v>0</v>
      </c>
      <c r="Q56" s="790"/>
      <c r="R56" s="790"/>
      <c r="S56" s="790"/>
      <c r="T56" s="790"/>
      <c r="U56" s="790"/>
      <c r="V56" s="790"/>
      <c r="W56" s="790"/>
      <c r="X56" s="790"/>
      <c r="Y56" s="790"/>
      <c r="Z56" s="790"/>
      <c r="AA56" s="790"/>
      <c r="AB56" s="790"/>
      <c r="AC56" s="790"/>
      <c r="AD56" s="790"/>
      <c r="AE56" s="789">
        <f>'D3 to D14'!AA29</f>
        <v>0</v>
      </c>
      <c r="AF56" s="789"/>
      <c r="AG56" s="789"/>
      <c r="AH56" s="789"/>
      <c r="AI56" s="789"/>
      <c r="AJ56" s="789"/>
      <c r="AK56" s="789"/>
      <c r="AL56" s="789"/>
      <c r="AM56" s="789"/>
      <c r="AN56" s="789"/>
      <c r="AO56" s="789"/>
      <c r="AP56" s="789"/>
      <c r="AQ56" s="789"/>
      <c r="AR56" s="789"/>
      <c r="AS56" s="789"/>
      <c r="AT56" s="790">
        <f>'D3 to D14'!AN29</f>
        <v>0</v>
      </c>
      <c r="AU56" s="790"/>
      <c r="AV56" s="790"/>
      <c r="AW56" s="790"/>
      <c r="AX56" s="790"/>
      <c r="AY56" s="790"/>
      <c r="AZ56" s="790"/>
      <c r="BA56" s="790"/>
      <c r="BB56" s="790"/>
      <c r="BC56" s="790"/>
      <c r="BD56" s="790"/>
      <c r="BE56" s="790"/>
      <c r="BF56" s="790"/>
      <c r="BG56" s="790"/>
      <c r="BH56" s="790"/>
      <c r="BJ56" s="40"/>
    </row>
    <row r="57" spans="1:62" ht="30" customHeight="1">
      <c r="A57" s="803" t="str">
        <f>'Rubric (.)'!A21:D21</f>
        <v>3. My Teamwork</v>
      </c>
      <c r="B57" s="803"/>
      <c r="C57" s="803"/>
      <c r="D57" s="803"/>
      <c r="E57" s="803"/>
      <c r="F57" s="803"/>
      <c r="G57" s="803"/>
      <c r="H57" s="803"/>
      <c r="I57" s="803"/>
      <c r="J57" s="803"/>
      <c r="K57" s="803"/>
      <c r="L57" s="803"/>
      <c r="M57" s="803"/>
      <c r="N57" s="803"/>
      <c r="O57" s="803"/>
      <c r="P57" s="803"/>
      <c r="Q57" s="803"/>
      <c r="R57" s="803"/>
      <c r="S57" s="803"/>
      <c r="T57" s="803"/>
      <c r="U57" s="803"/>
      <c r="V57" s="803"/>
      <c r="W57" s="803"/>
      <c r="X57" s="803"/>
      <c r="Y57" s="803"/>
      <c r="Z57" s="803"/>
      <c r="AA57" s="803"/>
      <c r="AB57" s="803"/>
      <c r="AC57" s="803"/>
      <c r="AD57" s="803"/>
      <c r="AE57" s="803"/>
      <c r="AF57" s="803"/>
      <c r="AG57" s="803"/>
      <c r="AH57" s="803"/>
      <c r="AI57" s="803"/>
      <c r="AJ57" s="803"/>
      <c r="AK57" s="803"/>
      <c r="AL57" s="803"/>
      <c r="AM57" s="803"/>
      <c r="AN57" s="803"/>
      <c r="AO57" s="803"/>
      <c r="AP57" s="803"/>
      <c r="AQ57" s="803"/>
      <c r="AR57" s="803"/>
      <c r="AS57" s="803"/>
      <c r="AT57" s="803"/>
      <c r="AU57" s="803"/>
      <c r="AV57" s="803"/>
      <c r="AW57" s="803"/>
      <c r="AX57" s="803"/>
      <c r="AY57" s="803"/>
      <c r="AZ57" s="803"/>
      <c r="BA57" s="803"/>
      <c r="BB57" s="803"/>
      <c r="BC57" s="803"/>
      <c r="BD57" s="803"/>
      <c r="BE57" s="803"/>
      <c r="BF57" s="803"/>
      <c r="BG57" s="803"/>
      <c r="BH57" s="803"/>
    </row>
    <row r="58" spans="1:62">
      <c r="A58" s="802" t="str">
        <f>'Rubric (.)'!A22:D22</f>
        <v>3.1 Relationship Builder: Develops good working relationship and promotes a positive work environment</v>
      </c>
      <c r="B58" s="802"/>
      <c r="C58" s="802"/>
      <c r="D58" s="802"/>
      <c r="E58" s="802"/>
      <c r="F58" s="802"/>
      <c r="G58" s="802"/>
      <c r="H58" s="802"/>
      <c r="I58" s="802"/>
      <c r="J58" s="802"/>
      <c r="K58" s="802"/>
      <c r="L58" s="802"/>
      <c r="M58" s="802"/>
      <c r="N58" s="802"/>
      <c r="O58" s="802"/>
      <c r="P58" s="802"/>
      <c r="Q58" s="802"/>
      <c r="R58" s="802"/>
      <c r="S58" s="802"/>
      <c r="T58" s="802"/>
      <c r="U58" s="802"/>
      <c r="V58" s="802"/>
      <c r="W58" s="802"/>
      <c r="X58" s="802"/>
      <c r="Y58" s="802"/>
      <c r="Z58" s="802"/>
      <c r="AA58" s="802"/>
      <c r="AB58" s="802"/>
      <c r="AC58" s="802"/>
      <c r="AD58" s="802"/>
      <c r="AE58" s="802"/>
      <c r="AF58" s="802"/>
      <c r="AG58" s="802"/>
      <c r="AH58" s="802"/>
      <c r="AI58" s="802"/>
      <c r="AJ58" s="802"/>
      <c r="AK58" s="802"/>
      <c r="AL58" s="802"/>
      <c r="AM58" s="802"/>
      <c r="AN58" s="802"/>
      <c r="AO58" s="802"/>
      <c r="AP58" s="802"/>
      <c r="AQ58" s="802"/>
      <c r="AR58" s="802"/>
      <c r="AS58" s="802"/>
      <c r="AT58" s="802"/>
      <c r="AU58" s="802"/>
      <c r="AV58" s="802"/>
      <c r="AW58" s="802"/>
      <c r="AX58" s="802"/>
      <c r="AY58" s="802"/>
      <c r="AZ58" s="802"/>
      <c r="BA58" s="802"/>
      <c r="BB58" s="802"/>
      <c r="BC58" s="802"/>
      <c r="BD58" s="802"/>
      <c r="BE58" s="802"/>
      <c r="BF58" s="802"/>
      <c r="BG58" s="802"/>
      <c r="BH58" s="802"/>
      <c r="BJ58" s="40">
        <f>IF(Rotation="B",BKBI3.1,AKBI3.1)</f>
        <v>98.99</v>
      </c>
    </row>
    <row r="59" spans="1:62" ht="50" customHeight="1">
      <c r="A59" s="792" t="str">
        <f>IF(AND((BJ58&gt;=0),(BJ58&lt;=84.99)),'Rubric (.)'!A23,"")</f>
        <v/>
      </c>
      <c r="B59" s="793"/>
      <c r="C59" s="793"/>
      <c r="D59" s="793"/>
      <c r="E59" s="793"/>
      <c r="F59" s="793"/>
      <c r="G59" s="793"/>
      <c r="H59" s="793"/>
      <c r="I59" s="793"/>
      <c r="J59" s="793"/>
      <c r="K59" s="793"/>
      <c r="L59" s="793"/>
      <c r="M59" s="793"/>
      <c r="N59" s="793"/>
      <c r="O59" s="793"/>
      <c r="P59" s="793"/>
      <c r="Q59" s="793"/>
      <c r="R59" s="793"/>
      <c r="S59" s="793"/>
      <c r="T59" s="793"/>
      <c r="U59" s="793"/>
      <c r="V59" s="793"/>
      <c r="W59" s="793"/>
      <c r="X59" s="793"/>
      <c r="Y59" s="793"/>
      <c r="Z59" s="793"/>
      <c r="AA59" s="793"/>
      <c r="AB59" s="793"/>
      <c r="AC59" s="793"/>
      <c r="AD59" s="793"/>
      <c r="AE59" s="793"/>
      <c r="AF59" s="793"/>
      <c r="AG59" s="793"/>
      <c r="AH59" s="793"/>
      <c r="AI59" s="793"/>
      <c r="AJ59" s="793"/>
      <c r="AK59" s="793"/>
      <c r="AL59" s="793"/>
      <c r="AM59" s="793"/>
      <c r="AN59" s="793"/>
      <c r="AO59" s="793"/>
      <c r="AP59" s="793"/>
      <c r="AQ59" s="793"/>
      <c r="AR59" s="793"/>
      <c r="AS59" s="793"/>
      <c r="AT59" s="793"/>
      <c r="AU59" s="793"/>
      <c r="AV59" s="793"/>
      <c r="AW59" s="793"/>
      <c r="AX59" s="793"/>
      <c r="AY59" s="793"/>
      <c r="AZ59" s="793"/>
      <c r="BA59" s="793"/>
      <c r="BB59" s="793"/>
      <c r="BC59" s="793"/>
      <c r="BD59" s="793"/>
      <c r="BE59" s="793"/>
      <c r="BF59" s="793"/>
      <c r="BG59" s="793"/>
      <c r="BH59" s="794"/>
      <c r="BI59" s="379"/>
    </row>
    <row r="60" spans="1:62" ht="50" customHeight="1">
      <c r="A60" s="792" t="str">
        <f>IF(AND((BJ58&gt;=85),(BJ58&lt;=89.99)),'Rubric (.)'!B23,"")</f>
        <v/>
      </c>
      <c r="B60" s="793"/>
      <c r="C60" s="793"/>
      <c r="D60" s="793"/>
      <c r="E60" s="793"/>
      <c r="F60" s="793"/>
      <c r="G60" s="793"/>
      <c r="H60" s="793"/>
      <c r="I60" s="793"/>
      <c r="J60" s="793"/>
      <c r="K60" s="793"/>
      <c r="L60" s="793"/>
      <c r="M60" s="793"/>
      <c r="N60" s="793"/>
      <c r="O60" s="793"/>
      <c r="P60" s="793"/>
      <c r="Q60" s="793"/>
      <c r="R60" s="793"/>
      <c r="S60" s="793"/>
      <c r="T60" s="793"/>
      <c r="U60" s="793"/>
      <c r="V60" s="793"/>
      <c r="W60" s="793"/>
      <c r="X60" s="793"/>
      <c r="Y60" s="793"/>
      <c r="Z60" s="793"/>
      <c r="AA60" s="793"/>
      <c r="AB60" s="793"/>
      <c r="AC60" s="793"/>
      <c r="AD60" s="793"/>
      <c r="AE60" s="793"/>
      <c r="AF60" s="793"/>
      <c r="AG60" s="793"/>
      <c r="AH60" s="793"/>
      <c r="AI60" s="793"/>
      <c r="AJ60" s="793"/>
      <c r="AK60" s="793"/>
      <c r="AL60" s="793"/>
      <c r="AM60" s="793"/>
      <c r="AN60" s="793"/>
      <c r="AO60" s="793"/>
      <c r="AP60" s="793"/>
      <c r="AQ60" s="793"/>
      <c r="AR60" s="793"/>
      <c r="AS60" s="793"/>
      <c r="AT60" s="793"/>
      <c r="AU60" s="793"/>
      <c r="AV60" s="793"/>
      <c r="AW60" s="793"/>
      <c r="AX60" s="793"/>
      <c r="AY60" s="793"/>
      <c r="AZ60" s="793"/>
      <c r="BA60" s="793"/>
      <c r="BB60" s="793"/>
      <c r="BC60" s="793"/>
      <c r="BD60" s="793"/>
      <c r="BE60" s="793"/>
      <c r="BF60" s="793"/>
      <c r="BG60" s="793"/>
      <c r="BH60" s="794"/>
      <c r="BI60" s="379"/>
    </row>
    <row r="61" spans="1:62" ht="50" customHeight="1">
      <c r="A61" s="792" t="str">
        <f>IF(AND((BJ58&gt;=90),(BJ58&lt;=98.99)),'Rubric (.)'!C23,"")</f>
        <v>•  3.1.2 Showed consideration to colleagues
•  Contributed to an enjoyable and effective working environment
•  Created a strong team spirit.</v>
      </c>
      <c r="B61" s="793"/>
      <c r="C61" s="793"/>
      <c r="D61" s="793"/>
      <c r="E61" s="793"/>
      <c r="F61" s="793"/>
      <c r="G61" s="793"/>
      <c r="H61" s="793"/>
      <c r="I61" s="793"/>
      <c r="J61" s="793"/>
      <c r="K61" s="793"/>
      <c r="L61" s="793"/>
      <c r="M61" s="793"/>
      <c r="N61" s="793"/>
      <c r="O61" s="793"/>
      <c r="P61" s="793"/>
      <c r="Q61" s="793"/>
      <c r="R61" s="793"/>
      <c r="S61" s="793"/>
      <c r="T61" s="793"/>
      <c r="U61" s="793"/>
      <c r="V61" s="793"/>
      <c r="W61" s="793"/>
      <c r="X61" s="793"/>
      <c r="Y61" s="793"/>
      <c r="Z61" s="793"/>
      <c r="AA61" s="793"/>
      <c r="AB61" s="793"/>
      <c r="AC61" s="793"/>
      <c r="AD61" s="793"/>
      <c r="AE61" s="793"/>
      <c r="AF61" s="793"/>
      <c r="AG61" s="793"/>
      <c r="AH61" s="793"/>
      <c r="AI61" s="793"/>
      <c r="AJ61" s="793"/>
      <c r="AK61" s="793"/>
      <c r="AL61" s="793"/>
      <c r="AM61" s="793"/>
      <c r="AN61" s="793"/>
      <c r="AO61" s="793"/>
      <c r="AP61" s="793"/>
      <c r="AQ61" s="793"/>
      <c r="AR61" s="793"/>
      <c r="AS61" s="793"/>
      <c r="AT61" s="793"/>
      <c r="AU61" s="793"/>
      <c r="AV61" s="793"/>
      <c r="AW61" s="793"/>
      <c r="AX61" s="793"/>
      <c r="AY61" s="793"/>
      <c r="AZ61" s="793"/>
      <c r="BA61" s="793"/>
      <c r="BB61" s="793"/>
      <c r="BC61" s="793"/>
      <c r="BD61" s="793"/>
      <c r="BE61" s="793"/>
      <c r="BF61" s="793"/>
      <c r="BG61" s="793"/>
      <c r="BH61" s="794"/>
      <c r="BI61" s="379"/>
    </row>
    <row r="62" spans="1:62" ht="50" customHeight="1">
      <c r="A62" s="792" t="str">
        <f>IF(AND((BJ58&gt;=99),(BJ58&lt;=110)),'Rubric (.)'!D23,"")</f>
        <v/>
      </c>
      <c r="B62" s="793"/>
      <c r="C62" s="793"/>
      <c r="D62" s="793"/>
      <c r="E62" s="793"/>
      <c r="F62" s="793"/>
      <c r="G62" s="793"/>
      <c r="H62" s="793"/>
      <c r="I62" s="793"/>
      <c r="J62" s="793"/>
      <c r="K62" s="793"/>
      <c r="L62" s="793"/>
      <c r="M62" s="793"/>
      <c r="N62" s="793"/>
      <c r="O62" s="793"/>
      <c r="P62" s="793"/>
      <c r="Q62" s="793"/>
      <c r="R62" s="793"/>
      <c r="S62" s="793"/>
      <c r="T62" s="793"/>
      <c r="U62" s="793"/>
      <c r="V62" s="793"/>
      <c r="W62" s="793"/>
      <c r="X62" s="793"/>
      <c r="Y62" s="793"/>
      <c r="Z62" s="793"/>
      <c r="AA62" s="793"/>
      <c r="AB62" s="793"/>
      <c r="AC62" s="793"/>
      <c r="AD62" s="793"/>
      <c r="AE62" s="793"/>
      <c r="AF62" s="793"/>
      <c r="AG62" s="793"/>
      <c r="AH62" s="793"/>
      <c r="AI62" s="793"/>
      <c r="AJ62" s="793"/>
      <c r="AK62" s="793"/>
      <c r="AL62" s="793"/>
      <c r="AM62" s="793"/>
      <c r="AN62" s="793"/>
      <c r="AO62" s="793"/>
      <c r="AP62" s="793"/>
      <c r="AQ62" s="793"/>
      <c r="AR62" s="793"/>
      <c r="AS62" s="793"/>
      <c r="AT62" s="793"/>
      <c r="AU62" s="793"/>
      <c r="AV62" s="793"/>
      <c r="AW62" s="793"/>
      <c r="AX62" s="793"/>
      <c r="AY62" s="793"/>
      <c r="AZ62" s="793"/>
      <c r="BA62" s="793"/>
      <c r="BB62" s="793"/>
      <c r="BC62" s="793"/>
      <c r="BD62" s="793"/>
      <c r="BE62" s="793"/>
      <c r="BF62" s="793"/>
      <c r="BG62" s="793"/>
      <c r="BH62" s="794"/>
      <c r="BI62" s="379"/>
    </row>
    <row r="63" spans="1:62">
      <c r="A63" s="802" t="str">
        <f>'Rubric (.)'!A24:D24</f>
        <v>3.2 Team Player: Helps and supports others to achieve team goals. Understands how their work affects others</v>
      </c>
      <c r="B63" s="802"/>
      <c r="C63" s="802"/>
      <c r="D63" s="802"/>
      <c r="E63" s="802"/>
      <c r="F63" s="802"/>
      <c r="G63" s="802"/>
      <c r="H63" s="802"/>
      <c r="I63" s="802"/>
      <c r="J63" s="802"/>
      <c r="K63" s="802"/>
      <c r="L63" s="802"/>
      <c r="M63" s="802"/>
      <c r="N63" s="802"/>
      <c r="O63" s="802"/>
      <c r="P63" s="802"/>
      <c r="Q63" s="802"/>
      <c r="R63" s="802"/>
      <c r="S63" s="802"/>
      <c r="T63" s="802"/>
      <c r="U63" s="802"/>
      <c r="V63" s="802"/>
      <c r="W63" s="802"/>
      <c r="X63" s="802"/>
      <c r="Y63" s="802"/>
      <c r="Z63" s="802"/>
      <c r="AA63" s="802"/>
      <c r="AB63" s="802"/>
      <c r="AC63" s="802"/>
      <c r="AD63" s="802"/>
      <c r="AE63" s="802"/>
      <c r="AF63" s="802"/>
      <c r="AG63" s="802"/>
      <c r="AH63" s="802"/>
      <c r="AI63" s="802"/>
      <c r="AJ63" s="802"/>
      <c r="AK63" s="802"/>
      <c r="AL63" s="802"/>
      <c r="AM63" s="802"/>
      <c r="AN63" s="802"/>
      <c r="AO63" s="802"/>
      <c r="AP63" s="802"/>
      <c r="AQ63" s="802"/>
      <c r="AR63" s="802"/>
      <c r="AS63" s="802"/>
      <c r="AT63" s="802"/>
      <c r="AU63" s="802"/>
      <c r="AV63" s="802"/>
      <c r="AW63" s="802"/>
      <c r="AX63" s="802"/>
      <c r="AY63" s="802"/>
      <c r="AZ63" s="802"/>
      <c r="BA63" s="802"/>
      <c r="BB63" s="802"/>
      <c r="BC63" s="802"/>
      <c r="BD63" s="802"/>
      <c r="BE63" s="802"/>
      <c r="BF63" s="802"/>
      <c r="BG63" s="802"/>
      <c r="BH63" s="802"/>
      <c r="BJ63" s="40">
        <f>IF(Rotation="B",BKBI3.2,AKBI3.2)</f>
        <v>98.99</v>
      </c>
    </row>
    <row r="64" spans="1:62" ht="50" customHeight="1">
      <c r="A64" s="792" t="str">
        <f>IF(AND((BJ63&gt;=0),(BJ63&lt;=84.99)),'Rubric (.)'!A25,"")</f>
        <v/>
      </c>
      <c r="B64" s="793"/>
      <c r="C64" s="793"/>
      <c r="D64" s="793"/>
      <c r="E64" s="793"/>
      <c r="F64" s="793"/>
      <c r="G64" s="793"/>
      <c r="H64" s="793"/>
      <c r="I64" s="793"/>
      <c r="J64" s="793"/>
      <c r="K64" s="793"/>
      <c r="L64" s="793"/>
      <c r="M64" s="793"/>
      <c r="N64" s="793"/>
      <c r="O64" s="793"/>
      <c r="P64" s="793"/>
      <c r="Q64" s="793"/>
      <c r="R64" s="793"/>
      <c r="S64" s="793"/>
      <c r="T64" s="793"/>
      <c r="U64" s="793"/>
      <c r="V64" s="793"/>
      <c r="W64" s="793"/>
      <c r="X64" s="793"/>
      <c r="Y64" s="793"/>
      <c r="Z64" s="793"/>
      <c r="AA64" s="793"/>
      <c r="AB64" s="793"/>
      <c r="AC64" s="793"/>
      <c r="AD64" s="793"/>
      <c r="AE64" s="793"/>
      <c r="AF64" s="793"/>
      <c r="AG64" s="793"/>
      <c r="AH64" s="793"/>
      <c r="AI64" s="793"/>
      <c r="AJ64" s="793"/>
      <c r="AK64" s="793"/>
      <c r="AL64" s="793"/>
      <c r="AM64" s="793"/>
      <c r="AN64" s="793"/>
      <c r="AO64" s="793"/>
      <c r="AP64" s="793"/>
      <c r="AQ64" s="793"/>
      <c r="AR64" s="793"/>
      <c r="AS64" s="793"/>
      <c r="AT64" s="793"/>
      <c r="AU64" s="793"/>
      <c r="AV64" s="793"/>
      <c r="AW64" s="793"/>
      <c r="AX64" s="793"/>
      <c r="AY64" s="793"/>
      <c r="AZ64" s="793"/>
      <c r="BA64" s="793"/>
      <c r="BB64" s="793"/>
      <c r="BC64" s="793"/>
      <c r="BD64" s="793"/>
      <c r="BE64" s="793"/>
      <c r="BF64" s="793"/>
      <c r="BG64" s="793"/>
      <c r="BH64" s="794"/>
      <c r="BI64" s="379"/>
    </row>
    <row r="65" spans="1:62" ht="50" customHeight="1">
      <c r="A65" s="792" t="str">
        <f>IF(AND((BJ63&gt;=85),(BJ63&lt;=89.99)),'Rubric (.)'!B25,"")</f>
        <v/>
      </c>
      <c r="B65" s="793"/>
      <c r="C65" s="793"/>
      <c r="D65" s="793"/>
      <c r="E65" s="793"/>
      <c r="F65" s="793"/>
      <c r="G65" s="793"/>
      <c r="H65" s="793"/>
      <c r="I65" s="793"/>
      <c r="J65" s="793"/>
      <c r="K65" s="793"/>
      <c r="L65" s="793"/>
      <c r="M65" s="793"/>
      <c r="N65" s="793"/>
      <c r="O65" s="793"/>
      <c r="P65" s="793"/>
      <c r="Q65" s="793"/>
      <c r="R65" s="793"/>
      <c r="S65" s="793"/>
      <c r="T65" s="793"/>
      <c r="U65" s="793"/>
      <c r="V65" s="793"/>
      <c r="W65" s="793"/>
      <c r="X65" s="793"/>
      <c r="Y65" s="793"/>
      <c r="Z65" s="793"/>
      <c r="AA65" s="793"/>
      <c r="AB65" s="793"/>
      <c r="AC65" s="793"/>
      <c r="AD65" s="793"/>
      <c r="AE65" s="793"/>
      <c r="AF65" s="793"/>
      <c r="AG65" s="793"/>
      <c r="AH65" s="793"/>
      <c r="AI65" s="793"/>
      <c r="AJ65" s="793"/>
      <c r="AK65" s="793"/>
      <c r="AL65" s="793"/>
      <c r="AM65" s="793"/>
      <c r="AN65" s="793"/>
      <c r="AO65" s="793"/>
      <c r="AP65" s="793"/>
      <c r="AQ65" s="793"/>
      <c r="AR65" s="793"/>
      <c r="AS65" s="793"/>
      <c r="AT65" s="793"/>
      <c r="AU65" s="793"/>
      <c r="AV65" s="793"/>
      <c r="AW65" s="793"/>
      <c r="AX65" s="793"/>
      <c r="AY65" s="793"/>
      <c r="AZ65" s="793"/>
      <c r="BA65" s="793"/>
      <c r="BB65" s="793"/>
      <c r="BC65" s="793"/>
      <c r="BD65" s="793"/>
      <c r="BE65" s="793"/>
      <c r="BF65" s="793"/>
      <c r="BG65" s="793"/>
      <c r="BH65" s="794"/>
      <c r="BI65" s="379"/>
    </row>
    <row r="66" spans="1:62" ht="50" customHeight="1">
      <c r="A66" s="792" t="str">
        <f>IF(AND((BJ63&gt;=90),(BJ63&lt;=98.99)),'Rubric (.)'!C25,"")</f>
        <v>•  3.2.2 Accepted an equal workload and contributed to achieving team goals
•  Shared experience and knowledge with colleagues
•  Actively supported colleagues as needed.</v>
      </c>
      <c r="B66" s="793"/>
      <c r="C66" s="793"/>
      <c r="D66" s="793"/>
      <c r="E66" s="793"/>
      <c r="F66" s="793"/>
      <c r="G66" s="793"/>
      <c r="H66" s="793"/>
      <c r="I66" s="793"/>
      <c r="J66" s="793"/>
      <c r="K66" s="793"/>
      <c r="L66" s="793"/>
      <c r="M66" s="793"/>
      <c r="N66" s="793"/>
      <c r="O66" s="793"/>
      <c r="P66" s="793"/>
      <c r="Q66" s="793"/>
      <c r="R66" s="793"/>
      <c r="S66" s="793"/>
      <c r="T66" s="793"/>
      <c r="U66" s="793"/>
      <c r="V66" s="793"/>
      <c r="W66" s="793"/>
      <c r="X66" s="793"/>
      <c r="Y66" s="793"/>
      <c r="Z66" s="793"/>
      <c r="AA66" s="793"/>
      <c r="AB66" s="793"/>
      <c r="AC66" s="793"/>
      <c r="AD66" s="793"/>
      <c r="AE66" s="793"/>
      <c r="AF66" s="793"/>
      <c r="AG66" s="793"/>
      <c r="AH66" s="793"/>
      <c r="AI66" s="793"/>
      <c r="AJ66" s="793"/>
      <c r="AK66" s="793"/>
      <c r="AL66" s="793"/>
      <c r="AM66" s="793"/>
      <c r="AN66" s="793"/>
      <c r="AO66" s="793"/>
      <c r="AP66" s="793"/>
      <c r="AQ66" s="793"/>
      <c r="AR66" s="793"/>
      <c r="AS66" s="793"/>
      <c r="AT66" s="793"/>
      <c r="AU66" s="793"/>
      <c r="AV66" s="793"/>
      <c r="AW66" s="793"/>
      <c r="AX66" s="793"/>
      <c r="AY66" s="793"/>
      <c r="AZ66" s="793"/>
      <c r="BA66" s="793"/>
      <c r="BB66" s="793"/>
      <c r="BC66" s="793"/>
      <c r="BD66" s="793"/>
      <c r="BE66" s="793"/>
      <c r="BF66" s="793"/>
      <c r="BG66" s="793"/>
      <c r="BH66" s="794"/>
      <c r="BI66" s="379"/>
    </row>
    <row r="67" spans="1:62" ht="50" customHeight="1">
      <c r="A67" s="792" t="str">
        <f>IF(AND((BJ63&gt;=99),(BJ63&lt;=110)),'Rubric (.)'!D25,"")</f>
        <v/>
      </c>
      <c r="B67" s="793"/>
      <c r="C67" s="793"/>
      <c r="D67" s="793"/>
      <c r="E67" s="793"/>
      <c r="F67" s="793"/>
      <c r="G67" s="793"/>
      <c r="H67" s="793"/>
      <c r="I67" s="793"/>
      <c r="J67" s="793"/>
      <c r="K67" s="793"/>
      <c r="L67" s="793"/>
      <c r="M67" s="793"/>
      <c r="N67" s="793"/>
      <c r="O67" s="793"/>
      <c r="P67" s="793"/>
      <c r="Q67" s="793"/>
      <c r="R67" s="793"/>
      <c r="S67" s="793"/>
      <c r="T67" s="793"/>
      <c r="U67" s="793"/>
      <c r="V67" s="793"/>
      <c r="W67" s="793"/>
      <c r="X67" s="793"/>
      <c r="Y67" s="793"/>
      <c r="Z67" s="793"/>
      <c r="AA67" s="793"/>
      <c r="AB67" s="793"/>
      <c r="AC67" s="793"/>
      <c r="AD67" s="793"/>
      <c r="AE67" s="793"/>
      <c r="AF67" s="793"/>
      <c r="AG67" s="793"/>
      <c r="AH67" s="793"/>
      <c r="AI67" s="793"/>
      <c r="AJ67" s="793"/>
      <c r="AK67" s="793"/>
      <c r="AL67" s="793"/>
      <c r="AM67" s="793"/>
      <c r="AN67" s="793"/>
      <c r="AO67" s="793"/>
      <c r="AP67" s="793"/>
      <c r="AQ67" s="793"/>
      <c r="AR67" s="793"/>
      <c r="AS67" s="793"/>
      <c r="AT67" s="793"/>
      <c r="AU67" s="793"/>
      <c r="AV67" s="793"/>
      <c r="AW67" s="793"/>
      <c r="AX67" s="793"/>
      <c r="AY67" s="793"/>
      <c r="AZ67" s="793"/>
      <c r="BA67" s="793"/>
      <c r="BB67" s="793"/>
      <c r="BC67" s="793"/>
      <c r="BD67" s="793"/>
      <c r="BE67" s="793"/>
      <c r="BF67" s="793"/>
      <c r="BG67" s="793"/>
      <c r="BH67" s="794"/>
      <c r="BI67" s="379"/>
    </row>
    <row r="68" spans="1:62">
      <c r="A68" s="802" t="str">
        <f>'Rubric (.)'!A26:D26</f>
        <v>3.3 Effective Communicator: Communicates clearly and appropriately. Shares information to ensure the efficient and effective delivery of service. Used active listening skills</v>
      </c>
      <c r="B68" s="802"/>
      <c r="C68" s="802"/>
      <c r="D68" s="802"/>
      <c r="E68" s="802"/>
      <c r="F68" s="802"/>
      <c r="G68" s="802"/>
      <c r="H68" s="802"/>
      <c r="I68" s="802"/>
      <c r="J68" s="802"/>
      <c r="K68" s="802"/>
      <c r="L68" s="802"/>
      <c r="M68" s="802"/>
      <c r="N68" s="802"/>
      <c r="O68" s="802"/>
      <c r="P68" s="802"/>
      <c r="Q68" s="802"/>
      <c r="R68" s="802"/>
      <c r="S68" s="802"/>
      <c r="T68" s="802"/>
      <c r="U68" s="802"/>
      <c r="V68" s="802"/>
      <c r="W68" s="802"/>
      <c r="X68" s="802"/>
      <c r="Y68" s="802"/>
      <c r="Z68" s="802"/>
      <c r="AA68" s="802"/>
      <c r="AB68" s="802"/>
      <c r="AC68" s="802"/>
      <c r="AD68" s="802"/>
      <c r="AE68" s="802"/>
      <c r="AF68" s="802"/>
      <c r="AG68" s="802"/>
      <c r="AH68" s="802"/>
      <c r="AI68" s="802"/>
      <c r="AJ68" s="802"/>
      <c r="AK68" s="802"/>
      <c r="AL68" s="802"/>
      <c r="AM68" s="802"/>
      <c r="AN68" s="802"/>
      <c r="AO68" s="802"/>
      <c r="AP68" s="802"/>
      <c r="AQ68" s="802"/>
      <c r="AR68" s="802"/>
      <c r="AS68" s="802"/>
      <c r="AT68" s="802"/>
      <c r="AU68" s="802"/>
      <c r="AV68" s="802"/>
      <c r="AW68" s="802"/>
      <c r="AX68" s="802"/>
      <c r="AY68" s="802"/>
      <c r="AZ68" s="802"/>
      <c r="BA68" s="802"/>
      <c r="BB68" s="802"/>
      <c r="BC68" s="802"/>
      <c r="BD68" s="802"/>
      <c r="BE68" s="802"/>
      <c r="BF68" s="802"/>
      <c r="BG68" s="802"/>
      <c r="BH68" s="802"/>
      <c r="BJ68" s="40">
        <f>IF(Rotation="B",BKBI3.3,AKBI3.3)</f>
        <v>98.99</v>
      </c>
    </row>
    <row r="69" spans="1:62" ht="50" customHeight="1">
      <c r="A69" s="792" t="str">
        <f>IF(AND((BJ68&gt;=0),(BJ68&lt;=84.99)),'Rubric (.)'!A27,"")</f>
        <v/>
      </c>
      <c r="B69" s="793"/>
      <c r="C69" s="793"/>
      <c r="D69" s="793"/>
      <c r="E69" s="793"/>
      <c r="F69" s="793"/>
      <c r="G69" s="793"/>
      <c r="H69" s="793"/>
      <c r="I69" s="793"/>
      <c r="J69" s="793"/>
      <c r="K69" s="793"/>
      <c r="L69" s="793"/>
      <c r="M69" s="793"/>
      <c r="N69" s="793"/>
      <c r="O69" s="793"/>
      <c r="P69" s="793"/>
      <c r="Q69" s="793"/>
      <c r="R69" s="793"/>
      <c r="S69" s="793"/>
      <c r="T69" s="793"/>
      <c r="U69" s="793"/>
      <c r="V69" s="793"/>
      <c r="W69" s="793"/>
      <c r="X69" s="793"/>
      <c r="Y69" s="793"/>
      <c r="Z69" s="793"/>
      <c r="AA69" s="793"/>
      <c r="AB69" s="793"/>
      <c r="AC69" s="793"/>
      <c r="AD69" s="793"/>
      <c r="AE69" s="793"/>
      <c r="AF69" s="793"/>
      <c r="AG69" s="793"/>
      <c r="AH69" s="793"/>
      <c r="AI69" s="793"/>
      <c r="AJ69" s="793"/>
      <c r="AK69" s="793"/>
      <c r="AL69" s="793"/>
      <c r="AM69" s="793"/>
      <c r="AN69" s="793"/>
      <c r="AO69" s="793"/>
      <c r="AP69" s="793"/>
      <c r="AQ69" s="793"/>
      <c r="AR69" s="793"/>
      <c r="AS69" s="793"/>
      <c r="AT69" s="793"/>
      <c r="AU69" s="793"/>
      <c r="AV69" s="793"/>
      <c r="AW69" s="793"/>
      <c r="AX69" s="793"/>
      <c r="AY69" s="793"/>
      <c r="AZ69" s="793"/>
      <c r="BA69" s="793"/>
      <c r="BB69" s="793"/>
      <c r="BC69" s="793"/>
      <c r="BD69" s="793"/>
      <c r="BE69" s="793"/>
      <c r="BF69" s="793"/>
      <c r="BG69" s="793"/>
      <c r="BH69" s="794"/>
      <c r="BI69" s="379"/>
    </row>
    <row r="70" spans="1:62" ht="50" customHeight="1">
      <c r="A70" s="792" t="str">
        <f>IF(AND((BJ68&gt;=85),(BJ68&lt;=89.99)),'Rubric (.)'!B27,"")</f>
        <v/>
      </c>
      <c r="B70" s="793"/>
      <c r="C70" s="793"/>
      <c r="D70" s="793"/>
      <c r="E70" s="793"/>
      <c r="F70" s="793"/>
      <c r="G70" s="793"/>
      <c r="H70" s="793"/>
      <c r="I70" s="793"/>
      <c r="J70" s="793"/>
      <c r="K70" s="793"/>
      <c r="L70" s="793"/>
      <c r="M70" s="793"/>
      <c r="N70" s="793"/>
      <c r="O70" s="793"/>
      <c r="P70" s="793"/>
      <c r="Q70" s="793"/>
      <c r="R70" s="793"/>
      <c r="S70" s="793"/>
      <c r="T70" s="793"/>
      <c r="U70" s="793"/>
      <c r="V70" s="793"/>
      <c r="W70" s="793"/>
      <c r="X70" s="793"/>
      <c r="Y70" s="793"/>
      <c r="Z70" s="793"/>
      <c r="AA70" s="793"/>
      <c r="AB70" s="793"/>
      <c r="AC70" s="793"/>
      <c r="AD70" s="793"/>
      <c r="AE70" s="793"/>
      <c r="AF70" s="793"/>
      <c r="AG70" s="793"/>
      <c r="AH70" s="793"/>
      <c r="AI70" s="793"/>
      <c r="AJ70" s="793"/>
      <c r="AK70" s="793"/>
      <c r="AL70" s="793"/>
      <c r="AM70" s="793"/>
      <c r="AN70" s="793"/>
      <c r="AO70" s="793"/>
      <c r="AP70" s="793"/>
      <c r="AQ70" s="793"/>
      <c r="AR70" s="793"/>
      <c r="AS70" s="793"/>
      <c r="AT70" s="793"/>
      <c r="AU70" s="793"/>
      <c r="AV70" s="793"/>
      <c r="AW70" s="793"/>
      <c r="AX70" s="793"/>
      <c r="AY70" s="793"/>
      <c r="AZ70" s="793"/>
      <c r="BA70" s="793"/>
      <c r="BB70" s="793"/>
      <c r="BC70" s="793"/>
      <c r="BD70" s="793"/>
      <c r="BE70" s="793"/>
      <c r="BF70" s="793"/>
      <c r="BG70" s="793"/>
      <c r="BH70" s="794"/>
      <c r="BI70" s="379"/>
    </row>
    <row r="71" spans="1:62" ht="50" customHeight="1">
      <c r="A71" s="792" t="str">
        <f>IF(AND((BJ68&gt;=90),(BJ68&lt;=98.99)),'Rubric (.)'!C27,"")</f>
        <v>•  3.3.2 Communicated clearly, openly and appropriately with colleagues and customers
•  Sought clarification and guidance when unsure.</v>
      </c>
      <c r="B71" s="793"/>
      <c r="C71" s="793"/>
      <c r="D71" s="793"/>
      <c r="E71" s="793"/>
      <c r="F71" s="793"/>
      <c r="G71" s="793"/>
      <c r="H71" s="793"/>
      <c r="I71" s="793"/>
      <c r="J71" s="793"/>
      <c r="K71" s="793"/>
      <c r="L71" s="793"/>
      <c r="M71" s="793"/>
      <c r="N71" s="793"/>
      <c r="O71" s="793"/>
      <c r="P71" s="793"/>
      <c r="Q71" s="793"/>
      <c r="R71" s="793"/>
      <c r="S71" s="793"/>
      <c r="T71" s="793"/>
      <c r="U71" s="793"/>
      <c r="V71" s="793"/>
      <c r="W71" s="793"/>
      <c r="X71" s="793"/>
      <c r="Y71" s="793"/>
      <c r="Z71" s="793"/>
      <c r="AA71" s="793"/>
      <c r="AB71" s="793"/>
      <c r="AC71" s="793"/>
      <c r="AD71" s="793"/>
      <c r="AE71" s="793"/>
      <c r="AF71" s="793"/>
      <c r="AG71" s="793"/>
      <c r="AH71" s="793"/>
      <c r="AI71" s="793"/>
      <c r="AJ71" s="793"/>
      <c r="AK71" s="793"/>
      <c r="AL71" s="793"/>
      <c r="AM71" s="793"/>
      <c r="AN71" s="793"/>
      <c r="AO71" s="793"/>
      <c r="AP71" s="793"/>
      <c r="AQ71" s="793"/>
      <c r="AR71" s="793"/>
      <c r="AS71" s="793"/>
      <c r="AT71" s="793"/>
      <c r="AU71" s="793"/>
      <c r="AV71" s="793"/>
      <c r="AW71" s="793"/>
      <c r="AX71" s="793"/>
      <c r="AY71" s="793"/>
      <c r="AZ71" s="793"/>
      <c r="BA71" s="793"/>
      <c r="BB71" s="793"/>
      <c r="BC71" s="793"/>
      <c r="BD71" s="793"/>
      <c r="BE71" s="793"/>
      <c r="BF71" s="793"/>
      <c r="BG71" s="793"/>
      <c r="BH71" s="794"/>
      <c r="BI71" s="379"/>
    </row>
    <row r="72" spans="1:62" ht="50" customHeight="1">
      <c r="A72" s="792" t="str">
        <f>IF(AND((BJ68&gt;=99),(BJ68&lt;=110)),'Rubric (.)'!D27,"")</f>
        <v/>
      </c>
      <c r="B72" s="793"/>
      <c r="C72" s="793"/>
      <c r="D72" s="793"/>
      <c r="E72" s="793"/>
      <c r="F72" s="793"/>
      <c r="G72" s="793"/>
      <c r="H72" s="793"/>
      <c r="I72" s="793"/>
      <c r="J72" s="793"/>
      <c r="K72" s="793"/>
      <c r="L72" s="793"/>
      <c r="M72" s="793"/>
      <c r="N72" s="793"/>
      <c r="O72" s="793"/>
      <c r="P72" s="793"/>
      <c r="Q72" s="793"/>
      <c r="R72" s="793"/>
      <c r="S72" s="793"/>
      <c r="T72" s="793"/>
      <c r="U72" s="793"/>
      <c r="V72" s="793"/>
      <c r="W72" s="793"/>
      <c r="X72" s="793"/>
      <c r="Y72" s="793"/>
      <c r="Z72" s="793"/>
      <c r="AA72" s="793"/>
      <c r="AB72" s="793"/>
      <c r="AC72" s="793"/>
      <c r="AD72" s="793"/>
      <c r="AE72" s="793"/>
      <c r="AF72" s="793"/>
      <c r="AG72" s="793"/>
      <c r="AH72" s="793"/>
      <c r="AI72" s="793"/>
      <c r="AJ72" s="793"/>
      <c r="AK72" s="793"/>
      <c r="AL72" s="793"/>
      <c r="AM72" s="793"/>
      <c r="AN72" s="793"/>
      <c r="AO72" s="793"/>
      <c r="AP72" s="793"/>
      <c r="AQ72" s="793"/>
      <c r="AR72" s="793"/>
      <c r="AS72" s="793"/>
      <c r="AT72" s="793"/>
      <c r="AU72" s="793"/>
      <c r="AV72" s="793"/>
      <c r="AW72" s="793"/>
      <c r="AX72" s="793"/>
      <c r="AY72" s="793"/>
      <c r="AZ72" s="793"/>
      <c r="BA72" s="793"/>
      <c r="BB72" s="793"/>
      <c r="BC72" s="793"/>
      <c r="BD72" s="793"/>
      <c r="BE72" s="793"/>
      <c r="BF72" s="793"/>
      <c r="BG72" s="793"/>
      <c r="BH72" s="794"/>
      <c r="BI72" s="379"/>
    </row>
    <row r="73" spans="1:62" ht="20" hidden="1" customHeight="1">
      <c r="A73" s="786" t="s">
        <v>761</v>
      </c>
      <c r="B73" s="786"/>
      <c r="C73" s="786"/>
      <c r="D73" s="786"/>
      <c r="E73" s="786"/>
      <c r="F73" s="786"/>
      <c r="G73" s="786"/>
      <c r="H73" s="786"/>
      <c r="I73" s="786"/>
      <c r="J73" s="786"/>
      <c r="K73" s="786"/>
      <c r="L73" s="786"/>
      <c r="M73" s="786"/>
      <c r="N73" s="786"/>
      <c r="O73" s="786"/>
      <c r="P73" s="786"/>
      <c r="Q73" s="786"/>
      <c r="R73" s="786"/>
      <c r="S73" s="786"/>
      <c r="T73" s="786"/>
      <c r="U73" s="786"/>
      <c r="V73" s="786"/>
      <c r="W73" s="786"/>
      <c r="X73" s="786"/>
      <c r="Y73" s="786"/>
      <c r="Z73" s="786"/>
      <c r="AA73" s="786"/>
      <c r="AB73" s="786"/>
      <c r="AC73" s="786"/>
      <c r="AD73" s="786"/>
      <c r="AE73" s="786"/>
      <c r="AF73" s="786"/>
      <c r="AG73" s="786"/>
      <c r="AH73" s="786"/>
      <c r="AI73" s="786"/>
      <c r="AJ73" s="786"/>
      <c r="AK73" s="786"/>
      <c r="AL73" s="786"/>
      <c r="AM73" s="786"/>
      <c r="AN73" s="786"/>
      <c r="AO73" s="786"/>
      <c r="AP73" s="786"/>
      <c r="AQ73" s="786"/>
      <c r="AR73" s="786"/>
      <c r="AS73" s="786"/>
      <c r="AT73" s="786"/>
      <c r="AU73" s="786"/>
      <c r="AV73" s="786"/>
      <c r="AW73" s="786"/>
      <c r="AX73" s="786"/>
      <c r="AY73" s="786"/>
      <c r="AZ73" s="786"/>
      <c r="BA73" s="786"/>
      <c r="BB73" s="786"/>
      <c r="BC73" s="786"/>
      <c r="BD73" s="786"/>
      <c r="BE73" s="786"/>
      <c r="BF73" s="786"/>
      <c r="BG73" s="786"/>
      <c r="BH73" s="786"/>
      <c r="BJ73" s="40"/>
    </row>
    <row r="74" spans="1:62" ht="120" hidden="1" customHeight="1">
      <c r="A74" s="789">
        <f>'D3 to D14'!A38</f>
        <v>0</v>
      </c>
      <c r="B74" s="789"/>
      <c r="C74" s="789"/>
      <c r="D74" s="789"/>
      <c r="E74" s="789"/>
      <c r="F74" s="789"/>
      <c r="G74" s="789"/>
      <c r="H74" s="789"/>
      <c r="I74" s="789"/>
      <c r="J74" s="789"/>
      <c r="K74" s="789"/>
      <c r="L74" s="789"/>
      <c r="M74" s="789"/>
      <c r="N74" s="789"/>
      <c r="O74" s="789"/>
      <c r="P74" s="790">
        <f>'D3 to D14'!N38</f>
        <v>0</v>
      </c>
      <c r="Q74" s="790"/>
      <c r="R74" s="790"/>
      <c r="S74" s="790"/>
      <c r="T74" s="790"/>
      <c r="U74" s="790"/>
      <c r="V74" s="790"/>
      <c r="W74" s="790"/>
      <c r="X74" s="790"/>
      <c r="Y74" s="790"/>
      <c r="Z74" s="790"/>
      <c r="AA74" s="790"/>
      <c r="AB74" s="790"/>
      <c r="AC74" s="790"/>
      <c r="AD74" s="790"/>
      <c r="AE74" s="789">
        <f>'D3 to D14'!AA38</f>
        <v>0</v>
      </c>
      <c r="AF74" s="789"/>
      <c r="AG74" s="789"/>
      <c r="AH74" s="789"/>
      <c r="AI74" s="789"/>
      <c r="AJ74" s="789"/>
      <c r="AK74" s="789"/>
      <c r="AL74" s="789"/>
      <c r="AM74" s="789"/>
      <c r="AN74" s="789"/>
      <c r="AO74" s="789"/>
      <c r="AP74" s="789"/>
      <c r="AQ74" s="789"/>
      <c r="AR74" s="789"/>
      <c r="AS74" s="789"/>
      <c r="AT74" s="790">
        <f>'D3 to D14'!AN38</f>
        <v>0</v>
      </c>
      <c r="AU74" s="790"/>
      <c r="AV74" s="790"/>
      <c r="AW74" s="790"/>
      <c r="AX74" s="790"/>
      <c r="AY74" s="790"/>
      <c r="AZ74" s="790"/>
      <c r="BA74" s="790"/>
      <c r="BB74" s="790"/>
      <c r="BC74" s="790"/>
      <c r="BD74" s="790"/>
      <c r="BE74" s="790"/>
      <c r="BF74" s="790"/>
      <c r="BG74" s="790"/>
      <c r="BH74" s="790"/>
      <c r="BJ74" s="40"/>
    </row>
    <row r="75" spans="1:62" ht="30" customHeight="1">
      <c r="A75" s="804" t="str">
        <f>'Rubric (.)'!A28:D28</f>
        <v>4. My Knowledge and Professional Image</v>
      </c>
      <c r="B75" s="804"/>
      <c r="C75" s="804"/>
      <c r="D75" s="804"/>
      <c r="E75" s="804"/>
      <c r="F75" s="804"/>
      <c r="G75" s="804"/>
      <c r="H75" s="804"/>
      <c r="I75" s="804"/>
      <c r="J75" s="804"/>
      <c r="K75" s="804"/>
      <c r="L75" s="804"/>
      <c r="M75" s="804"/>
      <c r="N75" s="804"/>
      <c r="O75" s="804"/>
      <c r="P75" s="804"/>
      <c r="Q75" s="804"/>
      <c r="R75" s="804"/>
      <c r="S75" s="804"/>
      <c r="T75" s="804"/>
      <c r="U75" s="804"/>
      <c r="V75" s="804"/>
      <c r="W75" s="804"/>
      <c r="X75" s="804"/>
      <c r="Y75" s="804"/>
      <c r="Z75" s="804"/>
      <c r="AA75" s="804"/>
      <c r="AB75" s="804"/>
      <c r="AC75" s="804"/>
      <c r="AD75" s="804"/>
      <c r="AE75" s="804"/>
      <c r="AF75" s="804"/>
      <c r="AG75" s="804"/>
      <c r="AH75" s="804"/>
      <c r="AI75" s="804"/>
      <c r="AJ75" s="804"/>
      <c r="AK75" s="804"/>
      <c r="AL75" s="804"/>
      <c r="AM75" s="804"/>
      <c r="AN75" s="804"/>
      <c r="AO75" s="804"/>
      <c r="AP75" s="804"/>
      <c r="AQ75" s="804"/>
      <c r="AR75" s="804"/>
      <c r="AS75" s="804"/>
      <c r="AT75" s="804"/>
      <c r="AU75" s="804"/>
      <c r="AV75" s="804"/>
      <c r="AW75" s="804"/>
      <c r="AX75" s="804"/>
      <c r="AY75" s="804"/>
      <c r="AZ75" s="804"/>
      <c r="BA75" s="804"/>
      <c r="BB75" s="804"/>
      <c r="BC75" s="804"/>
      <c r="BD75" s="804"/>
      <c r="BE75" s="804"/>
      <c r="BF75" s="804"/>
      <c r="BG75" s="804"/>
      <c r="BH75" s="804"/>
    </row>
    <row r="76" spans="1:62" ht="15" customHeight="1">
      <c r="A76" s="791" t="str">
        <f>'Rubric (.)'!A29:D29</f>
        <v>4.1 Image &amp; Uniform</v>
      </c>
      <c r="B76" s="791"/>
      <c r="C76" s="791"/>
      <c r="D76" s="791"/>
      <c r="E76" s="791"/>
      <c r="F76" s="791"/>
      <c r="G76" s="791"/>
      <c r="H76" s="791"/>
      <c r="I76" s="791"/>
      <c r="J76" s="791"/>
      <c r="K76" s="791"/>
      <c r="L76" s="791"/>
      <c r="M76" s="791"/>
      <c r="N76" s="791"/>
      <c r="O76" s="791"/>
      <c r="P76" s="791"/>
      <c r="Q76" s="791"/>
      <c r="R76" s="791"/>
      <c r="S76" s="791"/>
      <c r="T76" s="791"/>
      <c r="U76" s="791"/>
      <c r="V76" s="791"/>
      <c r="W76" s="791"/>
      <c r="X76" s="791"/>
      <c r="Y76" s="791"/>
      <c r="Z76" s="791"/>
      <c r="AA76" s="791"/>
      <c r="AB76" s="791"/>
      <c r="AC76" s="791"/>
      <c r="AD76" s="791"/>
      <c r="AE76" s="791"/>
      <c r="AF76" s="791"/>
      <c r="AG76" s="791"/>
      <c r="AH76" s="791"/>
      <c r="AI76" s="791"/>
      <c r="AJ76" s="791"/>
      <c r="AK76" s="791"/>
      <c r="AL76" s="791"/>
      <c r="AM76" s="791"/>
      <c r="AN76" s="791"/>
      <c r="AO76" s="791"/>
      <c r="AP76" s="791"/>
      <c r="AQ76" s="791"/>
      <c r="AR76" s="791"/>
      <c r="AS76" s="791"/>
      <c r="AT76" s="791"/>
      <c r="AU76" s="791"/>
      <c r="AV76" s="791"/>
      <c r="AW76" s="791"/>
      <c r="AX76" s="791"/>
      <c r="AY76" s="791"/>
      <c r="AZ76" s="791"/>
      <c r="BA76" s="791"/>
      <c r="BB76" s="791"/>
      <c r="BC76" s="791"/>
      <c r="BD76" s="791"/>
      <c r="BE76" s="791"/>
      <c r="BF76" s="791"/>
      <c r="BG76" s="791"/>
      <c r="BH76" s="791"/>
      <c r="BJ76" s="40">
        <f>IF(Rotation="B",BKBI4.1,AKBI4.1)</f>
        <v>98.99</v>
      </c>
    </row>
    <row r="77" spans="1:62" ht="50" customHeight="1">
      <c r="A77" s="792" t="str">
        <f>IF(AND((BJ76&gt;=0),(BJ76&lt;=84.99)),'Rubric (.)'!A30,"")</f>
        <v/>
      </c>
      <c r="B77" s="793"/>
      <c r="C77" s="793"/>
      <c r="D77" s="793"/>
      <c r="E77" s="793"/>
      <c r="F77" s="793"/>
      <c r="G77" s="793"/>
      <c r="H77" s="793"/>
      <c r="I77" s="793"/>
      <c r="J77" s="793"/>
      <c r="K77" s="793"/>
      <c r="L77" s="793"/>
      <c r="M77" s="793"/>
      <c r="N77" s="793"/>
      <c r="O77" s="793"/>
      <c r="P77" s="793"/>
      <c r="Q77" s="793"/>
      <c r="R77" s="793"/>
      <c r="S77" s="793"/>
      <c r="T77" s="793"/>
      <c r="U77" s="793"/>
      <c r="V77" s="793"/>
      <c r="W77" s="793"/>
      <c r="X77" s="793"/>
      <c r="Y77" s="793"/>
      <c r="Z77" s="793"/>
      <c r="AA77" s="793"/>
      <c r="AB77" s="793"/>
      <c r="AC77" s="793"/>
      <c r="AD77" s="793"/>
      <c r="AE77" s="793"/>
      <c r="AF77" s="793"/>
      <c r="AG77" s="793"/>
      <c r="AH77" s="793"/>
      <c r="AI77" s="793"/>
      <c r="AJ77" s="793"/>
      <c r="AK77" s="793"/>
      <c r="AL77" s="793"/>
      <c r="AM77" s="793"/>
      <c r="AN77" s="793"/>
      <c r="AO77" s="793"/>
      <c r="AP77" s="793"/>
      <c r="AQ77" s="793"/>
      <c r="AR77" s="793"/>
      <c r="AS77" s="793"/>
      <c r="AT77" s="793"/>
      <c r="AU77" s="793"/>
      <c r="AV77" s="793"/>
      <c r="AW77" s="793"/>
      <c r="AX77" s="793"/>
      <c r="AY77" s="793"/>
      <c r="AZ77" s="793"/>
      <c r="BA77" s="793"/>
      <c r="BB77" s="793"/>
      <c r="BC77" s="793"/>
      <c r="BD77" s="793"/>
      <c r="BE77" s="793"/>
      <c r="BF77" s="793"/>
      <c r="BG77" s="793"/>
      <c r="BH77" s="794"/>
      <c r="BI77" s="379"/>
    </row>
    <row r="78" spans="1:62" ht="50" customHeight="1">
      <c r="A78" s="792" t="str">
        <f>IF(AND((BJ76&gt;=85),(BJ76&lt;=89.99)),'Rubric (.)'!B30,"")</f>
        <v/>
      </c>
      <c r="B78" s="793"/>
      <c r="C78" s="793"/>
      <c r="D78" s="793"/>
      <c r="E78" s="793"/>
      <c r="F78" s="793"/>
      <c r="G78" s="793"/>
      <c r="H78" s="793"/>
      <c r="I78" s="793"/>
      <c r="J78" s="793"/>
      <c r="K78" s="793"/>
      <c r="L78" s="793"/>
      <c r="M78" s="793"/>
      <c r="N78" s="793"/>
      <c r="O78" s="793"/>
      <c r="P78" s="793"/>
      <c r="Q78" s="793"/>
      <c r="R78" s="793"/>
      <c r="S78" s="793"/>
      <c r="T78" s="793"/>
      <c r="U78" s="793"/>
      <c r="V78" s="793"/>
      <c r="W78" s="793"/>
      <c r="X78" s="793"/>
      <c r="Y78" s="793"/>
      <c r="Z78" s="793"/>
      <c r="AA78" s="793"/>
      <c r="AB78" s="793"/>
      <c r="AC78" s="793"/>
      <c r="AD78" s="793"/>
      <c r="AE78" s="793"/>
      <c r="AF78" s="793"/>
      <c r="AG78" s="793"/>
      <c r="AH78" s="793"/>
      <c r="AI78" s="793"/>
      <c r="AJ78" s="793"/>
      <c r="AK78" s="793"/>
      <c r="AL78" s="793"/>
      <c r="AM78" s="793"/>
      <c r="AN78" s="793"/>
      <c r="AO78" s="793"/>
      <c r="AP78" s="793"/>
      <c r="AQ78" s="793"/>
      <c r="AR78" s="793"/>
      <c r="AS78" s="793"/>
      <c r="AT78" s="793"/>
      <c r="AU78" s="793"/>
      <c r="AV78" s="793"/>
      <c r="AW78" s="793"/>
      <c r="AX78" s="793"/>
      <c r="AY78" s="793"/>
      <c r="AZ78" s="793"/>
      <c r="BA78" s="793"/>
      <c r="BB78" s="793"/>
      <c r="BC78" s="793"/>
      <c r="BD78" s="793"/>
      <c r="BE78" s="793"/>
      <c r="BF78" s="793"/>
      <c r="BG78" s="793"/>
      <c r="BH78" s="794"/>
      <c r="BI78" s="379"/>
    </row>
    <row r="79" spans="1:62" ht="50" customHeight="1">
      <c r="A79" s="792" t="str">
        <f>IF(AND((BJ76&gt;=90),(BJ76&lt;=110)),'Rubric (.)'!C30,"")</f>
        <v>•  4.1.1 Met Image and Uniform standards
•  Any Shortfalls they had were corrected promptly
•  Portrayed a professional Emirates image.</v>
      </c>
      <c r="B79" s="793"/>
      <c r="C79" s="793"/>
      <c r="D79" s="793"/>
      <c r="E79" s="793"/>
      <c r="F79" s="793"/>
      <c r="G79" s="793"/>
      <c r="H79" s="793"/>
      <c r="I79" s="793"/>
      <c r="J79" s="793"/>
      <c r="K79" s="793"/>
      <c r="L79" s="793"/>
      <c r="M79" s="793"/>
      <c r="N79" s="793"/>
      <c r="O79" s="793"/>
      <c r="P79" s="793"/>
      <c r="Q79" s="793"/>
      <c r="R79" s="793"/>
      <c r="S79" s="793"/>
      <c r="T79" s="793"/>
      <c r="U79" s="793"/>
      <c r="V79" s="793"/>
      <c r="W79" s="793"/>
      <c r="X79" s="793"/>
      <c r="Y79" s="793"/>
      <c r="Z79" s="793"/>
      <c r="AA79" s="793"/>
      <c r="AB79" s="793"/>
      <c r="AC79" s="793"/>
      <c r="AD79" s="793"/>
      <c r="AE79" s="793"/>
      <c r="AF79" s="793"/>
      <c r="AG79" s="793"/>
      <c r="AH79" s="793"/>
      <c r="AI79" s="793"/>
      <c r="AJ79" s="793"/>
      <c r="AK79" s="793"/>
      <c r="AL79" s="793"/>
      <c r="AM79" s="793"/>
      <c r="AN79" s="793"/>
      <c r="AO79" s="793"/>
      <c r="AP79" s="793"/>
      <c r="AQ79" s="793"/>
      <c r="AR79" s="793"/>
      <c r="AS79" s="793"/>
      <c r="AT79" s="793"/>
      <c r="AU79" s="793"/>
      <c r="AV79" s="793"/>
      <c r="AW79" s="793"/>
      <c r="AX79" s="793"/>
      <c r="AY79" s="793"/>
      <c r="AZ79" s="793"/>
      <c r="BA79" s="793"/>
      <c r="BB79" s="793"/>
      <c r="BC79" s="793"/>
      <c r="BD79" s="793"/>
      <c r="BE79" s="793"/>
      <c r="BF79" s="793"/>
      <c r="BG79" s="793"/>
      <c r="BH79" s="794"/>
      <c r="BI79" s="379"/>
    </row>
    <row r="80" spans="1:62">
      <c r="A80" s="791" t="str">
        <f>'Rubric (.)'!A31:D31</f>
        <v>4.2  SEP/ SEC/ GMT</v>
      </c>
      <c r="B80" s="791"/>
      <c r="C80" s="791"/>
      <c r="D80" s="791"/>
      <c r="E80" s="791"/>
      <c r="F80" s="791"/>
      <c r="G80" s="791"/>
      <c r="H80" s="791"/>
      <c r="I80" s="791"/>
      <c r="J80" s="791"/>
      <c r="K80" s="791"/>
      <c r="L80" s="791"/>
      <c r="M80" s="791"/>
      <c r="N80" s="791"/>
      <c r="O80" s="791"/>
      <c r="P80" s="791"/>
      <c r="Q80" s="791"/>
      <c r="R80" s="791"/>
      <c r="S80" s="791"/>
      <c r="T80" s="791"/>
      <c r="U80" s="791"/>
      <c r="V80" s="791"/>
      <c r="W80" s="791"/>
      <c r="X80" s="791"/>
      <c r="Y80" s="791"/>
      <c r="Z80" s="791"/>
      <c r="AA80" s="791"/>
      <c r="AB80" s="791"/>
      <c r="AC80" s="791"/>
      <c r="AD80" s="791"/>
      <c r="AE80" s="791"/>
      <c r="AF80" s="791"/>
      <c r="AG80" s="791"/>
      <c r="AH80" s="791"/>
      <c r="AI80" s="791"/>
      <c r="AJ80" s="791"/>
      <c r="AK80" s="791"/>
      <c r="AL80" s="791"/>
      <c r="AM80" s="791"/>
      <c r="AN80" s="791"/>
      <c r="AO80" s="791"/>
      <c r="AP80" s="791"/>
      <c r="AQ80" s="791"/>
      <c r="AR80" s="791"/>
      <c r="AS80" s="791"/>
      <c r="AT80" s="791"/>
      <c r="AU80" s="791"/>
      <c r="AV80" s="791"/>
      <c r="AW80" s="791"/>
      <c r="AX80" s="791"/>
      <c r="AY80" s="791"/>
      <c r="AZ80" s="791"/>
      <c r="BA80" s="791"/>
      <c r="BB80" s="791"/>
      <c r="BC80" s="791"/>
      <c r="BD80" s="791"/>
      <c r="BE80" s="791"/>
      <c r="BF80" s="791"/>
      <c r="BG80" s="791"/>
      <c r="BH80" s="791"/>
      <c r="BJ80" s="40">
        <f>IF(Rotation="B",BKBI4.2,AKBI4.2)</f>
        <v>98.99</v>
      </c>
    </row>
    <row r="81" spans="1:62" ht="50" customHeight="1">
      <c r="A81" s="792" t="str">
        <f>IF(AND((BJ80&gt;=0),(BJ80&lt;=84.99)),'Rubric (.)'!A32,"")</f>
        <v/>
      </c>
      <c r="B81" s="793"/>
      <c r="C81" s="793"/>
      <c r="D81" s="793"/>
      <c r="E81" s="793"/>
      <c r="F81" s="793"/>
      <c r="G81" s="793"/>
      <c r="H81" s="793"/>
      <c r="I81" s="793"/>
      <c r="J81" s="793"/>
      <c r="K81" s="793"/>
      <c r="L81" s="793"/>
      <c r="M81" s="793"/>
      <c r="N81" s="793"/>
      <c r="O81" s="793"/>
      <c r="P81" s="793"/>
      <c r="Q81" s="793"/>
      <c r="R81" s="793"/>
      <c r="S81" s="793"/>
      <c r="T81" s="793"/>
      <c r="U81" s="793"/>
      <c r="V81" s="793"/>
      <c r="W81" s="793"/>
      <c r="X81" s="793"/>
      <c r="Y81" s="793"/>
      <c r="Z81" s="793"/>
      <c r="AA81" s="793"/>
      <c r="AB81" s="793"/>
      <c r="AC81" s="793"/>
      <c r="AD81" s="793"/>
      <c r="AE81" s="793"/>
      <c r="AF81" s="793"/>
      <c r="AG81" s="793"/>
      <c r="AH81" s="793"/>
      <c r="AI81" s="793"/>
      <c r="AJ81" s="793"/>
      <c r="AK81" s="793"/>
      <c r="AL81" s="793"/>
      <c r="AM81" s="793"/>
      <c r="AN81" s="793"/>
      <c r="AO81" s="793"/>
      <c r="AP81" s="793"/>
      <c r="AQ81" s="793"/>
      <c r="AR81" s="793"/>
      <c r="AS81" s="793"/>
      <c r="AT81" s="793"/>
      <c r="AU81" s="793"/>
      <c r="AV81" s="793"/>
      <c r="AW81" s="793"/>
      <c r="AX81" s="793"/>
      <c r="AY81" s="793"/>
      <c r="AZ81" s="793"/>
      <c r="BA81" s="793"/>
      <c r="BB81" s="793"/>
      <c r="BC81" s="793"/>
      <c r="BD81" s="793"/>
      <c r="BE81" s="793"/>
      <c r="BF81" s="793"/>
      <c r="BG81" s="793"/>
      <c r="BH81" s="794"/>
      <c r="BI81" s="379"/>
    </row>
    <row r="82" spans="1:62" ht="50" customHeight="1">
      <c r="A82" s="792" t="str">
        <f>IF(AND((BJ80&gt;=85),(BJ80&lt;=89.99)),'Rubric (.)'!B32,"")</f>
        <v/>
      </c>
      <c r="B82" s="793"/>
      <c r="C82" s="793"/>
      <c r="D82" s="793"/>
      <c r="E82" s="793"/>
      <c r="F82" s="793"/>
      <c r="G82" s="793"/>
      <c r="H82" s="793"/>
      <c r="I82" s="793"/>
      <c r="J82" s="793"/>
      <c r="K82" s="793"/>
      <c r="L82" s="793"/>
      <c r="M82" s="793"/>
      <c r="N82" s="793"/>
      <c r="O82" s="793"/>
      <c r="P82" s="793"/>
      <c r="Q82" s="793"/>
      <c r="R82" s="793"/>
      <c r="S82" s="793"/>
      <c r="T82" s="793"/>
      <c r="U82" s="793"/>
      <c r="V82" s="793"/>
      <c r="W82" s="793"/>
      <c r="X82" s="793"/>
      <c r="Y82" s="793"/>
      <c r="Z82" s="793"/>
      <c r="AA82" s="793"/>
      <c r="AB82" s="793"/>
      <c r="AC82" s="793"/>
      <c r="AD82" s="793"/>
      <c r="AE82" s="793"/>
      <c r="AF82" s="793"/>
      <c r="AG82" s="793"/>
      <c r="AH82" s="793"/>
      <c r="AI82" s="793"/>
      <c r="AJ82" s="793"/>
      <c r="AK82" s="793"/>
      <c r="AL82" s="793"/>
      <c r="AM82" s="793"/>
      <c r="AN82" s="793"/>
      <c r="AO82" s="793"/>
      <c r="AP82" s="793"/>
      <c r="AQ82" s="793"/>
      <c r="AR82" s="793"/>
      <c r="AS82" s="793"/>
      <c r="AT82" s="793"/>
      <c r="AU82" s="793"/>
      <c r="AV82" s="793"/>
      <c r="AW82" s="793"/>
      <c r="AX82" s="793"/>
      <c r="AY82" s="793"/>
      <c r="AZ82" s="793"/>
      <c r="BA82" s="793"/>
      <c r="BB82" s="793"/>
      <c r="BC82" s="793"/>
      <c r="BD82" s="793"/>
      <c r="BE82" s="793"/>
      <c r="BF82" s="793"/>
      <c r="BG82" s="793"/>
      <c r="BH82" s="794"/>
      <c r="BI82" s="379"/>
    </row>
    <row r="83" spans="1:62" ht="50" customHeight="1">
      <c r="A83" s="792" t="str">
        <f>IF(AND((BJ80&gt;=90),(BJ80&lt;=110)),'Rubric (.)'!C32,"")</f>
        <v>•  4.2.1 Met knowledge standards – in theory and practise
•  Correctly answered SafeTalk
•  Conducted thorough pre-flight security search
•  Consistently adhered to SOPs during normal situations
•  Regularly monitored cabin for safety/medical concerns.</v>
      </c>
      <c r="B83" s="793"/>
      <c r="C83" s="793"/>
      <c r="D83" s="793"/>
      <c r="E83" s="793"/>
      <c r="F83" s="793"/>
      <c r="G83" s="793"/>
      <c r="H83" s="793"/>
      <c r="I83" s="793"/>
      <c r="J83" s="793"/>
      <c r="K83" s="793"/>
      <c r="L83" s="793"/>
      <c r="M83" s="793"/>
      <c r="N83" s="793"/>
      <c r="O83" s="793"/>
      <c r="P83" s="793"/>
      <c r="Q83" s="793"/>
      <c r="R83" s="793"/>
      <c r="S83" s="793"/>
      <c r="T83" s="793"/>
      <c r="U83" s="793"/>
      <c r="V83" s="793"/>
      <c r="W83" s="793"/>
      <c r="X83" s="793"/>
      <c r="Y83" s="793"/>
      <c r="Z83" s="793"/>
      <c r="AA83" s="793"/>
      <c r="AB83" s="793"/>
      <c r="AC83" s="793"/>
      <c r="AD83" s="793"/>
      <c r="AE83" s="793"/>
      <c r="AF83" s="793"/>
      <c r="AG83" s="793"/>
      <c r="AH83" s="793"/>
      <c r="AI83" s="793"/>
      <c r="AJ83" s="793"/>
      <c r="AK83" s="793"/>
      <c r="AL83" s="793"/>
      <c r="AM83" s="793"/>
      <c r="AN83" s="793"/>
      <c r="AO83" s="793"/>
      <c r="AP83" s="793"/>
      <c r="AQ83" s="793"/>
      <c r="AR83" s="793"/>
      <c r="AS83" s="793"/>
      <c r="AT83" s="793"/>
      <c r="AU83" s="793"/>
      <c r="AV83" s="793"/>
      <c r="AW83" s="793"/>
      <c r="AX83" s="793"/>
      <c r="AY83" s="793"/>
      <c r="AZ83" s="793"/>
      <c r="BA83" s="793"/>
      <c r="BB83" s="793"/>
      <c r="BC83" s="793"/>
      <c r="BD83" s="793"/>
      <c r="BE83" s="793"/>
      <c r="BF83" s="793"/>
      <c r="BG83" s="793"/>
      <c r="BH83" s="794"/>
      <c r="BI83" s="379"/>
    </row>
    <row r="84" spans="1:62">
      <c r="A84" s="791" t="str">
        <f>'Rubric (.)'!A33:D33</f>
        <v>4.3 Knowledge and promotion of Emirates products: Evaluation of crew in this category should take into account assigned cabin onboard</v>
      </c>
      <c r="B84" s="791"/>
      <c r="C84" s="791"/>
      <c r="D84" s="791"/>
      <c r="E84" s="791"/>
      <c r="F84" s="791"/>
      <c r="G84" s="791"/>
      <c r="H84" s="791"/>
      <c r="I84" s="791"/>
      <c r="J84" s="791"/>
      <c r="K84" s="791"/>
      <c r="L84" s="791"/>
      <c r="M84" s="791"/>
      <c r="N84" s="791"/>
      <c r="O84" s="791"/>
      <c r="P84" s="791"/>
      <c r="Q84" s="791"/>
      <c r="R84" s="791"/>
      <c r="S84" s="791"/>
      <c r="T84" s="791"/>
      <c r="U84" s="791"/>
      <c r="V84" s="791"/>
      <c r="W84" s="791"/>
      <c r="X84" s="791"/>
      <c r="Y84" s="791"/>
      <c r="Z84" s="791"/>
      <c r="AA84" s="791"/>
      <c r="AB84" s="791"/>
      <c r="AC84" s="791"/>
      <c r="AD84" s="791"/>
      <c r="AE84" s="791"/>
      <c r="AF84" s="791"/>
      <c r="AG84" s="791"/>
      <c r="AH84" s="791"/>
      <c r="AI84" s="791"/>
      <c r="AJ84" s="791"/>
      <c r="AK84" s="791"/>
      <c r="AL84" s="791"/>
      <c r="AM84" s="791"/>
      <c r="AN84" s="791"/>
      <c r="AO84" s="791"/>
      <c r="AP84" s="791"/>
      <c r="AQ84" s="791"/>
      <c r="AR84" s="791"/>
      <c r="AS84" s="791"/>
      <c r="AT84" s="791"/>
      <c r="AU84" s="791"/>
      <c r="AV84" s="791"/>
      <c r="AW84" s="791"/>
      <c r="AX84" s="791"/>
      <c r="AY84" s="791"/>
      <c r="AZ84" s="791"/>
      <c r="BA84" s="791"/>
      <c r="BB84" s="791"/>
      <c r="BC84" s="791"/>
      <c r="BD84" s="791"/>
      <c r="BE84" s="791"/>
      <c r="BF84" s="791"/>
      <c r="BG84" s="791"/>
      <c r="BH84" s="791"/>
      <c r="BJ84" s="40">
        <f>IF(Rotation="B",BKBI4.3,AKBI4.3)</f>
        <v>98.99</v>
      </c>
    </row>
    <row r="85" spans="1:62" ht="50" customHeight="1">
      <c r="A85" s="792" t="str">
        <f>IF(AND((BJ84&gt;=0),(BJ84&lt;=84.99)),'Rubric (.)'!A34,"")</f>
        <v/>
      </c>
      <c r="B85" s="793"/>
      <c r="C85" s="793"/>
      <c r="D85" s="793"/>
      <c r="E85" s="793"/>
      <c r="F85" s="793"/>
      <c r="G85" s="793"/>
      <c r="H85" s="793"/>
      <c r="I85" s="793"/>
      <c r="J85" s="793"/>
      <c r="K85" s="793"/>
      <c r="L85" s="793"/>
      <c r="M85" s="793"/>
      <c r="N85" s="793"/>
      <c r="O85" s="793"/>
      <c r="P85" s="793"/>
      <c r="Q85" s="793"/>
      <c r="R85" s="793"/>
      <c r="S85" s="793"/>
      <c r="T85" s="793"/>
      <c r="U85" s="793"/>
      <c r="V85" s="793"/>
      <c r="W85" s="793"/>
      <c r="X85" s="793"/>
      <c r="Y85" s="793"/>
      <c r="Z85" s="793"/>
      <c r="AA85" s="793"/>
      <c r="AB85" s="793"/>
      <c r="AC85" s="793"/>
      <c r="AD85" s="793"/>
      <c r="AE85" s="793"/>
      <c r="AF85" s="793"/>
      <c r="AG85" s="793"/>
      <c r="AH85" s="793"/>
      <c r="AI85" s="793"/>
      <c r="AJ85" s="793"/>
      <c r="AK85" s="793"/>
      <c r="AL85" s="793"/>
      <c r="AM85" s="793"/>
      <c r="AN85" s="793"/>
      <c r="AO85" s="793"/>
      <c r="AP85" s="793"/>
      <c r="AQ85" s="793"/>
      <c r="AR85" s="793"/>
      <c r="AS85" s="793"/>
      <c r="AT85" s="793"/>
      <c r="AU85" s="793"/>
      <c r="AV85" s="793"/>
      <c r="AW85" s="793"/>
      <c r="AX85" s="793"/>
      <c r="AY85" s="793"/>
      <c r="AZ85" s="793"/>
      <c r="BA85" s="793"/>
      <c r="BB85" s="793"/>
      <c r="BC85" s="793"/>
      <c r="BD85" s="793"/>
      <c r="BE85" s="793"/>
      <c r="BF85" s="793"/>
      <c r="BG85" s="793"/>
      <c r="BH85" s="794"/>
      <c r="BI85" s="379"/>
    </row>
    <row r="86" spans="1:62" ht="50" customHeight="1">
      <c r="A86" s="792" t="str">
        <f>IF(AND((BJ84&gt;=85),(BJ84&lt;=89.99)),'Rubric (.)'!B34,"")</f>
        <v/>
      </c>
      <c r="B86" s="793"/>
      <c r="C86" s="793"/>
      <c r="D86" s="793"/>
      <c r="E86" s="793"/>
      <c r="F86" s="793"/>
      <c r="G86" s="793"/>
      <c r="H86" s="793"/>
      <c r="I86" s="793"/>
      <c r="J86" s="793"/>
      <c r="K86" s="793"/>
      <c r="L86" s="793"/>
      <c r="M86" s="793"/>
      <c r="N86" s="793"/>
      <c r="O86" s="793"/>
      <c r="P86" s="793"/>
      <c r="Q86" s="793"/>
      <c r="R86" s="793"/>
      <c r="S86" s="793"/>
      <c r="T86" s="793"/>
      <c r="U86" s="793"/>
      <c r="V86" s="793"/>
      <c r="W86" s="793"/>
      <c r="X86" s="793"/>
      <c r="Y86" s="793"/>
      <c r="Z86" s="793"/>
      <c r="AA86" s="793"/>
      <c r="AB86" s="793"/>
      <c r="AC86" s="793"/>
      <c r="AD86" s="793"/>
      <c r="AE86" s="793"/>
      <c r="AF86" s="793"/>
      <c r="AG86" s="793"/>
      <c r="AH86" s="793"/>
      <c r="AI86" s="793"/>
      <c r="AJ86" s="793"/>
      <c r="AK86" s="793"/>
      <c r="AL86" s="793"/>
      <c r="AM86" s="793"/>
      <c r="AN86" s="793"/>
      <c r="AO86" s="793"/>
      <c r="AP86" s="793"/>
      <c r="AQ86" s="793"/>
      <c r="AR86" s="793"/>
      <c r="AS86" s="793"/>
      <c r="AT86" s="793"/>
      <c r="AU86" s="793"/>
      <c r="AV86" s="793"/>
      <c r="AW86" s="793"/>
      <c r="AX86" s="793"/>
      <c r="AY86" s="793"/>
      <c r="AZ86" s="793"/>
      <c r="BA86" s="793"/>
      <c r="BB86" s="793"/>
      <c r="BC86" s="793"/>
      <c r="BD86" s="793"/>
      <c r="BE86" s="793"/>
      <c r="BF86" s="793"/>
      <c r="BG86" s="793"/>
      <c r="BH86" s="794"/>
      <c r="BI86" s="379"/>
    </row>
    <row r="87" spans="1:62" ht="49.5" customHeight="1">
      <c r="A87" s="792" t="str">
        <f>IF(AND((BJ84&gt;=90),(BJ84&lt;=110)),'Rubric (.)'!C34,"")</f>
        <v>•  4.3.1 Good knowledge of menu and products, including terminology and pronunciation
•  Ensured that products were offered to customers
•  Was able to share information on EK services and products
•  Able to answer queries correctly.</v>
      </c>
      <c r="B87" s="793"/>
      <c r="C87" s="793"/>
      <c r="D87" s="793"/>
      <c r="E87" s="793"/>
      <c r="F87" s="793"/>
      <c r="G87" s="793"/>
      <c r="H87" s="793"/>
      <c r="I87" s="793"/>
      <c r="J87" s="793"/>
      <c r="K87" s="793"/>
      <c r="L87" s="793"/>
      <c r="M87" s="793"/>
      <c r="N87" s="793"/>
      <c r="O87" s="793"/>
      <c r="P87" s="793"/>
      <c r="Q87" s="793"/>
      <c r="R87" s="793"/>
      <c r="S87" s="793"/>
      <c r="T87" s="793"/>
      <c r="U87" s="793"/>
      <c r="V87" s="793"/>
      <c r="W87" s="793"/>
      <c r="X87" s="793"/>
      <c r="Y87" s="793"/>
      <c r="Z87" s="793"/>
      <c r="AA87" s="793"/>
      <c r="AB87" s="793"/>
      <c r="AC87" s="793"/>
      <c r="AD87" s="793"/>
      <c r="AE87" s="793"/>
      <c r="AF87" s="793"/>
      <c r="AG87" s="793"/>
      <c r="AH87" s="793"/>
      <c r="AI87" s="793"/>
      <c r="AJ87" s="793"/>
      <c r="AK87" s="793"/>
      <c r="AL87" s="793"/>
      <c r="AM87" s="793"/>
      <c r="AN87" s="793"/>
      <c r="AO87" s="793"/>
      <c r="AP87" s="793"/>
      <c r="AQ87" s="793"/>
      <c r="AR87" s="793"/>
      <c r="AS87" s="793"/>
      <c r="AT87" s="793"/>
      <c r="AU87" s="793"/>
      <c r="AV87" s="793"/>
      <c r="AW87" s="793"/>
      <c r="AX87" s="793"/>
      <c r="AY87" s="793"/>
      <c r="AZ87" s="793"/>
      <c r="BA87" s="793"/>
      <c r="BB87" s="793"/>
      <c r="BC87" s="793"/>
      <c r="BD87" s="793"/>
      <c r="BE87" s="793"/>
      <c r="BF87" s="793"/>
      <c r="BG87" s="793"/>
      <c r="BH87" s="794"/>
      <c r="BI87" s="379"/>
    </row>
    <row r="88" spans="1:62">
      <c r="A88" s="791" t="str">
        <f>'Rubric (.)'!A35:D35</f>
        <v>4.4 Knowledge and delivery of service standards and procedures: Evaluation of crew in this category should take into account assigned cabin onboard</v>
      </c>
      <c r="B88" s="791"/>
      <c r="C88" s="791"/>
      <c r="D88" s="791"/>
      <c r="E88" s="791"/>
      <c r="F88" s="791"/>
      <c r="G88" s="791"/>
      <c r="H88" s="791"/>
      <c r="I88" s="791"/>
      <c r="J88" s="791"/>
      <c r="K88" s="791"/>
      <c r="L88" s="791"/>
      <c r="M88" s="791"/>
      <c r="N88" s="791"/>
      <c r="O88" s="791"/>
      <c r="P88" s="791"/>
      <c r="Q88" s="791"/>
      <c r="R88" s="791"/>
      <c r="S88" s="791"/>
      <c r="T88" s="791"/>
      <c r="U88" s="791"/>
      <c r="V88" s="791"/>
      <c r="W88" s="791"/>
      <c r="X88" s="791"/>
      <c r="Y88" s="791"/>
      <c r="Z88" s="791"/>
      <c r="AA88" s="791"/>
      <c r="AB88" s="791"/>
      <c r="AC88" s="791"/>
      <c r="AD88" s="791"/>
      <c r="AE88" s="791"/>
      <c r="AF88" s="791"/>
      <c r="AG88" s="791"/>
      <c r="AH88" s="791"/>
      <c r="AI88" s="791"/>
      <c r="AJ88" s="791"/>
      <c r="AK88" s="791"/>
      <c r="AL88" s="791"/>
      <c r="AM88" s="791"/>
      <c r="AN88" s="791"/>
      <c r="AO88" s="791"/>
      <c r="AP88" s="791"/>
      <c r="AQ88" s="791"/>
      <c r="AR88" s="791"/>
      <c r="AS88" s="791"/>
      <c r="AT88" s="791"/>
      <c r="AU88" s="791"/>
      <c r="AV88" s="791"/>
      <c r="AW88" s="791"/>
      <c r="AX88" s="791"/>
      <c r="AY88" s="791"/>
      <c r="AZ88" s="791"/>
      <c r="BA88" s="791"/>
      <c r="BB88" s="791"/>
      <c r="BC88" s="791"/>
      <c r="BD88" s="791"/>
      <c r="BE88" s="791"/>
      <c r="BF88" s="791"/>
      <c r="BG88" s="791"/>
      <c r="BH88" s="791"/>
      <c r="BJ88" s="40">
        <f>IF(Rotation="B",BKBI4.4,AKBI4.4)</f>
        <v>98.99</v>
      </c>
    </row>
    <row r="89" spans="1:62" ht="50" customHeight="1">
      <c r="A89" s="792" t="str">
        <f>IF(AND((BJ88&gt;=0),(BJ88&lt;=84.99)),'Rubric (.)'!A36,"")</f>
        <v/>
      </c>
      <c r="B89" s="793"/>
      <c r="C89" s="793"/>
      <c r="D89" s="793"/>
      <c r="E89" s="793"/>
      <c r="F89" s="793"/>
      <c r="G89" s="793"/>
      <c r="H89" s="793"/>
      <c r="I89" s="793"/>
      <c r="J89" s="793"/>
      <c r="K89" s="793"/>
      <c r="L89" s="793"/>
      <c r="M89" s="793"/>
      <c r="N89" s="793"/>
      <c r="O89" s="793"/>
      <c r="P89" s="793"/>
      <c r="Q89" s="793"/>
      <c r="R89" s="793"/>
      <c r="S89" s="793"/>
      <c r="T89" s="793"/>
      <c r="U89" s="793"/>
      <c r="V89" s="793"/>
      <c r="W89" s="793"/>
      <c r="X89" s="793"/>
      <c r="Y89" s="793"/>
      <c r="Z89" s="793"/>
      <c r="AA89" s="793"/>
      <c r="AB89" s="793"/>
      <c r="AC89" s="793"/>
      <c r="AD89" s="793"/>
      <c r="AE89" s="793"/>
      <c r="AF89" s="793"/>
      <c r="AG89" s="793"/>
      <c r="AH89" s="793"/>
      <c r="AI89" s="793"/>
      <c r="AJ89" s="793"/>
      <c r="AK89" s="793"/>
      <c r="AL89" s="793"/>
      <c r="AM89" s="793"/>
      <c r="AN89" s="793"/>
      <c r="AO89" s="793"/>
      <c r="AP89" s="793"/>
      <c r="AQ89" s="793"/>
      <c r="AR89" s="793"/>
      <c r="AS89" s="793"/>
      <c r="AT89" s="793"/>
      <c r="AU89" s="793"/>
      <c r="AV89" s="793"/>
      <c r="AW89" s="793"/>
      <c r="AX89" s="793"/>
      <c r="AY89" s="793"/>
      <c r="AZ89" s="793"/>
      <c r="BA89" s="793"/>
      <c r="BB89" s="793"/>
      <c r="BC89" s="793"/>
      <c r="BD89" s="793"/>
      <c r="BE89" s="793"/>
      <c r="BF89" s="793"/>
      <c r="BG89" s="793"/>
      <c r="BH89" s="794"/>
      <c r="BI89" s="379"/>
    </row>
    <row r="90" spans="1:62" ht="50" customHeight="1">
      <c r="A90" s="792" t="str">
        <f>IF(AND((BJ88&gt;=85),(BJ88&lt;=89.99)),'Rubric (.)'!B36,"")</f>
        <v/>
      </c>
      <c r="B90" s="793"/>
      <c r="C90" s="793"/>
      <c r="D90" s="793"/>
      <c r="E90" s="793"/>
      <c r="F90" s="793"/>
      <c r="G90" s="793"/>
      <c r="H90" s="793"/>
      <c r="I90" s="793"/>
      <c r="J90" s="793"/>
      <c r="K90" s="793"/>
      <c r="L90" s="793"/>
      <c r="M90" s="793"/>
      <c r="N90" s="793"/>
      <c r="O90" s="793"/>
      <c r="P90" s="793"/>
      <c r="Q90" s="793"/>
      <c r="R90" s="793"/>
      <c r="S90" s="793"/>
      <c r="T90" s="793"/>
      <c r="U90" s="793"/>
      <c r="V90" s="793"/>
      <c r="W90" s="793"/>
      <c r="X90" s="793"/>
      <c r="Y90" s="793"/>
      <c r="Z90" s="793"/>
      <c r="AA90" s="793"/>
      <c r="AB90" s="793"/>
      <c r="AC90" s="793"/>
      <c r="AD90" s="793"/>
      <c r="AE90" s="793"/>
      <c r="AF90" s="793"/>
      <c r="AG90" s="793"/>
      <c r="AH90" s="793"/>
      <c r="AI90" s="793"/>
      <c r="AJ90" s="793"/>
      <c r="AK90" s="793"/>
      <c r="AL90" s="793"/>
      <c r="AM90" s="793"/>
      <c r="AN90" s="793"/>
      <c r="AO90" s="793"/>
      <c r="AP90" s="793"/>
      <c r="AQ90" s="793"/>
      <c r="AR90" s="793"/>
      <c r="AS90" s="793"/>
      <c r="AT90" s="793"/>
      <c r="AU90" s="793"/>
      <c r="AV90" s="793"/>
      <c r="AW90" s="793"/>
      <c r="AX90" s="793"/>
      <c r="AY90" s="793"/>
      <c r="AZ90" s="793"/>
      <c r="BA90" s="793"/>
      <c r="BB90" s="793"/>
      <c r="BC90" s="793"/>
      <c r="BD90" s="793"/>
      <c r="BE90" s="793"/>
      <c r="BF90" s="793"/>
      <c r="BG90" s="793"/>
      <c r="BH90" s="794"/>
      <c r="BI90" s="379"/>
    </row>
    <row r="91" spans="1:62" ht="50" customHeight="1">
      <c r="A91" s="792" t="str">
        <f>IF(AND((BJ88&gt;=90),(BJ88&lt;=110)),'Rubric (.)'!C36,"")</f>
        <v>•  4.4.1 Knowledge was up to date
•  Followed service standards and procedures and applied correct service order or flow.</v>
      </c>
      <c r="B91" s="793"/>
      <c r="C91" s="793"/>
      <c r="D91" s="793"/>
      <c r="E91" s="793"/>
      <c r="F91" s="793"/>
      <c r="G91" s="793"/>
      <c r="H91" s="793"/>
      <c r="I91" s="793"/>
      <c r="J91" s="793"/>
      <c r="K91" s="793"/>
      <c r="L91" s="793"/>
      <c r="M91" s="793"/>
      <c r="N91" s="793"/>
      <c r="O91" s="793"/>
      <c r="P91" s="793"/>
      <c r="Q91" s="793"/>
      <c r="R91" s="793"/>
      <c r="S91" s="793"/>
      <c r="T91" s="793"/>
      <c r="U91" s="793"/>
      <c r="V91" s="793"/>
      <c r="W91" s="793"/>
      <c r="X91" s="793"/>
      <c r="Y91" s="793"/>
      <c r="Z91" s="793"/>
      <c r="AA91" s="793"/>
      <c r="AB91" s="793"/>
      <c r="AC91" s="793"/>
      <c r="AD91" s="793"/>
      <c r="AE91" s="793"/>
      <c r="AF91" s="793"/>
      <c r="AG91" s="793"/>
      <c r="AH91" s="793"/>
      <c r="AI91" s="793"/>
      <c r="AJ91" s="793"/>
      <c r="AK91" s="793"/>
      <c r="AL91" s="793"/>
      <c r="AM91" s="793"/>
      <c r="AN91" s="793"/>
      <c r="AO91" s="793"/>
      <c r="AP91" s="793"/>
      <c r="AQ91" s="793"/>
      <c r="AR91" s="793"/>
      <c r="AS91" s="793"/>
      <c r="AT91" s="793"/>
      <c r="AU91" s="793"/>
      <c r="AV91" s="793"/>
      <c r="AW91" s="793"/>
      <c r="AX91" s="793"/>
      <c r="AY91" s="793"/>
      <c r="AZ91" s="793"/>
      <c r="BA91" s="793"/>
      <c r="BB91" s="793"/>
      <c r="BC91" s="793"/>
      <c r="BD91" s="793"/>
      <c r="BE91" s="793"/>
      <c r="BF91" s="793"/>
      <c r="BG91" s="793"/>
      <c r="BH91" s="794"/>
      <c r="BI91" s="379"/>
    </row>
    <row r="92" spans="1:62" ht="20" hidden="1" customHeight="1">
      <c r="A92" s="786" t="s">
        <v>761</v>
      </c>
      <c r="B92" s="786"/>
      <c r="C92" s="786"/>
      <c r="D92" s="786"/>
      <c r="E92" s="786"/>
      <c r="F92" s="786"/>
      <c r="G92" s="786"/>
      <c r="H92" s="786"/>
      <c r="I92" s="786"/>
      <c r="J92" s="786"/>
      <c r="K92" s="786"/>
      <c r="L92" s="786"/>
      <c r="M92" s="786"/>
      <c r="N92" s="786"/>
      <c r="O92" s="786"/>
      <c r="P92" s="786"/>
      <c r="Q92" s="786"/>
      <c r="R92" s="786"/>
      <c r="S92" s="786"/>
      <c r="T92" s="786"/>
      <c r="U92" s="786"/>
      <c r="V92" s="786"/>
      <c r="W92" s="786"/>
      <c r="X92" s="786"/>
      <c r="Y92" s="786"/>
      <c r="Z92" s="786"/>
      <c r="AA92" s="786"/>
      <c r="AB92" s="786"/>
      <c r="AC92" s="786"/>
      <c r="AD92" s="786"/>
      <c r="AE92" s="786"/>
      <c r="AF92" s="786"/>
      <c r="AG92" s="786"/>
      <c r="AH92" s="786"/>
      <c r="AI92" s="786"/>
      <c r="AJ92" s="786"/>
      <c r="AK92" s="786"/>
      <c r="AL92" s="786"/>
      <c r="AM92" s="786"/>
      <c r="AN92" s="786"/>
      <c r="AO92" s="786"/>
      <c r="AP92" s="786"/>
      <c r="AQ92" s="786"/>
      <c r="AR92" s="786"/>
      <c r="AS92" s="786"/>
      <c r="AT92" s="786"/>
      <c r="AU92" s="786"/>
      <c r="AV92" s="786"/>
      <c r="AW92" s="786"/>
      <c r="AX92" s="786"/>
      <c r="AY92" s="786"/>
      <c r="AZ92" s="786"/>
      <c r="BA92" s="786"/>
      <c r="BB92" s="786"/>
      <c r="BC92" s="786"/>
      <c r="BD92" s="786"/>
      <c r="BE92" s="786"/>
      <c r="BF92" s="786"/>
      <c r="BG92" s="786"/>
      <c r="BH92" s="786"/>
      <c r="BJ92" s="40"/>
    </row>
    <row r="93" spans="1:62" ht="120" hidden="1" customHeight="1">
      <c r="A93" s="789">
        <f>'D3 to D14'!A49</f>
        <v>0</v>
      </c>
      <c r="B93" s="789"/>
      <c r="C93" s="789"/>
      <c r="D93" s="789"/>
      <c r="E93" s="789"/>
      <c r="F93" s="789"/>
      <c r="G93" s="789"/>
      <c r="H93" s="789"/>
      <c r="I93" s="789"/>
      <c r="J93" s="789"/>
      <c r="K93" s="789"/>
      <c r="L93" s="789"/>
      <c r="M93" s="789"/>
      <c r="N93" s="789"/>
      <c r="O93" s="789"/>
      <c r="P93" s="790">
        <f>'D3 to D14'!N49</f>
        <v>0</v>
      </c>
      <c r="Q93" s="790"/>
      <c r="R93" s="790"/>
      <c r="S93" s="790"/>
      <c r="T93" s="790"/>
      <c r="U93" s="790"/>
      <c r="V93" s="790"/>
      <c r="W93" s="790"/>
      <c r="X93" s="790"/>
      <c r="Y93" s="790"/>
      <c r="Z93" s="790"/>
      <c r="AA93" s="790"/>
      <c r="AB93" s="790"/>
      <c r="AC93" s="790"/>
      <c r="AD93" s="790"/>
      <c r="AE93" s="789">
        <f>'D3 to D14'!AA49</f>
        <v>0</v>
      </c>
      <c r="AF93" s="789"/>
      <c r="AG93" s="789"/>
      <c r="AH93" s="789"/>
      <c r="AI93" s="789"/>
      <c r="AJ93" s="789"/>
      <c r="AK93" s="789"/>
      <c r="AL93" s="789"/>
      <c r="AM93" s="789"/>
      <c r="AN93" s="789"/>
      <c r="AO93" s="789"/>
      <c r="AP93" s="789"/>
      <c r="AQ93" s="789"/>
      <c r="AR93" s="789"/>
      <c r="AS93" s="789"/>
      <c r="AT93" s="790">
        <f>'D3 to D14'!AN49</f>
        <v>0</v>
      </c>
      <c r="AU93" s="790"/>
      <c r="AV93" s="790"/>
      <c r="AW93" s="790"/>
      <c r="AX93" s="790"/>
      <c r="AY93" s="790"/>
      <c r="AZ93" s="790"/>
      <c r="BA93" s="790"/>
      <c r="BB93" s="790"/>
      <c r="BC93" s="790"/>
      <c r="BD93" s="790"/>
      <c r="BE93" s="790"/>
      <c r="BF93" s="790"/>
      <c r="BG93" s="790"/>
      <c r="BH93" s="790"/>
      <c r="BJ93" s="40"/>
    </row>
    <row r="94" spans="1:62" ht="15" customHeight="1">
      <c r="A94" s="786" t="s">
        <v>820</v>
      </c>
      <c r="B94" s="786"/>
      <c r="C94" s="786"/>
      <c r="D94" s="786"/>
      <c r="E94" s="786"/>
      <c r="F94" s="786"/>
      <c r="G94" s="786"/>
      <c r="H94" s="786"/>
      <c r="I94" s="786"/>
      <c r="J94" s="786"/>
      <c r="K94" s="786"/>
      <c r="L94" s="786"/>
      <c r="M94" s="786"/>
      <c r="N94" s="786"/>
      <c r="O94" s="786"/>
      <c r="P94" s="786"/>
      <c r="Q94" s="786"/>
      <c r="R94" s="786"/>
      <c r="S94" s="786"/>
      <c r="T94" s="786"/>
      <c r="U94" s="786"/>
      <c r="V94" s="786"/>
      <c r="W94" s="786"/>
      <c r="X94" s="786"/>
      <c r="Y94" s="786"/>
      <c r="Z94" s="786"/>
      <c r="AA94" s="786"/>
      <c r="AB94" s="786"/>
      <c r="AC94" s="786"/>
      <c r="AD94" s="786"/>
      <c r="AE94" s="786"/>
      <c r="AF94" s="786"/>
      <c r="AG94" s="786"/>
      <c r="AH94" s="786"/>
      <c r="AI94" s="786"/>
      <c r="AJ94" s="786"/>
      <c r="AK94" s="786"/>
      <c r="AL94" s="786"/>
      <c r="AM94" s="786"/>
      <c r="AN94" s="786"/>
      <c r="AO94" s="786"/>
      <c r="AP94" s="786"/>
      <c r="AQ94" s="786"/>
      <c r="AR94" s="786"/>
      <c r="AS94" s="786"/>
      <c r="AT94" s="786"/>
      <c r="AU94" s="786"/>
      <c r="AV94" s="786"/>
      <c r="AW94" s="786"/>
      <c r="AX94" s="786"/>
      <c r="AY94" s="786"/>
      <c r="AZ94" s="786"/>
      <c r="BA94" s="786"/>
      <c r="BB94" s="786"/>
      <c r="BC94" s="786"/>
      <c r="BD94" s="786"/>
      <c r="BE94" s="786"/>
      <c r="BF94" s="786"/>
      <c r="BG94" s="786"/>
      <c r="BH94" s="786"/>
    </row>
    <row r="95" spans="1:62" ht="132.75" customHeight="1">
      <c r="A95" s="783"/>
      <c r="B95" s="784"/>
      <c r="C95" s="784"/>
      <c r="D95" s="784"/>
      <c r="E95" s="784"/>
      <c r="F95" s="784"/>
      <c r="G95" s="784"/>
      <c r="H95" s="784"/>
      <c r="I95" s="784"/>
      <c r="J95" s="784"/>
      <c r="K95" s="784"/>
      <c r="L95" s="784"/>
      <c r="M95" s="784"/>
      <c r="N95" s="784"/>
      <c r="O95" s="784"/>
      <c r="P95" s="784"/>
      <c r="Q95" s="784"/>
      <c r="R95" s="784"/>
      <c r="S95" s="784"/>
      <c r="T95" s="784"/>
      <c r="U95" s="784"/>
      <c r="V95" s="784"/>
      <c r="W95" s="784"/>
      <c r="X95" s="784"/>
      <c r="Y95" s="784"/>
      <c r="Z95" s="784"/>
      <c r="AA95" s="784"/>
      <c r="AB95" s="784"/>
      <c r="AC95" s="784"/>
      <c r="AD95" s="784"/>
      <c r="AE95" s="784"/>
      <c r="AF95" s="784"/>
      <c r="AG95" s="784"/>
      <c r="AH95" s="784"/>
      <c r="AI95" s="784"/>
      <c r="AJ95" s="784"/>
      <c r="AK95" s="784"/>
      <c r="AL95" s="784"/>
      <c r="AM95" s="784"/>
      <c r="AN95" s="784"/>
      <c r="AO95" s="784"/>
      <c r="AP95" s="784"/>
      <c r="AQ95" s="784"/>
      <c r="AR95" s="784"/>
      <c r="AS95" s="784"/>
      <c r="AT95" s="784"/>
      <c r="AU95" s="784"/>
      <c r="AV95" s="784"/>
      <c r="AW95" s="784"/>
      <c r="AX95" s="784"/>
      <c r="AY95" s="784"/>
      <c r="AZ95" s="784"/>
      <c r="BA95" s="784"/>
      <c r="BB95" s="784"/>
      <c r="BC95" s="784"/>
      <c r="BD95" s="784"/>
      <c r="BE95" s="784"/>
      <c r="BF95" s="784"/>
      <c r="BG95" s="784"/>
      <c r="BH95" s="785"/>
    </row>
    <row r="96" spans="1:62" ht="15" customHeight="1"/>
    <row r="97" ht="15"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sheetData>
  <sheetProtection sheet="1" objects="1" scenarios="1" selectLockedCells="1"/>
  <customSheetViews>
    <customSheetView guid="{B4419C5D-1877-4ABB-A46F-9E0AFFC75B59}" showGridLines="0" fitToPage="1" hiddenRows="1" state="hidden">
      <pane ySplit="5" topLeftCell="A6" activePane="bottomLeft" state="frozen"/>
      <selection pane="bottomLeft" activeCell="H48" sqref="H48:J49"/>
      <rowBreaks count="1" manualBreakCount="1">
        <brk id="56" max="59" man="1"/>
      </rowBreaks>
      <pageMargins left="0.7" right="0.7" top="0.75" bottom="0.75" header="0.3" footer="0.3"/>
      <pageSetup scale="74" fitToHeight="0" orientation="landscape" r:id="rId1"/>
    </customSheetView>
  </customSheetViews>
  <mergeCells count="119">
    <mergeCell ref="A90:BH90"/>
    <mergeCell ref="A91:BH91"/>
    <mergeCell ref="A47:BH47"/>
    <mergeCell ref="A48:BH48"/>
    <mergeCell ref="A49:BH49"/>
    <mergeCell ref="A51:BH51"/>
    <mergeCell ref="A52:BH52"/>
    <mergeCell ref="A53:BH53"/>
    <mergeCell ref="A54:BH54"/>
    <mergeCell ref="A59:BH59"/>
    <mergeCell ref="A60:BH60"/>
    <mergeCell ref="A84:BH84"/>
    <mergeCell ref="A75:BH75"/>
    <mergeCell ref="A76:BH76"/>
    <mergeCell ref="A68:BH68"/>
    <mergeCell ref="A66:BH66"/>
    <mergeCell ref="A67:BH67"/>
    <mergeCell ref="A69:BH69"/>
    <mergeCell ref="A70:BH70"/>
    <mergeCell ref="A71:BH71"/>
    <mergeCell ref="A42:BH42"/>
    <mergeCell ref="A43:BH43"/>
    <mergeCell ref="A44:BH44"/>
    <mergeCell ref="A46:BH46"/>
    <mergeCell ref="A85:BH85"/>
    <mergeCell ref="A86:BH86"/>
    <mergeCell ref="A87:BH87"/>
    <mergeCell ref="A89:BH89"/>
    <mergeCell ref="A83:BH83"/>
    <mergeCell ref="A63:BH63"/>
    <mergeCell ref="A56:O56"/>
    <mergeCell ref="P56:AD56"/>
    <mergeCell ref="AE56:AS56"/>
    <mergeCell ref="AT56:BH56"/>
    <mergeCell ref="A57:BH57"/>
    <mergeCell ref="A58:BH58"/>
    <mergeCell ref="A61:BH61"/>
    <mergeCell ref="A62:BH62"/>
    <mergeCell ref="A64:BH64"/>
    <mergeCell ref="A65:BH65"/>
    <mergeCell ref="A55:BH55"/>
    <mergeCell ref="A50:BH50"/>
    <mergeCell ref="A14:BH14"/>
    <mergeCell ref="A15:BH15"/>
    <mergeCell ref="A16:BH16"/>
    <mergeCell ref="A18:BH18"/>
    <mergeCell ref="A19:BH19"/>
    <mergeCell ref="A36:BH36"/>
    <mergeCell ref="A37:BH37"/>
    <mergeCell ref="A38:BH38"/>
    <mergeCell ref="A39:BH39"/>
    <mergeCell ref="A1:BH1"/>
    <mergeCell ref="A2:J2"/>
    <mergeCell ref="L2:AK2"/>
    <mergeCell ref="AL2:AP2"/>
    <mergeCell ref="AR2:BD2"/>
    <mergeCell ref="A3:J3"/>
    <mergeCell ref="L3:AK3"/>
    <mergeCell ref="AL3:AP3"/>
    <mergeCell ref="AR3:BD3"/>
    <mergeCell ref="A13:BH13"/>
    <mergeCell ref="A6:BH6"/>
    <mergeCell ref="A7:BH7"/>
    <mergeCell ref="A4:J4"/>
    <mergeCell ref="L4:AK4"/>
    <mergeCell ref="AL4:AP4"/>
    <mergeCell ref="AR4:BD4"/>
    <mergeCell ref="A5:O5"/>
    <mergeCell ref="P5:AD5"/>
    <mergeCell ref="AE5:AS5"/>
    <mergeCell ref="AT5:BH5"/>
    <mergeCell ref="A41:BH41"/>
    <mergeCell ref="A8:BH8"/>
    <mergeCell ref="A32:BH32"/>
    <mergeCell ref="A33:O33"/>
    <mergeCell ref="P33:AD33"/>
    <mergeCell ref="A12:BH12"/>
    <mergeCell ref="A17:BH17"/>
    <mergeCell ref="A20:BH20"/>
    <mergeCell ref="A21:BH21"/>
    <mergeCell ref="A23:BH23"/>
    <mergeCell ref="A24:BH24"/>
    <mergeCell ref="A25:BH25"/>
    <mergeCell ref="A26:BH26"/>
    <mergeCell ref="A28:BH28"/>
    <mergeCell ref="A29:BH29"/>
    <mergeCell ref="A30:BH30"/>
    <mergeCell ref="A31:BH31"/>
    <mergeCell ref="A27:BH27"/>
    <mergeCell ref="A22:BH22"/>
    <mergeCell ref="AE33:AS33"/>
    <mergeCell ref="AT33:BH33"/>
    <mergeCell ref="A9:BH9"/>
    <mergeCell ref="A10:BH10"/>
    <mergeCell ref="A11:BH11"/>
    <mergeCell ref="A95:BH95"/>
    <mergeCell ref="A94:BH94"/>
    <mergeCell ref="A40:BH40"/>
    <mergeCell ref="A45:BH45"/>
    <mergeCell ref="A34:BH34"/>
    <mergeCell ref="A35:BH35"/>
    <mergeCell ref="A93:O93"/>
    <mergeCell ref="P93:AD93"/>
    <mergeCell ref="AE93:AS93"/>
    <mergeCell ref="AT93:BH93"/>
    <mergeCell ref="A73:BH73"/>
    <mergeCell ref="A74:O74"/>
    <mergeCell ref="P74:AD74"/>
    <mergeCell ref="AE74:AS74"/>
    <mergeCell ref="AT74:BH74"/>
    <mergeCell ref="A92:BH92"/>
    <mergeCell ref="A88:BH88"/>
    <mergeCell ref="A80:BH80"/>
    <mergeCell ref="A72:BH72"/>
    <mergeCell ref="A77:BH77"/>
    <mergeCell ref="A78:BH78"/>
    <mergeCell ref="A79:BH79"/>
    <mergeCell ref="A81:BH81"/>
    <mergeCell ref="A82:BH82"/>
  </mergeCells>
  <dataValidations count="5">
    <dataValidation type="custom" operator="greaterThan" allowBlank="1" showInputMessage="1" showErrorMessage="1" prompt="Enter dates for the course (MUST be DD/MM/YY to DD/MM/YY)_x000a_" sqref="AR4:BD4" xr:uid="{00000000-0002-0000-0200-000000000000}">
      <formula1>ISNUMBER(SUMPRODUCT(SEARCH(MID(AR4,ROW(INDIRECT("1:"&amp;LEN(AR4))),1),"0123456789 /to")))</formula1>
    </dataValidation>
    <dataValidation allowBlank="1" showInputMessage="1" showErrorMessage="1" prompt="Enter Abinito No (eg. AB 1234)" sqref="AR3:BD3" xr:uid="{00000000-0002-0000-0200-000001000000}"/>
    <dataValidation type="whole" operator="greaterThan" allowBlank="1" showInputMessage="1" showErrorMessage="1" errorTitle="Error" error="Enter learner's staff no without &quot;s&quot;. It must also be 6 digits long." prompt="Enter learner's staff no (without s)" sqref="AR2:BD2" xr:uid="{00000000-0002-0000-0200-000002000000}">
      <formula1>100000</formula1>
    </dataValidation>
    <dataValidation allowBlank="1" showInputMessage="1" showErrorMessage="1" prompt="Enter both trainers' full name (eg. Holley White / Kelly Hewitt)" sqref="L3:AK3" xr:uid="{00000000-0002-0000-0200-000003000000}"/>
    <dataValidation allowBlank="1" showInputMessage="1" showErrorMessage="1" prompt="Enter learner's full name (eg. Sonial Gopaul)" sqref="L2:AK2" xr:uid="{00000000-0002-0000-0200-000004000000}"/>
  </dataValidations>
  <pageMargins left="0.7" right="0.7" top="0.75" bottom="0.75" header="0.3" footer="0.3"/>
  <pageSetup scale="74" fitToHeight="0" orientation="landscape" r:id="rId2"/>
  <rowBreaks count="1" manualBreakCount="1">
    <brk id="56" max="59" man="1"/>
  </rowBreaks>
  <drawing r:id="rId3"/>
  <extLst>
    <ext xmlns:x14="http://schemas.microsoft.com/office/spreadsheetml/2009/9/main" uri="{CCE6A557-97BC-4b89-ADB6-D9C93CAAB3DF}">
      <x14:dataValidations xmlns:xm="http://schemas.microsoft.com/office/excel/2006/main" count="1">
        <x14:dataValidation type="list" showInputMessage="1" showErrorMessage="1" prompt="Select from drop down menu_x000a_" xr:uid="{00000000-0002-0000-0200-000005000000}">
          <x14:formula1>
            <xm:f>'Drop Down List'!$B$2:$B$7</xm:f>
          </x14:formula1>
          <xm:sqref>L4:AK4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73"/>
  <sheetViews>
    <sheetView zoomScaleNormal="100" workbookViewId="0">
      <selection sqref="A1:BH1"/>
    </sheetView>
  </sheetViews>
  <sheetFormatPr baseColWidth="10" defaultColWidth="9.1640625" defaultRowHeight="20" customHeight="1"/>
  <cols>
    <col min="1" max="5" width="40.6640625" style="32" customWidth="1"/>
    <col min="6" max="6" width="15.1640625" style="32" customWidth="1"/>
    <col min="7" max="7" width="17.33203125" style="32" customWidth="1"/>
    <col min="8" max="8" width="14.1640625" style="32" customWidth="1"/>
    <col min="9" max="9" width="17" style="32" customWidth="1"/>
    <col min="10" max="16384" width="9.1640625" style="32"/>
  </cols>
  <sheetData>
    <row r="1" spans="1:5" ht="20" customHeight="1" thickBot="1">
      <c r="A1" s="71" t="s">
        <v>41</v>
      </c>
      <c r="B1" s="71" t="s">
        <v>83</v>
      </c>
      <c r="C1" s="71" t="s">
        <v>92</v>
      </c>
      <c r="D1" s="71" t="s">
        <v>94</v>
      </c>
      <c r="E1" s="71" t="s">
        <v>112</v>
      </c>
    </row>
    <row r="2" spans="1:5" ht="20" customHeight="1">
      <c r="A2" s="269" t="s">
        <v>50</v>
      </c>
      <c r="B2" s="269" t="s">
        <v>205</v>
      </c>
      <c r="C2" s="56" t="s">
        <v>93</v>
      </c>
      <c r="D2" s="56" t="s">
        <v>616</v>
      </c>
      <c r="E2" s="56" t="s">
        <v>93</v>
      </c>
    </row>
    <row r="3" spans="1:5" ht="20" customHeight="1">
      <c r="A3" s="269" t="s">
        <v>59</v>
      </c>
      <c r="B3" s="269" t="s">
        <v>48</v>
      </c>
      <c r="C3" s="56" t="s">
        <v>10</v>
      </c>
      <c r="D3" s="56" t="s">
        <v>617</v>
      </c>
      <c r="E3" s="56" t="s">
        <v>108</v>
      </c>
    </row>
    <row r="4" spans="1:5" ht="20" customHeight="1">
      <c r="A4" s="269" t="s">
        <v>76</v>
      </c>
      <c r="B4" s="269" t="s">
        <v>55</v>
      </c>
      <c r="C4" s="56"/>
      <c r="D4" s="56" t="s">
        <v>618</v>
      </c>
    </row>
    <row r="5" spans="1:5" ht="20" customHeight="1" thickBot="1">
      <c r="A5" s="269" t="s">
        <v>73</v>
      </c>
      <c r="B5" s="269" t="s">
        <v>72</v>
      </c>
      <c r="C5" s="56"/>
      <c r="D5" s="56" t="s">
        <v>617</v>
      </c>
    </row>
    <row r="6" spans="1:5" ht="20" customHeight="1" thickBot="1">
      <c r="A6" s="269" t="s">
        <v>53</v>
      </c>
      <c r="B6" s="269" t="s">
        <v>54</v>
      </c>
      <c r="C6" s="71" t="s">
        <v>95</v>
      </c>
      <c r="D6" s="269" t="s">
        <v>10</v>
      </c>
    </row>
    <row r="7" spans="1:5" ht="20" customHeight="1">
      <c r="A7" s="269" t="s">
        <v>77</v>
      </c>
      <c r="B7" s="269"/>
      <c r="C7" s="56" t="s">
        <v>97</v>
      </c>
    </row>
    <row r="8" spans="1:5" ht="20" customHeight="1" thickBot="1">
      <c r="A8" s="269" t="s">
        <v>52</v>
      </c>
      <c r="B8" s="269"/>
      <c r="C8" s="56" t="s">
        <v>98</v>
      </c>
      <c r="D8" s="56"/>
    </row>
    <row r="9" spans="1:5" ht="20" customHeight="1" thickBot="1">
      <c r="A9" s="269" t="s">
        <v>48</v>
      </c>
      <c r="B9" s="269"/>
      <c r="C9" s="56" t="s">
        <v>96</v>
      </c>
      <c r="D9" s="71" t="s">
        <v>615</v>
      </c>
    </row>
    <row r="10" spans="1:5" ht="20" customHeight="1" thickBot="1">
      <c r="A10" s="269" t="s">
        <v>57</v>
      </c>
      <c r="B10" s="269"/>
      <c r="C10" s="56"/>
      <c r="D10" s="56">
        <v>2.1</v>
      </c>
    </row>
    <row r="11" spans="1:5" ht="20" customHeight="1" thickBot="1">
      <c r="A11" s="269" t="s">
        <v>58</v>
      </c>
      <c r="B11" s="269"/>
      <c r="C11" s="71" t="s">
        <v>99</v>
      </c>
      <c r="D11" s="56">
        <v>2.2000000000000002</v>
      </c>
    </row>
    <row r="12" spans="1:5" ht="20" customHeight="1">
      <c r="A12" s="269" t="s">
        <v>75</v>
      </c>
      <c r="B12" s="270"/>
      <c r="C12" s="56" t="s">
        <v>120</v>
      </c>
      <c r="D12" s="56">
        <v>2.2999999999999998</v>
      </c>
    </row>
    <row r="13" spans="1:5" ht="20" customHeight="1">
      <c r="A13" s="269" t="s">
        <v>55</v>
      </c>
      <c r="B13" s="269"/>
      <c r="C13" s="56" t="s">
        <v>122</v>
      </c>
      <c r="D13" s="56">
        <v>2.4</v>
      </c>
    </row>
    <row r="14" spans="1:5" ht="20" customHeight="1">
      <c r="A14" s="269" t="s">
        <v>74</v>
      </c>
      <c r="B14" s="269"/>
      <c r="C14" s="56" t="s">
        <v>123</v>
      </c>
      <c r="D14" s="56" t="s">
        <v>10</v>
      </c>
    </row>
    <row r="15" spans="1:5" ht="20" customHeight="1" thickBot="1">
      <c r="A15" s="269" t="s">
        <v>51</v>
      </c>
      <c r="B15" s="270"/>
      <c r="C15" s="56" t="s">
        <v>100</v>
      </c>
    </row>
    <row r="16" spans="1:5" ht="20" customHeight="1" thickBot="1">
      <c r="A16" s="269" t="s">
        <v>49</v>
      </c>
      <c r="B16" s="270"/>
      <c r="C16" s="56" t="s">
        <v>101</v>
      </c>
      <c r="D16" s="71" t="s">
        <v>614</v>
      </c>
    </row>
    <row r="17" spans="1:4" ht="20" customHeight="1">
      <c r="A17" s="269" t="s">
        <v>40</v>
      </c>
      <c r="B17" s="270"/>
      <c r="C17" s="56" t="s">
        <v>121</v>
      </c>
      <c r="D17" s="56">
        <v>3.1</v>
      </c>
    </row>
    <row r="18" spans="1:4" ht="20" customHeight="1">
      <c r="A18" s="269" t="s">
        <v>56</v>
      </c>
      <c r="B18" s="270"/>
      <c r="C18" s="56"/>
      <c r="D18" s="56">
        <v>3.2</v>
      </c>
    </row>
    <row r="19" spans="1:4" ht="20" customHeight="1">
      <c r="A19" s="269" t="s">
        <v>72</v>
      </c>
      <c r="B19" s="270"/>
      <c r="C19" s="56"/>
      <c r="D19" s="56">
        <v>3.3</v>
      </c>
    </row>
    <row r="20" spans="1:4" ht="20" customHeight="1">
      <c r="A20" s="269" t="s">
        <v>78</v>
      </c>
      <c r="B20" s="270"/>
      <c r="C20" s="56"/>
      <c r="D20" s="268">
        <v>3.4</v>
      </c>
    </row>
    <row r="21" spans="1:4" ht="20" customHeight="1">
      <c r="A21" s="269" t="s">
        <v>60</v>
      </c>
      <c r="B21" s="270"/>
      <c r="D21" s="56" t="s">
        <v>10</v>
      </c>
    </row>
    <row r="22" spans="1:4" ht="20" customHeight="1" thickBot="1">
      <c r="A22" s="269" t="s">
        <v>54</v>
      </c>
      <c r="B22" s="270"/>
    </row>
    <row r="23" spans="1:4" ht="20" customHeight="1" thickBot="1">
      <c r="A23" s="56"/>
      <c r="B23" s="56"/>
      <c r="C23" s="56"/>
      <c r="D23" s="71" t="s">
        <v>613</v>
      </c>
    </row>
    <row r="24" spans="1:4" ht="20" customHeight="1">
      <c r="A24" s="56"/>
      <c r="B24" s="56"/>
      <c r="C24" s="56"/>
      <c r="D24" s="56">
        <v>1.1000000000000001</v>
      </c>
    </row>
    <row r="25" spans="1:4" ht="20" customHeight="1">
      <c r="A25" s="56"/>
      <c r="B25" s="56"/>
      <c r="C25" s="56"/>
      <c r="D25" s="56">
        <v>1.2</v>
      </c>
    </row>
    <row r="26" spans="1:4" ht="20" customHeight="1">
      <c r="D26" s="56">
        <v>1.3</v>
      </c>
    </row>
    <row r="27" spans="1:4" ht="20" customHeight="1">
      <c r="D27" s="56">
        <v>1.4</v>
      </c>
    </row>
    <row r="28" spans="1:4" ht="20" customHeight="1">
      <c r="D28" s="269" t="s">
        <v>10</v>
      </c>
    </row>
    <row r="29" spans="1:4" ht="20" customHeight="1" thickBot="1"/>
    <row r="30" spans="1:4" ht="20" customHeight="1" thickBot="1">
      <c r="D30" s="71" t="s">
        <v>612</v>
      </c>
    </row>
    <row r="31" spans="1:4" ht="20" customHeight="1">
      <c r="D31" s="56">
        <v>4.0999999999999996</v>
      </c>
    </row>
    <row r="32" spans="1:4" ht="20" customHeight="1">
      <c r="D32" s="56">
        <v>4.2</v>
      </c>
    </row>
    <row r="33" spans="1:11" ht="20" customHeight="1">
      <c r="D33" s="56">
        <v>4.3</v>
      </c>
    </row>
    <row r="34" spans="1:11" ht="20" customHeight="1">
      <c r="D34" s="56">
        <v>4.4000000000000004</v>
      </c>
    </row>
    <row r="35" spans="1:11" ht="20" customHeight="1">
      <c r="D35" s="268">
        <v>4.5</v>
      </c>
    </row>
    <row r="36" spans="1:11" ht="20" customHeight="1">
      <c r="D36" s="56" t="s">
        <v>10</v>
      </c>
    </row>
    <row r="37" spans="1:11" ht="20" customHeight="1">
      <c r="D37" s="56"/>
    </row>
    <row r="38" spans="1:11" ht="20" customHeight="1" thickBot="1"/>
    <row r="39" spans="1:11" ht="20" customHeight="1" thickBot="1">
      <c r="A39" s="71" t="s">
        <v>220</v>
      </c>
      <c r="B39" s="71" t="s">
        <v>218</v>
      </c>
      <c r="D39" s="71" t="s">
        <v>268</v>
      </c>
      <c r="G39" s="71"/>
      <c r="H39" s="71"/>
      <c r="I39" s="71"/>
      <c r="J39" s="71"/>
      <c r="K39" s="71"/>
    </row>
    <row r="40" spans="1:11" ht="20" customHeight="1">
      <c r="A40" s="56" t="s">
        <v>221</v>
      </c>
      <c r="B40" s="56" t="s">
        <v>210</v>
      </c>
      <c r="C40" s="56"/>
      <c r="D40" s="56" t="s">
        <v>608</v>
      </c>
      <c r="E40" s="56"/>
      <c r="G40" s="56"/>
      <c r="H40" s="56"/>
      <c r="I40" s="56"/>
      <c r="J40" s="56"/>
      <c r="K40" s="56"/>
    </row>
    <row r="41" spans="1:11" ht="20" customHeight="1">
      <c r="A41" s="56" t="s">
        <v>222</v>
      </c>
      <c r="B41" s="56" t="s">
        <v>219</v>
      </c>
      <c r="C41" s="56"/>
      <c r="D41" s="56" t="s">
        <v>609</v>
      </c>
      <c r="E41" s="56"/>
      <c r="G41" s="56"/>
      <c r="H41" s="56"/>
      <c r="I41" s="56"/>
      <c r="J41" s="56"/>
      <c r="K41" s="56"/>
    </row>
    <row r="42" spans="1:11" ht="20" customHeight="1">
      <c r="A42" s="56" t="s">
        <v>223</v>
      </c>
      <c r="D42" s="56" t="s">
        <v>610</v>
      </c>
    </row>
    <row r="43" spans="1:11" ht="20" customHeight="1">
      <c r="A43" s="56" t="s">
        <v>224</v>
      </c>
      <c r="D43" s="56" t="s">
        <v>611</v>
      </c>
    </row>
    <row r="44" spans="1:11" ht="20" customHeight="1">
      <c r="A44" s="56"/>
      <c r="D44" s="56"/>
    </row>
    <row r="45" spans="1:11" ht="20" customHeight="1" thickBot="1"/>
    <row r="46" spans="1:11" ht="20" customHeight="1" thickBot="1">
      <c r="A46" s="71" t="s">
        <v>229</v>
      </c>
      <c r="B46" s="71" t="s">
        <v>285</v>
      </c>
      <c r="C46" s="71" t="s">
        <v>607</v>
      </c>
      <c r="D46" s="71" t="s">
        <v>278</v>
      </c>
    </row>
    <row r="47" spans="1:11" ht="20" customHeight="1">
      <c r="A47" s="56" t="s">
        <v>230</v>
      </c>
      <c r="B47" s="56" t="s">
        <v>230</v>
      </c>
      <c r="C47" s="56" t="s">
        <v>283</v>
      </c>
      <c r="D47" s="56" t="s">
        <v>93</v>
      </c>
    </row>
    <row r="48" spans="1:11" ht="20" customHeight="1">
      <c r="A48" s="56" t="s">
        <v>10</v>
      </c>
      <c r="B48" s="56" t="s">
        <v>234</v>
      </c>
      <c r="C48" s="56" t="s">
        <v>284</v>
      </c>
      <c r="D48" s="56" t="s">
        <v>108</v>
      </c>
    </row>
    <row r="49" spans="1:4" ht="20" customHeight="1">
      <c r="A49" s="56" t="s">
        <v>228</v>
      </c>
      <c r="B49" s="56" t="s">
        <v>231</v>
      </c>
    </row>
    <row r="50" spans="1:4" ht="20" customHeight="1">
      <c r="A50" s="56" t="s">
        <v>235</v>
      </c>
      <c r="B50" s="56" t="s">
        <v>10</v>
      </c>
    </row>
    <row r="51" spans="1:4" ht="20" customHeight="1">
      <c r="A51" s="56"/>
      <c r="B51" s="56" t="s">
        <v>233</v>
      </c>
    </row>
    <row r="52" spans="1:4" ht="20" customHeight="1">
      <c r="B52" s="56" t="s">
        <v>232</v>
      </c>
    </row>
    <row r="53" spans="1:4" ht="20" customHeight="1" thickBot="1"/>
    <row r="54" spans="1:4" ht="20" customHeight="1" thickBot="1">
      <c r="A54" s="71" t="s">
        <v>242</v>
      </c>
      <c r="D54" s="71" t="s">
        <v>280</v>
      </c>
    </row>
    <row r="55" spans="1:4" ht="20" customHeight="1">
      <c r="A55" s="56" t="s">
        <v>10</v>
      </c>
      <c r="D55" s="56" t="s">
        <v>281</v>
      </c>
    </row>
    <row r="56" spans="1:4" ht="20" customHeight="1">
      <c r="A56" s="56" t="s">
        <v>248</v>
      </c>
      <c r="D56" s="56" t="s">
        <v>282</v>
      </c>
    </row>
    <row r="57" spans="1:4" ht="20" customHeight="1">
      <c r="A57" s="56" t="s">
        <v>306</v>
      </c>
    </row>
    <row r="58" spans="1:4" ht="20" customHeight="1">
      <c r="A58" s="56" t="s">
        <v>245</v>
      </c>
    </row>
    <row r="59" spans="1:4" ht="20" customHeight="1">
      <c r="A59" s="56" t="s">
        <v>246</v>
      </c>
    </row>
    <row r="60" spans="1:4" ht="20" customHeight="1">
      <c r="A60" s="56" t="s">
        <v>247</v>
      </c>
    </row>
    <row r="61" spans="1:4" ht="20" customHeight="1">
      <c r="A61" s="56" t="s">
        <v>243</v>
      </c>
    </row>
    <row r="62" spans="1:4" ht="20" customHeight="1" thickBot="1">
      <c r="A62" s="56"/>
    </row>
    <row r="63" spans="1:4" ht="20" customHeight="1" thickBot="1">
      <c r="A63" s="71" t="s">
        <v>259</v>
      </c>
      <c r="D63" s="71" t="s">
        <v>286</v>
      </c>
    </row>
    <row r="64" spans="1:4" ht="20" customHeight="1">
      <c r="A64" s="56" t="s">
        <v>257</v>
      </c>
      <c r="D64" s="56" t="s">
        <v>287</v>
      </c>
    </row>
    <row r="65" spans="1:8" ht="20" customHeight="1">
      <c r="A65" s="56" t="s">
        <v>258</v>
      </c>
      <c r="D65" s="56">
        <v>1</v>
      </c>
    </row>
    <row r="66" spans="1:8" ht="20" customHeight="1">
      <c r="A66" s="56" t="s">
        <v>256</v>
      </c>
      <c r="D66" s="56">
        <v>2</v>
      </c>
    </row>
    <row r="67" spans="1:8" ht="20" customHeight="1">
      <c r="D67" s="56">
        <v>3</v>
      </c>
    </row>
    <row r="68" spans="1:8" ht="20" customHeight="1">
      <c r="D68" s="56">
        <v>4</v>
      </c>
    </row>
    <row r="69" spans="1:8" ht="20" customHeight="1" thickBot="1">
      <c r="D69" s="56">
        <v>5</v>
      </c>
    </row>
    <row r="70" spans="1:8" ht="20" customHeight="1" thickBot="1">
      <c r="A70" s="71" t="s">
        <v>292</v>
      </c>
      <c r="B70" s="204"/>
      <c r="C70" s="204"/>
      <c r="D70" s="204"/>
      <c r="E70" s="204"/>
      <c r="F70" s="204"/>
      <c r="G70" s="186"/>
      <c r="H70" s="186"/>
    </row>
    <row r="71" spans="1:8" ht="20" customHeight="1">
      <c r="A71" s="56" t="s">
        <v>290</v>
      </c>
      <c r="B71" s="186"/>
      <c r="C71" s="186"/>
      <c r="D71" s="186"/>
      <c r="E71" s="186"/>
      <c r="F71" s="186"/>
      <c r="G71" s="186"/>
      <c r="H71" s="186"/>
    </row>
    <row r="72" spans="1:8" ht="20" customHeight="1">
      <c r="A72" s="56" t="s">
        <v>289</v>
      </c>
    </row>
    <row r="73" spans="1:8" ht="20" customHeight="1">
      <c r="A73" s="56" t="s">
        <v>291</v>
      </c>
    </row>
  </sheetData>
  <sheetProtection sheet="1" objects="1" scenarios="1" selectLockedCells="1"/>
  <sortState xmlns:xlrd2="http://schemas.microsoft.com/office/spreadsheetml/2017/richdata2" ref="A71:A73">
    <sortCondition ref="A71"/>
  </sortState>
  <customSheetViews>
    <customSheetView guid="{6F32447A-4407-44AD-A35F-AE919A5CF3AF}" state="hidden" topLeftCell="C28">
      <selection activeCell="A71" sqref="A71:A73"/>
    </customSheetView>
    <customSheetView guid="{B4419C5D-1877-4ABB-A46F-9E0AFFC75B59}" state="hidden" topLeftCell="C1">
      <selection activeCell="H48" sqref="H48:J49"/>
      <pageMargins left="0.7" right="0.7" top="0.75" bottom="0.75" header="0.3" footer="0.3"/>
      <pageSetup paperSize="9" orientation="portrait" r:id="rId1"/>
    </customSheetView>
  </customSheetView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P142"/>
  <sheetViews>
    <sheetView showGridLines="0" tabSelected="1" view="pageBreakPreview" topLeftCell="A2" zoomScale="60" zoomScaleNormal="100" workbookViewId="0">
      <selection activeCell="T28" sqref="T28"/>
    </sheetView>
  </sheetViews>
  <sheetFormatPr baseColWidth="10" defaultColWidth="0" defaultRowHeight="14"/>
  <cols>
    <col min="1" max="4" width="8.83203125" style="52" customWidth="1"/>
    <col min="5" max="5" width="8.83203125" style="2" customWidth="1"/>
    <col min="6" max="7" width="8.83203125" style="16" customWidth="1"/>
    <col min="8" max="8" width="8.83203125" style="2" customWidth="1"/>
    <col min="9" max="10" width="8.83203125" style="16" customWidth="1"/>
    <col min="11" max="11" width="8.83203125" style="2" customWidth="1"/>
    <col min="12" max="12" width="9.1640625" style="16" customWidth="1"/>
    <col min="13" max="13" width="8.83203125" style="16" customWidth="1"/>
    <col min="14" max="14" width="8.83203125" style="2" customWidth="1"/>
    <col min="15" max="15" width="8.83203125" style="16" customWidth="1"/>
    <col min="16" max="16" width="8.83203125" style="52" customWidth="1"/>
    <col min="17" max="18" width="9.5" style="52" customWidth="1"/>
    <col min="19" max="20" width="11.1640625" style="81" customWidth="1"/>
    <col min="21" max="21" width="9.5" style="76" customWidth="1"/>
    <col min="22" max="22" width="5.6640625" style="76" customWidth="1"/>
    <col min="23" max="23" width="23.83203125" style="76" hidden="1" customWidth="1"/>
    <col min="24" max="24" width="23.5" style="76" hidden="1" customWidth="1"/>
    <col min="25" max="30" width="25.1640625" style="77" hidden="1" customWidth="1"/>
    <col min="31" max="38" width="25.1640625" style="52" hidden="1" customWidth="1"/>
    <col min="39" max="39" width="7.5" style="52" hidden="1" customWidth="1"/>
    <col min="40" max="40" width="20.1640625" style="52" hidden="1" customWidth="1"/>
    <col min="41" max="41" width="22.1640625" style="52" hidden="1" customWidth="1"/>
    <col min="42" max="16384" width="9.1640625" style="52" hidden="1"/>
  </cols>
  <sheetData>
    <row r="1" spans="1:41" ht="13.5" customHeight="1">
      <c r="A1" s="974" t="s">
        <v>86</v>
      </c>
      <c r="B1" s="974"/>
      <c r="C1" s="974"/>
      <c r="D1" s="974"/>
      <c r="E1" s="974"/>
      <c r="F1" s="989">
        <f>MFP!D2</f>
        <v>0</v>
      </c>
      <c r="G1" s="989"/>
      <c r="H1" s="989"/>
      <c r="I1" s="989"/>
      <c r="J1" s="989"/>
      <c r="K1" s="980" t="s">
        <v>88</v>
      </c>
      <c r="L1" s="980"/>
      <c r="M1" s="989">
        <f>MFP!N2</f>
        <v>0</v>
      </c>
      <c r="N1" s="989"/>
      <c r="O1" s="989"/>
      <c r="P1" s="989"/>
      <c r="Q1" s="74"/>
      <c r="R1" s="74"/>
      <c r="W1" s="146" t="s">
        <v>185</v>
      </c>
      <c r="X1" s="149" t="s">
        <v>184</v>
      </c>
    </row>
    <row r="2" spans="1:41" ht="13.5" customHeight="1">
      <c r="A2" s="974" t="s">
        <v>87</v>
      </c>
      <c r="B2" s="974"/>
      <c r="C2" s="974"/>
      <c r="D2" s="974"/>
      <c r="E2" s="974"/>
      <c r="F2" s="989">
        <f>MFP!D3</f>
        <v>0</v>
      </c>
      <c r="G2" s="989"/>
      <c r="H2" s="989"/>
      <c r="I2" s="989"/>
      <c r="J2" s="989"/>
      <c r="K2" s="980" t="s">
        <v>89</v>
      </c>
      <c r="L2" s="980"/>
      <c r="M2" s="989">
        <f>MFP!N3</f>
        <v>0</v>
      </c>
      <c r="N2" s="989"/>
      <c r="O2" s="989"/>
      <c r="P2" s="989"/>
      <c r="Q2" s="74"/>
      <c r="R2" s="74"/>
      <c r="W2" s="146" t="s">
        <v>198</v>
      </c>
      <c r="X2" s="149" t="b">
        <f>IF(OR(IsFinishing="Yes",AND(IsFinishing="No",H42&lt;&gt;"Yes")),TRUE,FALSE)</f>
        <v>1</v>
      </c>
    </row>
    <row r="3" spans="1:41" ht="13.5" customHeight="1">
      <c r="A3" s="982" t="s">
        <v>861</v>
      </c>
      <c r="B3" s="982"/>
      <c r="C3" s="982"/>
      <c r="D3" s="982"/>
      <c r="E3" s="982"/>
      <c r="F3" s="989">
        <f>MFP!D4</f>
        <v>0</v>
      </c>
      <c r="G3" s="989"/>
      <c r="H3" s="989"/>
      <c r="I3" s="989"/>
      <c r="J3" s="989"/>
      <c r="K3" s="981" t="s">
        <v>90</v>
      </c>
      <c r="L3" s="981"/>
      <c r="M3" s="989">
        <f>MFP!N4</f>
        <v>0</v>
      </c>
      <c r="N3" s="989"/>
      <c r="O3" s="989"/>
      <c r="P3" s="989"/>
      <c r="Q3" s="75"/>
      <c r="R3" s="75"/>
      <c r="W3" s="146" t="s">
        <v>199</v>
      </c>
      <c r="X3" s="149" t="str">
        <f>IF(AND(H42="Yes",H45="Performance"),"No",IFERROR(IF(P19&gt;100,"Yes","No"),"N/A"))</f>
        <v>N/A</v>
      </c>
    </row>
    <row r="4" spans="1:41" ht="15" customHeight="1">
      <c r="A4" s="992" t="s">
        <v>103</v>
      </c>
      <c r="B4" s="993"/>
      <c r="C4" s="993"/>
      <c r="D4" s="993"/>
      <c r="E4" s="993"/>
      <c r="F4" s="993"/>
      <c r="G4" s="993"/>
      <c r="H4" s="993"/>
      <c r="I4" s="993"/>
      <c r="J4" s="993"/>
      <c r="K4" s="993"/>
      <c r="L4" s="993"/>
      <c r="M4" s="993"/>
      <c r="N4" s="993"/>
      <c r="O4" s="993"/>
      <c r="P4" s="994"/>
      <c r="W4" s="146" t="s">
        <v>200</v>
      </c>
      <c r="X4" s="149" t="s">
        <v>894</v>
      </c>
    </row>
    <row r="5" spans="1:41" ht="15" customHeight="1">
      <c r="A5" s="995"/>
      <c r="B5" s="996"/>
      <c r="C5" s="996"/>
      <c r="D5" s="996"/>
      <c r="E5" s="996"/>
      <c r="F5" s="996"/>
      <c r="G5" s="996"/>
      <c r="H5" s="996"/>
      <c r="I5" s="996"/>
      <c r="J5" s="996"/>
      <c r="K5" s="996"/>
      <c r="L5" s="996"/>
      <c r="M5" s="996"/>
      <c r="N5" s="996"/>
      <c r="O5" s="996"/>
      <c r="P5" s="997"/>
      <c r="Z5" s="111" t="s">
        <v>183</v>
      </c>
      <c r="AA5" s="111" t="s">
        <v>180</v>
      </c>
      <c r="AB5" s="112" t="s">
        <v>142</v>
      </c>
      <c r="AC5" s="112" t="s">
        <v>938</v>
      </c>
      <c r="AD5" s="113" t="s">
        <v>131</v>
      </c>
      <c r="AE5" s="112" t="s">
        <v>181</v>
      </c>
      <c r="AF5" s="112" t="s">
        <v>132</v>
      </c>
      <c r="AG5" s="112" t="s">
        <v>133</v>
      </c>
      <c r="AH5" s="112" t="s">
        <v>182</v>
      </c>
      <c r="AI5" s="112" t="s">
        <v>134</v>
      </c>
      <c r="AJ5" s="112" t="s">
        <v>135</v>
      </c>
      <c r="AK5" s="112" t="s">
        <v>136</v>
      </c>
      <c r="AL5" s="112" t="s">
        <v>137</v>
      </c>
    </row>
    <row r="6" spans="1:41" ht="15" customHeight="1">
      <c r="A6" s="998"/>
      <c r="B6" s="999"/>
      <c r="C6" s="999"/>
      <c r="D6" s="999"/>
      <c r="E6" s="999"/>
      <c r="F6" s="999"/>
      <c r="G6" s="999"/>
      <c r="H6" s="999"/>
      <c r="I6" s="999"/>
      <c r="J6" s="999"/>
      <c r="K6" s="999"/>
      <c r="L6" s="999"/>
      <c r="M6" s="999"/>
      <c r="N6" s="999"/>
      <c r="O6" s="999"/>
      <c r="P6" s="1000"/>
      <c r="R6" s="574" t="s">
        <v>866</v>
      </c>
      <c r="S6" s="990" t="s">
        <v>113</v>
      </c>
      <c r="T6" s="990"/>
      <c r="U6" s="990"/>
      <c r="Y6" s="111"/>
      <c r="Z6" s="111"/>
      <c r="AA6" s="112" t="s">
        <v>138</v>
      </c>
      <c r="AB6" s="113"/>
      <c r="AC6" s="113"/>
      <c r="AD6" s="112"/>
      <c r="AE6" s="112" t="s">
        <v>139</v>
      </c>
      <c r="AF6" s="112"/>
      <c r="AG6" s="112"/>
      <c r="AH6" s="112"/>
      <c r="AI6" s="112"/>
      <c r="AJ6" s="112"/>
      <c r="AK6" s="112"/>
    </row>
    <row r="7" spans="1:41" ht="15" customHeight="1">
      <c r="A7" s="1001" t="s">
        <v>84</v>
      </c>
      <c r="B7" s="1002"/>
      <c r="C7" s="1003"/>
      <c r="D7" s="83"/>
      <c r="E7" s="84"/>
      <c r="F7" s="85"/>
      <c r="G7" s="86"/>
      <c r="H7" s="87"/>
      <c r="I7" s="88"/>
      <c r="J7" s="89"/>
      <c r="K7" s="90"/>
      <c r="L7" s="91"/>
      <c r="M7" s="92"/>
      <c r="N7" s="93"/>
      <c r="O7" s="94"/>
      <c r="P7" s="1009" t="s">
        <v>18</v>
      </c>
      <c r="R7" s="1024">
        <v>0</v>
      </c>
      <c r="S7" s="1008">
        <v>79.989999999999995</v>
      </c>
      <c r="T7" s="991" t="s">
        <v>623</v>
      </c>
      <c r="U7" s="991"/>
      <c r="W7" s="77"/>
      <c r="X7" s="77"/>
      <c r="AD7" s="52"/>
    </row>
    <row r="8" spans="1:41" ht="13.5" customHeight="1">
      <c r="A8" s="1001"/>
      <c r="B8" s="1002"/>
      <c r="C8" s="1003"/>
      <c r="D8" s="976" t="s">
        <v>0</v>
      </c>
      <c r="E8" s="976" t="s">
        <v>1</v>
      </c>
      <c r="F8" s="976" t="s">
        <v>2</v>
      </c>
      <c r="G8" s="976" t="s">
        <v>3</v>
      </c>
      <c r="H8" s="976" t="s">
        <v>7</v>
      </c>
      <c r="I8" s="976" t="s">
        <v>8</v>
      </c>
      <c r="J8" s="976" t="s">
        <v>11</v>
      </c>
      <c r="K8" s="976" t="s">
        <v>12</v>
      </c>
      <c r="L8" s="976" t="s">
        <v>13</v>
      </c>
      <c r="M8" s="976" t="s">
        <v>20</v>
      </c>
      <c r="N8" s="976" t="s">
        <v>21</v>
      </c>
      <c r="O8" s="976" t="s">
        <v>22</v>
      </c>
      <c r="P8" s="1010"/>
      <c r="R8" s="1024"/>
      <c r="S8" s="1008"/>
      <c r="T8" s="991"/>
      <c r="U8" s="991"/>
      <c r="W8" s="1023" t="s">
        <v>157</v>
      </c>
      <c r="X8" s="1021" t="s">
        <v>158</v>
      </c>
      <c r="Y8" s="1021" t="s">
        <v>159</v>
      </c>
      <c r="Z8" s="1019" t="s">
        <v>140</v>
      </c>
      <c r="AA8" s="1019" t="s">
        <v>141</v>
      </c>
      <c r="AB8" s="987" t="s">
        <v>142</v>
      </c>
      <c r="AC8" s="1017" t="s">
        <v>143</v>
      </c>
      <c r="AD8" s="1017" t="s">
        <v>143</v>
      </c>
      <c r="AE8" s="987" t="s">
        <v>144</v>
      </c>
      <c r="AF8" s="987" t="s">
        <v>145</v>
      </c>
      <c r="AG8" s="987" t="s">
        <v>146</v>
      </c>
      <c r="AH8" s="987" t="s">
        <v>147</v>
      </c>
      <c r="AI8" s="987" t="s">
        <v>148</v>
      </c>
      <c r="AJ8" s="987" t="s">
        <v>149</v>
      </c>
      <c r="AK8" s="987" t="s">
        <v>150</v>
      </c>
      <c r="AL8" s="987" t="s">
        <v>151</v>
      </c>
      <c r="AN8" s="891" t="s">
        <v>155</v>
      </c>
      <c r="AO8" s="891" t="s">
        <v>156</v>
      </c>
    </row>
    <row r="9" spans="1:41" ht="15" customHeight="1">
      <c r="A9" s="1004"/>
      <c r="B9" s="1005"/>
      <c r="C9" s="1006"/>
      <c r="D9" s="976"/>
      <c r="E9" s="976"/>
      <c r="F9" s="976"/>
      <c r="G9" s="976"/>
      <c r="H9" s="976"/>
      <c r="I9" s="976"/>
      <c r="J9" s="976"/>
      <c r="K9" s="976"/>
      <c r="L9" s="976"/>
      <c r="M9" s="976"/>
      <c r="N9" s="976"/>
      <c r="O9" s="976"/>
      <c r="P9" s="1011"/>
      <c r="R9" s="1025">
        <v>1</v>
      </c>
      <c r="S9" s="563">
        <v>80</v>
      </c>
      <c r="T9" s="1007" t="s">
        <v>624</v>
      </c>
      <c r="U9" s="1007"/>
      <c r="W9" s="1023"/>
      <c r="X9" s="1022"/>
      <c r="Y9" s="1022"/>
      <c r="Z9" s="1020"/>
      <c r="AA9" s="1020"/>
      <c r="AB9" s="988"/>
      <c r="AC9" s="1018"/>
      <c r="AD9" s="1018"/>
      <c r="AE9" s="988"/>
      <c r="AF9" s="988"/>
      <c r="AG9" s="988"/>
      <c r="AH9" s="988"/>
      <c r="AI9" s="988"/>
      <c r="AJ9" s="988"/>
      <c r="AK9" s="988"/>
      <c r="AL9" s="988"/>
      <c r="AN9" s="892"/>
      <c r="AO9" s="892"/>
    </row>
    <row r="10" spans="1:41" ht="14.25" customHeight="1">
      <c r="A10" s="829" t="s">
        <v>66</v>
      </c>
      <c r="B10" s="830"/>
      <c r="C10" s="831"/>
      <c r="D10" s="975"/>
      <c r="E10" s="975"/>
      <c r="F10" s="975"/>
      <c r="G10" s="977"/>
      <c r="H10" s="977"/>
      <c r="I10" s="79" t="s">
        <v>33</v>
      </c>
      <c r="J10" s="79" t="s">
        <v>203</v>
      </c>
      <c r="K10" s="79" t="str">
        <f>IF(Rotation="B",LHRLU,LHRAT)</f>
        <v>LHR-AT</v>
      </c>
      <c r="L10" s="79" t="str">
        <f>IF(Rotation="B",JFKLBBF,JFKLU)</f>
        <v>JFK-LU</v>
      </c>
      <c r="M10" s="975"/>
      <c r="N10" s="975"/>
      <c r="O10" s="975"/>
      <c r="P10" s="1009" t="e">
        <f>SUM(H11,I11,J11,K11,L11,)</f>
        <v>#DIV/0!</v>
      </c>
      <c r="R10" s="1025"/>
      <c r="S10" s="563">
        <v>89.99</v>
      </c>
      <c r="T10" s="1007"/>
      <c r="U10" s="1007"/>
      <c r="W10" s="1023"/>
      <c r="X10" s="1022"/>
      <c r="Y10" s="1022"/>
      <c r="Z10" s="1020"/>
      <c r="AA10" s="1020"/>
      <c r="AB10" s="988"/>
      <c r="AC10" s="1018"/>
      <c r="AD10" s="1018"/>
      <c r="AE10" s="988"/>
      <c r="AF10" s="988"/>
      <c r="AG10" s="988"/>
      <c r="AH10" s="988"/>
      <c r="AI10" s="988"/>
      <c r="AJ10" s="988"/>
      <c r="AK10" s="988"/>
      <c r="AL10" s="988"/>
      <c r="AN10" s="892"/>
      <c r="AO10" s="892"/>
    </row>
    <row r="11" spans="1:41" ht="15" customHeight="1">
      <c r="A11" s="829"/>
      <c r="B11" s="830"/>
      <c r="C11" s="831"/>
      <c r="D11" s="975"/>
      <c r="E11" s="975"/>
      <c r="F11" s="975"/>
      <c r="G11" s="978"/>
      <c r="H11" s="978"/>
      <c r="I11" s="983" t="e">
        <f>'D3-D14 Score'!T42</f>
        <v>#DIV/0!</v>
      </c>
      <c r="J11" s="983" t="e">
        <f>'D3-D14 Score'!Z42</f>
        <v>#DIV/0!</v>
      </c>
      <c r="K11" s="983" t="e">
        <f>IF(Rotation="B",PWSLHRLU,PWSLHRAT)</f>
        <v>#DIV/0!</v>
      </c>
      <c r="L11" s="983" t="e">
        <f>IF(Rotation="B",PWSJFKLBBF,PWSJFKLU)</f>
        <v>#DIV/0!</v>
      </c>
      <c r="M11" s="975"/>
      <c r="N11" s="975"/>
      <c r="O11" s="975"/>
      <c r="P11" s="1010"/>
      <c r="R11" s="1026">
        <v>2</v>
      </c>
      <c r="S11" s="564">
        <v>90</v>
      </c>
      <c r="T11" s="1015" t="s">
        <v>626</v>
      </c>
      <c r="U11" s="1015"/>
      <c r="W11" s="1023"/>
      <c r="X11" s="1022"/>
      <c r="Y11" s="1022"/>
      <c r="Z11" s="1020"/>
      <c r="AA11" s="1020"/>
      <c r="AB11" s="988"/>
      <c r="AC11" s="1018"/>
      <c r="AD11" s="1018"/>
      <c r="AE11" s="988"/>
      <c r="AF11" s="988"/>
      <c r="AG11" s="988"/>
      <c r="AH11" s="988"/>
      <c r="AI11" s="988"/>
      <c r="AJ11" s="988"/>
      <c r="AK11" s="988"/>
      <c r="AL11" s="988"/>
      <c r="AN11" s="892"/>
      <c r="AO11" s="892"/>
    </row>
    <row r="12" spans="1:41" ht="15" customHeight="1">
      <c r="A12" s="829"/>
      <c r="B12" s="830"/>
      <c r="C12" s="831"/>
      <c r="D12" s="975"/>
      <c r="E12" s="975"/>
      <c r="F12" s="975"/>
      <c r="G12" s="979"/>
      <c r="H12" s="979"/>
      <c r="I12" s="983"/>
      <c r="J12" s="983"/>
      <c r="K12" s="983"/>
      <c r="L12" s="983"/>
      <c r="M12" s="975">
        <v>3</v>
      </c>
      <c r="N12" s="975">
        <f>(M12/3)*100</f>
        <v>100</v>
      </c>
      <c r="O12" s="975"/>
      <c r="P12" s="1011"/>
      <c r="R12" s="1026"/>
      <c r="S12" s="564">
        <v>98.99</v>
      </c>
      <c r="T12" s="1015"/>
      <c r="U12" s="1015"/>
      <c r="W12" s="1021"/>
      <c r="X12" s="1022"/>
      <c r="Y12" s="1022"/>
      <c r="Z12" s="1020"/>
      <c r="AA12" s="1020"/>
      <c r="AB12" s="988"/>
      <c r="AC12" s="1018"/>
      <c r="AD12" s="1018"/>
      <c r="AE12" s="988"/>
      <c r="AF12" s="988"/>
      <c r="AG12" s="988"/>
      <c r="AH12" s="988"/>
      <c r="AI12" s="988"/>
      <c r="AJ12" s="988"/>
      <c r="AK12" s="988"/>
      <c r="AL12" s="988"/>
      <c r="AN12" s="892"/>
      <c r="AO12" s="892"/>
    </row>
    <row r="13" spans="1:41" ht="14.25" customHeight="1">
      <c r="A13" s="829" t="s">
        <v>1020</v>
      </c>
      <c r="B13" s="830"/>
      <c r="C13" s="831"/>
      <c r="D13" s="975"/>
      <c r="E13" s="975"/>
      <c r="F13" s="975"/>
      <c r="G13" s="80" t="s">
        <v>62</v>
      </c>
      <c r="H13" s="984"/>
      <c r="I13" s="80" t="s">
        <v>63</v>
      </c>
      <c r="J13" s="977"/>
      <c r="K13" s="80" t="s">
        <v>64</v>
      </c>
      <c r="L13" s="975"/>
      <c r="M13" s="977"/>
      <c r="N13" s="80" t="s">
        <v>65</v>
      </c>
      <c r="O13" s="80" t="s">
        <v>1017</v>
      </c>
      <c r="P13" s="1009" t="e">
        <f>AVERAGE(G14,I14,K14,N14,O14)</f>
        <v>#DIV/0!</v>
      </c>
      <c r="R13" s="1027">
        <v>3</v>
      </c>
      <c r="S13" s="602">
        <v>99</v>
      </c>
      <c r="T13" s="1016" t="s">
        <v>625</v>
      </c>
      <c r="U13" s="1016"/>
      <c r="V13" s="123"/>
      <c r="W13" s="1031">
        <f>StaffNumber</f>
        <v>0</v>
      </c>
      <c r="X13" s="939" t="str">
        <f>Name&amp;IF(AND(H39="No",H42&lt;&gt;"Yes")," ("&amp;SUBSTITUTE(H42,"No - ","")&amp;")","")</f>
        <v/>
      </c>
      <c r="Y13" s="940">
        <f>IF(IsRepeating="Yes","Original batch:"&amp;CHAR(10)&amp;A54&amp;CHAR(10)&amp;CHAR(10)&amp;"Finishing batch:"&amp;CHAR(10)&amp;Trainers,Trainers)</f>
        <v>0</v>
      </c>
      <c r="Z13" s="939" t="e">
        <f>IF(AND(H39="Yes",H42&lt;&gt;"Yes"),P19,IF(AND(H39="Yes",H42="Yes"),IF(ISNUMBER(H57),H57,"U/A"),""))</f>
        <v>#DIV/0!</v>
      </c>
      <c r="AA13" s="939" t="str">
        <f>IF(AND(H42="Yes"),P19,"")</f>
        <v/>
      </c>
      <c r="AB13" s="936" t="str">
        <f>IF(P42="Yes","I&amp;U Brand","")&amp;IF(AND(P42="Yes",X3="Yes"),CHAR(10),"")&amp;IF(X3="Yes","Service star","")</f>
        <v/>
      </c>
      <c r="AC13" s="935" t="e">
        <f>X25</f>
        <v>#VALUE!</v>
      </c>
      <c r="AD13" s="935" t="e">
        <f>IF(H39="Yes",DATEVALUE(X24),"")</f>
        <v>#VALUE!</v>
      </c>
      <c r="AE13" s="934" t="str">
        <f>IF(IsRepeating="Yes",SUBSTITUTE(SUBSTITUTE(UPPER(F51),"AB","")," ",""),IF(BatchAtCreation&lt;&gt;"",SUBSTITUTE(SUBSTITUTE(BatchAtCreation,"AB","")," ",""),SUBSTITUTE(SUBSTITUTE(Group,"AB","")," ","")))</f>
        <v>NOTENTERED</v>
      </c>
      <c r="AF13" s="879" t="str">
        <f>IF(G67&lt;&gt;"No","YES","")</f>
        <v/>
      </c>
      <c r="AG13" s="879" t="str">
        <f>IF(H42="Yes",SUBSTITUTE(SUBSTITUTE(BatchAtCreation,"AB","")," ",""),"")</f>
        <v/>
      </c>
      <c r="AH13" s="879" t="str">
        <f>IF(H42="Yes",H48,"did not repeat")</f>
        <v>did not repeat</v>
      </c>
      <c r="AI13" s="879" t="str">
        <f>IF(G67&lt;&gt;"No","Review: "&amp;O67,"")</f>
        <v/>
      </c>
      <c r="AJ13" s="879" t="str">
        <f>IF(AND(G67&lt;&gt;"No",O67&lt;&gt;X56),IF(AJ26&lt;&gt;"",IF(AND(AJ26&lt;&gt;"",AJ37&lt;&gt;""),"Original batch: "&amp;CHAR(10),"")&amp;AJ26,"")&amp;IF(AND(AJ26&lt;&gt;"",AJ37&lt;&gt;""),CHAR(10)&amp;CHAR(10),"")&amp;IF(AJ37&lt;&gt;"","Finishing batch: "&amp;CHAR(10)&amp;AJ37,""),"")</f>
        <v/>
      </c>
      <c r="AK13" s="879" t="str">
        <f>IF(AND(G67&lt;&gt;"No",O67&lt;&gt;X56),IF(AK26&lt;&gt;"",IF(AND(AK26&lt;&gt;"",AK37&lt;&gt;""),"Original batch: "&amp;CHAR(10),"")&amp;AK26,"")&amp;IF(AND(AK26&lt;&gt;"",AK37&lt;&gt;""),CHAR(10)&amp;CHAR(10),"")&amp;IF(AK37&lt;&gt;"","Finishing batch: "&amp;CHAR(10)&amp;AK37,""),"")</f>
        <v/>
      </c>
      <c r="AL13" s="879" t="str">
        <f>IF(AN13&lt;&gt;"",AN13,"")&amp;IF(AND(AN13&lt;&gt;"",AO13&lt;&gt;""),CHAR(10),"")&amp;IF(AO13&lt;&gt;"",AO13,"")</f>
        <v/>
      </c>
      <c r="AM13" s="117"/>
      <c r="AN13" s="879" t="str">
        <f>IF(AND(H42="Yes",H45&lt;&gt;"Performance"),"Reason for repeating: "&amp;H45,"")&amp;IF(AND(H39="No",H42&lt;&gt;"Yes"),"Reason for not finishing: "&amp;SUBSTITUTE(H42,"No - ",""),"")</f>
        <v/>
      </c>
      <c r="AO13" s="879" t="str">
        <f>IF(K51&lt;&gt;"","Trainer comments: "&amp;CHAR(10)&amp;K51,"")&amp;IF(AND(K51&lt;&gt;"",OR(AL26&lt;&gt;"",AL37&lt;&gt;"")),CHAR(10),"")&amp;IF(OR(AL26&lt;&gt;"",AL37&lt;&gt;""),"Review comments: "&amp;CHAR(10),"")&amp;IF(AND(AL26&lt;&gt;"",AL37&lt;&gt;""),"Original batch - ","")&amp;AL26&amp;IF(AND(AL26&lt;&gt;"",AL37&lt;&gt;""),CHAR(10)&amp;"Finishing batch - ","")&amp;AL37</f>
        <v/>
      </c>
    </row>
    <row r="14" spans="1:41" ht="15" customHeight="1">
      <c r="A14" s="829"/>
      <c r="B14" s="830"/>
      <c r="C14" s="831"/>
      <c r="D14" s="975"/>
      <c r="E14" s="975"/>
      <c r="F14" s="975"/>
      <c r="G14" s="1028" t="e">
        <f>KA!E6</f>
        <v>#DIV/0!</v>
      </c>
      <c r="H14" s="985"/>
      <c r="I14" s="1028" t="e">
        <f>KA!E7</f>
        <v>#DIV/0!</v>
      </c>
      <c r="J14" s="978"/>
      <c r="K14" s="1028" t="e">
        <f>KA!E8</f>
        <v>#DIV/0!</v>
      </c>
      <c r="L14" s="975"/>
      <c r="M14" s="978"/>
      <c r="N14" s="1028" t="e">
        <f>KA!E9</f>
        <v>#DIV/0!</v>
      </c>
      <c r="O14" s="1028">
        <f>KA!I25</f>
        <v>100</v>
      </c>
      <c r="P14" s="1010"/>
      <c r="R14" s="1027"/>
      <c r="S14" s="602">
        <v>100</v>
      </c>
      <c r="T14" s="1016"/>
      <c r="U14" s="1016"/>
      <c r="V14" s="123"/>
      <c r="W14" s="1031"/>
      <c r="X14" s="939"/>
      <c r="Y14" s="941"/>
      <c r="Z14" s="939"/>
      <c r="AA14" s="939"/>
      <c r="AB14" s="937"/>
      <c r="AC14" s="935"/>
      <c r="AD14" s="935"/>
      <c r="AE14" s="934"/>
      <c r="AF14" s="879"/>
      <c r="AG14" s="879"/>
      <c r="AH14" s="879"/>
      <c r="AI14" s="879"/>
      <c r="AJ14" s="879"/>
      <c r="AK14" s="879"/>
      <c r="AL14" s="879"/>
      <c r="AN14" s="879"/>
      <c r="AO14" s="879"/>
    </row>
    <row r="15" spans="1:41" ht="15" customHeight="1">
      <c r="A15" s="829"/>
      <c r="B15" s="830"/>
      <c r="C15" s="831"/>
      <c r="D15" s="975" t="s">
        <v>10</v>
      </c>
      <c r="E15" s="975"/>
      <c r="F15" s="975"/>
      <c r="G15" s="1028"/>
      <c r="H15" s="986"/>
      <c r="I15" s="1028"/>
      <c r="J15" s="979"/>
      <c r="K15" s="1028"/>
      <c r="L15" s="975"/>
      <c r="M15" s="979"/>
      <c r="N15" s="1028"/>
      <c r="O15" s="1028"/>
      <c r="P15" s="1011"/>
      <c r="S15" s="76"/>
      <c r="T15" s="76"/>
      <c r="V15" s="77"/>
      <c r="W15" s="1031"/>
      <c r="X15" s="939"/>
      <c r="Y15" s="941"/>
      <c r="Z15" s="939"/>
      <c r="AA15" s="939"/>
      <c r="AB15" s="937"/>
      <c r="AC15" s="935"/>
      <c r="AD15" s="935"/>
      <c r="AE15" s="934"/>
      <c r="AF15" s="879"/>
      <c r="AG15" s="879"/>
      <c r="AH15" s="879"/>
      <c r="AI15" s="879"/>
      <c r="AJ15" s="879"/>
      <c r="AK15" s="879"/>
      <c r="AL15" s="879"/>
      <c r="AN15" s="879"/>
      <c r="AO15" s="879"/>
    </row>
    <row r="16" spans="1:41" ht="14.25" customHeight="1">
      <c r="A16" s="829" t="s">
        <v>68</v>
      </c>
      <c r="B16" s="830"/>
      <c r="C16" s="831"/>
      <c r="D16" s="827">
        <f>'D3-D14 Score'!B42</f>
        <v>98.99</v>
      </c>
      <c r="E16" s="827">
        <f>'D3-D14 Score'!E42</f>
        <v>98.99</v>
      </c>
      <c r="F16" s="827">
        <f>'D3-D14 Score'!H42</f>
        <v>98.99</v>
      </c>
      <c r="G16" s="827">
        <f>'D3-D14 Score'!K42</f>
        <v>98.99</v>
      </c>
      <c r="H16" s="827">
        <f>'D3-D14 Score'!N42</f>
        <v>98.99</v>
      </c>
      <c r="I16" s="827" t="e">
        <f>'D3-D14 Score'!R42</f>
        <v>#DIV/0!</v>
      </c>
      <c r="J16" s="827" t="e">
        <f>'D3-D14 Score'!X42</f>
        <v>#DIV/0!</v>
      </c>
      <c r="K16" s="827" t="e">
        <f>IF(Rotation="B",CALHRLU,CALHRAT)</f>
        <v>#DIV/0!</v>
      </c>
      <c r="L16" s="827" t="e">
        <f>IF(Rotation="B",CAJFKLBBF,CAJFKLU)</f>
        <v>#DIV/0!</v>
      </c>
      <c r="M16" s="827">
        <f>'D3-D14 Score'!BB42</f>
        <v>98.99</v>
      </c>
      <c r="N16" s="827">
        <f>'D3-D14 Score'!BE42</f>
        <v>98.99</v>
      </c>
      <c r="O16" s="827">
        <f>'D3-D14 Score'!BH42</f>
        <v>98.99</v>
      </c>
      <c r="P16" s="1009" t="e">
        <f>AVERAGE(D16:O18)</f>
        <v>#DIV/0!</v>
      </c>
      <c r="V16" s="77"/>
      <c r="W16" s="1031"/>
      <c r="X16" s="939"/>
      <c r="Y16" s="941"/>
      <c r="Z16" s="939"/>
      <c r="AA16" s="939"/>
      <c r="AB16" s="937"/>
      <c r="AC16" s="935"/>
      <c r="AD16" s="935"/>
      <c r="AE16" s="934"/>
      <c r="AF16" s="879"/>
      <c r="AG16" s="879"/>
      <c r="AH16" s="879"/>
      <c r="AI16" s="879"/>
      <c r="AJ16" s="879"/>
      <c r="AK16" s="879"/>
      <c r="AL16" s="879"/>
      <c r="AN16" s="879"/>
      <c r="AO16" s="879"/>
    </row>
    <row r="17" spans="1:41" ht="15" customHeight="1">
      <c r="A17" s="829"/>
      <c r="B17" s="830"/>
      <c r="C17" s="831"/>
      <c r="D17" s="828"/>
      <c r="E17" s="828"/>
      <c r="F17" s="827"/>
      <c r="G17" s="827"/>
      <c r="H17" s="827"/>
      <c r="I17" s="827"/>
      <c r="J17" s="827"/>
      <c r="K17" s="827"/>
      <c r="L17" s="827"/>
      <c r="M17" s="827"/>
      <c r="N17" s="827"/>
      <c r="O17" s="827"/>
      <c r="P17" s="1010"/>
      <c r="W17" s="1031"/>
      <c r="X17" s="939"/>
      <c r="Y17" s="941"/>
      <c r="Z17" s="939"/>
      <c r="AA17" s="939"/>
      <c r="AB17" s="937"/>
      <c r="AC17" s="935"/>
      <c r="AD17" s="935"/>
      <c r="AE17" s="934"/>
      <c r="AF17" s="879"/>
      <c r="AG17" s="879"/>
      <c r="AH17" s="879"/>
      <c r="AI17" s="879"/>
      <c r="AJ17" s="879"/>
      <c r="AK17" s="879"/>
      <c r="AL17" s="879"/>
      <c r="AN17" s="879"/>
      <c r="AO17" s="879"/>
    </row>
    <row r="18" spans="1:41" ht="15.75" customHeight="1">
      <c r="A18" s="829"/>
      <c r="B18" s="830"/>
      <c r="C18" s="831"/>
      <c r="D18" s="828"/>
      <c r="E18" s="828"/>
      <c r="F18" s="827"/>
      <c r="G18" s="827"/>
      <c r="H18" s="827"/>
      <c r="I18" s="827"/>
      <c r="J18" s="827"/>
      <c r="K18" s="827"/>
      <c r="L18" s="827"/>
      <c r="M18" s="827"/>
      <c r="N18" s="827"/>
      <c r="O18" s="827"/>
      <c r="P18" s="1011"/>
      <c r="W18" s="1031"/>
      <c r="X18" s="939"/>
      <c r="Y18" s="942"/>
      <c r="Z18" s="939"/>
      <c r="AA18" s="939"/>
      <c r="AB18" s="938"/>
      <c r="AC18" s="935"/>
      <c r="AD18" s="935"/>
      <c r="AE18" s="934"/>
      <c r="AF18" s="879"/>
      <c r="AG18" s="879"/>
      <c r="AH18" s="879"/>
      <c r="AI18" s="879"/>
      <c r="AJ18" s="879"/>
      <c r="AK18" s="879"/>
      <c r="AL18" s="879"/>
      <c r="AN18" s="879"/>
      <c r="AO18" s="879"/>
    </row>
    <row r="19" spans="1:41" ht="15" customHeight="1">
      <c r="A19" s="1039" t="s">
        <v>67</v>
      </c>
      <c r="B19" s="1039"/>
      <c r="C19" s="1039"/>
      <c r="D19" s="1039"/>
      <c r="E19" s="1039"/>
      <c r="F19" s="1039"/>
      <c r="G19" s="1039"/>
      <c r="H19" s="1039"/>
      <c r="I19" s="1039"/>
      <c r="J19" s="1039"/>
      <c r="K19" s="1039"/>
      <c r="L19" s="1039"/>
      <c r="M19" s="1039"/>
      <c r="N19" s="1039"/>
      <c r="O19" s="1040"/>
      <c r="P19" s="1012" t="e">
        <f>AVERAGE(P10:P18)</f>
        <v>#DIV/0!</v>
      </c>
      <c r="W19" s="77"/>
      <c r="X19" s="77"/>
      <c r="AD19" s="52"/>
    </row>
    <row r="20" spans="1:41" ht="15" customHeight="1">
      <c r="A20" s="1041"/>
      <c r="B20" s="1041"/>
      <c r="C20" s="1041"/>
      <c r="D20" s="1041"/>
      <c r="E20" s="1041"/>
      <c r="F20" s="1041"/>
      <c r="G20" s="1041"/>
      <c r="H20" s="1041"/>
      <c r="I20" s="1041"/>
      <c r="J20" s="1041"/>
      <c r="K20" s="1041"/>
      <c r="L20" s="1041"/>
      <c r="M20" s="1041"/>
      <c r="N20" s="1041"/>
      <c r="O20" s="1042"/>
      <c r="P20" s="1013"/>
      <c r="W20" s="894" t="s">
        <v>129</v>
      </c>
      <c r="X20" s="895"/>
      <c r="AD20" s="52"/>
    </row>
    <row r="21" spans="1:41" ht="15.75" customHeight="1">
      <c r="A21" s="1043"/>
      <c r="B21" s="1043"/>
      <c r="C21" s="1043"/>
      <c r="D21" s="1043"/>
      <c r="E21" s="1043"/>
      <c r="F21" s="1043"/>
      <c r="G21" s="1043"/>
      <c r="H21" s="1043"/>
      <c r="I21" s="1043"/>
      <c r="J21" s="1043"/>
      <c r="K21" s="1043"/>
      <c r="L21" s="1043"/>
      <c r="M21" s="1043"/>
      <c r="N21" s="1043"/>
      <c r="O21" s="1044"/>
      <c r="P21" s="1014"/>
      <c r="W21" s="106" t="s">
        <v>105</v>
      </c>
      <c r="X21" s="107" t="e">
        <f>LEFT(Name,FIND(" ",Name)-1)</f>
        <v>#VALUE!</v>
      </c>
      <c r="Y21" s="106" t="s">
        <v>895</v>
      </c>
      <c r="Z21" s="106" t="e">
        <f>FirstName</f>
        <v>#VALUE!</v>
      </c>
      <c r="AD21" s="52"/>
      <c r="AI21" s="887"/>
      <c r="AJ21" s="888" t="s">
        <v>176</v>
      </c>
      <c r="AK21" s="1053" t="s">
        <v>174</v>
      </c>
      <c r="AL21" s="891" t="s">
        <v>172</v>
      </c>
    </row>
    <row r="22" spans="1:41" s="126" customFormat="1">
      <c r="A22" s="1048"/>
      <c r="B22" s="1048"/>
      <c r="C22" s="1048"/>
      <c r="D22" s="1048"/>
      <c r="E22" s="1048"/>
      <c r="F22" s="1048"/>
      <c r="G22" s="1048"/>
      <c r="H22" s="1048"/>
      <c r="I22" s="1048"/>
      <c r="J22" s="1048"/>
      <c r="K22" s="1048"/>
      <c r="L22" s="1048"/>
      <c r="M22" s="1048"/>
      <c r="N22" s="1048"/>
      <c r="O22" s="1048"/>
      <c r="P22" s="1048"/>
      <c r="W22" s="106" t="s">
        <v>171</v>
      </c>
      <c r="X22" s="108" t="e">
        <f>SUBSTITUTE(RIGHT(Date,LEN(Date)-FIND("to",Date)-LEN("to")+1)," ","")</f>
        <v>#VALUE!</v>
      </c>
      <c r="Y22" s="106" t="s">
        <v>896</v>
      </c>
      <c r="Z22" s="106" t="s">
        <v>925</v>
      </c>
      <c r="AI22" s="887"/>
      <c r="AJ22" s="889"/>
      <c r="AK22" s="1054"/>
      <c r="AL22" s="892"/>
    </row>
    <row r="23" spans="1:41" s="126" customFormat="1">
      <c r="A23" s="1049"/>
      <c r="B23" s="1049"/>
      <c r="C23" s="1049"/>
      <c r="D23" s="1049"/>
      <c r="E23" s="1049"/>
      <c r="F23" s="1049"/>
      <c r="G23" s="1049"/>
      <c r="H23" s="1049"/>
      <c r="I23" s="1049"/>
      <c r="J23" s="1049"/>
      <c r="K23" s="1049"/>
      <c r="L23" s="1049"/>
      <c r="M23" s="1049"/>
      <c r="N23" s="1049"/>
      <c r="O23" s="1049"/>
      <c r="P23" s="1049"/>
      <c r="W23" s="109" t="e">
        <f>FIND("/",X22)</f>
        <v>#VALUE!</v>
      </c>
      <c r="X23" s="110" t="e">
        <f>FIND("/",X22,FIND("/",X22)+1)</f>
        <v>#VALUE!</v>
      </c>
      <c r="AI23" s="887"/>
      <c r="AJ23" s="889"/>
      <c r="AK23" s="1054"/>
      <c r="AL23" s="892"/>
    </row>
    <row r="24" spans="1:41" ht="15" customHeight="1">
      <c r="A24" s="1032" t="s">
        <v>128</v>
      </c>
      <c r="B24" s="1033"/>
      <c r="C24" s="1033"/>
      <c r="D24" s="1033"/>
      <c r="E24" s="1033"/>
      <c r="F24" s="1033"/>
      <c r="G24" s="1033"/>
      <c r="H24" s="1033"/>
      <c r="I24" s="1033"/>
      <c r="J24" s="1033"/>
      <c r="K24" s="1033"/>
      <c r="L24" s="1033"/>
      <c r="M24" s="1033"/>
      <c r="N24" s="1033"/>
      <c r="O24" s="1033"/>
      <c r="P24" s="1034"/>
      <c r="S24" s="77"/>
      <c r="T24" s="77"/>
      <c r="V24" s="77"/>
      <c r="W24" s="124" t="s">
        <v>130</v>
      </c>
      <c r="X24" s="124" t="e">
        <f>SUBSTITUTE(IF(LEN(X22)-X23&lt;4,"20","")&amp;RIGHT(X22,LEN(X22)-X23)&amp;"-"&amp;MID(X22,W23+1,X23-W23-1)&amp;"-"&amp;LEFT(X22,W23-1)," ","")</f>
        <v>#VALUE!</v>
      </c>
      <c r="Z24" s="52"/>
      <c r="AA24" s="52"/>
      <c r="AB24" s="52"/>
      <c r="AC24" s="52"/>
      <c r="AD24" s="52"/>
      <c r="AI24" s="887"/>
      <c r="AJ24" s="889"/>
      <c r="AK24" s="1054"/>
      <c r="AL24" s="892"/>
    </row>
    <row r="25" spans="1:41" ht="15.75" customHeight="1">
      <c r="A25" s="1035"/>
      <c r="B25" s="996"/>
      <c r="C25" s="996"/>
      <c r="D25" s="996"/>
      <c r="E25" s="996"/>
      <c r="F25" s="996"/>
      <c r="G25" s="996"/>
      <c r="H25" s="996"/>
      <c r="I25" s="996"/>
      <c r="J25" s="996"/>
      <c r="K25" s="996"/>
      <c r="L25" s="996"/>
      <c r="M25" s="996"/>
      <c r="N25" s="996"/>
      <c r="O25" s="996"/>
      <c r="P25" s="1036"/>
      <c r="Q25" s="95" t="s">
        <v>105</v>
      </c>
      <c r="R25" s="95"/>
      <c r="S25" s="97" t="e">
        <f t="shared" ref="S25:S32" si="0">LEFT(Name,FIND(" ",Name)-1)</f>
        <v>#VALUE!</v>
      </c>
      <c r="T25" s="97"/>
      <c r="V25" s="77"/>
      <c r="W25" s="124" t="s">
        <v>937</v>
      </c>
      <c r="X25" s="124" t="e">
        <f>SUBSTITUTE(LEFT(Date,LEN(Date)-FIND("to",Date)-LEN("to")+1)," ","")</f>
        <v>#VALUE!</v>
      </c>
      <c r="Z25" s="52"/>
      <c r="AA25" s="52"/>
      <c r="AB25" s="52"/>
      <c r="AC25" s="52"/>
      <c r="AD25" s="52"/>
      <c r="AI25" s="887"/>
      <c r="AJ25" s="889"/>
      <c r="AK25" s="1054"/>
      <c r="AL25" s="892"/>
    </row>
    <row r="26" spans="1:41" ht="14" customHeight="1">
      <c r="A26" s="1035"/>
      <c r="B26" s="996"/>
      <c r="C26" s="996"/>
      <c r="D26" s="996"/>
      <c r="E26" s="996"/>
      <c r="F26" s="996"/>
      <c r="G26" s="996"/>
      <c r="H26" s="996"/>
      <c r="I26" s="996"/>
      <c r="J26" s="996"/>
      <c r="K26" s="996"/>
      <c r="L26" s="996"/>
      <c r="M26" s="996"/>
      <c r="N26" s="996"/>
      <c r="O26" s="996"/>
      <c r="P26" s="1036"/>
      <c r="Q26" s="81"/>
      <c r="R26" s="81"/>
      <c r="S26" s="97" t="e">
        <f t="shared" si="0"/>
        <v>#VALUE!</v>
      </c>
      <c r="T26" s="76"/>
      <c r="W26" s="125"/>
      <c r="X26" s="125"/>
      <c r="AB26" s="52"/>
      <c r="AC26" s="52"/>
      <c r="AD26" s="52"/>
      <c r="AI26" s="890"/>
      <c r="AJ26" s="885" t="str">
        <f>IF(B132&lt;&gt;"",B132,"")</f>
        <v/>
      </c>
      <c r="AK26" s="893" t="str">
        <f>IF(B136&lt;&gt;"",B136,"")</f>
        <v/>
      </c>
      <c r="AL26" s="879" t="str">
        <f>IF(A82&lt;&gt;"",A82,"")</f>
        <v/>
      </c>
    </row>
    <row r="27" spans="1:41" ht="30" customHeight="1">
      <c r="A27" s="956" t="s">
        <v>594</v>
      </c>
      <c r="B27" s="957"/>
      <c r="C27" s="957"/>
      <c r="D27" s="957"/>
      <c r="E27" s="957"/>
      <c r="F27" s="1037" t="str">
        <f>'Rubric (.)'!A12</f>
        <v>2. My Customer Service</v>
      </c>
      <c r="G27" s="1038"/>
      <c r="H27" s="1038"/>
      <c r="I27" s="1038"/>
      <c r="J27" s="880" t="str">
        <f>'Rubric (.)'!A21</f>
        <v>3. My Teamwork</v>
      </c>
      <c r="K27" s="881"/>
      <c r="L27" s="882"/>
      <c r="M27" s="883" t="str">
        <f>'Rubric (.)'!A28</f>
        <v>4. My Knowledge and Professional Image</v>
      </c>
      <c r="N27" s="884"/>
      <c r="O27" s="884"/>
      <c r="P27" s="884"/>
      <c r="S27" s="97" t="e">
        <f t="shared" si="0"/>
        <v>#VALUE!</v>
      </c>
      <c r="W27" s="894" t="s">
        <v>112</v>
      </c>
      <c r="X27" s="895"/>
      <c r="AB27" s="52"/>
      <c r="AC27" s="52"/>
      <c r="AD27" s="52"/>
      <c r="AI27" s="890"/>
      <c r="AJ27" s="885"/>
      <c r="AK27" s="893"/>
      <c r="AL27" s="879"/>
    </row>
    <row r="28" spans="1:41" ht="15" customHeight="1">
      <c r="A28" s="486">
        <v>1.1000000000000001</v>
      </c>
      <c r="B28" s="487">
        <v>1.2</v>
      </c>
      <c r="C28" s="487">
        <v>1.3</v>
      </c>
      <c r="D28" s="488">
        <v>1.4</v>
      </c>
      <c r="E28" s="488">
        <v>1.5</v>
      </c>
      <c r="F28" s="489">
        <v>2.1</v>
      </c>
      <c r="G28" s="490">
        <v>2.2000000000000002</v>
      </c>
      <c r="H28" s="490">
        <v>2.2999999999999998</v>
      </c>
      <c r="I28" s="491">
        <v>2.4</v>
      </c>
      <c r="J28" s="492">
        <v>3.1</v>
      </c>
      <c r="K28" s="493">
        <v>3.2</v>
      </c>
      <c r="L28" s="493">
        <v>3.3</v>
      </c>
      <c r="M28" s="494">
        <v>4.0999999999999996</v>
      </c>
      <c r="N28" s="495">
        <v>4.2</v>
      </c>
      <c r="O28" s="495">
        <v>4.3</v>
      </c>
      <c r="P28" s="495">
        <v>4.4000000000000004</v>
      </c>
      <c r="S28" s="97" t="e">
        <f t="shared" si="0"/>
        <v>#VALUE!</v>
      </c>
      <c r="W28" s="99" t="s">
        <v>93</v>
      </c>
      <c r="X28" s="99"/>
      <c r="AB28" s="52"/>
      <c r="AC28" s="52"/>
      <c r="AD28" s="52"/>
      <c r="AI28" s="890"/>
      <c r="AJ28" s="885"/>
      <c r="AK28" s="893"/>
      <c r="AL28" s="879"/>
    </row>
    <row r="29" spans="1:41" ht="30" customHeight="1">
      <c r="A29" s="581">
        <f>IF(Rotation="B",BKBI1.1,AKBI1.1)</f>
        <v>98.99</v>
      </c>
      <c r="B29" s="581">
        <f>IF(Rotation="B",BKBI1.2,AKBI1.2)</f>
        <v>98.99</v>
      </c>
      <c r="C29" s="581">
        <f>IF(Rotation="B",BKBI1.3,AKBI1.3)</f>
        <v>98.99</v>
      </c>
      <c r="D29" s="581">
        <f>IF(Rotation="B",BKBI1.4,AKBI1.4)</f>
        <v>98.99</v>
      </c>
      <c r="E29" s="581">
        <f>IF(Rotation="B",BKBI1.5,AKBI1.5)</f>
        <v>98.99</v>
      </c>
      <c r="F29" s="581">
        <f>IF(Rotation="B",BKBI2.1,AKBI2.1)</f>
        <v>98.99</v>
      </c>
      <c r="G29" s="581">
        <f>IF(Rotation="B",BKBI2.2,AKBI2.2)</f>
        <v>98.99</v>
      </c>
      <c r="H29" s="581">
        <f>IF(Rotation="B",BKBI2.3,AKBI2.3)</f>
        <v>98.99</v>
      </c>
      <c r="I29" s="581">
        <f>IF(Rotation="B",BKBI2.4,AKBI2.4)</f>
        <v>98.99</v>
      </c>
      <c r="J29" s="581">
        <f>IF(Rotation="B",BKBI3.1,AKBI3.1)</f>
        <v>98.99</v>
      </c>
      <c r="K29" s="581">
        <f>IF(Rotation="B",BKBI3.2,AKBI3.2)</f>
        <v>98.99</v>
      </c>
      <c r="L29" s="581">
        <f>IF(Rotation="B",BKBI3.3,AKBI3.3)</f>
        <v>98.99</v>
      </c>
      <c r="M29" s="581">
        <f>IF(Rotation="B",BKBI4.1,AKBI4.1)</f>
        <v>98.99</v>
      </c>
      <c r="N29" s="581">
        <f>IF(Rotation="B",BKBI4.2,AKBI4.2)</f>
        <v>98.99</v>
      </c>
      <c r="O29" s="581">
        <f>IF(Rotation="B",BKBI4.3,AKBI4.3)</f>
        <v>98.99</v>
      </c>
      <c r="P29" s="581">
        <f>IF(Rotation="B",BKBI4.4,AKBI4.4)</f>
        <v>98.99</v>
      </c>
      <c r="S29" s="97" t="e">
        <f t="shared" si="0"/>
        <v>#VALUE!</v>
      </c>
      <c r="W29" s="99" t="s">
        <v>108</v>
      </c>
      <c r="X29" s="99"/>
      <c r="AB29" s="52"/>
      <c r="AC29" s="52"/>
      <c r="AD29" s="52"/>
      <c r="AI29" s="890"/>
      <c r="AJ29" s="885"/>
      <c r="AK29" s="893"/>
      <c r="AL29" s="879"/>
    </row>
    <row r="30" spans="1:41" ht="15.75" customHeight="1">
      <c r="A30" s="131"/>
      <c r="B30" s="131"/>
      <c r="C30" s="131"/>
      <c r="D30" s="131"/>
      <c r="E30" s="131"/>
      <c r="F30" s="131"/>
      <c r="G30" s="131"/>
      <c r="H30" s="131"/>
      <c r="I30" s="131"/>
      <c r="J30" s="131"/>
      <c r="K30" s="131"/>
      <c r="L30" s="131"/>
      <c r="M30" s="131"/>
      <c r="N30" s="131"/>
      <c r="O30" s="131"/>
      <c r="P30" s="131"/>
      <c r="S30" s="97" t="e">
        <f t="shared" si="0"/>
        <v>#VALUE!</v>
      </c>
      <c r="T30" s="52"/>
      <c r="U30" s="52"/>
      <c r="AB30" s="52"/>
      <c r="AC30" s="52"/>
      <c r="AD30" s="52"/>
      <c r="AI30" s="890"/>
      <c r="AJ30" s="886"/>
      <c r="AK30" s="893"/>
      <c r="AL30" s="879"/>
    </row>
    <row r="31" spans="1:41" s="126" customFormat="1" ht="15" customHeight="1">
      <c r="A31" s="955"/>
      <c r="B31" s="896"/>
      <c r="C31" s="896"/>
      <c r="D31" s="896"/>
      <c r="E31" s="896"/>
      <c r="F31" s="896"/>
      <c r="G31" s="896"/>
      <c r="H31" s="896"/>
      <c r="I31" s="896"/>
      <c r="J31" s="896"/>
      <c r="K31" s="896"/>
      <c r="L31" s="896"/>
      <c r="M31" s="896"/>
      <c r="N31" s="896"/>
      <c r="O31" s="896"/>
      <c r="P31" s="896"/>
      <c r="S31" s="97" t="e">
        <f t="shared" si="0"/>
        <v>#VALUE!</v>
      </c>
      <c r="V31" s="76"/>
      <c r="W31" s="99" t="s">
        <v>93</v>
      </c>
      <c r="X31" s="99" t="s">
        <v>93</v>
      </c>
      <c r="AI31" s="145"/>
    </row>
    <row r="32" spans="1:41" s="126" customFormat="1">
      <c r="A32" s="955"/>
      <c r="B32" s="896"/>
      <c r="C32" s="896"/>
      <c r="D32" s="896"/>
      <c r="E32" s="896"/>
      <c r="F32" s="896"/>
      <c r="G32" s="896"/>
      <c r="H32" s="896"/>
      <c r="I32" s="896"/>
      <c r="J32" s="896"/>
      <c r="K32" s="896"/>
      <c r="L32" s="896"/>
      <c r="M32" s="896"/>
      <c r="N32" s="896"/>
      <c r="O32" s="896"/>
      <c r="P32" s="896"/>
      <c r="Q32" s="102"/>
      <c r="R32" s="102"/>
      <c r="S32" s="97" t="e">
        <f t="shared" si="0"/>
        <v>#VALUE!</v>
      </c>
      <c r="V32" s="76"/>
      <c r="W32" s="99" t="s">
        <v>108</v>
      </c>
      <c r="X32" s="99" t="s">
        <v>152</v>
      </c>
      <c r="AI32" s="887"/>
      <c r="AJ32" s="888" t="s">
        <v>177</v>
      </c>
      <c r="AK32" s="1053" t="s">
        <v>175</v>
      </c>
      <c r="AL32" s="891" t="s">
        <v>173</v>
      </c>
    </row>
    <row r="33" spans="1:38" ht="15" customHeight="1">
      <c r="A33" s="816" t="s">
        <v>164</v>
      </c>
      <c r="B33" s="817"/>
      <c r="C33" s="817"/>
      <c r="D33" s="817"/>
      <c r="E33" s="817"/>
      <c r="F33" s="817"/>
      <c r="G33" s="817"/>
      <c r="H33" s="817"/>
      <c r="I33" s="817"/>
      <c r="J33" s="817"/>
      <c r="K33" s="817"/>
      <c r="L33" s="817"/>
      <c r="M33" s="817"/>
      <c r="N33" s="817"/>
      <c r="O33" s="817"/>
      <c r="P33" s="818"/>
      <c r="S33" s="52"/>
      <c r="T33" s="104"/>
      <c r="W33" s="99"/>
      <c r="X33" s="99" t="s">
        <v>153</v>
      </c>
      <c r="AB33" s="52"/>
      <c r="AC33" s="52"/>
      <c r="AD33" s="52"/>
      <c r="AI33" s="887"/>
      <c r="AJ33" s="889"/>
      <c r="AK33" s="1054"/>
      <c r="AL33" s="892"/>
    </row>
    <row r="34" spans="1:38" ht="15.75" customHeight="1">
      <c r="A34" s="819"/>
      <c r="B34" s="820"/>
      <c r="C34" s="820"/>
      <c r="D34" s="820"/>
      <c r="E34" s="820"/>
      <c r="F34" s="820"/>
      <c r="G34" s="820"/>
      <c r="H34" s="820"/>
      <c r="I34" s="820"/>
      <c r="J34" s="820"/>
      <c r="K34" s="820"/>
      <c r="L34" s="820"/>
      <c r="M34" s="820"/>
      <c r="N34" s="820"/>
      <c r="O34" s="820"/>
      <c r="P34" s="821"/>
      <c r="S34" s="52"/>
      <c r="T34" s="104"/>
      <c r="W34" s="52"/>
      <c r="X34" s="52"/>
      <c r="AB34" s="52"/>
      <c r="AC34" s="52"/>
      <c r="AD34" s="52"/>
      <c r="AI34" s="887"/>
      <c r="AJ34" s="889"/>
      <c r="AK34" s="1054"/>
      <c r="AL34" s="892"/>
    </row>
    <row r="35" spans="1:38" ht="15.75" customHeight="1">
      <c r="A35" s="138"/>
      <c r="B35" s="132"/>
      <c r="C35" s="853" t="s">
        <v>179</v>
      </c>
      <c r="D35" s="853"/>
      <c r="E35" s="853"/>
      <c r="F35" s="853"/>
      <c r="G35" s="853"/>
      <c r="H35" s="853"/>
      <c r="I35" s="853"/>
      <c r="J35" s="853"/>
      <c r="K35" s="853"/>
      <c r="L35" s="853"/>
      <c r="M35" s="853"/>
      <c r="N35" s="853"/>
      <c r="O35" s="853"/>
      <c r="P35" s="139"/>
      <c r="S35" s="52"/>
      <c r="T35" s="104"/>
      <c r="W35" s="894" t="s">
        <v>116</v>
      </c>
      <c r="X35" s="895"/>
      <c r="AB35" s="52"/>
      <c r="AC35" s="52"/>
      <c r="AD35" s="52"/>
      <c r="AI35" s="887"/>
      <c r="AJ35" s="889"/>
      <c r="AK35" s="1054"/>
      <c r="AL35" s="892"/>
    </row>
    <row r="36" spans="1:38" ht="15.75" customHeight="1">
      <c r="A36" s="140"/>
      <c r="B36" s="135"/>
      <c r="C36" s="853"/>
      <c r="D36" s="853"/>
      <c r="E36" s="853"/>
      <c r="F36" s="853"/>
      <c r="G36" s="853"/>
      <c r="H36" s="853"/>
      <c r="I36" s="853"/>
      <c r="J36" s="853"/>
      <c r="K36" s="853"/>
      <c r="L36" s="853"/>
      <c r="M36" s="853"/>
      <c r="N36" s="853"/>
      <c r="O36" s="853"/>
      <c r="P36" s="141"/>
      <c r="S36" s="52"/>
      <c r="T36" s="104"/>
      <c r="W36" s="99" t="s">
        <v>193</v>
      </c>
      <c r="X36" s="99" t="s">
        <v>10</v>
      </c>
      <c r="AB36" s="52"/>
      <c r="AC36" s="52"/>
      <c r="AD36" s="52"/>
      <c r="AI36" s="887"/>
      <c r="AJ36" s="889"/>
      <c r="AK36" s="1054"/>
      <c r="AL36" s="892"/>
    </row>
    <row r="37" spans="1:38" ht="15.75" customHeight="1">
      <c r="A37" s="142"/>
      <c r="B37" s="136"/>
      <c r="C37" s="854"/>
      <c r="D37" s="854"/>
      <c r="E37" s="854"/>
      <c r="F37" s="854"/>
      <c r="G37" s="854"/>
      <c r="H37" s="854"/>
      <c r="I37" s="854"/>
      <c r="J37" s="854"/>
      <c r="K37" s="854"/>
      <c r="L37" s="854"/>
      <c r="M37" s="854"/>
      <c r="N37" s="854"/>
      <c r="O37" s="854"/>
      <c r="P37" s="143"/>
      <c r="S37" s="52"/>
      <c r="T37" s="105"/>
      <c r="W37" s="99" t="s">
        <v>191</v>
      </c>
      <c r="X37" s="52"/>
      <c r="AB37" s="52"/>
      <c r="AC37" s="52"/>
      <c r="AD37" s="52"/>
      <c r="AI37" s="890"/>
      <c r="AJ37" s="885" t="str">
        <f>IF(K132&lt;&gt;"",K132,"")</f>
        <v/>
      </c>
      <c r="AK37" s="893" t="str">
        <f>IF(K136&lt;&gt;"",K136,"")</f>
        <v/>
      </c>
      <c r="AL37" s="879" t="str">
        <f>IF(A101&lt;&gt;"",A101,"")</f>
        <v/>
      </c>
    </row>
    <row r="38" spans="1:38" ht="15.75" customHeight="1">
      <c r="A38" s="841" t="s">
        <v>104</v>
      </c>
      <c r="B38" s="842"/>
      <c r="C38" s="842"/>
      <c r="D38" s="842"/>
      <c r="E38" s="842"/>
      <c r="F38" s="842"/>
      <c r="G38" s="842"/>
      <c r="H38" s="842"/>
      <c r="I38" s="842"/>
      <c r="J38" s="843"/>
      <c r="K38" s="835" t="s">
        <v>106</v>
      </c>
      <c r="L38" s="835"/>
      <c r="M38" s="835"/>
      <c r="N38" s="835"/>
      <c r="O38" s="835"/>
      <c r="P38" s="836"/>
      <c r="Q38" s="103"/>
      <c r="R38" s="103"/>
      <c r="S38" s="103"/>
      <c r="T38" s="103"/>
      <c r="W38" s="99" t="s">
        <v>192</v>
      </c>
      <c r="X38" s="99"/>
      <c r="AB38" s="52"/>
      <c r="AC38" s="52"/>
      <c r="AD38" s="52"/>
      <c r="AI38" s="890"/>
      <c r="AJ38" s="885"/>
      <c r="AK38" s="893"/>
      <c r="AL38" s="879"/>
    </row>
    <row r="39" spans="1:38" ht="14" customHeight="1">
      <c r="A39" s="902" t="e">
        <f>IFERROR("Is "&amp;FirstName&amp;" completing service training on "&amp;TEXT(DATEVALUE(X24),"d mmmm yyyy")&amp;"?","Will "&amp;FirstName&amp;" finish service training with your batch?")</f>
        <v>#VALUE!</v>
      </c>
      <c r="B39" s="903"/>
      <c r="C39" s="903"/>
      <c r="D39" s="903"/>
      <c r="E39" s="903"/>
      <c r="F39" s="903"/>
      <c r="G39" s="903"/>
      <c r="H39" s="832" t="s">
        <v>93</v>
      </c>
      <c r="I39" s="832"/>
      <c r="J39" s="822"/>
      <c r="K39" s="849" t="e">
        <f>IFERROR(IF(P19&gt;98.99,IF(AND(H42="Yes",H45="Performance"),FirstName&amp;" cannot be a service star (repeating due to performance)",FirstName&amp;" is a service star"),FirstName&amp;"'s score does not qualify for this nomination"),FirstName&amp;"'s file is not yet complete")</f>
        <v>#VALUE!</v>
      </c>
      <c r="L39" s="849"/>
      <c r="M39" s="849"/>
      <c r="N39" s="849"/>
      <c r="O39" s="849"/>
      <c r="P39" s="850"/>
      <c r="S39" s="103"/>
      <c r="T39" s="103"/>
      <c r="W39" s="52"/>
      <c r="X39" s="52"/>
      <c r="Y39" s="52"/>
      <c r="Z39" s="52"/>
      <c r="AA39" s="52"/>
      <c r="AB39" s="52"/>
      <c r="AC39" s="52"/>
      <c r="AD39" s="52"/>
      <c r="AI39" s="890"/>
      <c r="AJ39" s="885"/>
      <c r="AK39" s="893"/>
      <c r="AL39" s="879"/>
    </row>
    <row r="40" spans="1:38" ht="15" customHeight="1">
      <c r="A40" s="873"/>
      <c r="B40" s="874"/>
      <c r="C40" s="874"/>
      <c r="D40" s="874"/>
      <c r="E40" s="874"/>
      <c r="F40" s="874"/>
      <c r="G40" s="874"/>
      <c r="H40" s="833"/>
      <c r="I40" s="833"/>
      <c r="J40" s="834"/>
      <c r="K40" s="851"/>
      <c r="L40" s="851"/>
      <c r="M40" s="851"/>
      <c r="N40" s="851"/>
      <c r="O40" s="851"/>
      <c r="P40" s="852"/>
      <c r="Q40" s="148"/>
      <c r="R40" s="561"/>
      <c r="S40" s="103"/>
      <c r="T40" s="103"/>
      <c r="W40" s="894" t="s">
        <v>115</v>
      </c>
      <c r="X40" s="895"/>
      <c r="Y40" s="52"/>
      <c r="Z40" s="52"/>
      <c r="AA40" s="52"/>
      <c r="AB40" s="52"/>
      <c r="AC40" s="52"/>
      <c r="AD40" s="52"/>
      <c r="AI40" s="890"/>
      <c r="AJ40" s="885"/>
      <c r="AK40" s="893"/>
      <c r="AL40" s="879"/>
    </row>
    <row r="41" spans="1:38" ht="15" customHeight="1">
      <c r="A41" s="839" t="s">
        <v>119</v>
      </c>
      <c r="B41" s="840"/>
      <c r="C41" s="840"/>
      <c r="D41" s="840"/>
      <c r="E41" s="840"/>
      <c r="F41" s="840"/>
      <c r="G41" s="840"/>
      <c r="H41" s="840"/>
      <c r="I41" s="840"/>
      <c r="J41" s="904"/>
      <c r="K41" s="1045" t="s">
        <v>107</v>
      </c>
      <c r="L41" s="1046"/>
      <c r="M41" s="1046"/>
      <c r="N41" s="1046"/>
      <c r="O41" s="1046"/>
      <c r="P41" s="1047"/>
      <c r="Q41" s="76"/>
      <c r="R41" s="76"/>
      <c r="S41" s="77"/>
      <c r="T41" s="77"/>
      <c r="W41" s="130" t="s">
        <v>190</v>
      </c>
      <c r="X41" s="130" t="s">
        <v>10</v>
      </c>
      <c r="Y41" s="52"/>
      <c r="Z41" s="52"/>
      <c r="AA41" s="52"/>
      <c r="AB41" s="52"/>
      <c r="AC41" s="52"/>
      <c r="AD41" s="52"/>
      <c r="AI41" s="890"/>
      <c r="AJ41" s="885"/>
      <c r="AK41" s="893"/>
      <c r="AL41" s="879"/>
    </row>
    <row r="42" spans="1:38" ht="15" customHeight="1">
      <c r="A42" s="902" t="e">
        <f>IF(H39="Yes","Did "&amp;FirstName&amp;" repeat service training?","Will "&amp;FirstName&amp;" repeat a week?")</f>
        <v>#VALUE!</v>
      </c>
      <c r="B42" s="903"/>
      <c r="C42" s="903"/>
      <c r="D42" s="903"/>
      <c r="E42" s="903"/>
      <c r="F42" s="903"/>
      <c r="G42" s="903"/>
      <c r="H42" s="832" t="s">
        <v>108</v>
      </c>
      <c r="I42" s="832"/>
      <c r="J42" s="822"/>
      <c r="K42" s="898" t="e">
        <f>IF(D29=100,"Would you like to nominate "&amp;FirstName&amp;" as a brand ambassador?",FirstName&amp;" has had image &amp; uniform shortfalls and cannot be nominated")</f>
        <v>#VALUE!</v>
      </c>
      <c r="L42" s="898"/>
      <c r="M42" s="898"/>
      <c r="N42" s="898"/>
      <c r="O42" s="898"/>
      <c r="P42" s="822" t="s">
        <v>108</v>
      </c>
      <c r="S42" s="77"/>
      <c r="T42" s="77"/>
      <c r="W42" s="130" t="s">
        <v>109</v>
      </c>
      <c r="X42" s="130" t="s">
        <v>10</v>
      </c>
      <c r="Y42" s="52"/>
      <c r="Z42" s="52"/>
      <c r="AA42" s="52"/>
      <c r="AB42" s="52"/>
      <c r="AC42" s="52"/>
      <c r="AD42" s="52"/>
      <c r="AI42" s="890"/>
      <c r="AJ42" s="886"/>
      <c r="AK42" s="893"/>
      <c r="AL42" s="879"/>
    </row>
    <row r="43" spans="1:38" ht="14" customHeight="1">
      <c r="A43" s="873"/>
      <c r="B43" s="874"/>
      <c r="C43" s="874"/>
      <c r="D43" s="874"/>
      <c r="E43" s="874"/>
      <c r="F43" s="874"/>
      <c r="G43" s="874"/>
      <c r="H43" s="833"/>
      <c r="I43" s="833"/>
      <c r="J43" s="834"/>
      <c r="K43" s="851"/>
      <c r="L43" s="851"/>
      <c r="M43" s="851"/>
      <c r="N43" s="851"/>
      <c r="O43" s="851"/>
      <c r="P43" s="834"/>
      <c r="Q43" s="147"/>
      <c r="R43" s="562"/>
      <c r="S43" s="77"/>
      <c r="T43" s="77"/>
      <c r="W43" s="130" t="s">
        <v>110</v>
      </c>
      <c r="X43" s="130"/>
      <c r="Y43" s="52"/>
      <c r="Z43" s="52"/>
      <c r="AA43" s="52"/>
      <c r="AB43" s="52"/>
      <c r="AC43" s="52"/>
      <c r="AD43" s="52"/>
    </row>
    <row r="44" spans="1:38" ht="14.25" customHeight="1">
      <c r="A44" s="839" t="s">
        <v>115</v>
      </c>
      <c r="B44" s="840"/>
      <c r="C44" s="840"/>
      <c r="D44" s="840"/>
      <c r="E44" s="840"/>
      <c r="F44" s="840"/>
      <c r="G44" s="840"/>
      <c r="H44" s="840"/>
      <c r="I44" s="840"/>
      <c r="J44" s="904"/>
      <c r="K44" s="1029" t="s">
        <v>212</v>
      </c>
      <c r="L44" s="1029"/>
      <c r="M44" s="1029"/>
      <c r="N44" s="1029"/>
      <c r="O44" s="1029"/>
      <c r="P44" s="1030"/>
      <c r="Q44" s="76"/>
      <c r="R44" s="76"/>
      <c r="S44" s="77"/>
      <c r="T44" s="77"/>
      <c r="W44" s="99" t="s">
        <v>124</v>
      </c>
      <c r="X44" s="99"/>
      <c r="Y44" s="52"/>
      <c r="Z44" s="52"/>
      <c r="AA44" s="52"/>
      <c r="AB44" s="52"/>
      <c r="AC44" s="52"/>
      <c r="AD44" s="52"/>
    </row>
    <row r="45" spans="1:38" ht="14.25" customHeight="1">
      <c r="A45" s="912" t="e">
        <f>"Why "&amp;IF(AND(H39="Yes",H42="Yes"),"did "&amp;FirstName&amp;" repeat?","is "&amp;FirstName&amp;" repeating?")</f>
        <v>#VALUE!</v>
      </c>
      <c r="B45" s="913"/>
      <c r="C45" s="913"/>
      <c r="D45" s="913"/>
      <c r="E45" s="913"/>
      <c r="F45" s="913"/>
      <c r="G45" s="913"/>
      <c r="H45" s="832" t="str">
        <f>IF(H42="Yes","Select reason",X41)</f>
        <v>N/A</v>
      </c>
      <c r="I45" s="832"/>
      <c r="J45" s="822"/>
      <c r="K45" s="897" t="e">
        <f>"Do you have concerns with "&amp;FirstName&amp;"'s level of English?"</f>
        <v>#VALUE!</v>
      </c>
      <c r="L45" s="898"/>
      <c r="M45" s="898"/>
      <c r="N45" s="898"/>
      <c r="O45" s="898"/>
      <c r="P45" s="822" t="s">
        <v>108</v>
      </c>
      <c r="Q45" s="76"/>
      <c r="R45" s="76"/>
      <c r="S45" s="77"/>
      <c r="T45" s="77"/>
      <c r="W45" s="120"/>
      <c r="X45" s="120"/>
      <c r="Y45" s="52"/>
      <c r="Z45" s="52"/>
      <c r="AA45" s="52"/>
      <c r="AB45" s="52"/>
      <c r="AC45" s="52"/>
      <c r="AD45" s="52"/>
    </row>
    <row r="46" spans="1:38" ht="14.25" customHeight="1">
      <c r="A46" s="914"/>
      <c r="B46" s="915"/>
      <c r="C46" s="915"/>
      <c r="D46" s="915"/>
      <c r="E46" s="915"/>
      <c r="F46" s="915"/>
      <c r="G46" s="915"/>
      <c r="H46" s="833"/>
      <c r="I46" s="833"/>
      <c r="J46" s="834"/>
      <c r="K46" s="1055"/>
      <c r="L46" s="1056"/>
      <c r="M46" s="1056"/>
      <c r="N46" s="1056"/>
      <c r="O46" s="1056"/>
      <c r="P46" s="822"/>
      <c r="Q46" s="76"/>
      <c r="R46" s="76"/>
      <c r="S46" s="77"/>
      <c r="T46" s="77"/>
      <c r="W46" s="894" t="s">
        <v>117</v>
      </c>
      <c r="X46" s="895"/>
      <c r="Y46" s="52"/>
      <c r="Z46" s="52"/>
      <c r="AA46" s="52"/>
      <c r="AB46" s="52"/>
      <c r="AC46" s="52"/>
      <c r="AD46" s="52"/>
    </row>
    <row r="47" spans="1:38" ht="14.25" customHeight="1">
      <c r="A47" s="839" t="s">
        <v>118</v>
      </c>
      <c r="B47" s="840"/>
      <c r="C47" s="840"/>
      <c r="D47" s="840"/>
      <c r="E47" s="840"/>
      <c r="F47" s="840"/>
      <c r="G47" s="840"/>
      <c r="H47" s="840"/>
      <c r="I47" s="840"/>
      <c r="J47" s="904"/>
      <c r="K47" s="916" t="str">
        <f>IF(P45="Yes","Please provide details","")</f>
        <v/>
      </c>
      <c r="L47" s="917"/>
      <c r="M47" s="917"/>
      <c r="N47" s="917"/>
      <c r="O47" s="917"/>
      <c r="P47" s="918"/>
      <c r="Q47" s="76"/>
      <c r="R47" s="76"/>
      <c r="S47" s="77"/>
      <c r="T47" s="77"/>
      <c r="W47" s="99" t="s">
        <v>114</v>
      </c>
      <c r="X47" s="100" t="s">
        <v>93</v>
      </c>
      <c r="Y47" s="52"/>
      <c r="Z47" s="52"/>
      <c r="AA47" s="52"/>
      <c r="AB47" s="52"/>
      <c r="AC47" s="52"/>
      <c r="AD47" s="52"/>
    </row>
    <row r="48" spans="1:38" ht="14.25" customHeight="1">
      <c r="A48" s="912" t="str">
        <f>"From which week "&amp;IF(AND(H39="Yes",H42="Yes"),"did","will")&amp;" he/she repeat?"</f>
        <v>From which week will he/she repeat?</v>
      </c>
      <c r="B48" s="913"/>
      <c r="C48" s="913"/>
      <c r="D48" s="913"/>
      <c r="E48" s="913"/>
      <c r="F48" s="913"/>
      <c r="G48" s="913"/>
      <c r="H48" s="832" t="str">
        <f>IF(H42="Yes","Select week", X36)</f>
        <v>N/A</v>
      </c>
      <c r="I48" s="832"/>
      <c r="J48" s="822"/>
      <c r="K48" s="919"/>
      <c r="L48" s="920"/>
      <c r="M48" s="920"/>
      <c r="N48" s="920"/>
      <c r="O48" s="920"/>
      <c r="P48" s="921"/>
      <c r="Q48" s="76"/>
      <c r="R48" s="76"/>
      <c r="S48" s="77"/>
      <c r="T48" s="77"/>
      <c r="W48" s="99"/>
      <c r="X48" s="99" t="s">
        <v>108</v>
      </c>
      <c r="Y48" s="52"/>
      <c r="Z48" s="52"/>
      <c r="AA48" s="52"/>
      <c r="AB48" s="52"/>
      <c r="AC48" s="52"/>
      <c r="AD48" s="52"/>
    </row>
    <row r="49" spans="1:33" ht="14.25" customHeight="1">
      <c r="A49" s="914"/>
      <c r="B49" s="915"/>
      <c r="C49" s="915"/>
      <c r="D49" s="915"/>
      <c r="E49" s="915"/>
      <c r="F49" s="915"/>
      <c r="G49" s="915"/>
      <c r="H49" s="833"/>
      <c r="I49" s="833"/>
      <c r="J49" s="834"/>
      <c r="K49" s="922"/>
      <c r="L49" s="923"/>
      <c r="M49" s="923"/>
      <c r="N49" s="923"/>
      <c r="O49" s="923"/>
      <c r="P49" s="924"/>
      <c r="Q49" s="76"/>
      <c r="R49" s="76"/>
      <c r="S49" s="77"/>
      <c r="T49" s="77"/>
      <c r="W49" s="52"/>
      <c r="X49" s="52"/>
      <c r="Y49" s="52"/>
      <c r="Z49" s="52"/>
      <c r="AA49" s="52"/>
      <c r="AB49" s="52"/>
      <c r="AC49" s="52"/>
      <c r="AD49" s="52"/>
    </row>
    <row r="50" spans="1:33" ht="14.25" customHeight="1">
      <c r="A50" s="839" t="s">
        <v>154</v>
      </c>
      <c r="B50" s="840"/>
      <c r="C50" s="840"/>
      <c r="D50" s="840"/>
      <c r="E50" s="840"/>
      <c r="F50" s="840" t="str">
        <f>IF(H39="Yes","Finishing with batch",IF(H42="Yes","Moved to batch","Batch before leaving"))</f>
        <v>Finishing with batch</v>
      </c>
      <c r="G50" s="840"/>
      <c r="H50" s="840"/>
      <c r="I50" s="840"/>
      <c r="J50" s="904"/>
      <c r="K50" s="905" t="s">
        <v>126</v>
      </c>
      <c r="L50" s="906"/>
      <c r="M50" s="906"/>
      <c r="N50" s="906"/>
      <c r="O50" s="906"/>
      <c r="P50" s="907"/>
      <c r="Q50" s="96"/>
      <c r="R50" s="96"/>
      <c r="S50" s="96"/>
      <c r="T50" s="96"/>
      <c r="W50" s="894" t="s">
        <v>127</v>
      </c>
      <c r="X50" s="895"/>
      <c r="Y50" s="52"/>
      <c r="Z50" s="52"/>
      <c r="AA50" s="52"/>
      <c r="AB50" s="52"/>
      <c r="AC50" s="52"/>
      <c r="AD50" s="52"/>
    </row>
    <row r="51" spans="1:33" ht="14.25" customHeight="1">
      <c r="A51" s="1062" t="str">
        <f>IF(H42="Yes","Enter batch","N/A")</f>
        <v>N/A</v>
      </c>
      <c r="B51" s="832"/>
      <c r="C51" s="832"/>
      <c r="D51" s="832"/>
      <c r="E51" s="832"/>
      <c r="F51" s="832">
        <f>IF(H42="Yes","Enter batch",Group)</f>
        <v>0</v>
      </c>
      <c r="G51" s="832"/>
      <c r="H51" s="832"/>
      <c r="I51" s="832"/>
      <c r="J51" s="822"/>
      <c r="K51" s="919"/>
      <c r="L51" s="920"/>
      <c r="M51" s="920"/>
      <c r="N51" s="920"/>
      <c r="O51" s="920"/>
      <c r="P51" s="921"/>
      <c r="Q51" s="16"/>
      <c r="R51" s="16"/>
      <c r="S51" s="16"/>
      <c r="T51" s="52"/>
      <c r="W51" s="99" t="s">
        <v>120</v>
      </c>
      <c r="X51" s="99" t="s">
        <v>190</v>
      </c>
      <c r="AD51" s="52"/>
    </row>
    <row r="52" spans="1:33" ht="14.25" customHeight="1">
      <c r="A52" s="1063"/>
      <c r="B52" s="833"/>
      <c r="C52" s="833"/>
      <c r="D52" s="833"/>
      <c r="E52" s="833"/>
      <c r="F52" s="833"/>
      <c r="G52" s="833"/>
      <c r="H52" s="833"/>
      <c r="I52" s="833"/>
      <c r="J52" s="834"/>
      <c r="K52" s="919"/>
      <c r="L52" s="920"/>
      <c r="M52" s="920"/>
      <c r="N52" s="920"/>
      <c r="O52" s="920"/>
      <c r="P52" s="921"/>
      <c r="Q52" s="16"/>
      <c r="R52" s="16"/>
      <c r="S52" s="16"/>
      <c r="T52" s="52"/>
      <c r="W52" s="98"/>
      <c r="X52" s="99" t="s">
        <v>187</v>
      </c>
      <c r="Y52" s="81"/>
      <c r="Z52" s="76"/>
      <c r="AA52" s="76"/>
      <c r="AE52" s="77"/>
      <c r="AF52" s="77"/>
      <c r="AG52" s="77"/>
    </row>
    <row r="53" spans="1:33" ht="14.25" customHeight="1">
      <c r="A53" s="861" t="s">
        <v>195</v>
      </c>
      <c r="B53" s="862"/>
      <c r="C53" s="862"/>
      <c r="D53" s="862"/>
      <c r="E53" s="862"/>
      <c r="F53" s="862"/>
      <c r="G53" s="862"/>
      <c r="H53" s="862"/>
      <c r="I53" s="862"/>
      <c r="J53" s="863"/>
      <c r="K53" s="919"/>
      <c r="L53" s="920"/>
      <c r="M53" s="920"/>
      <c r="N53" s="920"/>
      <c r="O53" s="920"/>
      <c r="P53" s="921"/>
      <c r="Q53" s="96"/>
      <c r="R53" s="96"/>
      <c r="S53" s="96"/>
      <c r="T53" s="96"/>
      <c r="W53" s="98"/>
      <c r="X53" s="99" t="s">
        <v>100</v>
      </c>
      <c r="Y53" s="52"/>
      <c r="Z53" s="52"/>
      <c r="AA53" s="52"/>
      <c r="AB53" s="52"/>
      <c r="AC53" s="52"/>
      <c r="AD53" s="52"/>
    </row>
    <row r="54" spans="1:33" ht="14.25" customHeight="1">
      <c r="A54" s="908" t="str">
        <f>IF(A51="N/A","N/A","Enter trainer 1 / Enter trainer 2")</f>
        <v>N/A</v>
      </c>
      <c r="B54" s="909"/>
      <c r="C54" s="909"/>
      <c r="D54" s="909"/>
      <c r="E54" s="909"/>
      <c r="F54" s="909"/>
      <c r="G54" s="909"/>
      <c r="H54" s="909"/>
      <c r="I54" s="909"/>
      <c r="J54" s="910"/>
      <c r="K54" s="919"/>
      <c r="L54" s="920"/>
      <c r="M54" s="920"/>
      <c r="N54" s="920"/>
      <c r="O54" s="920"/>
      <c r="P54" s="921"/>
      <c r="Q54" s="16"/>
      <c r="R54" s="16"/>
      <c r="S54" s="16"/>
      <c r="T54" s="52"/>
      <c r="W54" s="99"/>
      <c r="X54" s="99" t="s">
        <v>186</v>
      </c>
      <c r="AD54" s="52"/>
    </row>
    <row r="55" spans="1:33" ht="14.25" customHeight="1">
      <c r="A55" s="911"/>
      <c r="B55" s="859"/>
      <c r="C55" s="859"/>
      <c r="D55" s="859"/>
      <c r="E55" s="859"/>
      <c r="F55" s="859"/>
      <c r="G55" s="859"/>
      <c r="H55" s="859"/>
      <c r="I55" s="859"/>
      <c r="J55" s="860"/>
      <c r="K55" s="919"/>
      <c r="L55" s="920"/>
      <c r="M55" s="920"/>
      <c r="N55" s="920"/>
      <c r="O55" s="920"/>
      <c r="P55" s="921"/>
      <c r="Q55" s="16"/>
      <c r="R55" s="16"/>
      <c r="S55" s="16"/>
      <c r="T55" s="52"/>
      <c r="W55" s="98"/>
      <c r="X55" s="99" t="s">
        <v>9</v>
      </c>
      <c r="Y55" s="81"/>
      <c r="Z55" s="76"/>
      <c r="AA55" s="76"/>
      <c r="AE55" s="77"/>
      <c r="AF55" s="77"/>
      <c r="AG55" s="77"/>
    </row>
    <row r="56" spans="1:33" ht="14.25" customHeight="1">
      <c r="A56" s="839" t="s">
        <v>178</v>
      </c>
      <c r="B56" s="840"/>
      <c r="C56" s="840"/>
      <c r="D56" s="840"/>
      <c r="E56" s="840"/>
      <c r="F56" s="840"/>
      <c r="G56" s="840"/>
      <c r="H56" s="840"/>
      <c r="I56" s="840"/>
      <c r="J56" s="904"/>
      <c r="K56" s="919"/>
      <c r="L56" s="920"/>
      <c r="M56" s="920"/>
      <c r="N56" s="920"/>
      <c r="O56" s="920"/>
      <c r="P56" s="921"/>
      <c r="Q56" s="16"/>
      <c r="R56" s="16"/>
      <c r="S56" s="16"/>
      <c r="T56" s="52"/>
      <c r="W56" s="98"/>
      <c r="X56" s="99" t="s">
        <v>188</v>
      </c>
      <c r="Y56" s="81"/>
      <c r="Z56" s="76"/>
      <c r="AA56" s="76"/>
      <c r="AE56" s="77"/>
      <c r="AF56" s="77"/>
      <c r="AG56" s="77"/>
    </row>
    <row r="57" spans="1:33" ht="14.25" customHeight="1">
      <c r="A57" s="897" t="s">
        <v>194</v>
      </c>
      <c r="B57" s="898"/>
      <c r="C57" s="898"/>
      <c r="D57" s="898"/>
      <c r="E57" s="898"/>
      <c r="F57" s="898"/>
      <c r="G57" s="899"/>
      <c r="H57" s="823" t="str">
        <f>IF(H42&lt;&gt;"Yes",X41,"Enter score")</f>
        <v>N/A</v>
      </c>
      <c r="I57" s="823"/>
      <c r="J57" s="824"/>
      <c r="K57" s="919"/>
      <c r="L57" s="920"/>
      <c r="M57" s="920"/>
      <c r="N57" s="920"/>
      <c r="O57" s="920"/>
      <c r="P57" s="921"/>
      <c r="Q57" s="16"/>
      <c r="R57" s="16"/>
      <c r="S57" s="16"/>
      <c r="T57" s="52"/>
      <c r="W57" s="98"/>
      <c r="X57" s="99" t="s">
        <v>189</v>
      </c>
      <c r="Y57" s="81"/>
      <c r="Z57" s="76"/>
      <c r="AA57" s="76"/>
      <c r="AE57" s="77"/>
      <c r="AF57" s="77"/>
      <c r="AG57" s="77"/>
    </row>
    <row r="58" spans="1:33" ht="14.25" customHeight="1">
      <c r="A58" s="900"/>
      <c r="B58" s="851"/>
      <c r="C58" s="851"/>
      <c r="D58" s="851"/>
      <c r="E58" s="851"/>
      <c r="F58" s="851"/>
      <c r="G58" s="901"/>
      <c r="H58" s="825"/>
      <c r="I58" s="825"/>
      <c r="J58" s="826"/>
      <c r="K58" s="922"/>
      <c r="L58" s="923"/>
      <c r="M58" s="923"/>
      <c r="N58" s="923"/>
      <c r="O58" s="923"/>
      <c r="P58" s="924"/>
      <c r="Q58" s="16"/>
      <c r="R58" s="16"/>
      <c r="S58" s="16"/>
      <c r="T58" s="52"/>
      <c r="W58" s="98"/>
      <c r="X58" s="99" t="s">
        <v>212</v>
      </c>
      <c r="Y58" s="81"/>
      <c r="Z58" s="76"/>
      <c r="AA58" s="76"/>
      <c r="AE58" s="77"/>
      <c r="AF58" s="77"/>
      <c r="AG58" s="77"/>
    </row>
    <row r="59" spans="1:33" ht="14.25" customHeight="1">
      <c r="A59" s="150"/>
      <c r="B59" s="151"/>
      <c r="C59" s="151"/>
      <c r="D59" s="151"/>
      <c r="E59" s="151"/>
      <c r="F59" s="151"/>
      <c r="G59" s="151"/>
      <c r="H59" s="151"/>
      <c r="I59" s="151"/>
      <c r="J59" s="151"/>
      <c r="K59" s="151"/>
      <c r="L59" s="151"/>
      <c r="M59" s="151"/>
      <c r="N59" s="151"/>
      <c r="O59" s="151"/>
      <c r="P59" s="151"/>
      <c r="Q59" s="16"/>
      <c r="R59" s="16"/>
      <c r="S59" s="16"/>
      <c r="T59" s="52"/>
      <c r="W59" s="52"/>
      <c r="Y59" s="81"/>
      <c r="Z59" s="76"/>
      <c r="AA59" s="76"/>
      <c r="AE59" s="77"/>
      <c r="AF59" s="77"/>
      <c r="AG59" s="77"/>
    </row>
    <row r="60" spans="1:33" ht="14.25" customHeight="1">
      <c r="A60" s="816" t="s">
        <v>201</v>
      </c>
      <c r="B60" s="817"/>
      <c r="C60" s="817"/>
      <c r="D60" s="817"/>
      <c r="E60" s="817"/>
      <c r="F60" s="817"/>
      <c r="G60" s="817"/>
      <c r="H60" s="817"/>
      <c r="I60" s="817"/>
      <c r="J60" s="817"/>
      <c r="K60" s="817"/>
      <c r="L60" s="817"/>
      <c r="M60" s="817"/>
      <c r="N60" s="817"/>
      <c r="O60" s="817"/>
      <c r="P60" s="818"/>
      <c r="Q60" s="127"/>
      <c r="R60" s="127"/>
      <c r="S60" s="128"/>
      <c r="T60" s="129"/>
      <c r="U60" s="127"/>
      <c r="W60" s="52"/>
      <c r="Y60" s="81"/>
      <c r="Z60" s="76"/>
      <c r="AA60" s="76"/>
      <c r="AE60" s="77"/>
      <c r="AF60" s="77"/>
      <c r="AG60" s="77"/>
    </row>
    <row r="61" spans="1:33" s="127" customFormat="1" ht="14.25" customHeight="1">
      <c r="A61" s="819"/>
      <c r="B61" s="820"/>
      <c r="C61" s="820"/>
      <c r="D61" s="820"/>
      <c r="E61" s="820"/>
      <c r="F61" s="820"/>
      <c r="G61" s="820"/>
      <c r="H61" s="820"/>
      <c r="I61" s="820"/>
      <c r="J61" s="820"/>
      <c r="K61" s="820"/>
      <c r="L61" s="820"/>
      <c r="M61" s="820"/>
      <c r="N61" s="820"/>
      <c r="O61" s="820"/>
      <c r="P61" s="821"/>
      <c r="S61" s="128"/>
      <c r="T61" s="129"/>
      <c r="W61" s="52"/>
      <c r="X61" s="77"/>
    </row>
    <row r="62" spans="1:33" s="127" customFormat="1" ht="14.25" customHeight="1">
      <c r="A62" s="972" t="str">
        <f>"Step 1 of "&amp;IF(AND(IsFinishing="Yes",IsRepeating="Yes",RepeatReason="Performance"),"2","1")&amp;":"</f>
        <v>Step 1 of 1:</v>
      </c>
      <c r="B62" s="972"/>
      <c r="C62" s="972"/>
      <c r="D62" s="972"/>
      <c r="E62" s="972"/>
      <c r="F62" s="972"/>
      <c r="G62" s="972"/>
      <c r="H62" s="972"/>
      <c r="I62" s="972"/>
      <c r="J62" s="972"/>
      <c r="K62" s="972"/>
      <c r="L62" s="972"/>
      <c r="M62" s="972"/>
      <c r="N62" s="972"/>
      <c r="O62" s="972"/>
      <c r="P62" s="973"/>
      <c r="Q62" s="76"/>
      <c r="R62" s="76"/>
      <c r="S62" s="76"/>
      <c r="T62" s="76"/>
      <c r="U62" s="76"/>
      <c r="W62" s="894" t="s">
        <v>196</v>
      </c>
      <c r="X62" s="895"/>
    </row>
    <row r="63" spans="1:33" ht="14.25" customHeight="1">
      <c r="A63" s="972"/>
      <c r="B63" s="972"/>
      <c r="C63" s="972"/>
      <c r="D63" s="972"/>
      <c r="E63" s="972"/>
      <c r="F63" s="972"/>
      <c r="G63" s="972"/>
      <c r="H63" s="972"/>
      <c r="I63" s="972"/>
      <c r="J63" s="972"/>
      <c r="K63" s="972"/>
      <c r="L63" s="972"/>
      <c r="M63" s="972"/>
      <c r="N63" s="972"/>
      <c r="O63" s="972"/>
      <c r="P63" s="973"/>
      <c r="Q63" s="76"/>
      <c r="R63" s="76"/>
      <c r="S63" s="76"/>
      <c r="T63" s="76"/>
      <c r="W63" s="99" t="s">
        <v>10</v>
      </c>
      <c r="X63" s="99" t="s">
        <v>197</v>
      </c>
      <c r="AB63" s="52"/>
      <c r="AC63" s="52"/>
      <c r="AD63" s="52"/>
    </row>
    <row r="64" spans="1:33" ht="15" customHeight="1">
      <c r="A64" s="845" t="e">
        <f>IF(AND(H39="No",H42="Yes",H45="Performance"),FirstName&amp;" is repeating due to performance and must be on service review. As the trainers of his/her original batch, select the reason &amp; competencies for why he/she is repeating",IF(AND(H39="Yes",H42="Yes",H45="Performance"),FirstName&amp;" repeated the course and the following section was completed by his/her previous trainers. Please go to step 2.",IF(IF(ISNUMBER(P19),IF(P19&lt;S11,TRUE,FALSE),FALSE),FirstName&amp;" must be on review because his/her overall score is below 90. Please complete the review section",IF(English.Flag="Yes",FirstName&amp;" must be on service review due to english concerns. Comptencies only need to be selected if applicable.","If you would like to put "&amp;FirstName&amp;" on service review, complete the following section:"))))</f>
        <v>#VALUE!</v>
      </c>
      <c r="B64" s="845"/>
      <c r="C64" s="845"/>
      <c r="D64" s="845"/>
      <c r="E64" s="845"/>
      <c r="F64" s="845"/>
      <c r="G64" s="845"/>
      <c r="H64" s="845"/>
      <c r="I64" s="845"/>
      <c r="J64" s="845"/>
      <c r="K64" s="845"/>
      <c r="L64" s="845"/>
      <c r="M64" s="845"/>
      <c r="N64" s="845"/>
      <c r="O64" s="845"/>
      <c r="P64" s="846"/>
      <c r="Q64" s="76"/>
      <c r="R64" s="76"/>
      <c r="S64" s="76"/>
      <c r="T64" s="120"/>
      <c r="U64" s="120"/>
      <c r="V64" s="52"/>
      <c r="W64" s="52"/>
      <c r="X64" s="77"/>
      <c r="AB64" s="52"/>
      <c r="AC64" s="52"/>
      <c r="AD64" s="52"/>
    </row>
    <row r="65" spans="1:42" s="122" customFormat="1" ht="15" customHeight="1">
      <c r="A65" s="847"/>
      <c r="B65" s="847"/>
      <c r="C65" s="847"/>
      <c r="D65" s="847"/>
      <c r="E65" s="847"/>
      <c r="F65" s="847"/>
      <c r="G65" s="847"/>
      <c r="H65" s="847"/>
      <c r="I65" s="847"/>
      <c r="J65" s="847"/>
      <c r="K65" s="847"/>
      <c r="L65" s="847"/>
      <c r="M65" s="847"/>
      <c r="N65" s="847"/>
      <c r="O65" s="847"/>
      <c r="P65" s="848"/>
      <c r="Q65" s="76"/>
      <c r="R65" s="76"/>
      <c r="S65" s="76"/>
      <c r="T65" s="76"/>
      <c r="U65" s="76"/>
      <c r="W65" s="52"/>
      <c r="X65" s="52"/>
      <c r="Y65" s="120"/>
      <c r="Z65" s="120"/>
      <c r="AA65" s="120"/>
      <c r="AB65" s="120"/>
      <c r="AC65" s="120"/>
      <c r="AD65" s="120"/>
      <c r="AE65" s="120"/>
      <c r="AF65" s="120"/>
      <c r="AG65" s="121"/>
      <c r="AH65" s="119" t="str">
        <f>IF(AO42="Yes"," (to be completed by trainers of "&amp;FirstName&amp;"'s original batch)","")</f>
        <v/>
      </c>
      <c r="AI65" s="120"/>
      <c r="AJ65" s="120"/>
      <c r="AK65" s="120"/>
      <c r="AL65" s="120"/>
      <c r="AM65" s="120"/>
      <c r="AN65" s="120"/>
      <c r="AO65" s="120"/>
      <c r="AP65" s="120"/>
    </row>
    <row r="66" spans="1:42" ht="14" customHeight="1">
      <c r="A66" s="1057" t="s">
        <v>111</v>
      </c>
      <c r="B66" s="1058"/>
      <c r="C66" s="1058"/>
      <c r="D66" s="1058"/>
      <c r="E66" s="1058"/>
      <c r="F66" s="1058"/>
      <c r="G66" s="1058"/>
      <c r="H66" s="1058"/>
      <c r="I66" s="1058"/>
      <c r="J66" s="1058"/>
      <c r="K66" s="1058"/>
      <c r="L66" s="1058"/>
      <c r="M66" s="1058"/>
      <c r="N66" s="1058"/>
      <c r="O66" s="1058"/>
      <c r="P66" s="1059"/>
      <c r="Q66" s="76"/>
      <c r="R66" s="76"/>
      <c r="S66" s="76"/>
      <c r="T66" s="76"/>
      <c r="V66" s="52"/>
      <c r="W66" s="168" t="s">
        <v>214</v>
      </c>
      <c r="X66" s="165" t="e">
        <f>"If you would like to put "&amp;FirstName&amp;" on service review, complete the following section:"</f>
        <v>#VALUE!</v>
      </c>
      <c r="AA66" s="52"/>
      <c r="AB66" s="52"/>
      <c r="AC66" s="52"/>
      <c r="AD66" s="52"/>
    </row>
    <row r="67" spans="1:42" ht="14" customHeight="1">
      <c r="A67" s="871" t="e">
        <f>IF(H45="Performance",FirstName&amp;" must be on service review because he/she has repeated due to performance","Would you like to put "&amp;FirstName&amp;" forward for service review?")</f>
        <v>#VALUE!</v>
      </c>
      <c r="B67" s="872"/>
      <c r="C67" s="872"/>
      <c r="D67" s="872"/>
      <c r="E67" s="872"/>
      <c r="F67" s="872"/>
      <c r="G67" s="855" t="str">
        <f>IF(OR(AND(H45="Performance",H42="Yes"),IF(ISNUMBER(P19),IF(P19&lt;S11,TRUE,FALSE),FALSE),English.Flag="Yes"),"Mandatory","No")</f>
        <v>No</v>
      </c>
      <c r="H67" s="856"/>
      <c r="I67" s="857"/>
      <c r="J67" s="864" t="str">
        <f>IF(AND(H42="Yes",H45="Performance"),"Why is "&amp;FirstName&amp;" repeating?","What is the reason for service reivew?")</f>
        <v>What is the reason for service reivew?</v>
      </c>
      <c r="K67" s="865"/>
      <c r="L67" s="865"/>
      <c r="M67" s="865"/>
      <c r="N67" s="866"/>
      <c r="O67" s="1064" t="str">
        <f>IF(G67&lt;&gt;"No",IF(IF(ISNUMBER(P19),IF(P19&lt;S11,TRUE,FALSE),FALSE),X52,IF(English.Flag="Yes",X58,"Select reason")),"Not on review")</f>
        <v>Not on review</v>
      </c>
      <c r="P67" s="1065"/>
      <c r="Q67" s="76"/>
      <c r="R67" s="76"/>
      <c r="S67" s="76"/>
      <c r="T67" s="76"/>
      <c r="V67" s="52"/>
      <c r="W67" s="168" t="s">
        <v>213</v>
      </c>
      <c r="X67" s="165" t="e">
        <f>FirstName&amp;" is repeating due to performance and must be on service review. As the trainers of his/her original batch, select the reason &amp; competencies for why he/she is repeating"</f>
        <v>#VALUE!</v>
      </c>
      <c r="AA67" s="52"/>
      <c r="AB67" s="52"/>
      <c r="AC67" s="52"/>
      <c r="AD67" s="52"/>
    </row>
    <row r="68" spans="1:42" ht="15" customHeight="1">
      <c r="A68" s="873"/>
      <c r="B68" s="874"/>
      <c r="C68" s="874"/>
      <c r="D68" s="874"/>
      <c r="E68" s="874"/>
      <c r="F68" s="874"/>
      <c r="G68" s="858"/>
      <c r="H68" s="859"/>
      <c r="I68" s="860"/>
      <c r="J68" s="867"/>
      <c r="K68" s="868"/>
      <c r="L68" s="868"/>
      <c r="M68" s="868"/>
      <c r="N68" s="869"/>
      <c r="O68" s="1066"/>
      <c r="P68" s="1067"/>
      <c r="Q68" s="72"/>
      <c r="R68" s="72"/>
      <c r="S68" s="133"/>
      <c r="T68" s="76"/>
      <c r="W68" s="168" t="s">
        <v>215</v>
      </c>
      <c r="X68" s="165" t="e">
        <f>FirstName&amp;" repeated the course and the following section was completed by his/her previous trainers. Please go to step 2."</f>
        <v>#VALUE!</v>
      </c>
      <c r="Z68" s="52"/>
      <c r="AA68" s="52"/>
      <c r="AB68" s="52"/>
      <c r="AC68" s="52"/>
      <c r="AD68" s="52"/>
    </row>
    <row r="69" spans="1:42" ht="15" customHeight="1">
      <c r="A69" s="1057" t="e">
        <f>"Which KBIs resulted in "&amp;FirstName&amp;IF(H42="Yes"," repeating course content and being put forward for service review?"," being put forward for service review?")</f>
        <v>#VALUE!</v>
      </c>
      <c r="B69" s="1058"/>
      <c r="C69" s="1058"/>
      <c r="D69" s="1058"/>
      <c r="E69" s="1058"/>
      <c r="F69" s="1058"/>
      <c r="G69" s="1058"/>
      <c r="H69" s="1058"/>
      <c r="I69" s="1058"/>
      <c r="J69" s="1058"/>
      <c r="K69" s="1058"/>
      <c r="L69" s="1058"/>
      <c r="M69" s="1058"/>
      <c r="N69" s="1058"/>
      <c r="O69" s="1058"/>
      <c r="P69" s="1059"/>
      <c r="Q69" s="72"/>
      <c r="R69" s="72"/>
      <c r="S69" s="134"/>
      <c r="T69" s="76"/>
      <c r="W69" s="169" t="s">
        <v>216</v>
      </c>
      <c r="X69" s="165" t="e">
        <f>FirstName&amp;" must be on review because his/her overall score is below 90. Please complete the review section"</f>
        <v>#VALUE!</v>
      </c>
      <c r="Z69" s="52"/>
      <c r="AA69" s="52"/>
      <c r="AB69" s="52"/>
      <c r="AC69" s="52"/>
      <c r="AD69" s="52"/>
    </row>
    <row r="70" spans="1:42" ht="19.5" customHeight="1">
      <c r="A70" s="844" t="str">
        <f>'Rubric (.)'!A1</f>
        <v>1. My Professionalism</v>
      </c>
      <c r="B70" s="844"/>
      <c r="C70" s="844"/>
      <c r="D70" s="844"/>
      <c r="E70" s="1060" t="str">
        <f>'Rubric (.)'!A12</f>
        <v>2. My Customer Service</v>
      </c>
      <c r="F70" s="1061"/>
      <c r="G70" s="1061"/>
      <c r="H70" s="1061"/>
      <c r="I70" s="875" t="str">
        <f>'Rubric (.)'!A21</f>
        <v>3. My Teamwork</v>
      </c>
      <c r="J70" s="876"/>
      <c r="K70" s="876"/>
      <c r="L70" s="877"/>
      <c r="M70" s="837" t="str">
        <f>'Rubric (.)'!A28</f>
        <v>4. My Knowledge and Professional Image</v>
      </c>
      <c r="N70" s="838"/>
      <c r="O70" s="838"/>
      <c r="P70" s="838"/>
      <c r="S70" s="76"/>
      <c r="T70" s="76"/>
      <c r="V70" s="52"/>
      <c r="W70" s="169" t="s">
        <v>217</v>
      </c>
      <c r="X70" s="165"/>
      <c r="Y70" s="52"/>
      <c r="Z70" s="52"/>
      <c r="AA70" s="52"/>
      <c r="AB70" s="52"/>
      <c r="AC70" s="52"/>
      <c r="AD70" s="52"/>
    </row>
    <row r="71" spans="1:42" ht="30" customHeight="1">
      <c r="A71" s="814" t="str">
        <f>'Rubric (.)'!A2</f>
        <v>1.1 Positive Approach: Shows drive, passion and energy</v>
      </c>
      <c r="B71" s="814"/>
      <c r="C71" s="814"/>
      <c r="D71" s="870" t="s">
        <v>108</v>
      </c>
      <c r="E71" s="814" t="str">
        <f>'Rubric (.)'!A13</f>
        <v>2.1 Friendly and Caring: Builds relationships with customers and creates a welcoming and comfortable environment</v>
      </c>
      <c r="F71" s="814"/>
      <c r="G71" s="814"/>
      <c r="H71" s="878" t="s">
        <v>108</v>
      </c>
      <c r="I71" s="814" t="str">
        <f>'Rubric (.)'!A22</f>
        <v>3.1 Relationship Builder: Develops good working relationship and promotes a positive work environment</v>
      </c>
      <c r="J71" s="814"/>
      <c r="K71" s="814"/>
      <c r="L71" s="815" t="s">
        <v>108</v>
      </c>
      <c r="M71" s="814" t="str">
        <f>'Rubric (.)'!A29</f>
        <v>4.1 Image &amp; Uniform</v>
      </c>
      <c r="N71" s="814"/>
      <c r="O71" s="814"/>
      <c r="P71" s="815" t="s">
        <v>108</v>
      </c>
      <c r="T71" s="76"/>
      <c r="W71" s="165"/>
      <c r="X71" s="165"/>
      <c r="AD71" s="52"/>
    </row>
    <row r="72" spans="1:42" ht="30" customHeight="1">
      <c r="A72" s="814"/>
      <c r="B72" s="814"/>
      <c r="C72" s="814"/>
      <c r="D72" s="870"/>
      <c r="E72" s="814"/>
      <c r="F72" s="814"/>
      <c r="G72" s="814"/>
      <c r="H72" s="878"/>
      <c r="I72" s="814"/>
      <c r="J72" s="814"/>
      <c r="K72" s="814"/>
      <c r="L72" s="815"/>
      <c r="M72" s="814"/>
      <c r="N72" s="814"/>
      <c r="O72" s="814"/>
      <c r="P72" s="815"/>
      <c r="T72" s="133"/>
      <c r="W72" s="165"/>
      <c r="X72" s="165"/>
      <c r="AD72" s="52"/>
    </row>
    <row r="73" spans="1:42" ht="30" customHeight="1">
      <c r="A73" s="814" t="str">
        <f>'Rubric (.)'!A4</f>
        <v>1.2 Resilient: Is calm and controlled under pressure. Adjusts to changes and manages challenging situations effectively</v>
      </c>
      <c r="B73" s="814"/>
      <c r="C73" s="814"/>
      <c r="D73" s="870" t="s">
        <v>108</v>
      </c>
      <c r="E73" s="814" t="str">
        <f>'Rubric (.)'!A15</f>
        <v>2.2 Anticipating customer needs: Anticipates customers’ needs and uses their initiative to meet them</v>
      </c>
      <c r="F73" s="814"/>
      <c r="G73" s="814"/>
      <c r="H73" s="878" t="s">
        <v>108</v>
      </c>
      <c r="I73" s="943" t="str">
        <f>'Rubric (.)'!A24</f>
        <v>3.2 Team Player: Helps and supports others to achieve team goals. Understands how their work affects others</v>
      </c>
      <c r="J73" s="944"/>
      <c r="K73" s="945"/>
      <c r="L73" s="815" t="s">
        <v>108</v>
      </c>
      <c r="M73" s="814" t="str">
        <f>Rubric!A31</f>
        <v>4.2  SEP/ SEC/ GMT</v>
      </c>
      <c r="N73" s="814"/>
      <c r="O73" s="814"/>
      <c r="P73" s="815" t="s">
        <v>108</v>
      </c>
      <c r="T73" s="134"/>
      <c r="W73" s="166"/>
      <c r="X73" s="167"/>
    </row>
    <row r="74" spans="1:42" ht="30" customHeight="1">
      <c r="A74" s="814"/>
      <c r="B74" s="814"/>
      <c r="C74" s="814"/>
      <c r="D74" s="870"/>
      <c r="E74" s="814"/>
      <c r="F74" s="814"/>
      <c r="G74" s="814"/>
      <c r="H74" s="878"/>
      <c r="I74" s="946"/>
      <c r="J74" s="947"/>
      <c r="K74" s="948"/>
      <c r="L74" s="815"/>
      <c r="M74" s="814"/>
      <c r="N74" s="814"/>
      <c r="O74" s="814"/>
      <c r="P74" s="815"/>
      <c r="T74" s="76"/>
      <c r="W74" s="166"/>
      <c r="X74" s="167"/>
    </row>
    <row r="75" spans="1:42" ht="30" customHeight="1">
      <c r="A75" s="814" t="str">
        <f>'Rubric (.)'!A6</f>
        <v>1.3 Cosmopolitan: Shows respect for other cultures and appreciates differences</v>
      </c>
      <c r="B75" s="814"/>
      <c r="C75" s="814"/>
      <c r="D75" s="870" t="s">
        <v>108</v>
      </c>
      <c r="E75" s="943" t="str">
        <f>'Rubric (.)'!A17</f>
        <v>2.3 Responsive and Helpful: Provides a prompt and flexible approach to meeting customer needs and requests. Ability to handle customer complaints and concerns.</v>
      </c>
      <c r="F75" s="944"/>
      <c r="G75" s="945"/>
      <c r="H75" s="878" t="s">
        <v>108</v>
      </c>
      <c r="I75" s="946"/>
      <c r="J75" s="947"/>
      <c r="K75" s="948"/>
      <c r="L75" s="815"/>
      <c r="M75" s="943" t="str">
        <f>Rubric!A33</f>
        <v>4.3 Knowledge and promotion of Emirates products: Evaluation of crew in this category should take into account assigned cabin onboard</v>
      </c>
      <c r="N75" s="944"/>
      <c r="O75" s="945"/>
      <c r="P75" s="952" t="s">
        <v>108</v>
      </c>
      <c r="W75" s="77"/>
      <c r="X75" s="77"/>
    </row>
    <row r="76" spans="1:42" ht="30" customHeight="1">
      <c r="A76" s="814"/>
      <c r="B76" s="814"/>
      <c r="C76" s="814"/>
      <c r="D76" s="870"/>
      <c r="E76" s="946"/>
      <c r="F76" s="947"/>
      <c r="G76" s="948"/>
      <c r="H76" s="878"/>
      <c r="I76" s="949"/>
      <c r="J76" s="950"/>
      <c r="K76" s="951"/>
      <c r="L76" s="815"/>
      <c r="M76" s="946"/>
      <c r="N76" s="947"/>
      <c r="O76" s="948"/>
      <c r="P76" s="953"/>
      <c r="S76" s="52"/>
      <c r="W76" s="77"/>
      <c r="X76" s="77"/>
    </row>
    <row r="77" spans="1:42" ht="30" customHeight="1">
      <c r="A77" s="814" t="str">
        <f>'Rubric (.)'!A8</f>
        <v>1.4 Organised: Has an organised and structured approach to work</v>
      </c>
      <c r="B77" s="814"/>
      <c r="C77" s="814"/>
      <c r="D77" s="870" t="s">
        <v>108</v>
      </c>
      <c r="E77" s="946"/>
      <c r="F77" s="947"/>
      <c r="G77" s="948"/>
      <c r="H77" s="878"/>
      <c r="I77" s="943" t="str">
        <f>'Rubric (.)'!A26</f>
        <v>3.3 Effective Communicator: Communicates clearly and appropriately. Shares information to ensure the efficient and effective delivery of service. Used active listening skills</v>
      </c>
      <c r="J77" s="944"/>
      <c r="K77" s="945"/>
      <c r="L77" s="815" t="s">
        <v>108</v>
      </c>
      <c r="M77" s="946"/>
      <c r="N77" s="947"/>
      <c r="O77" s="948"/>
      <c r="P77" s="954"/>
      <c r="Q77" s="73"/>
      <c r="R77" s="73"/>
      <c r="W77" s="77"/>
      <c r="X77" s="77"/>
    </row>
    <row r="78" spans="1:42" ht="30" customHeight="1">
      <c r="A78" s="814"/>
      <c r="B78" s="814"/>
      <c r="C78" s="814"/>
      <c r="D78" s="870"/>
      <c r="E78" s="949"/>
      <c r="F78" s="950"/>
      <c r="G78" s="951"/>
      <c r="H78" s="878"/>
      <c r="I78" s="946"/>
      <c r="J78" s="947"/>
      <c r="K78" s="948"/>
      <c r="L78" s="815"/>
      <c r="M78" s="943" t="str">
        <f>Rubric!A35</f>
        <v>4.4 Knowledge and delivery of service standards and procedures: Evaluation of crew in this category should take into account assigned cabin onboard</v>
      </c>
      <c r="N78" s="944"/>
      <c r="O78" s="945"/>
      <c r="P78" s="952" t="s">
        <v>108</v>
      </c>
      <c r="W78" s="77"/>
      <c r="X78" s="77"/>
      <c r="Y78" s="76"/>
    </row>
    <row r="79" spans="1:42" ht="30" customHeight="1">
      <c r="A79" s="814" t="str">
        <f>'Rubric (.)'!A10</f>
        <v>1.5 Thorough: Demonstrates a strong attention to detail</v>
      </c>
      <c r="B79" s="814"/>
      <c r="C79" s="814"/>
      <c r="D79" s="870" t="s">
        <v>108</v>
      </c>
      <c r="E79" s="814" t="str">
        <f>'Rubric (.)'!A19</f>
        <v>2.4 Service Style: Fully reflected expectations for their cabin</v>
      </c>
      <c r="F79" s="814"/>
      <c r="G79" s="814"/>
      <c r="H79" s="878" t="s">
        <v>108</v>
      </c>
      <c r="I79" s="946"/>
      <c r="J79" s="947"/>
      <c r="K79" s="948"/>
      <c r="L79" s="815"/>
      <c r="M79" s="946"/>
      <c r="N79" s="947"/>
      <c r="O79" s="948"/>
      <c r="P79" s="953"/>
      <c r="Q79" s="81"/>
      <c r="R79" s="81"/>
      <c r="S79" s="76"/>
      <c r="W79" s="52"/>
      <c r="X79" s="77"/>
      <c r="Y79" s="76"/>
    </row>
    <row r="80" spans="1:42" ht="30" customHeight="1">
      <c r="A80" s="814"/>
      <c r="B80" s="814"/>
      <c r="C80" s="814"/>
      <c r="D80" s="870"/>
      <c r="E80" s="814"/>
      <c r="F80" s="814"/>
      <c r="G80" s="814"/>
      <c r="H80" s="878"/>
      <c r="I80" s="949"/>
      <c r="J80" s="950"/>
      <c r="K80" s="951"/>
      <c r="L80" s="815"/>
      <c r="M80" s="946"/>
      <c r="N80" s="947"/>
      <c r="O80" s="948"/>
      <c r="P80" s="954"/>
      <c r="Q80" s="81"/>
      <c r="R80" s="81"/>
      <c r="S80" s="76"/>
      <c r="U80" s="81"/>
      <c r="W80" s="117"/>
      <c r="X80" s="52"/>
      <c r="Y80" s="76"/>
    </row>
    <row r="81" spans="1:31">
      <c r="A81" s="1050" t="s">
        <v>125</v>
      </c>
      <c r="B81" s="1051"/>
      <c r="C81" s="1051"/>
      <c r="D81" s="1051"/>
      <c r="E81" s="1051"/>
      <c r="F81" s="1051"/>
      <c r="G81" s="1051"/>
      <c r="H81" s="1051"/>
      <c r="I81" s="1051"/>
      <c r="J81" s="1051"/>
      <c r="K81" s="1051"/>
      <c r="L81" s="1051"/>
      <c r="M81" s="1051"/>
      <c r="N81" s="1051"/>
      <c r="O81" s="1051"/>
      <c r="P81" s="1052"/>
      <c r="Q81" s="81"/>
      <c r="R81" s="81"/>
      <c r="S81" s="76"/>
      <c r="X81" s="117"/>
      <c r="AE81" s="77"/>
    </row>
    <row r="82" spans="1:31" ht="120" customHeight="1">
      <c r="A82" s="931"/>
      <c r="B82" s="932"/>
      <c r="C82" s="932"/>
      <c r="D82" s="932"/>
      <c r="E82" s="932"/>
      <c r="F82" s="932"/>
      <c r="G82" s="932"/>
      <c r="H82" s="932"/>
      <c r="I82" s="932"/>
      <c r="J82" s="932"/>
      <c r="K82" s="932"/>
      <c r="L82" s="932"/>
      <c r="M82" s="932"/>
      <c r="N82" s="932"/>
      <c r="O82" s="932"/>
      <c r="P82" s="933"/>
      <c r="Q82" s="115"/>
      <c r="R82" s="115"/>
      <c r="S82" s="116"/>
      <c r="T82" s="76"/>
      <c r="X82" s="77"/>
      <c r="AB82" s="52"/>
      <c r="AC82" s="52"/>
      <c r="AD82" s="52"/>
    </row>
    <row r="83" spans="1:31" ht="14.25" customHeight="1">
      <c r="A83" s="144"/>
      <c r="B83" s="137"/>
      <c r="C83" s="137"/>
      <c r="D83" s="137"/>
      <c r="E83" s="137"/>
      <c r="F83" s="137"/>
      <c r="G83" s="137"/>
      <c r="H83" s="137"/>
      <c r="I83" s="137"/>
      <c r="J83" s="137"/>
      <c r="K83" s="137"/>
      <c r="L83" s="137"/>
      <c r="M83" s="137"/>
      <c r="N83" s="137"/>
      <c r="O83" s="137"/>
      <c r="P83" s="151"/>
      <c r="Q83" s="81"/>
      <c r="R83" s="81"/>
      <c r="S83" s="76"/>
      <c r="T83" s="76"/>
      <c r="V83" s="52"/>
      <c r="W83" s="52"/>
      <c r="X83" s="52"/>
      <c r="Y83" s="52"/>
      <c r="Z83" s="52"/>
      <c r="AA83" s="52"/>
      <c r="AB83" s="52"/>
      <c r="AC83" s="52"/>
      <c r="AD83" s="52"/>
    </row>
    <row r="84" spans="1:31" ht="15" customHeight="1">
      <c r="A84" s="968" t="s">
        <v>165</v>
      </c>
      <c r="B84" s="969"/>
      <c r="C84" s="969"/>
      <c r="D84" s="969"/>
      <c r="E84" s="969"/>
      <c r="F84" s="969"/>
      <c r="G84" s="969"/>
      <c r="H84" s="969"/>
      <c r="I84" s="969"/>
      <c r="J84" s="969"/>
      <c r="K84" s="969"/>
      <c r="L84" s="969"/>
      <c r="M84" s="969"/>
      <c r="N84" s="969"/>
      <c r="O84" s="969"/>
      <c r="P84" s="970"/>
      <c r="Q84" s="77"/>
      <c r="R84" s="77"/>
      <c r="S84" s="77"/>
      <c r="T84" s="76"/>
      <c r="V84" s="52"/>
      <c r="W84" s="52"/>
      <c r="X84" s="52"/>
      <c r="Y84" s="52"/>
      <c r="Z84" s="52"/>
      <c r="AA84" s="52"/>
      <c r="AB84" s="52"/>
      <c r="AC84" s="52"/>
      <c r="AD84" s="52"/>
    </row>
    <row r="85" spans="1:31" ht="15" customHeight="1">
      <c r="A85" s="971"/>
      <c r="B85" s="972"/>
      <c r="C85" s="972"/>
      <c r="D85" s="972"/>
      <c r="E85" s="972"/>
      <c r="F85" s="972"/>
      <c r="G85" s="972"/>
      <c r="H85" s="972"/>
      <c r="I85" s="972"/>
      <c r="J85" s="972"/>
      <c r="K85" s="972"/>
      <c r="L85" s="972"/>
      <c r="M85" s="972"/>
      <c r="N85" s="972"/>
      <c r="O85" s="972"/>
      <c r="P85" s="973"/>
      <c r="Q85" s="77"/>
      <c r="R85" s="77"/>
      <c r="S85" s="77"/>
      <c r="T85" s="76"/>
      <c r="V85" s="52"/>
      <c r="W85" s="52"/>
      <c r="X85" s="52"/>
      <c r="Y85" s="52"/>
      <c r="Z85" s="52"/>
      <c r="AA85" s="52"/>
      <c r="AB85" s="52"/>
      <c r="AC85" s="52"/>
      <c r="AD85" s="52"/>
    </row>
    <row r="86" spans="1:31" ht="15" customHeight="1">
      <c r="A86" s="963" t="e">
        <f>FirstName&amp;" repeated due to peformance and the previous trainers would have completed the service review section above (Step 1). If there are any additional competencies that you would like to highlight for "&amp;FirstName&amp;"'s service review, please select them here"</f>
        <v>#VALUE!</v>
      </c>
      <c r="B86" s="845"/>
      <c r="C86" s="845"/>
      <c r="D86" s="845"/>
      <c r="E86" s="845"/>
      <c r="F86" s="845"/>
      <c r="G86" s="845"/>
      <c r="H86" s="845"/>
      <c r="I86" s="845"/>
      <c r="J86" s="845"/>
      <c r="K86" s="845"/>
      <c r="L86" s="845"/>
      <c r="M86" s="845"/>
      <c r="N86" s="845"/>
      <c r="O86" s="845"/>
      <c r="P86" s="846"/>
      <c r="Q86" s="77"/>
      <c r="R86" s="77"/>
      <c r="S86" s="77"/>
      <c r="T86" s="116"/>
      <c r="U86" s="116"/>
      <c r="V86" s="52"/>
      <c r="W86" s="52"/>
      <c r="X86" s="52"/>
      <c r="Y86" s="52"/>
      <c r="Z86" s="52"/>
      <c r="AA86" s="52"/>
      <c r="AB86" s="52"/>
      <c r="AC86" s="52"/>
      <c r="AD86" s="52"/>
    </row>
    <row r="87" spans="1:31" s="117" customFormat="1" ht="15" customHeight="1">
      <c r="A87" s="964"/>
      <c r="B87" s="847"/>
      <c r="C87" s="847"/>
      <c r="D87" s="847"/>
      <c r="E87" s="847"/>
      <c r="F87" s="847"/>
      <c r="G87" s="847"/>
      <c r="H87" s="847"/>
      <c r="I87" s="847"/>
      <c r="J87" s="847"/>
      <c r="K87" s="847"/>
      <c r="L87" s="847"/>
      <c r="M87" s="847"/>
      <c r="N87" s="847"/>
      <c r="O87" s="847"/>
      <c r="P87" s="848"/>
      <c r="Q87" s="77"/>
      <c r="R87" s="77"/>
      <c r="S87" s="77"/>
      <c r="T87" s="76"/>
      <c r="U87" s="76"/>
      <c r="W87" s="76"/>
      <c r="X87" s="52"/>
    </row>
    <row r="88" spans="1:31" ht="15" customHeight="1">
      <c r="A88" s="965" t="e">
        <f>"As the trainers of "&amp;FirstName&amp;"'s second batch, would you like to highlight any KBIs (not indicated above) for service review?"</f>
        <v>#VALUE!</v>
      </c>
      <c r="B88" s="966"/>
      <c r="C88" s="966"/>
      <c r="D88" s="966"/>
      <c r="E88" s="966"/>
      <c r="F88" s="966"/>
      <c r="G88" s="966"/>
      <c r="H88" s="966"/>
      <c r="I88" s="966"/>
      <c r="J88" s="966"/>
      <c r="K88" s="966"/>
      <c r="L88" s="966"/>
      <c r="M88" s="966"/>
      <c r="N88" s="966"/>
      <c r="O88" s="966"/>
      <c r="P88" s="967"/>
      <c r="Q88" s="77"/>
      <c r="R88" s="77"/>
      <c r="S88" s="77"/>
      <c r="T88" s="77"/>
      <c r="U88" s="77"/>
      <c r="AB88" s="52"/>
      <c r="AC88" s="52"/>
      <c r="AD88" s="52"/>
    </row>
    <row r="89" spans="1:31" ht="20.25" customHeight="1">
      <c r="A89" s="809" t="str">
        <f>'Rubric (.)'!A1</f>
        <v>1. My Professionalism</v>
      </c>
      <c r="B89" s="809"/>
      <c r="C89" s="809"/>
      <c r="D89" s="809"/>
      <c r="E89" s="808" t="str">
        <f>'Rubric (.)'!A12</f>
        <v>2. My Customer Service</v>
      </c>
      <c r="F89" s="808"/>
      <c r="G89" s="808"/>
      <c r="H89" s="808"/>
      <c r="I89" s="807" t="str">
        <f>'Rubric (.)'!A21</f>
        <v>3. My Teamwork</v>
      </c>
      <c r="J89" s="807"/>
      <c r="K89" s="807"/>
      <c r="L89" s="807"/>
      <c r="M89" s="806" t="str">
        <f>'Rubric (.)'!A28</f>
        <v>4. My Knowledge and Professional Image</v>
      </c>
      <c r="N89" s="806"/>
      <c r="O89" s="806"/>
      <c r="P89" s="806"/>
      <c r="Q89" s="77"/>
      <c r="R89" s="77"/>
      <c r="S89" s="77"/>
      <c r="T89" s="77"/>
      <c r="U89" s="77"/>
      <c r="V89" s="52"/>
      <c r="Y89" s="52"/>
      <c r="Z89" s="52"/>
      <c r="AA89" s="52"/>
      <c r="AB89" s="52"/>
      <c r="AC89" s="52"/>
      <c r="AD89" s="52"/>
    </row>
    <row r="90" spans="1:31" ht="30.75" customHeight="1">
      <c r="A90" s="811" t="str">
        <f>'Rubric (.)'!A2</f>
        <v>1.1 Positive Approach: Shows drive, passion and energy</v>
      </c>
      <c r="B90" s="811"/>
      <c r="C90" s="811"/>
      <c r="D90" s="813" t="s">
        <v>108</v>
      </c>
      <c r="E90" s="811" t="str">
        <f>'Rubric (.)'!A13</f>
        <v>2.1 Friendly and Caring: Builds relationships with customers and creates a welcoming and comfortable environment</v>
      </c>
      <c r="F90" s="811"/>
      <c r="G90" s="811"/>
      <c r="H90" s="810" t="s">
        <v>108</v>
      </c>
      <c r="I90" s="811" t="str">
        <f>'Rubric (.)'!A22</f>
        <v>3.1 Relationship Builder: Develops good working relationship and promotes a positive work environment</v>
      </c>
      <c r="J90" s="811"/>
      <c r="K90" s="811"/>
      <c r="L90" s="812" t="s">
        <v>108</v>
      </c>
      <c r="M90" s="811" t="str">
        <f>'Rubric (.)'!A29</f>
        <v>4.1 Image &amp; Uniform</v>
      </c>
      <c r="N90" s="811"/>
      <c r="O90" s="811"/>
      <c r="P90" s="805" t="s">
        <v>108</v>
      </c>
      <c r="T90" s="77"/>
      <c r="U90" s="77"/>
      <c r="V90" s="52"/>
      <c r="W90" s="78"/>
      <c r="X90" s="77"/>
      <c r="Y90" s="52"/>
      <c r="Z90" s="52"/>
      <c r="AA90" s="52"/>
      <c r="AB90" s="52"/>
      <c r="AC90" s="52"/>
      <c r="AD90" s="52"/>
    </row>
    <row r="91" spans="1:31" ht="30.75" customHeight="1">
      <c r="A91" s="811"/>
      <c r="B91" s="811"/>
      <c r="C91" s="811"/>
      <c r="D91" s="813"/>
      <c r="E91" s="811"/>
      <c r="F91" s="811"/>
      <c r="G91" s="811"/>
      <c r="H91" s="810"/>
      <c r="I91" s="811"/>
      <c r="J91" s="811"/>
      <c r="K91" s="811"/>
      <c r="L91" s="812"/>
      <c r="M91" s="811"/>
      <c r="N91" s="811"/>
      <c r="O91" s="811"/>
      <c r="P91" s="805"/>
      <c r="T91" s="77"/>
      <c r="U91" s="77"/>
      <c r="V91" s="52"/>
      <c r="W91" s="78"/>
      <c r="X91" s="77"/>
      <c r="Y91" s="52"/>
      <c r="Z91" s="52"/>
      <c r="AA91" s="52"/>
      <c r="AB91" s="52"/>
      <c r="AC91" s="52"/>
      <c r="AD91" s="52"/>
    </row>
    <row r="92" spans="1:31" ht="30.75" customHeight="1">
      <c r="A92" s="811" t="str">
        <f>'Rubric (.)'!A4</f>
        <v>1.2 Resilient: Is calm and controlled under pressure. Adjusts to changes and manages challenging situations effectively</v>
      </c>
      <c r="B92" s="811"/>
      <c r="C92" s="811"/>
      <c r="D92" s="813" t="s">
        <v>108</v>
      </c>
      <c r="E92" s="811" t="str">
        <f>'Rubric (.)'!A15</f>
        <v>2.2 Anticipating customer needs: Anticipates customers’ needs and uses their initiative to meet them</v>
      </c>
      <c r="F92" s="811"/>
      <c r="G92" s="811"/>
      <c r="H92" s="810" t="s">
        <v>108</v>
      </c>
      <c r="I92" s="811" t="str">
        <f>'Rubric (.)'!A24</f>
        <v>3.2 Team Player: Helps and supports others to achieve team goals. Understands how their work affects others</v>
      </c>
      <c r="J92" s="811"/>
      <c r="K92" s="811"/>
      <c r="L92" s="812" t="s">
        <v>108</v>
      </c>
      <c r="M92" s="811" t="str">
        <f>'Rubric (.)'!A31</f>
        <v>4.2  SEP/ SEC/ GMT</v>
      </c>
      <c r="N92" s="811"/>
      <c r="O92" s="811"/>
      <c r="P92" s="805" t="s">
        <v>108</v>
      </c>
      <c r="T92" s="77"/>
      <c r="U92" s="77"/>
      <c r="V92" s="52"/>
      <c r="W92" s="77"/>
      <c r="X92" s="77"/>
      <c r="Y92" s="52"/>
      <c r="Z92" s="52"/>
      <c r="AA92" s="52"/>
      <c r="AB92" s="52"/>
      <c r="AC92" s="52"/>
      <c r="AD92" s="52"/>
    </row>
    <row r="93" spans="1:31" ht="30.75" customHeight="1">
      <c r="A93" s="811"/>
      <c r="B93" s="811"/>
      <c r="C93" s="811"/>
      <c r="D93" s="813"/>
      <c r="E93" s="811"/>
      <c r="F93" s="811"/>
      <c r="G93" s="811"/>
      <c r="H93" s="810"/>
      <c r="I93" s="811"/>
      <c r="J93" s="811"/>
      <c r="K93" s="811"/>
      <c r="L93" s="812"/>
      <c r="M93" s="811"/>
      <c r="N93" s="811"/>
      <c r="O93" s="811"/>
      <c r="P93" s="805"/>
      <c r="T93" s="77"/>
      <c r="U93" s="77"/>
      <c r="V93" s="52"/>
      <c r="W93" s="52"/>
      <c r="X93" s="77"/>
      <c r="Y93" s="52"/>
      <c r="Z93" s="52"/>
      <c r="AA93" s="52"/>
      <c r="AB93" s="52"/>
      <c r="AC93" s="52"/>
      <c r="AD93" s="52"/>
    </row>
    <row r="94" spans="1:31" ht="30.75" customHeight="1">
      <c r="A94" s="811" t="str">
        <f>'Rubric (.)'!A6</f>
        <v>1.3 Cosmopolitan: Shows respect for other cultures and appreciates differences</v>
      </c>
      <c r="B94" s="811"/>
      <c r="C94" s="811"/>
      <c r="D94" s="813" t="s">
        <v>108</v>
      </c>
      <c r="E94" s="811" t="str">
        <f>'Rubric (.)'!A17</f>
        <v>2.3 Responsive and Helpful: Provides a prompt and flexible approach to meeting customer needs and requests. Ability to handle customer complaints and concerns.</v>
      </c>
      <c r="F94" s="811"/>
      <c r="G94" s="811"/>
      <c r="H94" s="810" t="s">
        <v>108</v>
      </c>
      <c r="I94" s="811"/>
      <c r="J94" s="811"/>
      <c r="K94" s="811"/>
      <c r="L94" s="812"/>
      <c r="M94" s="811" t="str">
        <f>'Rubric (.)'!A33</f>
        <v>4.3 Knowledge and promotion of Emirates products: Evaluation of crew in this category should take into account assigned cabin onboard</v>
      </c>
      <c r="N94" s="811"/>
      <c r="O94" s="811"/>
      <c r="P94" s="805" t="s">
        <v>108</v>
      </c>
      <c r="Q94" s="73"/>
      <c r="R94" s="73"/>
      <c r="W94" s="52"/>
      <c r="X94" s="52"/>
    </row>
    <row r="95" spans="1:31" ht="30.75" customHeight="1">
      <c r="A95" s="811"/>
      <c r="B95" s="811"/>
      <c r="C95" s="811"/>
      <c r="D95" s="813"/>
      <c r="E95" s="811"/>
      <c r="F95" s="811"/>
      <c r="G95" s="811"/>
      <c r="H95" s="810"/>
      <c r="I95" s="811"/>
      <c r="J95" s="811"/>
      <c r="K95" s="811"/>
      <c r="L95" s="812"/>
      <c r="M95" s="811"/>
      <c r="N95" s="811"/>
      <c r="O95" s="811"/>
      <c r="P95" s="805"/>
      <c r="X95" s="52"/>
      <c r="Y95" s="76"/>
    </row>
    <row r="96" spans="1:31" ht="30.75" customHeight="1">
      <c r="A96" s="811" t="str">
        <f>'Rubric (.)'!A8</f>
        <v>1.4 Organised: Has an organised and structured approach to work</v>
      </c>
      <c r="B96" s="811"/>
      <c r="C96" s="811"/>
      <c r="D96" s="813" t="s">
        <v>108</v>
      </c>
      <c r="E96" s="811"/>
      <c r="F96" s="811"/>
      <c r="G96" s="811"/>
      <c r="H96" s="810"/>
      <c r="I96" s="811" t="str">
        <f>'Rubric (.)'!A26</f>
        <v>3.3 Effective Communicator: Communicates clearly and appropriately. Shares information to ensure the efficient and effective delivery of service. Used active listening skills</v>
      </c>
      <c r="J96" s="811"/>
      <c r="K96" s="811"/>
      <c r="L96" s="812" t="s">
        <v>108</v>
      </c>
      <c r="M96" s="811"/>
      <c r="N96" s="811"/>
      <c r="O96" s="811"/>
      <c r="P96" s="805"/>
      <c r="Q96" s="81"/>
      <c r="R96" s="81"/>
      <c r="S96" s="76"/>
      <c r="W96" s="52"/>
      <c r="Y96" s="76"/>
    </row>
    <row r="97" spans="1:31" ht="30.75" customHeight="1">
      <c r="A97" s="811"/>
      <c r="B97" s="811"/>
      <c r="C97" s="811"/>
      <c r="D97" s="813"/>
      <c r="E97" s="811"/>
      <c r="F97" s="811"/>
      <c r="G97" s="811"/>
      <c r="H97" s="810"/>
      <c r="I97" s="811"/>
      <c r="J97" s="811"/>
      <c r="K97" s="811"/>
      <c r="L97" s="812"/>
      <c r="M97" s="811" t="str">
        <f>'Rubric (.)'!A35</f>
        <v>4.4 Knowledge and delivery of service standards and procedures: Evaluation of crew in this category should take into account assigned cabin onboard</v>
      </c>
      <c r="N97" s="811"/>
      <c r="O97" s="811"/>
      <c r="P97" s="805" t="s">
        <v>108</v>
      </c>
      <c r="S97" s="76"/>
      <c r="U97" s="81"/>
      <c r="W97" s="52"/>
      <c r="X97" s="52"/>
      <c r="Y97" s="76"/>
    </row>
    <row r="98" spans="1:31" ht="30.75" customHeight="1">
      <c r="A98" s="811" t="str">
        <f>'Rubric (.)'!A10</f>
        <v>1.5 Thorough: Demonstrates a strong attention to detail</v>
      </c>
      <c r="B98" s="811"/>
      <c r="C98" s="811"/>
      <c r="D98" s="813" t="s">
        <v>108</v>
      </c>
      <c r="E98" s="811" t="str">
        <f>'Rubric (.)'!A19</f>
        <v>2.4 Service Style: Fully reflected expectations for their cabin</v>
      </c>
      <c r="F98" s="811"/>
      <c r="G98" s="811"/>
      <c r="H98" s="810" t="s">
        <v>108</v>
      </c>
      <c r="I98" s="811"/>
      <c r="J98" s="811"/>
      <c r="K98" s="811"/>
      <c r="L98" s="812"/>
      <c r="M98" s="811"/>
      <c r="N98" s="811"/>
      <c r="O98" s="811"/>
      <c r="P98" s="805"/>
      <c r="Q98" s="582"/>
      <c r="R98" s="81"/>
      <c r="S98" s="76"/>
      <c r="W98" s="52"/>
      <c r="X98" s="52"/>
      <c r="AE98" s="77"/>
    </row>
    <row r="99" spans="1:31" ht="30.75" customHeight="1">
      <c r="A99" s="811"/>
      <c r="B99" s="811"/>
      <c r="C99" s="811"/>
      <c r="D99" s="813"/>
      <c r="E99" s="811"/>
      <c r="F99" s="811"/>
      <c r="G99" s="811"/>
      <c r="H99" s="810"/>
      <c r="I99" s="811"/>
      <c r="J99" s="811"/>
      <c r="K99" s="811"/>
      <c r="L99" s="812"/>
      <c r="M99" s="811"/>
      <c r="N99" s="811"/>
      <c r="O99" s="811"/>
      <c r="P99" s="805"/>
      <c r="Q99" s="81"/>
      <c r="R99" s="81"/>
      <c r="S99" s="76"/>
      <c r="V99" s="78"/>
      <c r="W99" s="52"/>
      <c r="X99" s="52"/>
    </row>
    <row r="100" spans="1:31" ht="15" customHeight="1">
      <c r="A100" s="960" t="s">
        <v>125</v>
      </c>
      <c r="B100" s="961"/>
      <c r="C100" s="961"/>
      <c r="D100" s="961"/>
      <c r="E100" s="961"/>
      <c r="F100" s="961"/>
      <c r="G100" s="961"/>
      <c r="H100" s="961"/>
      <c r="I100" s="961"/>
      <c r="J100" s="961"/>
      <c r="K100" s="961"/>
      <c r="L100" s="961"/>
      <c r="M100" s="961"/>
      <c r="N100" s="961"/>
      <c r="O100" s="961"/>
      <c r="P100" s="962"/>
      <c r="V100" s="52"/>
      <c r="W100" s="52"/>
      <c r="X100" s="52"/>
      <c r="Y100" s="52"/>
      <c r="Z100" s="52"/>
      <c r="AA100" s="52"/>
      <c r="AB100" s="52"/>
      <c r="AC100" s="52"/>
      <c r="AD100" s="52"/>
    </row>
    <row r="101" spans="1:31" ht="14.25" customHeight="1">
      <c r="A101" s="925"/>
      <c r="B101" s="926"/>
      <c r="C101" s="926"/>
      <c r="D101" s="926"/>
      <c r="E101" s="926"/>
      <c r="F101" s="926"/>
      <c r="G101" s="926"/>
      <c r="H101" s="926"/>
      <c r="I101" s="926"/>
      <c r="J101" s="926"/>
      <c r="K101" s="926"/>
      <c r="L101" s="926"/>
      <c r="M101" s="926"/>
      <c r="N101" s="926"/>
      <c r="O101" s="926"/>
      <c r="P101" s="927"/>
      <c r="S101" s="52"/>
      <c r="V101" s="52"/>
      <c r="W101" s="52"/>
      <c r="X101" s="52"/>
      <c r="Y101" s="52"/>
      <c r="Z101" s="52"/>
      <c r="AA101" s="52"/>
      <c r="AB101" s="52"/>
      <c r="AC101" s="52"/>
      <c r="AD101" s="52"/>
    </row>
    <row r="102" spans="1:31">
      <c r="A102" s="928"/>
      <c r="B102" s="929"/>
      <c r="C102" s="929"/>
      <c r="D102" s="929"/>
      <c r="E102" s="929"/>
      <c r="F102" s="929"/>
      <c r="G102" s="929"/>
      <c r="H102" s="929"/>
      <c r="I102" s="929"/>
      <c r="J102" s="929"/>
      <c r="K102" s="929"/>
      <c r="L102" s="929"/>
      <c r="M102" s="929"/>
      <c r="N102" s="929"/>
      <c r="O102" s="929"/>
      <c r="P102" s="930"/>
      <c r="S102" s="52"/>
      <c r="V102" s="52"/>
      <c r="W102" s="52"/>
      <c r="X102" s="52"/>
      <c r="Y102" s="52"/>
      <c r="Z102" s="52"/>
      <c r="AA102" s="52"/>
      <c r="AB102" s="52"/>
      <c r="AC102" s="52"/>
      <c r="AD102" s="52"/>
    </row>
    <row r="103" spans="1:31" ht="14.25" customHeight="1">
      <c r="A103" s="928"/>
      <c r="B103" s="929"/>
      <c r="C103" s="929"/>
      <c r="D103" s="929"/>
      <c r="E103" s="929"/>
      <c r="F103" s="929"/>
      <c r="G103" s="929"/>
      <c r="H103" s="929"/>
      <c r="I103" s="929"/>
      <c r="J103" s="929"/>
      <c r="K103" s="929"/>
      <c r="L103" s="929"/>
      <c r="M103" s="929"/>
      <c r="N103" s="929"/>
      <c r="O103" s="929"/>
      <c r="P103" s="930"/>
      <c r="S103" s="52"/>
      <c r="V103" s="52"/>
      <c r="W103" s="52"/>
      <c r="X103" s="52"/>
      <c r="Z103" s="52"/>
      <c r="AA103" s="52"/>
      <c r="AB103" s="52"/>
      <c r="AC103" s="52"/>
      <c r="AD103" s="52"/>
    </row>
    <row r="104" spans="1:31">
      <c r="A104" s="928"/>
      <c r="B104" s="929"/>
      <c r="C104" s="929"/>
      <c r="D104" s="929"/>
      <c r="E104" s="929"/>
      <c r="F104" s="929"/>
      <c r="G104" s="929"/>
      <c r="H104" s="929"/>
      <c r="I104" s="929"/>
      <c r="J104" s="929"/>
      <c r="K104" s="929"/>
      <c r="L104" s="929"/>
      <c r="M104" s="929"/>
      <c r="N104" s="929"/>
      <c r="O104" s="929"/>
      <c r="P104" s="930"/>
      <c r="W104" s="52"/>
      <c r="Z104" s="52"/>
      <c r="AA104" s="52"/>
      <c r="AB104" s="52"/>
      <c r="AC104" s="52"/>
      <c r="AD104" s="52"/>
    </row>
    <row r="105" spans="1:31">
      <c r="A105" s="931"/>
      <c r="B105" s="932"/>
      <c r="C105" s="932"/>
      <c r="D105" s="932"/>
      <c r="E105" s="932"/>
      <c r="F105" s="932"/>
      <c r="G105" s="932"/>
      <c r="H105" s="932"/>
      <c r="I105" s="932"/>
      <c r="J105" s="932"/>
      <c r="K105" s="932"/>
      <c r="L105" s="932"/>
      <c r="M105" s="932"/>
      <c r="N105" s="932"/>
      <c r="O105" s="932"/>
      <c r="P105" s="933"/>
      <c r="Q105" s="77"/>
      <c r="R105" s="77"/>
      <c r="W105" s="52"/>
      <c r="AA105" s="52"/>
      <c r="AB105" s="52"/>
      <c r="AC105" s="52"/>
      <c r="AD105" s="52"/>
    </row>
    <row r="106" spans="1:31">
      <c r="P106" s="77"/>
      <c r="W106" s="52"/>
      <c r="Y106" s="52"/>
      <c r="AA106" s="52"/>
      <c r="AB106" s="52"/>
      <c r="AC106" s="52"/>
      <c r="AD106" s="52"/>
    </row>
    <row r="107" spans="1:31">
      <c r="A107" s="118"/>
      <c r="B107" s="118"/>
      <c r="C107" s="118"/>
      <c r="D107" s="118"/>
      <c r="W107" s="52"/>
      <c r="Y107" s="52"/>
      <c r="Z107" s="52"/>
      <c r="AA107" s="52"/>
      <c r="AB107" s="52"/>
      <c r="AC107" s="52"/>
      <c r="AD107" s="52"/>
    </row>
    <row r="108" spans="1:31">
      <c r="A108" s="118"/>
      <c r="B108" s="118"/>
      <c r="C108" s="118"/>
      <c r="D108" s="118"/>
      <c r="W108" s="52"/>
      <c r="X108" s="52"/>
      <c r="Y108" s="52"/>
      <c r="Z108" s="52"/>
      <c r="AA108" s="52"/>
      <c r="AB108" s="52"/>
      <c r="AC108" s="52"/>
      <c r="AD108" s="52"/>
    </row>
    <row r="109" spans="1:31">
      <c r="A109" s="583"/>
      <c r="B109" s="584"/>
      <c r="C109" s="584"/>
      <c r="D109" s="584"/>
      <c r="E109" s="585"/>
      <c r="F109" s="586"/>
      <c r="G109" s="586"/>
      <c r="H109" s="585"/>
      <c r="I109" s="586"/>
      <c r="J109" s="586"/>
      <c r="K109" s="585"/>
      <c r="L109" s="586"/>
      <c r="M109" s="586"/>
      <c r="N109" s="585"/>
      <c r="O109" s="114"/>
      <c r="W109" s="52"/>
      <c r="X109" s="52"/>
      <c r="Y109" s="52"/>
      <c r="Z109" s="52"/>
      <c r="AA109" s="52"/>
      <c r="AB109" s="52"/>
      <c r="AC109" s="52"/>
      <c r="AD109" s="52"/>
    </row>
    <row r="110" spans="1:31">
      <c r="A110" s="959" t="s">
        <v>166</v>
      </c>
      <c r="B110" s="959"/>
      <c r="C110" s="959"/>
      <c r="D110" s="959"/>
      <c r="E110" s="959"/>
      <c r="F110" s="587"/>
      <c r="G110" s="587"/>
      <c r="H110" s="587"/>
      <c r="I110" s="587"/>
      <c r="J110" s="959" t="s">
        <v>167</v>
      </c>
      <c r="K110" s="959"/>
      <c r="L110" s="959"/>
      <c r="M110" s="959"/>
      <c r="N110" s="959"/>
      <c r="O110" s="52"/>
      <c r="W110" s="52"/>
      <c r="X110" s="52"/>
      <c r="Y110" s="52"/>
      <c r="Z110" s="52"/>
      <c r="AA110" s="52"/>
      <c r="AB110" s="52"/>
      <c r="AC110" s="52"/>
      <c r="AD110" s="52"/>
    </row>
    <row r="111" spans="1:31">
      <c r="A111" s="958" t="s">
        <v>163</v>
      </c>
      <c r="B111" s="958"/>
      <c r="C111" s="102" t="s">
        <v>168</v>
      </c>
      <c r="D111" s="102"/>
      <c r="E111" s="102"/>
      <c r="F111" s="587"/>
      <c r="G111" s="102"/>
      <c r="H111" s="102"/>
      <c r="I111" s="587"/>
      <c r="J111" s="958" t="s">
        <v>163</v>
      </c>
      <c r="K111" s="958"/>
      <c r="L111" s="102" t="s">
        <v>168</v>
      </c>
      <c r="M111" s="102"/>
      <c r="N111" s="102"/>
      <c r="O111" s="52"/>
      <c r="P111" s="77"/>
      <c r="W111" s="52"/>
      <c r="X111" s="52"/>
      <c r="Y111" s="52"/>
      <c r="Z111" s="52"/>
      <c r="AA111" s="52"/>
      <c r="AB111" s="52"/>
      <c r="AC111" s="52"/>
      <c r="AD111" s="52"/>
    </row>
    <row r="112" spans="1:31">
      <c r="A112" s="588" t="s">
        <v>898</v>
      </c>
      <c r="B112" s="589" t="str">
        <f>D71</f>
        <v>No</v>
      </c>
      <c r="C112" s="102" t="str">
        <f t="array" ref="C112">IFERROR(INDEX($A$112:$A$128, SMALL(IF("Yes"=$B$112:$B$128, ROW($B$112:$B$128)-ROW($B$112)+1), ROW(1:1)))&amp;" / ","")</f>
        <v/>
      </c>
      <c r="D112" s="102"/>
      <c r="E112" s="102"/>
      <c r="F112" s="587"/>
      <c r="G112" s="102"/>
      <c r="H112" s="102"/>
      <c r="I112" s="587"/>
      <c r="J112" s="588" t="s">
        <v>898</v>
      </c>
      <c r="K112" s="589" t="str">
        <f>D90</f>
        <v>No</v>
      </c>
      <c r="L112" s="102" t="str">
        <f t="array" ref="L112">IFERROR(INDEX($J$112:$J$128, SMALL(IF("Yes"=$K$112:$K$128, ROW($K$112:$K$128)-ROW($K$112)+1), ROW(1:1)))&amp;" / ","")</f>
        <v/>
      </c>
      <c r="M112" s="102"/>
      <c r="N112" s="102"/>
      <c r="O112" s="52"/>
      <c r="W112" s="52"/>
      <c r="X112" s="52"/>
      <c r="Y112" s="52"/>
      <c r="Z112" s="52"/>
      <c r="AA112" s="52"/>
      <c r="AB112" s="52"/>
      <c r="AC112" s="52"/>
      <c r="AD112" s="52"/>
    </row>
    <row r="113" spans="1:30">
      <c r="A113" s="590" t="s">
        <v>899</v>
      </c>
      <c r="B113" s="589" t="str">
        <f>D73</f>
        <v>No</v>
      </c>
      <c r="C113" s="102" t="str">
        <f t="array" ref="C113">IFERROR(INDEX($A$112:$A$128, SMALL(IF("Yes"=$B$112:$B$128, ROW($B$112:$B$128)-ROW($B$112)+1), ROW(2:2)))&amp;" / ","")</f>
        <v/>
      </c>
      <c r="D113" s="102"/>
      <c r="E113" s="102"/>
      <c r="F113" s="587"/>
      <c r="G113" s="102"/>
      <c r="H113" s="102"/>
      <c r="I113" s="587"/>
      <c r="J113" s="590" t="s">
        <v>899</v>
      </c>
      <c r="K113" s="589" t="str">
        <f>D92</f>
        <v>No</v>
      </c>
      <c r="L113" s="102" t="str">
        <f t="array" ref="L113">IFERROR(INDEX($J$112:$J$128, SMALL(IF("Yes"=$K$112:$K$128, ROW($K$112:$K$128)-ROW($K$112)+1), ROW(2:2)))&amp;" / ","")</f>
        <v/>
      </c>
      <c r="M113" s="102"/>
      <c r="N113" s="102"/>
      <c r="O113" s="52"/>
      <c r="W113" s="52"/>
      <c r="X113" s="52"/>
      <c r="Y113" s="52"/>
      <c r="Z113" s="52"/>
      <c r="AA113" s="52"/>
      <c r="AB113" s="52"/>
      <c r="AC113" s="52"/>
      <c r="AD113" s="52"/>
    </row>
    <row r="114" spans="1:30">
      <c r="A114" s="590" t="s">
        <v>160</v>
      </c>
      <c r="B114" s="589" t="str">
        <f>D75</f>
        <v>No</v>
      </c>
      <c r="C114" s="102" t="str">
        <f t="array" ref="C114">IFERROR(INDEX($A$112:$A$128, SMALL(IF("Yes"=$B$112:$B$128, ROW($B$112:$B$128)-ROW($B$112)+1), ROW(3:3)))&amp;" / ","")</f>
        <v/>
      </c>
      <c r="D114" s="102"/>
      <c r="E114" s="102"/>
      <c r="F114" s="587"/>
      <c r="G114" s="102"/>
      <c r="H114" s="102"/>
      <c r="I114" s="587"/>
      <c r="J114" s="590" t="s">
        <v>160</v>
      </c>
      <c r="K114" s="589" t="str">
        <f>D94</f>
        <v>No</v>
      </c>
      <c r="L114" s="102" t="str">
        <f t="array" ref="L114">IFERROR(INDEX($J$112:$J$128, SMALL(IF("Yes"=$K$112:$K$128, ROW($K$112:$K$128)-ROW($K$112)+1), ROW(3:3)))&amp;" / ","")</f>
        <v/>
      </c>
      <c r="M114" s="102"/>
      <c r="N114" s="102"/>
      <c r="O114" s="52"/>
      <c r="W114" s="52"/>
      <c r="X114" s="52"/>
      <c r="Y114" s="52"/>
      <c r="Z114" s="52"/>
      <c r="AA114" s="52"/>
      <c r="AB114" s="52"/>
      <c r="AC114" s="52"/>
      <c r="AD114" s="52"/>
    </row>
    <row r="115" spans="1:30">
      <c r="A115" s="590" t="s">
        <v>900</v>
      </c>
      <c r="B115" s="589" t="str">
        <f>D77</f>
        <v>No</v>
      </c>
      <c r="C115" s="102" t="str">
        <f t="array" ref="C115">IFERROR(INDEX($A$112:$A$128, SMALL(IF("Yes"=$B$112:$B$128, ROW($B$112:$B$128)-ROW($B$112)+1), ROW(4:4)))&amp;" / ","")</f>
        <v/>
      </c>
      <c r="D115" s="590"/>
      <c r="E115" s="590"/>
      <c r="F115" s="587"/>
      <c r="G115" s="591"/>
      <c r="H115" s="102"/>
      <c r="I115" s="587"/>
      <c r="J115" s="590" t="s">
        <v>900</v>
      </c>
      <c r="K115" s="589" t="str">
        <f>D96</f>
        <v>No</v>
      </c>
      <c r="L115" s="102" t="str">
        <f t="array" ref="L115">IFERROR(INDEX($J$112:$J$128, SMALL(IF("Yes"=$K$112:$K$128, ROW($K$112:$K$128)-ROW($K$112)+1), ROW(4:4)))&amp;" / ","")</f>
        <v/>
      </c>
      <c r="M115" s="590"/>
      <c r="N115" s="590"/>
      <c r="O115" s="52"/>
      <c r="W115" s="52"/>
      <c r="Y115" s="52"/>
      <c r="Z115" s="52"/>
      <c r="AA115" s="52"/>
      <c r="AB115" s="52"/>
      <c r="AC115" s="52"/>
      <c r="AD115" s="52"/>
    </row>
    <row r="116" spans="1:30">
      <c r="A116" s="592" t="s">
        <v>161</v>
      </c>
      <c r="B116" s="593" t="str">
        <f>D79</f>
        <v>No</v>
      </c>
      <c r="C116" s="102" t="str">
        <f t="array" ref="C116">IFERROR(INDEX($A$112:$A$128, SMALL(IF("Yes"=$B$112:$B$128, ROW($B$112:$B$128)-ROW($B$112)+1), ROW(5:5)))&amp;" / ","")</f>
        <v/>
      </c>
      <c r="D116" s="587"/>
      <c r="E116" s="594"/>
      <c r="F116" s="587"/>
      <c r="G116" s="587"/>
      <c r="H116" s="587"/>
      <c r="I116" s="587"/>
      <c r="J116" s="592" t="s">
        <v>161</v>
      </c>
      <c r="K116" s="593" t="str">
        <f>D98</f>
        <v>No</v>
      </c>
      <c r="L116" s="102" t="str">
        <f t="array" ref="L116">IFERROR(INDEX($J$112:$J$128, SMALL(IF("Yes"=$K$112:$K$128, ROW($K$112:$K$128)-ROW($K$112)+1), ROW(5:5)))&amp;" / ","")</f>
        <v/>
      </c>
      <c r="M116" s="587"/>
      <c r="N116" s="594"/>
      <c r="O116" s="52"/>
      <c r="Y116" s="52"/>
      <c r="Z116" s="52"/>
      <c r="AA116" s="52"/>
      <c r="AB116" s="52"/>
      <c r="AC116" s="52"/>
      <c r="AD116" s="52"/>
    </row>
    <row r="117" spans="1:30">
      <c r="A117" s="590" t="s">
        <v>901</v>
      </c>
      <c r="B117" s="589" t="str">
        <f>H71</f>
        <v>No</v>
      </c>
      <c r="C117" s="102" t="str">
        <f t="array" ref="C117">IFERROR(INDEX($A$112:$A$128, SMALL(IF("Yes"=$B$112:$B$128, ROW($B$112:$B$128)-ROW($B$112)+1), ROW(6:6)))&amp;" / ","")</f>
        <v/>
      </c>
      <c r="D117" s="587"/>
      <c r="E117" s="594"/>
      <c r="F117" s="587"/>
      <c r="G117" s="587"/>
      <c r="H117" s="587"/>
      <c r="I117" s="587"/>
      <c r="J117" s="590" t="s">
        <v>901</v>
      </c>
      <c r="K117" s="589" t="str">
        <f>H90</f>
        <v>No</v>
      </c>
      <c r="L117" s="102" t="str">
        <f t="array" ref="L117">IFERROR(INDEX($J$112:$J$128, SMALL(IF("Yes"=$K$112:$K$128, ROW($K$112:$K$128)-ROW($K$112)+1), ROW(6:6)))&amp;" / ","")</f>
        <v/>
      </c>
      <c r="M117" s="587"/>
      <c r="N117" s="594"/>
      <c r="O117" s="52"/>
      <c r="Q117" s="77"/>
      <c r="R117" s="77"/>
      <c r="Y117" s="52"/>
      <c r="Z117" s="52"/>
      <c r="AA117" s="52"/>
      <c r="AB117" s="52"/>
      <c r="AC117" s="52"/>
      <c r="AD117" s="52"/>
    </row>
    <row r="118" spans="1:30">
      <c r="A118" s="590" t="s">
        <v>902</v>
      </c>
      <c r="B118" s="589" t="str">
        <f>H73</f>
        <v>No</v>
      </c>
      <c r="C118" s="102" t="str">
        <f t="array" ref="C118">IFERROR(INDEX($A$112:$A$128, SMALL(IF("Yes"=$B$112:$B$128, ROW($B$112:$B$128)-ROW($B$112)+1), ROW(7:7)))&amp;" / ","")</f>
        <v/>
      </c>
      <c r="D118" s="587"/>
      <c r="E118" s="594"/>
      <c r="F118" s="587"/>
      <c r="G118" s="587"/>
      <c r="H118" s="587"/>
      <c r="I118" s="587"/>
      <c r="J118" s="590" t="s">
        <v>902</v>
      </c>
      <c r="K118" s="589" t="str">
        <f>H92</f>
        <v>No</v>
      </c>
      <c r="L118" s="102" t="str">
        <f t="array" ref="L118">IFERROR(INDEX($J$112:$J$128, SMALL(IF("Yes"=$K$112:$K$128, ROW($K$112:$K$128)-ROW($K$112)+1), ROW(7:7)))&amp;" / ","")</f>
        <v/>
      </c>
      <c r="M118" s="587"/>
      <c r="N118" s="594"/>
      <c r="O118" s="52"/>
      <c r="W118" s="52"/>
      <c r="Y118" s="52"/>
      <c r="Z118" s="52"/>
      <c r="AA118" s="52"/>
      <c r="AB118" s="52"/>
      <c r="AC118" s="52"/>
      <c r="AD118" s="52"/>
    </row>
    <row r="119" spans="1:30">
      <c r="A119" s="590" t="s">
        <v>903</v>
      </c>
      <c r="B119" s="589" t="str">
        <f>H75</f>
        <v>No</v>
      </c>
      <c r="C119" s="102" t="str">
        <f t="array" ref="C119">IFERROR(INDEX($A$112:$A$128, SMALL(IF("Yes"=$B$112:$B$128, ROW($B$112:$B$128)-ROW($B$112)+1), ROW(8:8)))&amp;" / ","")</f>
        <v/>
      </c>
      <c r="D119" s="587"/>
      <c r="E119" s="594"/>
      <c r="F119" s="587"/>
      <c r="G119" s="587"/>
      <c r="H119" s="587"/>
      <c r="I119" s="587"/>
      <c r="J119" s="590" t="s">
        <v>903</v>
      </c>
      <c r="K119" s="589" t="str">
        <f>H94</f>
        <v>No</v>
      </c>
      <c r="L119" s="102" t="str">
        <f t="array" ref="L119">IFERROR(INDEX($J$112:$J$128, SMALL(IF("Yes"=$K$112:$K$128, ROW($K$112:$K$128)-ROW($K$112)+1), ROW(8:8)))&amp;" / ","")</f>
        <v/>
      </c>
      <c r="M119" s="587"/>
      <c r="N119" s="594"/>
      <c r="O119" s="52"/>
      <c r="W119" s="52"/>
      <c r="Y119" s="52"/>
      <c r="Z119" s="52"/>
      <c r="AA119" s="52"/>
      <c r="AB119" s="52"/>
      <c r="AC119" s="52"/>
      <c r="AD119" s="52"/>
    </row>
    <row r="120" spans="1:30">
      <c r="A120" s="591" t="s">
        <v>162</v>
      </c>
      <c r="B120" s="595" t="str">
        <f>H79</f>
        <v>No</v>
      </c>
      <c r="C120" s="102" t="str">
        <f t="array" ref="C120">IFERROR(INDEX($A$112:$A$128, SMALL(IF("Yes"=$B$112:$B$128, ROW($B$112:$B$128)-ROW($B$112)+1), ROW(9:9)))&amp;" / ","")</f>
        <v/>
      </c>
      <c r="D120" s="587"/>
      <c r="E120" s="594"/>
      <c r="F120" s="587"/>
      <c r="G120" s="587"/>
      <c r="H120" s="587"/>
      <c r="I120" s="587"/>
      <c r="J120" s="591" t="s">
        <v>162</v>
      </c>
      <c r="K120" s="595" t="str">
        <f>H98</f>
        <v>No</v>
      </c>
      <c r="L120" s="102" t="str">
        <f t="array" ref="L120">IFERROR(INDEX($J$112:$J$128, SMALL(IF("Yes"=$K$112:$K$128, ROW($K$112:$K$128)-ROW($K$112)+1), ROW(9:9)))&amp;" / ","")</f>
        <v/>
      </c>
      <c r="M120" s="587"/>
      <c r="N120" s="594"/>
      <c r="O120" s="76"/>
      <c r="Z120" s="52"/>
      <c r="AA120" s="52"/>
      <c r="AB120" s="52"/>
      <c r="AC120" s="52"/>
      <c r="AD120" s="52"/>
    </row>
    <row r="121" spans="1:30">
      <c r="A121" s="590" t="s">
        <v>904</v>
      </c>
      <c r="B121" s="595" t="str">
        <f>L71</f>
        <v>No</v>
      </c>
      <c r="C121" s="102" t="str">
        <f t="array" ref="C121">IFERROR(INDEX($A$112:$A$128, SMALL(IF("Yes"=$B$112:$B$128, ROW($B$112:$B$128)-ROW($B$112)+1), ROW(10:10)))&amp;" / ","")</f>
        <v/>
      </c>
      <c r="D121" s="587"/>
      <c r="E121" s="594"/>
      <c r="F121" s="587"/>
      <c r="G121" s="587"/>
      <c r="H121" s="587"/>
      <c r="I121" s="587"/>
      <c r="J121" s="590" t="s">
        <v>904</v>
      </c>
      <c r="K121" s="595" t="str">
        <f>L90</f>
        <v>No</v>
      </c>
      <c r="L121" s="102" t="str">
        <f t="array" ref="L121">IFERROR(INDEX($J$112:$J$128, SMALL(IF("Yes"=$K$112:$K$128, ROW($K$112:$K$128)-ROW($K$112)+1), ROW(10:10)))&amp;" / ","")</f>
        <v/>
      </c>
      <c r="M121" s="587"/>
      <c r="N121" s="594"/>
      <c r="O121" s="52"/>
      <c r="AA121" s="52"/>
      <c r="AB121" s="52"/>
      <c r="AC121" s="52"/>
      <c r="AD121" s="52"/>
    </row>
    <row r="122" spans="1:30">
      <c r="A122" s="590" t="s">
        <v>905</v>
      </c>
      <c r="B122" s="595" t="str">
        <f>L73</f>
        <v>No</v>
      </c>
      <c r="C122" s="102" t="str">
        <f t="array" ref="C122">IFERROR(INDEX($A$112:$A$128, SMALL(IF("Yes"=$B$112:$B$128, ROW($B$112:$B$128)-ROW($B$112)+1), ROW(11:11)))&amp;" / ","")</f>
        <v/>
      </c>
      <c r="D122" s="587"/>
      <c r="E122" s="594"/>
      <c r="F122" s="587"/>
      <c r="G122" s="587"/>
      <c r="H122" s="587"/>
      <c r="I122" s="587"/>
      <c r="J122" s="590" t="s">
        <v>905</v>
      </c>
      <c r="K122" s="595" t="str">
        <f>L92</f>
        <v>No</v>
      </c>
      <c r="L122" s="102" t="str">
        <f t="array" ref="L122">IFERROR(INDEX($J$112:$J$128, SMALL(IF("Yes"=$K$112:$K$128, ROW($K$112:$K$128)-ROW($K$112)+1), ROW(11:11)))&amp;" / ","")</f>
        <v/>
      </c>
      <c r="M122" s="587"/>
      <c r="N122" s="594"/>
      <c r="O122" s="52"/>
      <c r="AA122" s="52"/>
      <c r="AB122" s="52"/>
      <c r="AC122" s="52"/>
      <c r="AD122" s="52"/>
    </row>
    <row r="123" spans="1:30">
      <c r="A123" s="590" t="s">
        <v>906</v>
      </c>
      <c r="B123" s="595" t="str">
        <f>L77</f>
        <v>No</v>
      </c>
      <c r="C123" s="102" t="str">
        <f t="array" ref="C123">IFERROR(INDEX($A$112:$A$128, SMALL(IF("Yes"=$B$112:$B$128, ROW($B$112:$B$128)-ROW($B$112)+1), ROW(12:12)))&amp;" / ","")</f>
        <v/>
      </c>
      <c r="D123" s="587"/>
      <c r="E123" s="594"/>
      <c r="F123" s="587"/>
      <c r="G123" s="587"/>
      <c r="H123" s="587"/>
      <c r="I123" s="587"/>
      <c r="J123" s="590" t="s">
        <v>906</v>
      </c>
      <c r="K123" s="595" t="str">
        <f>L96</f>
        <v>No</v>
      </c>
      <c r="L123" s="102" t="str">
        <f t="array" ref="L123">IFERROR(INDEX($J$112:$J$128, SMALL(IF("Yes"=$K$112:$K$128, ROW($K$112:$K$128)-ROW($K$112)+1), ROW(12:12)))&amp;" / ","")</f>
        <v/>
      </c>
      <c r="M123" s="587"/>
      <c r="N123" s="594"/>
      <c r="O123" s="52"/>
      <c r="P123" s="77"/>
      <c r="AA123" s="52"/>
      <c r="AB123" s="52"/>
      <c r="AC123" s="52"/>
      <c r="AD123" s="52"/>
    </row>
    <row r="124" spans="1:30">
      <c r="A124" s="591" t="s">
        <v>897</v>
      </c>
      <c r="B124" s="595" t="str">
        <f>P71</f>
        <v>No</v>
      </c>
      <c r="C124" s="102" t="str">
        <f t="array" ref="C124">IFERROR(INDEX($A$112:$A$128, SMALL(IF("Yes"=$B$112:$B$128, ROW($B$112:$B$128)-ROW($B$112)+1), ROW(13:13)))&amp;" / ","")</f>
        <v/>
      </c>
      <c r="D124" s="587"/>
      <c r="E124" s="594"/>
      <c r="F124" s="587"/>
      <c r="G124" s="587"/>
      <c r="H124" s="587"/>
      <c r="I124" s="587"/>
      <c r="J124" s="591" t="s">
        <v>897</v>
      </c>
      <c r="K124" s="595" t="str">
        <f>P90</f>
        <v>No</v>
      </c>
      <c r="L124" s="102" t="str">
        <f t="array" ref="L124">IFERROR(INDEX($J$112:$J$128, SMALL(IF("Yes"=$K$112:$K$128, ROW($K$112:$K$128)-ROW($K$112)+1), ROW(13:13)))&amp;" / ","")</f>
        <v/>
      </c>
      <c r="M124" s="587"/>
      <c r="N124" s="594"/>
      <c r="O124" s="52"/>
      <c r="AA124" s="52"/>
      <c r="AB124" s="52"/>
      <c r="AC124" s="52"/>
      <c r="AD124" s="52"/>
    </row>
    <row r="125" spans="1:30">
      <c r="A125" s="591" t="s">
        <v>909</v>
      </c>
      <c r="B125" s="595" t="str">
        <f>P73</f>
        <v>No</v>
      </c>
      <c r="C125" s="102" t="str">
        <f t="array" ref="C125">IFERROR(INDEX($A$112:$A$128, SMALL(IF("Yes"=$B$112:$B$128, ROW($B$112:$B$128)-ROW($B$112)+1), ROW(14:14)))&amp;" / ","")</f>
        <v/>
      </c>
      <c r="D125" s="587"/>
      <c r="E125" s="594"/>
      <c r="F125" s="587"/>
      <c r="G125" s="587"/>
      <c r="H125" s="587"/>
      <c r="I125" s="587"/>
      <c r="J125" s="591" t="s">
        <v>909</v>
      </c>
      <c r="K125" s="595" t="str">
        <f>P92</f>
        <v>No</v>
      </c>
      <c r="L125" s="102" t="str">
        <f t="array" ref="L125">IFERROR(INDEX($J$112:$J$128, SMALL(IF("Yes"=$K$112:$K$128, ROW($K$112:$K$128)-ROW($K$112)+1), ROW(14:14)))&amp;" / ","")</f>
        <v/>
      </c>
      <c r="M125" s="587"/>
      <c r="N125" s="594"/>
      <c r="O125" s="52"/>
      <c r="AA125" s="52"/>
      <c r="AB125" s="52"/>
      <c r="AC125" s="52"/>
      <c r="AD125" s="52"/>
    </row>
    <row r="126" spans="1:30">
      <c r="A126" s="591" t="s">
        <v>907</v>
      </c>
      <c r="B126" s="595" t="str">
        <f>P75</f>
        <v>No</v>
      </c>
      <c r="C126" s="102" t="str">
        <f t="array" ref="C126">IFERROR(INDEX($A$112:$A$128, SMALL(IF("Yes"=$B$112:$B$128, ROW($B$112:$B$128)-ROW($B$112)+1), ROW(15:15)))&amp;" / ","")</f>
        <v/>
      </c>
      <c r="D126" s="587"/>
      <c r="E126" s="594"/>
      <c r="F126" s="587"/>
      <c r="G126" s="587"/>
      <c r="H126" s="587"/>
      <c r="I126" s="587"/>
      <c r="J126" s="591" t="s">
        <v>907</v>
      </c>
      <c r="K126" s="595" t="str">
        <f>P94</f>
        <v>No</v>
      </c>
      <c r="L126" s="102" t="str">
        <f t="array" ref="L126">IFERROR(INDEX($J$112:$J$128, SMALL(IF("Yes"=$K$112:$K$128, ROW($K$112:$K$128)-ROW($K$112)+1), ROW(15:15)))&amp;" / ","")</f>
        <v/>
      </c>
      <c r="M126" s="587"/>
      <c r="N126" s="594"/>
      <c r="O126" s="52"/>
      <c r="AA126" s="52"/>
      <c r="AB126" s="52"/>
      <c r="AC126" s="52"/>
      <c r="AD126" s="52"/>
    </row>
    <row r="127" spans="1:30">
      <c r="A127" s="591" t="s">
        <v>908</v>
      </c>
      <c r="B127" s="595" t="str">
        <f>P78</f>
        <v>No</v>
      </c>
      <c r="C127" s="102" t="str">
        <f t="array" ref="C127">IFERROR(INDEX($A$112:$A$128, SMALL(IF("Yes"=$B$112:$B$128, ROW($B$112:$B$128)-ROW($B$112)+1), ROW(16:16)))&amp;" / ","")</f>
        <v/>
      </c>
      <c r="D127" s="587"/>
      <c r="E127" s="594"/>
      <c r="F127" s="587"/>
      <c r="G127" s="587"/>
      <c r="H127" s="587"/>
      <c r="I127" s="587"/>
      <c r="J127" s="591" t="s">
        <v>908</v>
      </c>
      <c r="K127" s="595" t="str">
        <f>P97</f>
        <v>No</v>
      </c>
      <c r="L127" s="102" t="str">
        <f t="array" ref="L127">IFERROR(INDEX($J$112:$J$128, SMALL(IF("Yes"=$K$112:$K$128, ROW($K$112:$K$128)-ROW($K$112)+1), ROW(16:16)))&amp;" / ","")</f>
        <v/>
      </c>
      <c r="M127" s="587"/>
      <c r="N127" s="594"/>
      <c r="O127" s="52"/>
      <c r="Q127" s="77"/>
      <c r="R127" s="77"/>
      <c r="AA127" s="52"/>
      <c r="AB127" s="52"/>
      <c r="AC127" s="52"/>
      <c r="AD127" s="52"/>
    </row>
    <row r="128" spans="1:30">
      <c r="A128" s="591"/>
      <c r="B128" s="595">
        <f>P79</f>
        <v>0</v>
      </c>
      <c r="C128" s="102" t="str">
        <f t="array" ref="C128">IFERROR(INDEX($A$112:$A$128, SMALL(IF("Yes"=$B$112:$B$128, ROW($B$112:$B$128)-ROW($B$112)+1), ROW(17:17)))&amp;" / ","")</f>
        <v/>
      </c>
      <c r="D128" s="587"/>
      <c r="E128" s="594"/>
      <c r="F128" s="587"/>
      <c r="G128" s="587"/>
      <c r="H128" s="587"/>
      <c r="I128" s="587"/>
      <c r="J128" s="591"/>
      <c r="K128" s="595">
        <f>P98</f>
        <v>0</v>
      </c>
      <c r="L128" s="102" t="str">
        <f t="array" ref="L128">IFERROR(INDEX($J$112:$J$128, SMALL(IF("Yes"=$K$112:$K$128, ROW($K$112:$K$128)-ROW($K$112)+1), ROW(17:17)))&amp;" / ","")</f>
        <v/>
      </c>
      <c r="M128" s="587"/>
      <c r="N128" s="594"/>
      <c r="O128" s="52"/>
      <c r="Q128" s="77"/>
      <c r="R128" s="77"/>
      <c r="AA128" s="52"/>
      <c r="AB128" s="52"/>
      <c r="AC128" s="52"/>
      <c r="AD128" s="52"/>
    </row>
    <row r="129" spans="1:30">
      <c r="A129" s="587"/>
      <c r="B129" s="594"/>
      <c r="C129" s="587"/>
      <c r="D129" s="587"/>
      <c r="E129" s="594"/>
      <c r="F129" s="587"/>
      <c r="G129" s="587"/>
      <c r="H129" s="587"/>
      <c r="I129" s="587"/>
      <c r="J129" s="587"/>
      <c r="K129" s="594"/>
      <c r="L129" s="587"/>
      <c r="M129" s="587"/>
      <c r="N129" s="594"/>
      <c r="O129" s="52"/>
      <c r="Q129" s="77"/>
      <c r="R129" s="77"/>
      <c r="AA129" s="52"/>
      <c r="AB129" s="52"/>
      <c r="AC129" s="52"/>
      <c r="AD129" s="52"/>
    </row>
    <row r="130" spans="1:30">
      <c r="A130" s="596" t="s">
        <v>101</v>
      </c>
      <c r="B130" s="102"/>
      <c r="C130" s="102"/>
      <c r="D130" s="102"/>
      <c r="E130" s="102"/>
      <c r="F130" s="587"/>
      <c r="G130" s="587"/>
      <c r="H130" s="102"/>
      <c r="I130" s="587"/>
      <c r="J130" s="596" t="s">
        <v>101</v>
      </c>
      <c r="K130" s="102"/>
      <c r="L130" s="102"/>
      <c r="M130" s="587"/>
      <c r="N130" s="587"/>
      <c r="Q130" s="77"/>
      <c r="R130" s="77"/>
      <c r="AA130" s="52"/>
      <c r="AB130" s="52"/>
      <c r="AC130" s="52"/>
      <c r="AD130" s="52"/>
    </row>
    <row r="131" spans="1:30">
      <c r="A131" s="597" t="s">
        <v>169</v>
      </c>
      <c r="B131" s="102" t="str">
        <f>IF(COUNTIF(D71:D78,"Yes")&gt;0,A70&amp;" / ","")&amp;IF(COUNTIF(H71:H80,"Yes")&gt;0,E70&amp;" / ","")&amp;IF(COUNTIF(L71:L78,"Yes")&gt;0,I70&amp;" / ","")&amp;IF(COUNTIF(P71:P80,"Yes")&gt;0,M70&amp;" / ","")</f>
        <v/>
      </c>
      <c r="C131" s="102"/>
      <c r="D131" s="102"/>
      <c r="E131" s="102"/>
      <c r="F131" s="587"/>
      <c r="G131" s="587"/>
      <c r="H131" s="102"/>
      <c r="I131" s="587"/>
      <c r="J131" s="597" t="s">
        <v>169</v>
      </c>
      <c r="K131" s="102" t="str">
        <f>IF(COUNTIF(D90:D97,"Yes")&gt;0,A89&amp;" / ","")&amp;IF(COUNTIF(H90:H99,"Yes")&gt;0,E89&amp;" / ","")&amp;IF(COUNTIF(M90:M97,"Yes")&gt;0,I89&amp;" / ","")&amp;IF(COUNTIF(P90:P99,"Yes")&gt;0,M89&amp;" / ","")</f>
        <v/>
      </c>
      <c r="L131" s="102"/>
      <c r="M131" s="587"/>
      <c r="N131" s="587"/>
      <c r="Q131" s="77"/>
      <c r="R131" s="77"/>
      <c r="AA131" s="52"/>
      <c r="AB131" s="52"/>
      <c r="AC131" s="52"/>
      <c r="AD131" s="52"/>
    </row>
    <row r="132" spans="1:30">
      <c r="A132" s="598" t="s">
        <v>170</v>
      </c>
      <c r="B132" s="594" t="str">
        <f>IF(LEN(B131)&gt;3,LEFT(B131,LEN(B131)-3),"")</f>
        <v/>
      </c>
      <c r="C132" s="587"/>
      <c r="D132" s="587"/>
      <c r="E132" s="594"/>
      <c r="F132" s="587"/>
      <c r="G132" s="587"/>
      <c r="H132" s="587"/>
      <c r="I132" s="587"/>
      <c r="J132" s="598" t="s">
        <v>170</v>
      </c>
      <c r="K132" s="594" t="str">
        <f>IF(LEN(K131)&gt;3,LEFT(K131,LEN(K131)-3),"")</f>
        <v/>
      </c>
      <c r="L132" s="599"/>
      <c r="M132" s="599"/>
      <c r="N132" s="587"/>
      <c r="Q132" s="77"/>
      <c r="R132" s="77"/>
      <c r="S132" s="77"/>
      <c r="T132" s="77"/>
      <c r="U132" s="77"/>
      <c r="V132" s="52"/>
      <c r="AA132" s="52"/>
      <c r="AB132" s="52"/>
      <c r="AC132" s="52"/>
      <c r="AD132" s="52"/>
    </row>
    <row r="133" spans="1:30">
      <c r="A133" s="102"/>
      <c r="B133" s="102"/>
      <c r="C133" s="599"/>
      <c r="D133" s="599"/>
      <c r="E133" s="600"/>
      <c r="F133" s="587"/>
      <c r="G133" s="102"/>
      <c r="H133" s="102"/>
      <c r="I133" s="587"/>
      <c r="J133" s="102"/>
      <c r="K133" s="102"/>
      <c r="L133" s="102"/>
      <c r="M133" s="102"/>
      <c r="N133" s="102"/>
      <c r="O133" s="76"/>
      <c r="P133" s="77"/>
    </row>
    <row r="134" spans="1:30">
      <c r="A134" s="102"/>
      <c r="B134" s="102"/>
      <c r="C134" s="102"/>
      <c r="D134" s="599"/>
      <c r="E134" s="600"/>
      <c r="F134" s="587"/>
      <c r="G134" s="587"/>
      <c r="H134" s="587"/>
      <c r="I134" s="587"/>
      <c r="J134" s="601" t="s">
        <v>163</v>
      </c>
      <c r="K134" s="594"/>
      <c r="L134" s="587"/>
      <c r="M134" s="587"/>
      <c r="N134" s="594"/>
      <c r="O134" s="76"/>
      <c r="P134" s="77"/>
    </row>
    <row r="135" spans="1:30">
      <c r="A135" s="597" t="s">
        <v>169</v>
      </c>
      <c r="B135" s="587" t="str">
        <f>CONCATENATE(C112,C113,C114,C115,C116,C117,C118,C119,C120,C121,C122,C123,C124,C125,C126,C127,C128,)</f>
        <v/>
      </c>
      <c r="C135" s="587"/>
      <c r="D135" s="599"/>
      <c r="E135" s="600"/>
      <c r="F135" s="587"/>
      <c r="G135" s="587"/>
      <c r="H135" s="587"/>
      <c r="I135" s="587"/>
      <c r="J135" s="597" t="s">
        <v>169</v>
      </c>
      <c r="K135" s="587" t="str">
        <f>CONCATENATE($L$112,$L$113,$L$114,$L$115,$L$116,$L$117,$L$118,$L$119,$L$120,$L$121,$L$122,$L$123,$L$124,$L$125,$L$126,$L$127,$L$128)</f>
        <v/>
      </c>
      <c r="L135" s="102"/>
      <c r="M135" s="587"/>
      <c r="N135" s="594"/>
      <c r="O135" s="76"/>
      <c r="P135" s="77"/>
    </row>
    <row r="136" spans="1:30">
      <c r="A136" s="597" t="s">
        <v>170</v>
      </c>
      <c r="B136" s="587" t="str">
        <f>IF(LEN(B135)&gt;3,LEFT(B135,LEN(B135)-3),"")</f>
        <v/>
      </c>
      <c r="C136" s="599"/>
      <c r="D136" s="599"/>
      <c r="E136" s="600"/>
      <c r="F136" s="587"/>
      <c r="G136" s="587"/>
      <c r="H136" s="587"/>
      <c r="I136" s="587"/>
      <c r="J136" s="597" t="s">
        <v>170</v>
      </c>
      <c r="K136" s="587" t="str">
        <f>IF(LEN(K135)&gt;3,LEFT(K135,LEN(K135)-3),"")</f>
        <v/>
      </c>
      <c r="L136" s="587"/>
      <c r="M136" s="587"/>
      <c r="N136" s="594"/>
      <c r="O136" s="76"/>
      <c r="P136" s="77"/>
    </row>
    <row r="137" spans="1:30">
      <c r="A137" s="587"/>
      <c r="B137" s="587"/>
      <c r="C137" s="594"/>
      <c r="D137" s="587"/>
      <c r="E137" s="587"/>
      <c r="F137" s="594"/>
      <c r="G137" s="587"/>
      <c r="H137" s="587"/>
      <c r="I137" s="102"/>
      <c r="J137" s="103"/>
      <c r="K137" s="103"/>
      <c r="L137" s="103"/>
      <c r="M137" s="102"/>
      <c r="N137" s="600"/>
      <c r="O137" s="76"/>
      <c r="P137" s="77"/>
    </row>
    <row r="138" spans="1:30">
      <c r="A138" s="16"/>
      <c r="B138" s="16"/>
      <c r="C138" s="2"/>
      <c r="D138" s="16"/>
      <c r="E138" s="16"/>
      <c r="F138" s="2"/>
      <c r="H138" s="16"/>
      <c r="I138" s="52"/>
      <c r="J138" s="52"/>
      <c r="K138" s="81"/>
      <c r="L138" s="81"/>
      <c r="M138" s="76"/>
      <c r="N138" s="76"/>
      <c r="O138" s="76"/>
      <c r="P138" s="77"/>
    </row>
    <row r="140" spans="1:30">
      <c r="M140" s="2"/>
      <c r="N140" s="52"/>
      <c r="O140" s="76"/>
    </row>
    <row r="141" spans="1:30">
      <c r="M141" s="2"/>
      <c r="N141" s="52"/>
      <c r="O141" s="76"/>
    </row>
    <row r="142" spans="1:30">
      <c r="M142" s="76"/>
      <c r="N142" s="52"/>
      <c r="O142" s="76"/>
    </row>
  </sheetData>
  <sheetProtection sheet="1" objects="1" scenarios="1"/>
  <dataConsolidate/>
  <customSheetViews>
    <customSheetView guid="{6F32447A-4407-44AD-A35F-AE919A5CF3AF}" showGridLines="0">
      <selection activeCell="H46" sqref="H46:J47"/>
    </customSheetView>
    <customSheetView guid="{B4419C5D-1877-4ABB-A46F-9E0AFFC75B59}" showGridLines="0" hiddenColumns="1">
      <selection activeCell="T21" sqref="T21"/>
      <rowBreaks count="1" manualBreakCount="1">
        <brk id="59" max="15" man="1"/>
      </rowBreaks>
      <pageMargins left="0.7" right="0.7" top="0.75" bottom="0.75" header="0.3" footer="0.3"/>
      <pageSetup scale="61" orientation="portrait" r:id="rId1"/>
    </customSheetView>
  </customSheetViews>
  <mergeCells count="274">
    <mergeCell ref="P92:P93"/>
    <mergeCell ref="D94:D95"/>
    <mergeCell ref="A81:P81"/>
    <mergeCell ref="A82:P82"/>
    <mergeCell ref="E75:G78"/>
    <mergeCell ref="H75:H78"/>
    <mergeCell ref="D75:D76"/>
    <mergeCell ref="AK21:AK25"/>
    <mergeCell ref="AK26:AK30"/>
    <mergeCell ref="AK32:AK36"/>
    <mergeCell ref="W50:X50"/>
    <mergeCell ref="P42:P43"/>
    <mergeCell ref="K45:O46"/>
    <mergeCell ref="A66:P66"/>
    <mergeCell ref="E70:H70"/>
    <mergeCell ref="A69:P69"/>
    <mergeCell ref="A45:G46"/>
    <mergeCell ref="A62:P63"/>
    <mergeCell ref="A51:E52"/>
    <mergeCell ref="F50:J50"/>
    <mergeCell ref="F51:J52"/>
    <mergeCell ref="A47:J47"/>
    <mergeCell ref="O67:P68"/>
    <mergeCell ref="A56:J56"/>
    <mergeCell ref="AJ8:AJ12"/>
    <mergeCell ref="AI21:AI25"/>
    <mergeCell ref="AJ21:AJ25"/>
    <mergeCell ref="AI26:AI30"/>
    <mergeCell ref="W20:X20"/>
    <mergeCell ref="W27:X27"/>
    <mergeCell ref="W35:X35"/>
    <mergeCell ref="W40:X40"/>
    <mergeCell ref="W46:X46"/>
    <mergeCell ref="X8:X12"/>
    <mergeCell ref="AI8:AI12"/>
    <mergeCell ref="AC8:AC12"/>
    <mergeCell ref="AC13:AC18"/>
    <mergeCell ref="K44:P44"/>
    <mergeCell ref="X13:X18"/>
    <mergeCell ref="W13:W18"/>
    <mergeCell ref="A24:P26"/>
    <mergeCell ref="F27:I27"/>
    <mergeCell ref="E16:E18"/>
    <mergeCell ref="A19:O21"/>
    <mergeCell ref="K41:P41"/>
    <mergeCell ref="K42:O43"/>
    <mergeCell ref="A39:G40"/>
    <mergeCell ref="H16:H18"/>
    <mergeCell ref="A22:P23"/>
    <mergeCell ref="I14:I15"/>
    <mergeCell ref="G14:G15"/>
    <mergeCell ref="F13:F15"/>
    <mergeCell ref="A13:C15"/>
    <mergeCell ref="O14:O15"/>
    <mergeCell ref="J8:J9"/>
    <mergeCell ref="P7:P9"/>
    <mergeCell ref="P10:P12"/>
    <mergeCell ref="R7:R8"/>
    <mergeCell ref="R9:R10"/>
    <mergeCell ref="R11:R12"/>
    <mergeCell ref="R13:R14"/>
    <mergeCell ref="N8:N9"/>
    <mergeCell ref="J16:J18"/>
    <mergeCell ref="K16:K18"/>
    <mergeCell ref="L16:L18"/>
    <mergeCell ref="M16:M18"/>
    <mergeCell ref="N16:N18"/>
    <mergeCell ref="N14:N15"/>
    <mergeCell ref="K14:K15"/>
    <mergeCell ref="J13:J15"/>
    <mergeCell ref="M13:M15"/>
    <mergeCell ref="S7:S8"/>
    <mergeCell ref="P13:P15"/>
    <mergeCell ref="P16:P18"/>
    <mergeCell ref="P19:P21"/>
    <mergeCell ref="AL21:AL25"/>
    <mergeCell ref="T11:U12"/>
    <mergeCell ref="T13:U14"/>
    <mergeCell ref="AO13:AO18"/>
    <mergeCell ref="AN13:AN18"/>
    <mergeCell ref="AG8:AG12"/>
    <mergeCell ref="AF8:AF12"/>
    <mergeCell ref="AE8:AE12"/>
    <mergeCell ref="AD8:AD12"/>
    <mergeCell ref="AB8:AB12"/>
    <mergeCell ref="AA8:AA12"/>
    <mergeCell ref="Z8:Z12"/>
    <mergeCell ref="Y8:Y12"/>
    <mergeCell ref="W8:W12"/>
    <mergeCell ref="AL13:AL18"/>
    <mergeCell ref="AK13:AK18"/>
    <mergeCell ref="AJ13:AJ18"/>
    <mergeCell ref="AI13:AI18"/>
    <mergeCell ref="AH13:AH18"/>
    <mergeCell ref="AH8:AH12"/>
    <mergeCell ref="AO8:AO12"/>
    <mergeCell ref="AN8:AN12"/>
    <mergeCell ref="AL8:AL12"/>
    <mergeCell ref="AK8:AK12"/>
    <mergeCell ref="M1:P1"/>
    <mergeCell ref="M2:P2"/>
    <mergeCell ref="F3:J3"/>
    <mergeCell ref="F2:J2"/>
    <mergeCell ref="F1:J1"/>
    <mergeCell ref="M10:M12"/>
    <mergeCell ref="N10:N12"/>
    <mergeCell ref="O10:O12"/>
    <mergeCell ref="M8:M9"/>
    <mergeCell ref="M3:P3"/>
    <mergeCell ref="F8:F9"/>
    <mergeCell ref="G8:G9"/>
    <mergeCell ref="H10:H12"/>
    <mergeCell ref="S6:U6"/>
    <mergeCell ref="T7:U8"/>
    <mergeCell ref="A4:P6"/>
    <mergeCell ref="A10:C12"/>
    <mergeCell ref="A7:C9"/>
    <mergeCell ref="O8:O9"/>
    <mergeCell ref="T9:U10"/>
    <mergeCell ref="A1:E1"/>
    <mergeCell ref="D10:D12"/>
    <mergeCell ref="E10:E12"/>
    <mergeCell ref="F10:F12"/>
    <mergeCell ref="I8:I9"/>
    <mergeCell ref="D13:D15"/>
    <mergeCell ref="G10:G12"/>
    <mergeCell ref="K1:L1"/>
    <mergeCell ref="K2:L2"/>
    <mergeCell ref="K3:L3"/>
    <mergeCell ref="A3:E3"/>
    <mergeCell ref="D8:D9"/>
    <mergeCell ref="E13:E15"/>
    <mergeCell ref="E8:E9"/>
    <mergeCell ref="L13:L15"/>
    <mergeCell ref="L11:L12"/>
    <mergeCell ref="I11:I12"/>
    <mergeCell ref="J11:J12"/>
    <mergeCell ref="K11:K12"/>
    <mergeCell ref="L8:L9"/>
    <mergeCell ref="K8:K9"/>
    <mergeCell ref="H13:H15"/>
    <mergeCell ref="H8:H9"/>
    <mergeCell ref="A2:E2"/>
    <mergeCell ref="J111:K111"/>
    <mergeCell ref="J110:N110"/>
    <mergeCell ref="A110:E110"/>
    <mergeCell ref="A111:B111"/>
    <mergeCell ref="A100:P100"/>
    <mergeCell ref="I77:K80"/>
    <mergeCell ref="D96:D97"/>
    <mergeCell ref="H98:H99"/>
    <mergeCell ref="D92:D93"/>
    <mergeCell ref="H92:H93"/>
    <mergeCell ref="A77:C78"/>
    <mergeCell ref="H90:H91"/>
    <mergeCell ref="L90:L91"/>
    <mergeCell ref="D90:D91"/>
    <mergeCell ref="H79:H80"/>
    <mergeCell ref="P90:P91"/>
    <mergeCell ref="A86:P87"/>
    <mergeCell ref="A88:P88"/>
    <mergeCell ref="A84:P85"/>
    <mergeCell ref="E79:G80"/>
    <mergeCell ref="D79:D80"/>
    <mergeCell ref="A79:C80"/>
    <mergeCell ref="M78:O80"/>
    <mergeCell ref="D77:D78"/>
    <mergeCell ref="A101:P105"/>
    <mergeCell ref="AG13:AG18"/>
    <mergeCell ref="AF13:AF18"/>
    <mergeCell ref="AE13:AE18"/>
    <mergeCell ref="AD13:AD18"/>
    <mergeCell ref="AB13:AB18"/>
    <mergeCell ref="AA13:AA18"/>
    <mergeCell ref="Z13:Z18"/>
    <mergeCell ref="Y13:Y18"/>
    <mergeCell ref="M75:O77"/>
    <mergeCell ref="M73:O74"/>
    <mergeCell ref="P73:P74"/>
    <mergeCell ref="K51:P58"/>
    <mergeCell ref="I73:K76"/>
    <mergeCell ref="L77:L80"/>
    <mergeCell ref="P78:P80"/>
    <mergeCell ref="P75:P77"/>
    <mergeCell ref="M71:O72"/>
    <mergeCell ref="L71:L72"/>
    <mergeCell ref="L73:L76"/>
    <mergeCell ref="A31:A32"/>
    <mergeCell ref="A33:P34"/>
    <mergeCell ref="A27:E27"/>
    <mergeCell ref="I16:I18"/>
    <mergeCell ref="AL26:AL30"/>
    <mergeCell ref="D71:D72"/>
    <mergeCell ref="E71:G72"/>
    <mergeCell ref="J27:L27"/>
    <mergeCell ref="M27:P27"/>
    <mergeCell ref="AJ26:AJ30"/>
    <mergeCell ref="AI32:AI36"/>
    <mergeCell ref="AJ32:AJ36"/>
    <mergeCell ref="AI37:AI42"/>
    <mergeCell ref="AJ37:AJ42"/>
    <mergeCell ref="AL32:AL36"/>
    <mergeCell ref="AK37:AK42"/>
    <mergeCell ref="W62:X62"/>
    <mergeCell ref="B31:P32"/>
    <mergeCell ref="AL37:AL42"/>
    <mergeCell ref="A57:G58"/>
    <mergeCell ref="A42:G43"/>
    <mergeCell ref="A41:J41"/>
    <mergeCell ref="A44:J44"/>
    <mergeCell ref="K50:P50"/>
    <mergeCell ref="A54:J55"/>
    <mergeCell ref="A48:G49"/>
    <mergeCell ref="K47:P49"/>
    <mergeCell ref="H39:J40"/>
    <mergeCell ref="G67:I68"/>
    <mergeCell ref="A53:J53"/>
    <mergeCell ref="J67:N68"/>
    <mergeCell ref="D73:D74"/>
    <mergeCell ref="A67:F68"/>
    <mergeCell ref="A71:C72"/>
    <mergeCell ref="I70:L70"/>
    <mergeCell ref="H71:H72"/>
    <mergeCell ref="E73:G74"/>
    <mergeCell ref="H73:H74"/>
    <mergeCell ref="I71:K72"/>
    <mergeCell ref="E94:G97"/>
    <mergeCell ref="E98:G99"/>
    <mergeCell ref="A73:C74"/>
    <mergeCell ref="A75:C76"/>
    <mergeCell ref="P71:P72"/>
    <mergeCell ref="A60:P61"/>
    <mergeCell ref="P45:P46"/>
    <mergeCell ref="H57:J58"/>
    <mergeCell ref="D16:D18"/>
    <mergeCell ref="O16:O18"/>
    <mergeCell ref="A16:C18"/>
    <mergeCell ref="H42:J43"/>
    <mergeCell ref="K38:P38"/>
    <mergeCell ref="M70:P70"/>
    <mergeCell ref="A50:E50"/>
    <mergeCell ref="A38:J38"/>
    <mergeCell ref="A70:D70"/>
    <mergeCell ref="F16:F18"/>
    <mergeCell ref="G16:G18"/>
    <mergeCell ref="H45:J46"/>
    <mergeCell ref="A64:P65"/>
    <mergeCell ref="K39:P40"/>
    <mergeCell ref="H48:J49"/>
    <mergeCell ref="C35:O37"/>
    <mergeCell ref="P97:P99"/>
    <mergeCell ref="P94:P96"/>
    <mergeCell ref="M89:P89"/>
    <mergeCell ref="I89:L89"/>
    <mergeCell ref="E89:H89"/>
    <mergeCell ref="A89:D89"/>
    <mergeCell ref="H94:H97"/>
    <mergeCell ref="I96:K99"/>
    <mergeCell ref="I92:K95"/>
    <mergeCell ref="I90:K91"/>
    <mergeCell ref="L96:L99"/>
    <mergeCell ref="L92:L95"/>
    <mergeCell ref="M97:O99"/>
    <mergeCell ref="M94:O96"/>
    <mergeCell ref="M92:O93"/>
    <mergeCell ref="M90:O91"/>
    <mergeCell ref="D98:D99"/>
    <mergeCell ref="A98:C99"/>
    <mergeCell ref="A96:C97"/>
    <mergeCell ref="A94:C95"/>
    <mergeCell ref="A92:C93"/>
    <mergeCell ref="A90:C91"/>
    <mergeCell ref="E90:G91"/>
    <mergeCell ref="E92:G93"/>
  </mergeCells>
  <conditionalFormatting sqref="P19">
    <cfRule type="cellIs" dxfId="10744" priority="88" operator="between">
      <formula>99</formula>
      <formula>100</formula>
    </cfRule>
    <cfRule type="cellIs" dxfId="10743" priority="89" operator="between">
      <formula>90</formula>
      <formula>98.99</formula>
    </cfRule>
    <cfRule type="cellIs" dxfId="10742" priority="90" operator="between">
      <formula>80</formula>
      <formula>89.99</formula>
    </cfRule>
    <cfRule type="cellIs" dxfId="10741" priority="91" operator="lessThanOrEqual">
      <formula>79.99</formula>
    </cfRule>
  </conditionalFormatting>
  <conditionalFormatting sqref="A29:P29">
    <cfRule type="cellIs" dxfId="10740" priority="83" operator="between">
      <formula>99</formula>
      <formula>100</formula>
    </cfRule>
    <cfRule type="cellIs" dxfId="10739" priority="84" operator="between">
      <formula>90</formula>
      <formula>98.99</formula>
    </cfRule>
    <cfRule type="cellIs" dxfId="10738" priority="85" operator="between">
      <formula>80</formula>
      <formula>89.99</formula>
    </cfRule>
    <cfRule type="cellIs" dxfId="10737" priority="86" operator="lessThan">
      <formula>79.99</formula>
    </cfRule>
  </conditionalFormatting>
  <conditionalFormatting sqref="L71:L73 L77 H71:H75 H79:H80 P78 D71:D80 P71:P75 H90:H94 H98:H99 L90:L92 L96 P90:P94 Q98 P97">
    <cfRule type="beginsWith" dxfId="10736" priority="28" operator="beginsWith" text="No">
      <formula>LEFT(D71,LEN("No"))="No"</formula>
    </cfRule>
  </conditionalFormatting>
  <conditionalFormatting sqref="AB13 AB8 AA6 AB5:AC5">
    <cfRule type="beginsWith" dxfId="10735" priority="19" operator="beginsWith" text="I&amp;U">
      <formula>LEFT(AA5,LEN("I&amp;U"))="I&amp;U"</formula>
    </cfRule>
  </conditionalFormatting>
  <conditionalFormatting sqref="AF13 AF8 AE6 AF5">
    <cfRule type="beginsWith" dxfId="10734" priority="17" operator="beginsWith" text="YES">
      <formula>LEFT(AE5,LEN("YES"))="YES"</formula>
    </cfRule>
    <cfRule type="beginsWith" dxfId="10733" priority="18" operator="beginsWith" text="NO">
      <formula>LEFT(AE5,LEN("NO"))="NO"</formula>
    </cfRule>
  </conditionalFormatting>
  <conditionalFormatting sqref="A84:P105">
    <cfRule type="expression" dxfId="10732" priority="14" stopIfTrue="1">
      <formula>NOT(AND($H$39="Yes",$H$42="Yes",$H$45="Performance"))</formula>
    </cfRule>
  </conditionalFormatting>
  <conditionalFormatting sqref="D90:D99">
    <cfRule type="beginsWith" dxfId="10731" priority="15" operator="beginsWith" text="No">
      <formula>LEFT(D90,LEN("No"))="No"</formula>
    </cfRule>
  </conditionalFormatting>
  <dataValidations disablePrompts="1" count="9">
    <dataValidation type="list" showInputMessage="1" showErrorMessage="1" sqref="D90:D99 P90:P94 Q98 P97 L90:L92 L96 H90:H94 H98:H99 P71:P75 P78 H71:H75 L77 L71:L73 D71:D80 H39:J40 H79:H80" xr:uid="{00000000-0002-0000-0400-000000000000}">
      <formula1>$W$28:$W$29</formula1>
    </dataValidation>
    <dataValidation type="list" allowBlank="1" sqref="H57:J58" xr:uid="{00000000-0002-0000-0400-000001000000}">
      <formula1>IF(IsRepeating&lt;&gt;"Yes",$W$63,$X$63)</formula1>
    </dataValidation>
    <dataValidation type="list" allowBlank="1" showErrorMessage="1" sqref="P45:P46" xr:uid="{00000000-0002-0000-0400-000002000000}">
      <formula1>$W$31:$W$32</formula1>
    </dataValidation>
    <dataValidation type="list" showInputMessage="1" showErrorMessage="1" sqref="P42:P43" xr:uid="{00000000-0002-0000-0400-000003000000}">
      <formula1>IF($D$29&lt;100,$W$29,$W$28:$W$29)</formula1>
    </dataValidation>
    <dataValidation type="list" showInputMessage="1" showErrorMessage="1" sqref="H45" xr:uid="{00000000-0002-0000-0400-000004000000}">
      <formula1>IF($H$42="Yes",$W$41:$W$44,$X$41)</formula1>
    </dataValidation>
    <dataValidation type="list" allowBlank="1" showInputMessage="1" showErrorMessage="1" sqref="H48" xr:uid="{00000000-0002-0000-0400-000005000000}">
      <formula1>IF($H$42="Yes",$W$36:$W$38,$X$36)</formula1>
    </dataValidation>
    <dataValidation type="list" showInputMessage="1" showErrorMessage="1" sqref="G67" xr:uid="{00000000-0002-0000-0400-000006000000}">
      <formula1>IF($H$45="Performance",$W$47,$X$47:$X$48)</formula1>
    </dataValidation>
    <dataValidation type="list" allowBlank="1" showInputMessage="1" showErrorMessage="1" sqref="O67:P68" xr:uid="{00000000-0002-0000-0400-000007000000}">
      <formula1>IF(OR($G$67="Yes",$G$67="Mandatory"),$X$51:$X$58,$W$51)</formula1>
    </dataValidation>
    <dataValidation type="list" allowBlank="1" showInputMessage="1" showErrorMessage="1" sqref="H42:J43" xr:uid="{00000000-0002-0000-0400-000008000000}">
      <formula1>IF($H$39="Yes",$W$31:$W$32,$X$31:$X$33)</formula1>
    </dataValidation>
  </dataValidations>
  <hyperlinks>
    <hyperlink ref="A7:A9" location="'D3 to D14'!A1" tooltip="Back" display="Back" xr:uid="{00000000-0004-0000-0400-000000000000}"/>
  </hyperlinks>
  <pageMargins left="0.7" right="0.7" top="0.75" bottom="0.75" header="0.3" footer="0.3"/>
  <pageSetup scale="60" orientation="portrait" r:id="rId2"/>
  <rowBreaks count="1" manualBreakCount="1">
    <brk id="59" max="15" man="1"/>
  </rowBreaks>
  <legacyDrawing r:id="rId3"/>
  <extLst>
    <ext xmlns:x14="http://schemas.microsoft.com/office/spreadsheetml/2009/9/main" uri="{78C0D931-6437-407d-A8EE-F0AAD7539E65}">
      <x14:conditionalFormattings>
        <x14:conditionalFormatting xmlns:xm="http://schemas.microsoft.com/office/excel/2006/main">
          <x14:cfRule type="iconSet" priority="179" id="{360D762E-D5A7-429B-9790-823FF6F1B981}">
            <x14:iconSet iconSet="3Stars" custom="1">
              <x14:cfvo type="percent">
                <xm:f>0</xm:f>
              </x14:cfvo>
              <x14:cfvo type="num" gte="0">
                <xm:f>90</xm:f>
              </x14:cfvo>
              <x14:cfvo type="num">
                <xm:f>100</xm:f>
              </x14:cfvo>
              <x14:cfIcon iconSet="3Flags" iconId="0"/>
              <x14:cfIcon iconSet="NoIcons" iconId="0"/>
              <x14:cfIcon iconSet="3Stars" iconId="2"/>
            </x14:iconSet>
          </x14:cfRule>
          <xm:sqref>Z8 Y6 Z5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Q57"/>
  <sheetViews>
    <sheetView showGridLines="0" view="pageBreakPreview" topLeftCell="A32" zoomScale="60" zoomScaleNormal="85" workbookViewId="0">
      <selection activeCell="BA52" sqref="BA52:BL57"/>
    </sheetView>
  </sheetViews>
  <sheetFormatPr baseColWidth="10" defaultColWidth="2.6640625" defaultRowHeight="15" customHeight="1"/>
  <cols>
    <col min="1" max="52" width="2.6640625" style="32"/>
    <col min="53" max="64" width="2.6640625" style="32" customWidth="1"/>
    <col min="65" max="69" width="2.6640625" style="32"/>
    <col min="70" max="70" width="2.6640625" style="32" customWidth="1"/>
    <col min="71" max="16384" width="2.6640625" style="32"/>
  </cols>
  <sheetData>
    <row r="1" spans="1:69" s="187" customFormat="1" ht="27" customHeight="1">
      <c r="A1"/>
      <c r="B1" s="236"/>
      <c r="C1" s="236"/>
      <c r="D1" s="236"/>
      <c r="E1" s="236"/>
      <c r="G1" s="236"/>
      <c r="H1" s="236" t="str">
        <f>"Name : "&amp;Name</f>
        <v xml:space="preserve">Name : </v>
      </c>
      <c r="I1" s="236"/>
      <c r="J1" s="236"/>
      <c r="K1" s="236"/>
      <c r="L1" s="236"/>
      <c r="M1" s="236"/>
      <c r="N1" s="237"/>
      <c r="O1" s="236"/>
      <c r="P1" s="236"/>
      <c r="Q1" s="236"/>
      <c r="R1" s="236"/>
      <c r="S1" s="236"/>
      <c r="T1" s="236"/>
      <c r="U1" s="236"/>
      <c r="V1" s="236"/>
      <c r="W1" s="236"/>
      <c r="X1" s="236"/>
      <c r="Y1" s="236"/>
      <c r="Z1" s="236"/>
      <c r="AA1" s="236" t="str">
        <f>"Abinitio No : "&amp;Group</f>
        <v xml:space="preserve">Abinitio No : </v>
      </c>
      <c r="AB1" s="238"/>
      <c r="AC1" s="238"/>
      <c r="AD1" s="238"/>
      <c r="AE1" s="238"/>
      <c r="AF1" s="238"/>
      <c r="AG1" s="238"/>
      <c r="AH1" s="238"/>
      <c r="AI1" s="238"/>
      <c r="AJ1" s="238"/>
      <c r="AK1" s="238"/>
      <c r="AL1" s="238"/>
      <c r="AM1" s="238"/>
      <c r="AN1" s="260"/>
      <c r="AO1" s="238"/>
      <c r="AP1" s="238"/>
      <c r="AQ1" s="238"/>
      <c r="AR1" s="238"/>
      <c r="AS1" s="1082" t="s">
        <v>833</v>
      </c>
      <c r="AT1" s="1082"/>
      <c r="AU1" s="1082"/>
      <c r="AV1" s="1082"/>
      <c r="AW1" s="1082"/>
      <c r="AX1" s="1081"/>
      <c r="AY1" s="1081"/>
      <c r="AZ1" s="264"/>
      <c r="BA1" s="261">
        <v>3</v>
      </c>
      <c r="BB1" s="261">
        <v>4</v>
      </c>
      <c r="BC1" s="261">
        <v>5</v>
      </c>
      <c r="BD1" s="261">
        <v>6</v>
      </c>
      <c r="BE1" s="261">
        <v>7</v>
      </c>
      <c r="BF1" s="261">
        <v>8</v>
      </c>
      <c r="BG1" s="261">
        <v>9</v>
      </c>
      <c r="BH1" s="261">
        <v>10</v>
      </c>
      <c r="BI1" s="261">
        <v>11</v>
      </c>
      <c r="BJ1" s="261">
        <v>12</v>
      </c>
      <c r="BK1" s="261">
        <v>13</v>
      </c>
      <c r="BL1" s="261">
        <v>14</v>
      </c>
      <c r="BM1" s="260"/>
      <c r="BN1" s="260"/>
      <c r="BO1" s="260"/>
      <c r="BP1" s="260"/>
      <c r="BQ1" s="260"/>
    </row>
    <row r="2" spans="1:69" s="187" customFormat="1" ht="15" customHeight="1">
      <c r="B2" s="236"/>
      <c r="C2" s="236"/>
      <c r="D2" s="236"/>
      <c r="E2" s="236"/>
      <c r="G2" s="236"/>
      <c r="H2" s="236" t="str">
        <f>"Staff No : "&amp;StaffNumber</f>
        <v xml:space="preserve">Staff No : </v>
      </c>
      <c r="I2" s="236"/>
      <c r="J2" s="236"/>
      <c r="K2" s="236"/>
      <c r="L2" s="236"/>
      <c r="M2" s="236"/>
      <c r="N2" s="1102"/>
      <c r="O2" s="1102"/>
      <c r="P2" s="1102"/>
      <c r="Q2" s="1102"/>
      <c r="R2" s="1102"/>
      <c r="S2" s="1102"/>
      <c r="T2" s="1102"/>
      <c r="U2" s="1102"/>
      <c r="V2" s="1102"/>
      <c r="W2" s="1102"/>
      <c r="X2" s="1102"/>
      <c r="Y2" s="1102"/>
      <c r="Z2" s="1102"/>
      <c r="AA2" s="238" t="str">
        <f>"Course Dates : "&amp;Date</f>
        <v xml:space="preserve">Course Dates : </v>
      </c>
      <c r="AB2" s="238"/>
      <c r="AC2" s="238"/>
      <c r="AD2" s="238"/>
      <c r="AE2" s="238"/>
      <c r="AF2" s="238"/>
      <c r="AG2" s="238"/>
      <c r="AH2" s="238"/>
      <c r="AI2" s="238"/>
      <c r="AJ2" s="238"/>
      <c r="AK2" s="238"/>
      <c r="AL2" s="238"/>
      <c r="AM2" s="238"/>
      <c r="AN2" s="238"/>
      <c r="AO2" s="238"/>
      <c r="AQ2" s="238"/>
      <c r="AR2" s="238"/>
      <c r="AS2" s="1101" t="s">
        <v>584</v>
      </c>
      <c r="AT2" s="1101"/>
      <c r="AU2" s="1101"/>
      <c r="AV2" s="1101"/>
      <c r="AW2" s="1101"/>
      <c r="AX2" s="1101"/>
      <c r="AY2" s="1101"/>
      <c r="AZ2" s="1101"/>
      <c r="BA2" s="266">
        <v>1</v>
      </c>
      <c r="BB2" s="266">
        <v>1</v>
      </c>
      <c r="BC2" s="266">
        <v>1</v>
      </c>
      <c r="BD2" s="266">
        <v>1</v>
      </c>
      <c r="BE2" s="266">
        <v>1</v>
      </c>
      <c r="BF2" s="266">
        <v>1</v>
      </c>
      <c r="BG2" s="266">
        <v>1</v>
      </c>
      <c r="BH2" s="266">
        <v>1</v>
      </c>
      <c r="BI2" s="266">
        <v>1</v>
      </c>
      <c r="BJ2" s="266">
        <v>1</v>
      </c>
      <c r="BK2" s="266">
        <v>1</v>
      </c>
      <c r="BL2" s="266">
        <v>1</v>
      </c>
      <c r="BM2" s="260"/>
      <c r="BN2" s="260"/>
      <c r="BO2" s="260"/>
      <c r="BP2" s="260"/>
      <c r="BQ2" s="260"/>
    </row>
    <row r="3" spans="1:69" s="187" customFormat="1" ht="15" customHeight="1">
      <c r="B3" s="236"/>
      <c r="C3" s="236"/>
      <c r="D3" s="236"/>
      <c r="E3" s="236"/>
      <c r="G3" s="236"/>
      <c r="H3" s="236" t="str">
        <f>"Nationality :"</f>
        <v>Nationality :</v>
      </c>
      <c r="I3" s="236"/>
      <c r="J3" s="236"/>
      <c r="K3" s="236"/>
      <c r="L3" s="1091"/>
      <c r="M3" s="1091"/>
      <c r="N3" s="1091"/>
      <c r="O3" s="1091"/>
      <c r="P3" s="1091"/>
      <c r="Q3" s="1091"/>
      <c r="R3" s="1091"/>
      <c r="S3" s="1091"/>
      <c r="T3" s="1091"/>
      <c r="U3" s="1091"/>
      <c r="V3" s="1091"/>
      <c r="W3" s="1091"/>
      <c r="X3" s="1091"/>
      <c r="Y3" s="1091"/>
      <c r="Z3" s="1091"/>
      <c r="AB3" s="236"/>
      <c r="AC3" s="236"/>
      <c r="AD3" s="236"/>
      <c r="AS3" s="1101"/>
      <c r="AT3" s="1101"/>
      <c r="AU3" s="1101"/>
      <c r="AV3" s="1101"/>
      <c r="AW3" s="1101"/>
      <c r="AX3" s="1101"/>
      <c r="AY3" s="1101"/>
      <c r="AZ3" s="1101"/>
      <c r="BA3" s="1094">
        <f>'D3-D14 Score'!B42</f>
        <v>98.99</v>
      </c>
      <c r="BB3" s="1094">
        <f>'D3-D14 Score'!E42</f>
        <v>98.99</v>
      </c>
      <c r="BC3" s="1094">
        <f>'D3-D14 Score'!H42</f>
        <v>98.99</v>
      </c>
      <c r="BD3" s="1094">
        <f>'D3-D14 Score'!K42</f>
        <v>98.99</v>
      </c>
      <c r="BE3" s="1094">
        <f>'D3-D14 Score'!N42</f>
        <v>98.99</v>
      </c>
      <c r="BF3" s="1094" t="e">
        <f>'D3-D14 Score'!R42</f>
        <v>#DIV/0!</v>
      </c>
      <c r="BG3" s="1094" t="e">
        <f>'D3-D14 Score'!X42</f>
        <v>#DIV/0!</v>
      </c>
      <c r="BH3" s="1094" t="e">
        <f>IF(Rotation="B",CALHRLU,CALHRAT)</f>
        <v>#DIV/0!</v>
      </c>
      <c r="BI3" s="1094" t="e">
        <f>IF(Rotation="B",CAJFKLBBF,CAJFKLU)</f>
        <v>#DIV/0!</v>
      </c>
      <c r="BJ3" s="1094">
        <f>'D3-D14 Score'!BB42</f>
        <v>98.99</v>
      </c>
      <c r="BK3" s="1094">
        <f>'D3-D14 Score'!BE42</f>
        <v>98.99</v>
      </c>
      <c r="BL3" s="1094">
        <f>'D3-D14 Score'!BH42</f>
        <v>98.99</v>
      </c>
    </row>
    <row r="4" spans="1:69" s="187" customFormat="1" ht="15" customHeight="1">
      <c r="B4" s="236"/>
      <c r="C4" s="236"/>
      <c r="D4" s="236"/>
      <c r="E4" s="236"/>
      <c r="G4" s="236"/>
      <c r="H4" s="236" t="str">
        <f>"Work Experience :"</f>
        <v>Work Experience :</v>
      </c>
      <c r="I4" s="236"/>
      <c r="J4" s="262"/>
      <c r="K4" s="262"/>
      <c r="L4" s="262"/>
      <c r="M4" s="262"/>
      <c r="N4" s="1097"/>
      <c r="O4" s="1097"/>
      <c r="P4" s="1097"/>
      <c r="Q4" s="1097"/>
      <c r="R4" s="1097"/>
      <c r="S4" s="1097"/>
      <c r="T4" s="1097"/>
      <c r="U4" s="1097"/>
      <c r="V4" s="1097"/>
      <c r="W4" s="1097"/>
      <c r="X4" s="1097"/>
      <c r="Y4" s="1097"/>
      <c r="Z4" s="1097"/>
      <c r="AA4" s="1097"/>
      <c r="AB4" s="1097"/>
      <c r="AC4" s="1097"/>
      <c r="AD4" s="1097"/>
      <c r="AE4" s="1097"/>
      <c r="AF4" s="1097"/>
      <c r="AG4" s="1097"/>
      <c r="AH4" s="1097"/>
      <c r="AI4" s="1097"/>
      <c r="AJ4" s="1097"/>
      <c r="AK4" s="1097"/>
      <c r="AL4" s="1097"/>
      <c r="AM4" s="1097"/>
      <c r="AN4" s="263"/>
      <c r="AO4" s="263"/>
      <c r="AP4" s="263"/>
      <c r="AQ4" s="263"/>
      <c r="AR4" s="263"/>
      <c r="AS4" s="1083" t="s">
        <v>754</v>
      </c>
      <c r="AT4" s="1083"/>
      <c r="AU4" s="1085" t="s">
        <v>755</v>
      </c>
      <c r="AV4" s="1085"/>
      <c r="AW4" s="1087" t="s">
        <v>91</v>
      </c>
      <c r="AX4" s="1087"/>
      <c r="AY4" s="1089" t="s">
        <v>756</v>
      </c>
      <c r="AZ4" s="1089"/>
      <c r="BA4" s="1094"/>
      <c r="BB4" s="1094"/>
      <c r="BC4" s="1094"/>
      <c r="BD4" s="1094"/>
      <c r="BE4" s="1094"/>
      <c r="BF4" s="1094"/>
      <c r="BG4" s="1094"/>
      <c r="BH4" s="1094"/>
      <c r="BI4" s="1094"/>
      <c r="BJ4" s="1094"/>
      <c r="BK4" s="1094"/>
      <c r="BL4" s="1094"/>
    </row>
    <row r="5" spans="1:69" s="187" customFormat="1" ht="15" customHeight="1">
      <c r="B5" s="236"/>
      <c r="C5" s="236"/>
      <c r="D5" s="236"/>
      <c r="E5" s="236"/>
      <c r="F5" s="236"/>
      <c r="G5" s="236"/>
      <c r="H5" s="236" t="str">
        <f>"e Signature :"</f>
        <v>e Signature :</v>
      </c>
      <c r="I5" s="236"/>
      <c r="J5" s="236"/>
      <c r="K5" s="236"/>
      <c r="L5" s="1096"/>
      <c r="M5" s="1096"/>
      <c r="N5" s="1096"/>
      <c r="O5" s="1096"/>
      <c r="P5" s="1096"/>
      <c r="Q5" s="1096"/>
      <c r="R5" s="1096"/>
      <c r="S5" s="1096"/>
      <c r="T5" s="1096"/>
      <c r="U5" s="1096"/>
      <c r="V5" s="1096"/>
      <c r="W5" s="1096"/>
      <c r="X5" s="1096"/>
      <c r="Y5" s="1096"/>
      <c r="Z5" s="1096"/>
      <c r="AA5" s="1096"/>
      <c r="AB5" s="1096"/>
      <c r="AC5" s="1096"/>
      <c r="AD5" s="1096"/>
      <c r="AE5" s="1096"/>
      <c r="AF5" s="1096"/>
      <c r="AG5" s="1096"/>
      <c r="AH5" s="262"/>
      <c r="AI5" s="262"/>
      <c r="AJ5" s="262"/>
      <c r="AK5" s="262"/>
      <c r="AL5" s="262"/>
      <c r="AM5" s="262"/>
      <c r="AN5" s="262"/>
      <c r="AO5" s="262"/>
      <c r="AP5" s="262"/>
      <c r="AQ5" s="262"/>
      <c r="AR5" s="262"/>
      <c r="AS5" s="1084"/>
      <c r="AT5" s="1084"/>
      <c r="AU5" s="1086"/>
      <c r="AV5" s="1086"/>
      <c r="AW5" s="1088"/>
      <c r="AX5" s="1088"/>
      <c r="AY5" s="1090"/>
      <c r="AZ5" s="1090"/>
      <c r="BA5" s="1095"/>
      <c r="BB5" s="1095"/>
      <c r="BC5" s="1095"/>
      <c r="BD5" s="1095"/>
      <c r="BE5" s="1095"/>
      <c r="BF5" s="1095"/>
      <c r="BG5" s="1095"/>
      <c r="BH5" s="1095"/>
      <c r="BI5" s="1095"/>
      <c r="BJ5" s="1095"/>
      <c r="BK5" s="1095"/>
      <c r="BL5" s="1095"/>
    </row>
    <row r="6" spans="1:69" ht="30" customHeight="1">
      <c r="A6" s="796" t="str">
        <f>'Rubric (.)'!A1:D1</f>
        <v>1. My Professionalism</v>
      </c>
      <c r="B6" s="796"/>
      <c r="C6" s="796"/>
      <c r="D6" s="796"/>
      <c r="E6" s="796"/>
      <c r="F6" s="796"/>
      <c r="G6" s="796"/>
      <c r="H6" s="796"/>
      <c r="I6" s="796"/>
      <c r="J6" s="796"/>
      <c r="K6" s="796"/>
      <c r="L6" s="796"/>
      <c r="M6" s="796"/>
      <c r="N6" s="796"/>
      <c r="O6" s="796"/>
      <c r="P6" s="796"/>
      <c r="Q6" s="796"/>
      <c r="R6" s="796"/>
      <c r="S6" s="796"/>
      <c r="T6" s="796"/>
      <c r="U6" s="796"/>
      <c r="V6" s="796"/>
      <c r="W6" s="796"/>
      <c r="X6" s="796"/>
      <c r="Y6" s="796"/>
      <c r="Z6" s="796"/>
      <c r="AA6" s="796"/>
      <c r="AB6" s="796"/>
      <c r="AC6" s="796"/>
      <c r="AD6" s="796"/>
      <c r="AE6" s="796"/>
      <c r="AF6" s="796"/>
      <c r="AG6" s="796"/>
      <c r="AH6" s="796"/>
      <c r="AI6" s="796"/>
      <c r="AJ6" s="796"/>
      <c r="AK6" s="796"/>
      <c r="AL6" s="796"/>
      <c r="AM6" s="796"/>
      <c r="AN6" s="796"/>
      <c r="AO6" s="796"/>
      <c r="AP6" s="796"/>
      <c r="AQ6" s="796"/>
      <c r="AR6" s="796"/>
      <c r="AS6" s="796"/>
      <c r="AT6" s="796"/>
      <c r="AU6" s="796"/>
      <c r="AV6" s="796"/>
      <c r="AW6" s="796"/>
      <c r="AX6" s="796"/>
      <c r="AY6" s="796"/>
      <c r="AZ6" s="796"/>
      <c r="BA6" s="1098"/>
      <c r="BB6" s="1099"/>
      <c r="BC6" s="1099"/>
      <c r="BD6" s="1099"/>
      <c r="BE6" s="1099"/>
      <c r="BF6" s="1099"/>
      <c r="BG6" s="1099"/>
      <c r="BH6" s="1099"/>
      <c r="BI6" s="1099"/>
      <c r="BJ6" s="1099"/>
      <c r="BK6" s="1099"/>
      <c r="BL6" s="1100"/>
    </row>
    <row r="7" spans="1:69" ht="20" customHeight="1">
      <c r="A7" s="795" t="str">
        <f>'Rubric (.)'!A2:D2</f>
        <v>1.1 Positive Approach: Shows drive, passion and energy</v>
      </c>
      <c r="B7" s="795"/>
      <c r="C7" s="795"/>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c r="AE7" s="795"/>
      <c r="AF7" s="795"/>
      <c r="AG7" s="795"/>
      <c r="AH7" s="795"/>
      <c r="AI7" s="795"/>
      <c r="AJ7" s="795"/>
      <c r="AK7" s="795"/>
      <c r="AL7" s="795"/>
      <c r="AM7" s="795"/>
      <c r="AN7" s="795"/>
      <c r="AO7" s="795"/>
      <c r="AP7" s="795"/>
      <c r="AQ7" s="795"/>
      <c r="AR7" s="795"/>
      <c r="AS7" s="795"/>
      <c r="AT7" s="795"/>
      <c r="AU7" s="795"/>
      <c r="AV7" s="795"/>
      <c r="AW7" s="795"/>
      <c r="AX7" s="795"/>
      <c r="AY7" s="795"/>
      <c r="AZ7" s="795"/>
      <c r="BA7" s="499">
        <v>3</v>
      </c>
      <c r="BB7" s="499">
        <v>4</v>
      </c>
      <c r="BC7" s="499">
        <v>5</v>
      </c>
      <c r="BD7" s="499">
        <v>6</v>
      </c>
      <c r="BE7" s="499">
        <v>7</v>
      </c>
      <c r="BF7" s="499">
        <v>8</v>
      </c>
      <c r="BG7" s="499">
        <v>9</v>
      </c>
      <c r="BH7" s="499">
        <v>10</v>
      </c>
      <c r="BI7" s="499">
        <v>11</v>
      </c>
      <c r="BJ7" s="499">
        <v>12</v>
      </c>
      <c r="BK7" s="499">
        <v>13</v>
      </c>
      <c r="BL7" s="499">
        <v>14</v>
      </c>
    </row>
    <row r="8" spans="1:69" ht="70" customHeight="1">
      <c r="A8" s="1068" t="str">
        <f>'Rubric (.)'!A3</f>
        <v>•  1.1.4 Appeared to have a negative attitude to the job
•  Encouraged negative conversations
•  Displayed passive or aggressive body language, e.g
•  scowling, pointing or crossing arms.</v>
      </c>
      <c r="B8" s="1068"/>
      <c r="C8" s="1068"/>
      <c r="D8" s="1068"/>
      <c r="E8" s="1068"/>
      <c r="F8" s="1068"/>
      <c r="G8" s="1068"/>
      <c r="H8" s="1068"/>
      <c r="I8" s="1068"/>
      <c r="J8" s="1068"/>
      <c r="K8" s="1068"/>
      <c r="L8" s="1068"/>
      <c r="M8" s="1068"/>
      <c r="N8" s="1068" t="str">
        <f>'Rubric (.)'!B3</f>
        <v>•  1.1.3 Could have demonstrated greater enthusiasm when interacting with colleagues and/or customers
•  Sometimes appeared disinterested.</v>
      </c>
      <c r="O8" s="1068"/>
      <c r="P8" s="1068"/>
      <c r="Q8" s="1068"/>
      <c r="R8" s="1068"/>
      <c r="S8" s="1068"/>
      <c r="T8" s="1068"/>
      <c r="U8" s="1068"/>
      <c r="V8" s="1068"/>
      <c r="W8" s="1068"/>
      <c r="X8" s="1068"/>
      <c r="Y8" s="1068"/>
      <c r="Z8" s="1068"/>
      <c r="AA8" s="1068" t="str">
        <f>'Rubric (.)'!C3</f>
        <v>•  1.1.2 Had a consistently positive approach during sessions and throughout the course
•  Body language was open and friendly.</v>
      </c>
      <c r="AB8" s="1068"/>
      <c r="AC8" s="1068"/>
      <c r="AD8" s="1068"/>
      <c r="AE8" s="1068"/>
      <c r="AF8" s="1068"/>
      <c r="AG8" s="1068"/>
      <c r="AH8" s="1068"/>
      <c r="AI8" s="1068"/>
      <c r="AJ8" s="1068"/>
      <c r="AK8" s="1068"/>
      <c r="AL8" s="1068"/>
      <c r="AM8" s="1068"/>
      <c r="AN8" s="1068" t="str">
        <f>'Rubric (.)'!D3</f>
        <v>•  1.1.1 Passionate and enthusiastic about their role and inspired and encouraged a positive approach in others.</v>
      </c>
      <c r="AO8" s="1068"/>
      <c r="AP8" s="1068"/>
      <c r="AQ8" s="1068"/>
      <c r="AR8" s="1068"/>
      <c r="AS8" s="1068"/>
      <c r="AT8" s="1068"/>
      <c r="AU8" s="1068"/>
      <c r="AV8" s="1068"/>
      <c r="AW8" s="1068"/>
      <c r="AX8" s="1068"/>
      <c r="AY8" s="1068"/>
      <c r="AZ8" s="1068"/>
      <c r="BA8" s="501">
        <f t="shared" ref="BA8:BL16" si="0">IF(ISBLANK(BA$2),"",2)</f>
        <v>2</v>
      </c>
      <c r="BB8" s="501">
        <f t="shared" si="0"/>
        <v>2</v>
      </c>
      <c r="BC8" s="501">
        <f t="shared" si="0"/>
        <v>2</v>
      </c>
      <c r="BD8" s="501">
        <f t="shared" si="0"/>
        <v>2</v>
      </c>
      <c r="BE8" s="501">
        <f t="shared" si="0"/>
        <v>2</v>
      </c>
      <c r="BF8" s="501">
        <f t="shared" si="0"/>
        <v>2</v>
      </c>
      <c r="BG8" s="501">
        <f t="shared" si="0"/>
        <v>2</v>
      </c>
      <c r="BH8" s="501">
        <f t="shared" si="0"/>
        <v>2</v>
      </c>
      <c r="BI8" s="501">
        <f t="shared" si="0"/>
        <v>2</v>
      </c>
      <c r="BJ8" s="501">
        <f t="shared" si="0"/>
        <v>2</v>
      </c>
      <c r="BK8" s="501">
        <f t="shared" si="0"/>
        <v>2</v>
      </c>
      <c r="BL8" s="501">
        <f t="shared" si="0"/>
        <v>2</v>
      </c>
    </row>
    <row r="9" spans="1:69" ht="20" customHeight="1">
      <c r="A9" s="795" t="str">
        <f>'Rubric (.)'!A4:D4</f>
        <v>1.2 Resilient: Is calm and controlled under pressure. Adjusts to changes and manages challenging situations effectively</v>
      </c>
      <c r="B9" s="795"/>
      <c r="C9" s="795"/>
      <c r="D9" s="795"/>
      <c r="E9" s="795"/>
      <c r="F9" s="795"/>
      <c r="G9" s="795"/>
      <c r="H9" s="795"/>
      <c r="I9" s="795"/>
      <c r="J9" s="795"/>
      <c r="K9" s="795"/>
      <c r="L9" s="795"/>
      <c r="M9" s="795"/>
      <c r="N9" s="795"/>
      <c r="O9" s="795"/>
      <c r="P9" s="795"/>
      <c r="Q9" s="795"/>
      <c r="R9" s="795"/>
      <c r="S9" s="795"/>
      <c r="T9" s="795"/>
      <c r="U9" s="795"/>
      <c r="V9" s="795"/>
      <c r="W9" s="795"/>
      <c r="X9" s="795"/>
      <c r="Y9" s="795"/>
      <c r="Z9" s="795"/>
      <c r="AA9" s="795"/>
      <c r="AB9" s="795"/>
      <c r="AC9" s="795"/>
      <c r="AD9" s="795"/>
      <c r="AE9" s="795"/>
      <c r="AF9" s="795"/>
      <c r="AG9" s="795"/>
      <c r="AH9" s="795"/>
      <c r="AI9" s="795"/>
      <c r="AJ9" s="795"/>
      <c r="AK9" s="795"/>
      <c r="AL9" s="795"/>
      <c r="AM9" s="795"/>
      <c r="AN9" s="795"/>
      <c r="AO9" s="795"/>
      <c r="AP9" s="795"/>
      <c r="AQ9" s="795"/>
      <c r="AR9" s="795"/>
      <c r="AS9" s="795"/>
      <c r="AT9" s="795"/>
      <c r="AU9" s="795"/>
      <c r="AV9" s="795"/>
      <c r="AW9" s="795"/>
      <c r="AX9" s="795"/>
      <c r="AY9" s="795"/>
      <c r="AZ9" s="795"/>
      <c r="BA9" s="499">
        <v>3</v>
      </c>
      <c r="BB9" s="499">
        <v>4</v>
      </c>
      <c r="BC9" s="499">
        <v>5</v>
      </c>
      <c r="BD9" s="499">
        <v>3</v>
      </c>
      <c r="BE9" s="499">
        <v>7</v>
      </c>
      <c r="BF9" s="499">
        <v>8</v>
      </c>
      <c r="BG9" s="499">
        <v>9</v>
      </c>
      <c r="BH9" s="499">
        <v>10</v>
      </c>
      <c r="BI9" s="499">
        <v>11</v>
      </c>
      <c r="BJ9" s="499">
        <v>12</v>
      </c>
      <c r="BK9" s="499">
        <v>13</v>
      </c>
      <c r="BL9" s="499">
        <v>14</v>
      </c>
    </row>
    <row r="10" spans="1:69" ht="70" customHeight="1">
      <c r="A10" s="1068" t="str">
        <f>'Rubric (.)'!A5</f>
        <v>•  1.2.4 Talks negatively about change
•  Appears agitated or distressed in challenging situations.</v>
      </c>
      <c r="B10" s="1068"/>
      <c r="C10" s="1068"/>
      <c r="D10" s="1068"/>
      <c r="E10" s="1068"/>
      <c r="F10" s="1068"/>
      <c r="G10" s="1068"/>
      <c r="H10" s="1068"/>
      <c r="I10" s="1068"/>
      <c r="J10" s="1068"/>
      <c r="K10" s="1068"/>
      <c r="L10" s="1068"/>
      <c r="M10" s="1068"/>
      <c r="N10" s="1068" t="str">
        <f>'Rubric (.)'!B5</f>
        <v>•  1.2.3 Needs support to ensure composure and to develop resilience when faced with challenging situations.</v>
      </c>
      <c r="O10" s="1068"/>
      <c r="P10" s="1068"/>
      <c r="Q10" s="1068"/>
      <c r="R10" s="1068"/>
      <c r="S10" s="1068"/>
      <c r="T10" s="1068"/>
      <c r="U10" s="1068"/>
      <c r="V10" s="1068"/>
      <c r="W10" s="1068"/>
      <c r="X10" s="1068"/>
      <c r="Y10" s="1068"/>
      <c r="Z10" s="1068"/>
      <c r="AA10" s="1068" t="str">
        <f>'Rubric (.)'!C5</f>
        <v>•  1.2.2 Calm and controlled under pressure
•  Showed flexibility and adapted to changes when needed.</v>
      </c>
      <c r="AB10" s="1068"/>
      <c r="AC10" s="1068"/>
      <c r="AD10" s="1068"/>
      <c r="AE10" s="1068"/>
      <c r="AF10" s="1068"/>
      <c r="AG10" s="1068"/>
      <c r="AH10" s="1068"/>
      <c r="AI10" s="1068"/>
      <c r="AJ10" s="1068"/>
      <c r="AK10" s="1068"/>
      <c r="AL10" s="1068"/>
      <c r="AM10" s="1068"/>
      <c r="AN10" s="1068" t="str">
        <f>'Rubric (.)'!D5</f>
        <v>•  1.2.1 Delivered an excellent service despite challenging circumstances
•  Was able to support others in difficult situations.</v>
      </c>
      <c r="AO10" s="1068"/>
      <c r="AP10" s="1068"/>
      <c r="AQ10" s="1068"/>
      <c r="AR10" s="1068"/>
      <c r="AS10" s="1068"/>
      <c r="AT10" s="1068"/>
      <c r="AU10" s="1068"/>
      <c r="AV10" s="1068"/>
      <c r="AW10" s="1068"/>
      <c r="AX10" s="1068"/>
      <c r="AY10" s="1068"/>
      <c r="AZ10" s="1068"/>
      <c r="BA10" s="501">
        <f t="shared" si="0"/>
        <v>2</v>
      </c>
      <c r="BB10" s="501">
        <f t="shared" si="0"/>
        <v>2</v>
      </c>
      <c r="BC10" s="501">
        <f t="shared" si="0"/>
        <v>2</v>
      </c>
      <c r="BD10" s="501">
        <f t="shared" si="0"/>
        <v>2</v>
      </c>
      <c r="BE10" s="501">
        <f t="shared" si="0"/>
        <v>2</v>
      </c>
      <c r="BF10" s="501">
        <f t="shared" si="0"/>
        <v>2</v>
      </c>
      <c r="BG10" s="501">
        <f t="shared" si="0"/>
        <v>2</v>
      </c>
      <c r="BH10" s="501">
        <f t="shared" si="0"/>
        <v>2</v>
      </c>
      <c r="BI10" s="501">
        <f t="shared" si="0"/>
        <v>2</v>
      </c>
      <c r="BJ10" s="501">
        <f t="shared" si="0"/>
        <v>2</v>
      </c>
      <c r="BK10" s="501">
        <f t="shared" si="0"/>
        <v>2</v>
      </c>
      <c r="BL10" s="501">
        <f t="shared" si="0"/>
        <v>2</v>
      </c>
    </row>
    <row r="11" spans="1:69" ht="20" customHeight="1">
      <c r="A11" s="795" t="str">
        <f>'Rubric (.)'!A6:D6</f>
        <v>1.3 Cosmopolitan: Shows respect for other cultures and appreciates differences</v>
      </c>
      <c r="B11" s="795"/>
      <c r="C11" s="795"/>
      <c r="D11" s="795"/>
      <c r="E11" s="795"/>
      <c r="F11" s="795"/>
      <c r="G11" s="795"/>
      <c r="H11" s="795"/>
      <c r="I11" s="795"/>
      <c r="J11" s="795"/>
      <c r="K11" s="795"/>
      <c r="L11" s="795"/>
      <c r="M11" s="795"/>
      <c r="N11" s="795"/>
      <c r="O11" s="795"/>
      <c r="P11" s="795"/>
      <c r="Q11" s="795"/>
      <c r="R11" s="795"/>
      <c r="S11" s="795"/>
      <c r="T11" s="795"/>
      <c r="U11" s="795"/>
      <c r="V11" s="795"/>
      <c r="W11" s="795"/>
      <c r="X11" s="795"/>
      <c r="Y11" s="795"/>
      <c r="Z11" s="795"/>
      <c r="AA11" s="795"/>
      <c r="AB11" s="795"/>
      <c r="AC11" s="795"/>
      <c r="AD11" s="795"/>
      <c r="AE11" s="795"/>
      <c r="AF11" s="795"/>
      <c r="AG11" s="795"/>
      <c r="AH11" s="795"/>
      <c r="AI11" s="795"/>
      <c r="AJ11" s="795"/>
      <c r="AK11" s="795"/>
      <c r="AL11" s="795"/>
      <c r="AM11" s="795"/>
      <c r="AN11" s="795"/>
      <c r="AO11" s="795"/>
      <c r="AP11" s="795"/>
      <c r="AQ11" s="795"/>
      <c r="AR11" s="795"/>
      <c r="AS11" s="795"/>
      <c r="AT11" s="795"/>
      <c r="AU11" s="795"/>
      <c r="AV11" s="795"/>
      <c r="AW11" s="795"/>
      <c r="AX11" s="795"/>
      <c r="AY11" s="795"/>
      <c r="AZ11" s="795"/>
      <c r="BA11" s="499">
        <v>3</v>
      </c>
      <c r="BB11" s="499">
        <v>4</v>
      </c>
      <c r="BC11" s="499">
        <v>5</v>
      </c>
      <c r="BD11" s="499">
        <v>6</v>
      </c>
      <c r="BE11" s="499">
        <v>7</v>
      </c>
      <c r="BF11" s="499">
        <v>8</v>
      </c>
      <c r="BG11" s="499">
        <v>9</v>
      </c>
      <c r="BH11" s="499">
        <v>10</v>
      </c>
      <c r="BI11" s="499">
        <v>11</v>
      </c>
      <c r="BJ11" s="499">
        <v>12</v>
      </c>
      <c r="BK11" s="499">
        <v>13</v>
      </c>
      <c r="BL11" s="499">
        <v>14</v>
      </c>
    </row>
    <row r="12" spans="1:69" ht="70" customHeight="1">
      <c r="A12" s="1068" t="str">
        <f>'Rubric (.)'!A7</f>
        <v>•  1.3.4 Talks about or behaves in a way which is disrespectful of others
•  Does not interact with colleagues of other cultures.</v>
      </c>
      <c r="B12" s="1068"/>
      <c r="C12" s="1068"/>
      <c r="D12" s="1068"/>
      <c r="E12" s="1068"/>
      <c r="F12" s="1068"/>
      <c r="G12" s="1068"/>
      <c r="H12" s="1068"/>
      <c r="I12" s="1068"/>
      <c r="J12" s="1068"/>
      <c r="K12" s="1068"/>
      <c r="L12" s="1068"/>
      <c r="M12" s="1068"/>
      <c r="N12" s="1068" t="str">
        <f>'Rubric (.)'!B7</f>
        <v>•  1.3.3 Could demonstrate more awareness/consideration of cultural differences.</v>
      </c>
      <c r="O12" s="1068"/>
      <c r="P12" s="1068"/>
      <c r="Q12" s="1068"/>
      <c r="R12" s="1068"/>
      <c r="S12" s="1068"/>
      <c r="T12" s="1068"/>
      <c r="U12" s="1068"/>
      <c r="V12" s="1068"/>
      <c r="W12" s="1068"/>
      <c r="X12" s="1068"/>
      <c r="Y12" s="1068"/>
      <c r="Z12" s="1068"/>
      <c r="AA12" s="1068" t="str">
        <f>'Rubric (.)'!C7</f>
        <v>•  1.3.2 Showed respect for other cultures and appreciated cultural differences amongst colleagues and customers.</v>
      </c>
      <c r="AB12" s="1068"/>
      <c r="AC12" s="1068"/>
      <c r="AD12" s="1068"/>
      <c r="AE12" s="1068"/>
      <c r="AF12" s="1068"/>
      <c r="AG12" s="1068"/>
      <c r="AH12" s="1068"/>
      <c r="AI12" s="1068"/>
      <c r="AJ12" s="1068"/>
      <c r="AK12" s="1068"/>
      <c r="AL12" s="1068"/>
      <c r="AM12" s="1068"/>
      <c r="AN12" s="1068" t="str">
        <f>'Rubric (.)'!D7</f>
        <v>•  1.3.1 Proactively used knowledge of different cultures and language skills to enhance the customer experience.</v>
      </c>
      <c r="AO12" s="1068"/>
      <c r="AP12" s="1068"/>
      <c r="AQ12" s="1068"/>
      <c r="AR12" s="1068"/>
      <c r="AS12" s="1068"/>
      <c r="AT12" s="1068"/>
      <c r="AU12" s="1068"/>
      <c r="AV12" s="1068"/>
      <c r="AW12" s="1068"/>
      <c r="AX12" s="1068"/>
      <c r="AY12" s="1068"/>
      <c r="AZ12" s="1068"/>
      <c r="BA12" s="501">
        <f t="shared" si="0"/>
        <v>2</v>
      </c>
      <c r="BB12" s="501">
        <f t="shared" si="0"/>
        <v>2</v>
      </c>
      <c r="BC12" s="501">
        <f t="shared" si="0"/>
        <v>2</v>
      </c>
      <c r="BD12" s="501">
        <f t="shared" si="0"/>
        <v>2</v>
      </c>
      <c r="BE12" s="501">
        <f t="shared" si="0"/>
        <v>2</v>
      </c>
      <c r="BF12" s="501">
        <f t="shared" si="0"/>
        <v>2</v>
      </c>
      <c r="BG12" s="501">
        <f t="shared" si="0"/>
        <v>2</v>
      </c>
      <c r="BH12" s="501">
        <f t="shared" si="0"/>
        <v>2</v>
      </c>
      <c r="BI12" s="501">
        <f t="shared" si="0"/>
        <v>2</v>
      </c>
      <c r="BJ12" s="501">
        <f t="shared" si="0"/>
        <v>2</v>
      </c>
      <c r="BK12" s="501">
        <f t="shared" si="0"/>
        <v>2</v>
      </c>
      <c r="BL12" s="501">
        <f t="shared" si="0"/>
        <v>2</v>
      </c>
    </row>
    <row r="13" spans="1:69" ht="20" customHeight="1">
      <c r="A13" s="795" t="str">
        <f>'Rubric (.)'!A8:D8</f>
        <v>1.4 Organised: Has an organised and structured approach to work</v>
      </c>
      <c r="B13" s="795"/>
      <c r="C13" s="795"/>
      <c r="D13" s="795"/>
      <c r="E13" s="795"/>
      <c r="F13" s="795"/>
      <c r="G13" s="795"/>
      <c r="H13" s="795"/>
      <c r="I13" s="795"/>
      <c r="J13" s="795"/>
      <c r="K13" s="795"/>
      <c r="L13" s="795"/>
      <c r="M13" s="795"/>
      <c r="N13" s="795"/>
      <c r="O13" s="795"/>
      <c r="P13" s="795"/>
      <c r="Q13" s="795"/>
      <c r="R13" s="795"/>
      <c r="S13" s="795"/>
      <c r="T13" s="795"/>
      <c r="U13" s="795"/>
      <c r="V13" s="795"/>
      <c r="W13" s="795"/>
      <c r="X13" s="795"/>
      <c r="Y13" s="795"/>
      <c r="Z13" s="795"/>
      <c r="AA13" s="795"/>
      <c r="AB13" s="795"/>
      <c r="AC13" s="795"/>
      <c r="AD13" s="795"/>
      <c r="AE13" s="795"/>
      <c r="AF13" s="795"/>
      <c r="AG13" s="795"/>
      <c r="AH13" s="795"/>
      <c r="AI13" s="795"/>
      <c r="AJ13" s="795"/>
      <c r="AK13" s="795"/>
      <c r="AL13" s="795"/>
      <c r="AM13" s="795"/>
      <c r="AN13" s="795"/>
      <c r="AO13" s="795"/>
      <c r="AP13" s="795"/>
      <c r="AQ13" s="795"/>
      <c r="AR13" s="795"/>
      <c r="AS13" s="795"/>
      <c r="AT13" s="795"/>
      <c r="AU13" s="795"/>
      <c r="AV13" s="795"/>
      <c r="AW13" s="795"/>
      <c r="AX13" s="795"/>
      <c r="AY13" s="795"/>
      <c r="AZ13" s="795"/>
      <c r="BA13" s="499">
        <v>3</v>
      </c>
      <c r="BB13" s="499">
        <v>4</v>
      </c>
      <c r="BC13" s="499">
        <v>5</v>
      </c>
      <c r="BD13" s="499">
        <v>6</v>
      </c>
      <c r="BE13" s="499">
        <v>7</v>
      </c>
      <c r="BF13" s="499">
        <v>8</v>
      </c>
      <c r="BG13" s="499">
        <v>9</v>
      </c>
      <c r="BH13" s="499">
        <v>10</v>
      </c>
      <c r="BI13" s="499">
        <v>11</v>
      </c>
      <c r="BJ13" s="499">
        <v>12</v>
      </c>
      <c r="BK13" s="499">
        <v>13</v>
      </c>
      <c r="BL13" s="499">
        <v>14</v>
      </c>
    </row>
    <row r="14" spans="1:69" ht="70" customHeight="1">
      <c r="A14" s="1068" t="str">
        <f>'Rubric (.)'!A9</f>
        <v>•  1.4.4 Reported late for duty or without required elements.</v>
      </c>
      <c r="B14" s="1068"/>
      <c r="C14" s="1068"/>
      <c r="D14" s="1068"/>
      <c r="E14" s="1068"/>
      <c r="F14" s="1068"/>
      <c r="G14" s="1068"/>
      <c r="H14" s="1068"/>
      <c r="I14" s="1068"/>
      <c r="J14" s="1068"/>
      <c r="K14" s="1068"/>
      <c r="L14" s="1068"/>
      <c r="M14" s="1068"/>
      <c r="N14" s="1068" t="str">
        <f>'Rubric (.)'!B9</f>
        <v>•  1.4.3 Encouraged to show more initiative in performing various duties and to manage time more effectively.</v>
      </c>
      <c r="O14" s="1068"/>
      <c r="P14" s="1068"/>
      <c r="Q14" s="1068"/>
      <c r="R14" s="1068"/>
      <c r="S14" s="1068"/>
      <c r="T14" s="1068"/>
      <c r="U14" s="1068"/>
      <c r="V14" s="1068"/>
      <c r="W14" s="1068"/>
      <c r="X14" s="1068"/>
      <c r="Y14" s="1068"/>
      <c r="Z14" s="1068"/>
      <c r="AA14" s="1068" t="str">
        <f>'Rubric (.)'!C9</f>
        <v>•  1.4.2 Planned, prioritised and managed workload effectively in the galley and/or the cabin
•  Was punctual throughout the course.</v>
      </c>
      <c r="AB14" s="1068"/>
      <c r="AC14" s="1068"/>
      <c r="AD14" s="1068"/>
      <c r="AE14" s="1068"/>
      <c r="AF14" s="1068"/>
      <c r="AG14" s="1068"/>
      <c r="AH14" s="1068"/>
      <c r="AI14" s="1068"/>
      <c r="AJ14" s="1068"/>
      <c r="AK14" s="1068"/>
      <c r="AL14" s="1068"/>
      <c r="AM14" s="1068"/>
      <c r="AN14" s="1068" t="str">
        <f>'Rubric (.)'!D9</f>
        <v>•  1.4.1 Anticipated challenges and put plans in place to overcome them
•  Adjusted priorities and adapted quickly to changes when needed.</v>
      </c>
      <c r="AO14" s="1068"/>
      <c r="AP14" s="1068"/>
      <c r="AQ14" s="1068"/>
      <c r="AR14" s="1068"/>
      <c r="AS14" s="1068"/>
      <c r="AT14" s="1068"/>
      <c r="AU14" s="1068"/>
      <c r="AV14" s="1068"/>
      <c r="AW14" s="1068"/>
      <c r="AX14" s="1068"/>
      <c r="AY14" s="1068"/>
      <c r="AZ14" s="1068"/>
      <c r="BA14" s="501">
        <f t="shared" si="0"/>
        <v>2</v>
      </c>
      <c r="BB14" s="501">
        <f t="shared" si="0"/>
        <v>2</v>
      </c>
      <c r="BC14" s="501">
        <f t="shared" si="0"/>
        <v>2</v>
      </c>
      <c r="BD14" s="501">
        <f t="shared" si="0"/>
        <v>2</v>
      </c>
      <c r="BE14" s="501">
        <f t="shared" si="0"/>
        <v>2</v>
      </c>
      <c r="BF14" s="501">
        <f t="shared" si="0"/>
        <v>2</v>
      </c>
      <c r="BG14" s="501">
        <f t="shared" si="0"/>
        <v>2</v>
      </c>
      <c r="BH14" s="501">
        <f t="shared" si="0"/>
        <v>2</v>
      </c>
      <c r="BI14" s="501">
        <f t="shared" si="0"/>
        <v>2</v>
      </c>
      <c r="BJ14" s="501">
        <f t="shared" si="0"/>
        <v>2</v>
      </c>
      <c r="BK14" s="501">
        <f t="shared" si="0"/>
        <v>2</v>
      </c>
      <c r="BL14" s="501">
        <f t="shared" si="0"/>
        <v>2</v>
      </c>
    </row>
    <row r="15" spans="1:69" ht="20" customHeight="1">
      <c r="A15" s="795" t="str">
        <f>Rubric!A10</f>
        <v>1.5 Thorough: Demonstrates a strong attention to detail</v>
      </c>
      <c r="B15" s="795"/>
      <c r="C15" s="795"/>
      <c r="D15" s="795"/>
      <c r="E15" s="795"/>
      <c r="F15" s="795"/>
      <c r="G15" s="795"/>
      <c r="H15" s="795"/>
      <c r="I15" s="795"/>
      <c r="J15" s="795"/>
      <c r="K15" s="795"/>
      <c r="L15" s="795"/>
      <c r="M15" s="795"/>
      <c r="N15" s="795"/>
      <c r="O15" s="795"/>
      <c r="P15" s="795"/>
      <c r="Q15" s="795"/>
      <c r="R15" s="795"/>
      <c r="S15" s="795"/>
      <c r="T15" s="795"/>
      <c r="U15" s="795"/>
      <c r="V15" s="795"/>
      <c r="W15" s="795"/>
      <c r="X15" s="795"/>
      <c r="Y15" s="795"/>
      <c r="Z15" s="795"/>
      <c r="AA15" s="795"/>
      <c r="AB15" s="795"/>
      <c r="AC15" s="795"/>
      <c r="AD15" s="795"/>
      <c r="AE15" s="795"/>
      <c r="AF15" s="795"/>
      <c r="AG15" s="795"/>
      <c r="AH15" s="795"/>
      <c r="AI15" s="795"/>
      <c r="AJ15" s="795"/>
      <c r="AK15" s="795"/>
      <c r="AL15" s="795"/>
      <c r="AM15" s="795"/>
      <c r="AN15" s="795"/>
      <c r="AO15" s="795"/>
      <c r="AP15" s="795"/>
      <c r="AQ15" s="795"/>
      <c r="AR15" s="795"/>
      <c r="AS15" s="795"/>
      <c r="AT15" s="795"/>
      <c r="AU15" s="795"/>
      <c r="AV15" s="795"/>
      <c r="AW15" s="795"/>
      <c r="AX15" s="795"/>
      <c r="AY15" s="795"/>
      <c r="AZ15" s="795"/>
      <c r="BA15" s="499">
        <v>3</v>
      </c>
      <c r="BB15" s="499">
        <v>4</v>
      </c>
      <c r="BC15" s="499">
        <v>5</v>
      </c>
      <c r="BD15" s="499">
        <v>6</v>
      </c>
      <c r="BE15" s="499">
        <v>7</v>
      </c>
      <c r="BF15" s="499">
        <v>8</v>
      </c>
      <c r="BG15" s="499">
        <v>9</v>
      </c>
      <c r="BH15" s="499">
        <v>10</v>
      </c>
      <c r="BI15" s="499">
        <v>11</v>
      </c>
      <c r="BJ15" s="499">
        <v>12</v>
      </c>
      <c r="BK15" s="499">
        <v>13</v>
      </c>
      <c r="BL15" s="499">
        <v>14</v>
      </c>
    </row>
    <row r="16" spans="1:69" ht="70" customHeight="1">
      <c r="A16" s="1068" t="str">
        <f>'Rubric (.)'!A11</f>
        <v>•  1.5.4 Missed many details or often repeated errors
•  Didn’t attempt to correct shortfalls that were highlighted to them.</v>
      </c>
      <c r="B16" s="1068"/>
      <c r="C16" s="1068"/>
      <c r="D16" s="1068"/>
      <c r="E16" s="1068"/>
      <c r="F16" s="1068"/>
      <c r="G16" s="1068"/>
      <c r="H16" s="1068"/>
      <c r="I16" s="1068"/>
      <c r="J16" s="1068"/>
      <c r="K16" s="1068"/>
      <c r="L16" s="1068"/>
      <c r="M16" s="1068"/>
      <c r="N16" s="1068" t="str">
        <f>'Rubric (.)'!B11</f>
        <v>•  1.5.3 Needs to ensure details are not missed or errors aren’t repeated
•  Attempted to correct highlighted shortfalls.</v>
      </c>
      <c r="O16" s="1068"/>
      <c r="P16" s="1068"/>
      <c r="Q16" s="1068"/>
      <c r="R16" s="1068"/>
      <c r="S16" s="1068"/>
      <c r="T16" s="1068"/>
      <c r="U16" s="1068"/>
      <c r="V16" s="1068"/>
      <c r="W16" s="1068"/>
      <c r="X16" s="1068"/>
      <c r="Y16" s="1068"/>
      <c r="Z16" s="1068"/>
      <c r="AA16" s="1068" t="str">
        <f>'Rubric (.)'!C11</f>
        <v>•  1.5.2 Ensured own work was complete and correct
•  Fixed any mistakes promptly
•  Demonstrated good attention to detail.</v>
      </c>
      <c r="AB16" s="1068"/>
      <c r="AC16" s="1068"/>
      <c r="AD16" s="1068"/>
      <c r="AE16" s="1068"/>
      <c r="AF16" s="1068"/>
      <c r="AG16" s="1068"/>
      <c r="AH16" s="1068"/>
      <c r="AI16" s="1068"/>
      <c r="AJ16" s="1068"/>
      <c r="AK16" s="1068"/>
      <c r="AL16" s="1068"/>
      <c r="AM16" s="1068"/>
      <c r="AN16" s="1068" t="str">
        <f>'Rubric (.)'!D11</f>
        <v>•  1.5.1 Excellent attention to detail
•  Kept standard and quality of work high even when workload was heavy or complex.</v>
      </c>
      <c r="AO16" s="1068"/>
      <c r="AP16" s="1068"/>
      <c r="AQ16" s="1068"/>
      <c r="AR16" s="1068"/>
      <c r="AS16" s="1068"/>
      <c r="AT16" s="1068"/>
      <c r="AU16" s="1068"/>
      <c r="AV16" s="1068"/>
      <c r="AW16" s="1068"/>
      <c r="AX16" s="1068"/>
      <c r="AY16" s="1068"/>
      <c r="AZ16" s="1068"/>
      <c r="BA16" s="501">
        <f t="shared" si="0"/>
        <v>2</v>
      </c>
      <c r="BB16" s="501">
        <f t="shared" si="0"/>
        <v>2</v>
      </c>
      <c r="BC16" s="501">
        <f t="shared" si="0"/>
        <v>2</v>
      </c>
      <c r="BD16" s="501">
        <f t="shared" si="0"/>
        <v>2</v>
      </c>
      <c r="BE16" s="501">
        <f t="shared" si="0"/>
        <v>2</v>
      </c>
      <c r="BF16" s="501">
        <f t="shared" si="0"/>
        <v>2</v>
      </c>
      <c r="BG16" s="501">
        <f t="shared" si="0"/>
        <v>2</v>
      </c>
      <c r="BH16" s="501">
        <f t="shared" si="0"/>
        <v>2</v>
      </c>
      <c r="BI16" s="501">
        <f t="shared" si="0"/>
        <v>2</v>
      </c>
      <c r="BJ16" s="501">
        <f t="shared" si="0"/>
        <v>2</v>
      </c>
      <c r="BK16" s="501">
        <f t="shared" si="0"/>
        <v>2</v>
      </c>
      <c r="BL16" s="501">
        <f t="shared" si="0"/>
        <v>2</v>
      </c>
    </row>
    <row r="17" spans="1:64" ht="15" customHeight="1">
      <c r="A17" s="1092" t="s">
        <v>868</v>
      </c>
      <c r="B17" s="1092"/>
      <c r="C17" s="1092"/>
      <c r="D17" s="1092"/>
      <c r="E17" s="1092"/>
      <c r="F17" s="1092"/>
      <c r="G17" s="1092"/>
      <c r="H17" s="1092"/>
      <c r="I17" s="1092"/>
      <c r="J17" s="1092"/>
      <c r="K17" s="1092"/>
      <c r="L17" s="1092"/>
      <c r="M17" s="1092"/>
      <c r="N17" s="1092" t="s">
        <v>869</v>
      </c>
      <c r="O17" s="1092"/>
      <c r="P17" s="1092"/>
      <c r="Q17" s="1092"/>
      <c r="R17" s="1092"/>
      <c r="S17" s="1092"/>
      <c r="T17" s="1092"/>
      <c r="U17" s="1092"/>
      <c r="V17" s="1092"/>
      <c r="W17" s="1092"/>
      <c r="X17" s="1092"/>
      <c r="Y17" s="1092"/>
      <c r="Z17" s="1092"/>
      <c r="AA17" s="1092" t="s">
        <v>870</v>
      </c>
      <c r="AB17" s="1092"/>
      <c r="AC17" s="1092"/>
      <c r="AD17" s="1092"/>
      <c r="AE17" s="1092"/>
      <c r="AF17" s="1092"/>
      <c r="AG17" s="1092"/>
      <c r="AH17" s="1092"/>
      <c r="AI17" s="1092"/>
      <c r="AJ17" s="1092"/>
      <c r="AK17" s="1092"/>
      <c r="AL17" s="1092"/>
      <c r="AM17" s="1092"/>
      <c r="AN17" s="1092" t="s">
        <v>871</v>
      </c>
      <c r="AO17" s="1092"/>
      <c r="AP17" s="1092"/>
      <c r="AQ17" s="1092"/>
      <c r="AR17" s="1092"/>
      <c r="AS17" s="1092"/>
      <c r="AT17" s="1092"/>
      <c r="AU17" s="1092"/>
      <c r="AV17" s="1092"/>
      <c r="AW17" s="1092"/>
      <c r="AX17" s="1092"/>
      <c r="AY17" s="1092"/>
      <c r="AZ17" s="1092"/>
      <c r="BA17" s="1109"/>
      <c r="BB17" s="1109"/>
      <c r="BC17" s="1109"/>
      <c r="BD17" s="1109"/>
      <c r="BE17" s="1109"/>
      <c r="BF17" s="1109"/>
      <c r="BG17" s="1109"/>
      <c r="BH17" s="1109"/>
      <c r="BI17" s="1109"/>
      <c r="BJ17" s="1109"/>
      <c r="BK17" s="1109"/>
      <c r="BL17" s="1109"/>
    </row>
    <row r="18" spans="1:64" ht="120" customHeight="1">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093"/>
      <c r="AC18" s="1093"/>
      <c r="AD18" s="1093"/>
      <c r="AE18" s="1093"/>
      <c r="AF18" s="1093"/>
      <c r="AG18" s="1093"/>
      <c r="AH18" s="1093"/>
      <c r="AI18" s="1093"/>
      <c r="AJ18" s="1093"/>
      <c r="AK18" s="1093"/>
      <c r="AL18" s="1093"/>
      <c r="AM18" s="1093"/>
      <c r="AN18" s="1093"/>
      <c r="AO18" s="1093"/>
      <c r="AP18" s="1093"/>
      <c r="AQ18" s="1093"/>
      <c r="AR18" s="1093"/>
      <c r="AS18" s="1093"/>
      <c r="AT18" s="1093"/>
      <c r="AU18" s="1093"/>
      <c r="AV18" s="1093"/>
      <c r="AW18" s="1093"/>
      <c r="AX18" s="1093"/>
      <c r="AY18" s="1093"/>
      <c r="AZ18" s="1093"/>
      <c r="BA18" s="1109"/>
      <c r="BB18" s="1109"/>
      <c r="BC18" s="1109"/>
      <c r="BD18" s="1109"/>
      <c r="BE18" s="1109"/>
      <c r="BF18" s="1109"/>
      <c r="BG18" s="1109"/>
      <c r="BH18" s="1109"/>
      <c r="BI18" s="1109"/>
      <c r="BJ18" s="1109"/>
      <c r="BK18" s="1109"/>
      <c r="BL18" s="1109"/>
    </row>
    <row r="19" spans="1:64" ht="30" customHeight="1">
      <c r="A19" s="788" t="str">
        <f>'Rubric (.)'!A12:D12</f>
        <v>2. My Customer Service</v>
      </c>
      <c r="B19" s="788"/>
      <c r="C19" s="788"/>
      <c r="D19" s="788"/>
      <c r="E19" s="788"/>
      <c r="F19" s="788"/>
      <c r="G19" s="788"/>
      <c r="H19" s="788"/>
      <c r="I19" s="788"/>
      <c r="J19" s="788"/>
      <c r="K19" s="788"/>
      <c r="L19" s="788"/>
      <c r="M19" s="788"/>
      <c r="N19" s="788"/>
      <c r="O19" s="788"/>
      <c r="P19" s="788"/>
      <c r="Q19" s="788"/>
      <c r="R19" s="788"/>
      <c r="S19" s="788"/>
      <c r="T19" s="788"/>
      <c r="U19" s="788"/>
      <c r="V19" s="788"/>
      <c r="W19" s="788"/>
      <c r="X19" s="788"/>
      <c r="Y19" s="788"/>
      <c r="Z19" s="788"/>
      <c r="AA19" s="788"/>
      <c r="AB19" s="788"/>
      <c r="AC19" s="788"/>
      <c r="AD19" s="788"/>
      <c r="AE19" s="788"/>
      <c r="AF19" s="788"/>
      <c r="AG19" s="788"/>
      <c r="AH19" s="788"/>
      <c r="AI19" s="788"/>
      <c r="AJ19" s="788"/>
      <c r="AK19" s="788"/>
      <c r="AL19" s="788"/>
      <c r="AM19" s="788"/>
      <c r="AN19" s="788"/>
      <c r="AO19" s="788"/>
      <c r="AP19" s="788"/>
      <c r="AQ19" s="788"/>
      <c r="AR19" s="788"/>
      <c r="AS19" s="788"/>
      <c r="AT19" s="788"/>
      <c r="AU19" s="788"/>
      <c r="AV19" s="788"/>
      <c r="AW19" s="788"/>
      <c r="AX19" s="788"/>
      <c r="AY19" s="788"/>
      <c r="AZ19" s="788"/>
      <c r="BA19" s="1107"/>
      <c r="BB19" s="1107"/>
      <c r="BC19" s="1107"/>
      <c r="BD19" s="1107"/>
      <c r="BE19" s="1107"/>
      <c r="BF19" s="1107"/>
      <c r="BG19" s="1107"/>
      <c r="BH19" s="1107"/>
      <c r="BI19" s="1107"/>
      <c r="BJ19" s="1107"/>
      <c r="BK19" s="1107"/>
      <c r="BL19" s="1107"/>
    </row>
    <row r="20" spans="1:64" ht="20" customHeight="1">
      <c r="A20" s="787" t="str">
        <f>Rubric!A13</f>
        <v>2.1 Friendly and Caring: Builds relationships with customers and creates a welcoming and comfortable environment</v>
      </c>
      <c r="B20" s="787"/>
      <c r="C20" s="787"/>
      <c r="D20" s="787"/>
      <c r="E20" s="787"/>
      <c r="F20" s="787"/>
      <c r="G20" s="787"/>
      <c r="H20" s="787"/>
      <c r="I20" s="787"/>
      <c r="J20" s="787"/>
      <c r="K20" s="787"/>
      <c r="L20" s="787"/>
      <c r="M20" s="787"/>
      <c r="N20" s="787"/>
      <c r="O20" s="787"/>
      <c r="P20" s="787"/>
      <c r="Q20" s="787"/>
      <c r="R20" s="787"/>
      <c r="S20" s="787"/>
      <c r="T20" s="787"/>
      <c r="U20" s="787"/>
      <c r="V20" s="787"/>
      <c r="W20" s="787"/>
      <c r="X20" s="787"/>
      <c r="Y20" s="787"/>
      <c r="Z20" s="787"/>
      <c r="AA20" s="787"/>
      <c r="AB20" s="787"/>
      <c r="AC20" s="787"/>
      <c r="AD20" s="787"/>
      <c r="AE20" s="787"/>
      <c r="AF20" s="787"/>
      <c r="AG20" s="787"/>
      <c r="AH20" s="787"/>
      <c r="AI20" s="787"/>
      <c r="AJ20" s="787"/>
      <c r="AK20" s="787"/>
      <c r="AL20" s="787"/>
      <c r="AM20" s="787"/>
      <c r="AN20" s="787"/>
      <c r="AO20" s="787"/>
      <c r="AP20" s="787"/>
      <c r="AQ20" s="787"/>
      <c r="AR20" s="787"/>
      <c r="AS20" s="787"/>
      <c r="AT20" s="787"/>
      <c r="AU20" s="787"/>
      <c r="AV20" s="787"/>
      <c r="AW20" s="787"/>
      <c r="AX20" s="787"/>
      <c r="AY20" s="787"/>
      <c r="AZ20" s="787"/>
      <c r="BA20" s="499">
        <v>3</v>
      </c>
      <c r="BB20" s="499">
        <v>4</v>
      </c>
      <c r="BC20" s="499">
        <v>5</v>
      </c>
      <c r="BD20" s="499">
        <v>6</v>
      </c>
      <c r="BE20" s="499">
        <v>7</v>
      </c>
      <c r="BF20" s="499">
        <v>8</v>
      </c>
      <c r="BG20" s="499">
        <v>9</v>
      </c>
      <c r="BH20" s="499">
        <v>10</v>
      </c>
      <c r="BI20" s="499">
        <v>11</v>
      </c>
      <c r="BJ20" s="499">
        <v>12</v>
      </c>
      <c r="BK20" s="499">
        <v>13</v>
      </c>
      <c r="BL20" s="499">
        <v>14</v>
      </c>
    </row>
    <row r="21" spans="1:64" ht="70" customHeight="1">
      <c r="A21" s="1068" t="str">
        <f>'Rubric (.)'!A14</f>
        <v>•  2.1.4 Dismissive, abrupt or insincere with customers
•  Creates a negative first impression.</v>
      </c>
      <c r="B21" s="1068"/>
      <c r="C21" s="1068"/>
      <c r="D21" s="1068"/>
      <c r="E21" s="1068"/>
      <c r="F21" s="1068"/>
      <c r="G21" s="1068"/>
      <c r="H21" s="1068"/>
      <c r="I21" s="1068"/>
      <c r="J21" s="1068"/>
      <c r="K21" s="1068"/>
      <c r="L21" s="1068"/>
      <c r="M21" s="1068"/>
      <c r="N21" s="1068" t="str">
        <f>'Rubric (.)'!B14</f>
        <v>•  2.1.3 Needs to ensure customers feel welcome and comfortable by engaging in conversation with them and smiling.</v>
      </c>
      <c r="O21" s="1068"/>
      <c r="P21" s="1068"/>
      <c r="Q21" s="1068"/>
      <c r="R21" s="1068"/>
      <c r="S21" s="1068"/>
      <c r="T21" s="1068"/>
      <c r="U21" s="1068"/>
      <c r="V21" s="1068"/>
      <c r="W21" s="1068"/>
      <c r="X21" s="1068"/>
      <c r="Y21" s="1068"/>
      <c r="Z21" s="1068"/>
      <c r="AA21" s="1068" t="str">
        <f>'Rubric (.)'!C14</f>
        <v>•  2.1.2 Greeted and welcomed customers on-board
•  Was friendly, smiling and initiated conversation with customers
•  Ensured customers were comfortable throughout their flight.</v>
      </c>
      <c r="AB21" s="1068"/>
      <c r="AC21" s="1068"/>
      <c r="AD21" s="1068"/>
      <c r="AE21" s="1068"/>
      <c r="AF21" s="1068"/>
      <c r="AG21" s="1068"/>
      <c r="AH21" s="1068"/>
      <c r="AI21" s="1068"/>
      <c r="AJ21" s="1068"/>
      <c r="AK21" s="1068"/>
      <c r="AL21" s="1068"/>
      <c r="AM21" s="1068"/>
      <c r="AN21" s="1068" t="str">
        <f>'Rubric (.)'!D14</f>
        <v>•  2.1.1 Built strong rapport with customers
•  Made exceptional effort to engage with customers and inspired others in customer care.</v>
      </c>
      <c r="AO21" s="1068"/>
      <c r="AP21" s="1068"/>
      <c r="AQ21" s="1068"/>
      <c r="AR21" s="1068"/>
      <c r="AS21" s="1068"/>
      <c r="AT21" s="1068"/>
      <c r="AU21" s="1068"/>
      <c r="AV21" s="1068"/>
      <c r="AW21" s="1068"/>
      <c r="AX21" s="1068"/>
      <c r="AY21" s="1068"/>
      <c r="AZ21" s="1068"/>
      <c r="BA21" s="500" t="s">
        <v>10</v>
      </c>
      <c r="BB21" s="500" t="s">
        <v>10</v>
      </c>
      <c r="BC21" s="501">
        <f t="shared" ref="BC21:BI27" si="1">IF(ISBLANK(BC$2),"",2)</f>
        <v>2</v>
      </c>
      <c r="BD21" s="501">
        <f t="shared" si="1"/>
        <v>2</v>
      </c>
      <c r="BE21" s="501">
        <f t="shared" si="1"/>
        <v>2</v>
      </c>
      <c r="BF21" s="501">
        <f t="shared" si="1"/>
        <v>2</v>
      </c>
      <c r="BG21" s="501">
        <f t="shared" si="1"/>
        <v>2</v>
      </c>
      <c r="BH21" s="501">
        <f t="shared" si="1"/>
        <v>2</v>
      </c>
      <c r="BI21" s="501">
        <f t="shared" si="1"/>
        <v>2</v>
      </c>
      <c r="BJ21" s="500" t="s">
        <v>10</v>
      </c>
      <c r="BK21" s="500" t="s">
        <v>10</v>
      </c>
      <c r="BL21" s="500" t="s">
        <v>10</v>
      </c>
    </row>
    <row r="22" spans="1:64" ht="20" customHeight="1">
      <c r="A22" s="787" t="str">
        <f>Rubric!A15</f>
        <v>2.2 Anticipating customer needs: Anticipates customers’ needs and uses their initiative to meet them</v>
      </c>
      <c r="B22" s="787"/>
      <c r="C22" s="787"/>
      <c r="D22" s="787"/>
      <c r="E22" s="787"/>
      <c r="F22" s="787"/>
      <c r="G22" s="787"/>
      <c r="H22" s="787"/>
      <c r="I22" s="787"/>
      <c r="J22" s="787"/>
      <c r="K22" s="787"/>
      <c r="L22" s="787"/>
      <c r="M22" s="787"/>
      <c r="N22" s="787"/>
      <c r="O22" s="787"/>
      <c r="P22" s="787"/>
      <c r="Q22" s="787"/>
      <c r="R22" s="787"/>
      <c r="S22" s="787"/>
      <c r="T22" s="787"/>
      <c r="U22" s="787"/>
      <c r="V22" s="787"/>
      <c r="W22" s="787"/>
      <c r="X22" s="787"/>
      <c r="Y22" s="787"/>
      <c r="Z22" s="787"/>
      <c r="AA22" s="787"/>
      <c r="AB22" s="787"/>
      <c r="AC22" s="787"/>
      <c r="AD22" s="787"/>
      <c r="AE22" s="787"/>
      <c r="AF22" s="787"/>
      <c r="AG22" s="787"/>
      <c r="AH22" s="787"/>
      <c r="AI22" s="787"/>
      <c r="AJ22" s="787"/>
      <c r="AK22" s="787"/>
      <c r="AL22" s="787"/>
      <c r="AM22" s="787"/>
      <c r="AN22" s="787"/>
      <c r="AO22" s="787"/>
      <c r="AP22" s="787"/>
      <c r="AQ22" s="787"/>
      <c r="AR22" s="787"/>
      <c r="AS22" s="787"/>
      <c r="AT22" s="787"/>
      <c r="AU22" s="787"/>
      <c r="AV22" s="787"/>
      <c r="AW22" s="787"/>
      <c r="AX22" s="787"/>
      <c r="AY22" s="787"/>
      <c r="AZ22" s="787"/>
      <c r="BA22" s="499">
        <v>3</v>
      </c>
      <c r="BB22" s="499">
        <v>4</v>
      </c>
      <c r="BC22" s="499">
        <v>5</v>
      </c>
      <c r="BD22" s="499">
        <v>6</v>
      </c>
      <c r="BE22" s="499">
        <v>7</v>
      </c>
      <c r="BF22" s="499">
        <v>8</v>
      </c>
      <c r="BG22" s="499">
        <v>9</v>
      </c>
      <c r="BH22" s="499">
        <v>10</v>
      </c>
      <c r="BI22" s="499">
        <v>11</v>
      </c>
      <c r="BJ22" s="499">
        <v>12</v>
      </c>
      <c r="BK22" s="499">
        <v>13</v>
      </c>
      <c r="BL22" s="499">
        <v>14</v>
      </c>
    </row>
    <row r="23" spans="1:64" ht="70" customHeight="1">
      <c r="A23" s="1068" t="str">
        <f>'Rubric (.)'!A16</f>
        <v>•  2.2.4 Avoids spending time in the cabin with customers
•  Appears indifferent to customer needs.</v>
      </c>
      <c r="B23" s="1068"/>
      <c r="C23" s="1068"/>
      <c r="D23" s="1068"/>
      <c r="E23" s="1068"/>
      <c r="F23" s="1068"/>
      <c r="G23" s="1068"/>
      <c r="H23" s="1068"/>
      <c r="I23" s="1068"/>
      <c r="J23" s="1068"/>
      <c r="K23" s="1068"/>
      <c r="L23" s="1068"/>
      <c r="M23" s="1068"/>
      <c r="N23" s="1068" t="str">
        <f>'Rubric (.)'!B16</f>
        <v>•  2.2.3 Could be more attentive to customer needs e.g., those travelling with children; replenishing drinks; being more present in the cabin.</v>
      </c>
      <c r="O23" s="1068"/>
      <c r="P23" s="1068"/>
      <c r="Q23" s="1068"/>
      <c r="R23" s="1068"/>
      <c r="S23" s="1068"/>
      <c r="T23" s="1068"/>
      <c r="U23" s="1068"/>
      <c r="V23" s="1068"/>
      <c r="W23" s="1068"/>
      <c r="X23" s="1068"/>
      <c r="Y23" s="1068"/>
      <c r="Z23" s="1068"/>
      <c r="AA23" s="1068" t="str">
        <f>'Rubric (.)'!C16</f>
        <v>•  2.2.2 Available and active in the cabin
•  Checked cabin and lavatories
•  Anticipated customer needs and was proactive in looking and finding ways to help them.</v>
      </c>
      <c r="AB23" s="1068"/>
      <c r="AC23" s="1068"/>
      <c r="AD23" s="1068"/>
      <c r="AE23" s="1068"/>
      <c r="AF23" s="1068"/>
      <c r="AG23" s="1068"/>
      <c r="AH23" s="1068"/>
      <c r="AI23" s="1068"/>
      <c r="AJ23" s="1068"/>
      <c r="AK23" s="1068"/>
      <c r="AL23" s="1068"/>
      <c r="AM23" s="1068"/>
      <c r="AN23" s="1068" t="str">
        <f>'Rubric (.)'!D16</f>
        <v>•  2.2.1 Used their initiative and found ways and opportunities to really exceed customer expectations and enhance their overall experience.</v>
      </c>
      <c r="AO23" s="1068"/>
      <c r="AP23" s="1068"/>
      <c r="AQ23" s="1068"/>
      <c r="AR23" s="1068"/>
      <c r="AS23" s="1068"/>
      <c r="AT23" s="1068"/>
      <c r="AU23" s="1068"/>
      <c r="AV23" s="1068"/>
      <c r="AW23" s="1068"/>
      <c r="AX23" s="1068"/>
      <c r="AY23" s="1068"/>
      <c r="AZ23" s="1068"/>
      <c r="BA23" s="500" t="s">
        <v>10</v>
      </c>
      <c r="BB23" s="500" t="s">
        <v>10</v>
      </c>
      <c r="BC23" s="500" t="s">
        <v>10</v>
      </c>
      <c r="BD23" s="500" t="s">
        <v>10</v>
      </c>
      <c r="BE23" s="501">
        <f t="shared" si="1"/>
        <v>2</v>
      </c>
      <c r="BF23" s="501">
        <f t="shared" si="1"/>
        <v>2</v>
      </c>
      <c r="BG23" s="501">
        <f t="shared" si="1"/>
        <v>2</v>
      </c>
      <c r="BH23" s="501">
        <f t="shared" si="1"/>
        <v>2</v>
      </c>
      <c r="BI23" s="501">
        <f t="shared" si="1"/>
        <v>2</v>
      </c>
      <c r="BJ23" s="500" t="s">
        <v>10</v>
      </c>
      <c r="BK23" s="500" t="s">
        <v>10</v>
      </c>
      <c r="BL23" s="500" t="s">
        <v>10</v>
      </c>
    </row>
    <row r="24" spans="1:64" ht="20" customHeight="1">
      <c r="A24" s="787" t="str">
        <f>Rubric!A17</f>
        <v>2.3 Responsive and Helpful: Provides a prompt and flexible approach to meeting customer needs and requests. Ability to handle customer complaints and concerns.</v>
      </c>
      <c r="B24" s="787"/>
      <c r="C24" s="787"/>
      <c r="D24" s="787"/>
      <c r="E24" s="787"/>
      <c r="F24" s="787"/>
      <c r="G24" s="787"/>
      <c r="H24" s="787"/>
      <c r="I24" s="787"/>
      <c r="J24" s="787"/>
      <c r="K24" s="787"/>
      <c r="L24" s="787"/>
      <c r="M24" s="787"/>
      <c r="N24" s="787"/>
      <c r="O24" s="787"/>
      <c r="P24" s="787"/>
      <c r="Q24" s="787"/>
      <c r="R24" s="787"/>
      <c r="S24" s="787"/>
      <c r="T24" s="787"/>
      <c r="U24" s="787"/>
      <c r="V24" s="787"/>
      <c r="W24" s="787"/>
      <c r="X24" s="787"/>
      <c r="Y24" s="787"/>
      <c r="Z24" s="787"/>
      <c r="AA24" s="787"/>
      <c r="AB24" s="787"/>
      <c r="AC24" s="787"/>
      <c r="AD24" s="787"/>
      <c r="AE24" s="787"/>
      <c r="AF24" s="787"/>
      <c r="AG24" s="787"/>
      <c r="AH24" s="787"/>
      <c r="AI24" s="787"/>
      <c r="AJ24" s="787"/>
      <c r="AK24" s="787"/>
      <c r="AL24" s="787"/>
      <c r="AM24" s="787"/>
      <c r="AN24" s="787"/>
      <c r="AO24" s="787"/>
      <c r="AP24" s="787"/>
      <c r="AQ24" s="787"/>
      <c r="AR24" s="787"/>
      <c r="AS24" s="787"/>
      <c r="AT24" s="787"/>
      <c r="AU24" s="787"/>
      <c r="AV24" s="787"/>
      <c r="AW24" s="787"/>
      <c r="AX24" s="787"/>
      <c r="AY24" s="787"/>
      <c r="AZ24" s="787"/>
      <c r="BA24" s="499">
        <v>3</v>
      </c>
      <c r="BB24" s="499">
        <v>4</v>
      </c>
      <c r="BC24" s="499">
        <v>5</v>
      </c>
      <c r="BD24" s="499">
        <v>6</v>
      </c>
      <c r="BE24" s="499">
        <v>7</v>
      </c>
      <c r="BF24" s="499">
        <v>8</v>
      </c>
      <c r="BG24" s="499">
        <v>9</v>
      </c>
      <c r="BH24" s="499">
        <v>10</v>
      </c>
      <c r="BI24" s="499">
        <v>11</v>
      </c>
      <c r="BJ24" s="499">
        <v>12</v>
      </c>
      <c r="BK24" s="499">
        <v>13</v>
      </c>
      <c r="BL24" s="499">
        <v>14</v>
      </c>
    </row>
    <row r="25" spans="1:64" ht="70" customHeight="1">
      <c r="A25" s="1068" t="str">
        <f>'Rubric (.)'!A18</f>
        <v>•  2.3.4 Did not identify or acknowledge customer requests.</v>
      </c>
      <c r="B25" s="1068"/>
      <c r="C25" s="1068"/>
      <c r="D25" s="1068"/>
      <c r="E25" s="1068"/>
      <c r="F25" s="1068"/>
      <c r="G25" s="1068"/>
      <c r="H25" s="1068"/>
      <c r="I25" s="1068"/>
      <c r="J25" s="1068"/>
      <c r="K25" s="1068"/>
      <c r="L25" s="1068"/>
      <c r="M25" s="1068"/>
      <c r="N25" s="1068" t="str">
        <f>'Rubric (.)'!B18</f>
        <v>•  2.3.3 Not always responsive to call bells and/or customer requests
•  Had to be repeatedly reminded to assist customers.</v>
      </c>
      <c r="O25" s="1068"/>
      <c r="P25" s="1068"/>
      <c r="Q25" s="1068"/>
      <c r="R25" s="1068"/>
      <c r="S25" s="1068"/>
      <c r="T25" s="1068"/>
      <c r="U25" s="1068"/>
      <c r="V25" s="1068"/>
      <c r="W25" s="1068"/>
      <c r="X25" s="1068"/>
      <c r="Y25" s="1068"/>
      <c r="Z25" s="1068"/>
      <c r="AA25" s="1068" t="str">
        <f>'Rubric (.)'!C18</f>
        <v>•  2.3.2 Helpful and prompt in response to customer requests
•  Flexible and offered alternatives when needs could not be met
•  Made effort to resolve customer concerns or complaints.</v>
      </c>
      <c r="AB25" s="1068"/>
      <c r="AC25" s="1068"/>
      <c r="AD25" s="1068"/>
      <c r="AE25" s="1068"/>
      <c r="AF25" s="1068"/>
      <c r="AG25" s="1068"/>
      <c r="AH25" s="1068"/>
      <c r="AI25" s="1068"/>
      <c r="AJ25" s="1068"/>
      <c r="AK25" s="1068"/>
      <c r="AL25" s="1068"/>
      <c r="AM25" s="1068"/>
      <c r="AN25" s="1068" t="str">
        <f>'Rubric (.)'!D18</f>
        <v>•  2.3.1 Demonstrated exceptional effort in response to challenging customer needs or requests
•  Able to deal with difficult customer complaints; provided solutions and ensured follow up.</v>
      </c>
      <c r="AO25" s="1068"/>
      <c r="AP25" s="1068"/>
      <c r="AQ25" s="1068"/>
      <c r="AR25" s="1068"/>
      <c r="AS25" s="1068"/>
      <c r="AT25" s="1068"/>
      <c r="AU25" s="1068"/>
      <c r="AV25" s="1068"/>
      <c r="AW25" s="1068"/>
      <c r="AX25" s="1068"/>
      <c r="AY25" s="1068"/>
      <c r="AZ25" s="1068"/>
      <c r="BA25" s="500" t="s">
        <v>10</v>
      </c>
      <c r="BB25" s="500" t="s">
        <v>10</v>
      </c>
      <c r="BC25" s="501">
        <f t="shared" si="1"/>
        <v>2</v>
      </c>
      <c r="BD25" s="501">
        <f t="shared" si="1"/>
        <v>2</v>
      </c>
      <c r="BE25" s="501">
        <f t="shared" si="1"/>
        <v>2</v>
      </c>
      <c r="BF25" s="501">
        <f t="shared" si="1"/>
        <v>2</v>
      </c>
      <c r="BG25" s="501">
        <f t="shared" si="1"/>
        <v>2</v>
      </c>
      <c r="BH25" s="501">
        <f t="shared" si="1"/>
        <v>2</v>
      </c>
      <c r="BI25" s="501">
        <f t="shared" si="1"/>
        <v>2</v>
      </c>
      <c r="BJ25" s="500" t="s">
        <v>10</v>
      </c>
      <c r="BK25" s="500" t="s">
        <v>10</v>
      </c>
      <c r="BL25" s="500" t="s">
        <v>10</v>
      </c>
    </row>
    <row r="26" spans="1:64" ht="20" customHeight="1">
      <c r="A26" s="787" t="str">
        <f>Rubric!A19</f>
        <v>2.4 Service Style: Fully reflected expectations for their cabin</v>
      </c>
      <c r="B26" s="787"/>
      <c r="C26" s="787"/>
      <c r="D26" s="787"/>
      <c r="E26" s="787"/>
      <c r="F26" s="787"/>
      <c r="G26" s="787"/>
      <c r="H26" s="787"/>
      <c r="I26" s="787"/>
      <c r="J26" s="787"/>
      <c r="K26" s="787"/>
      <c r="L26" s="787"/>
      <c r="M26" s="787"/>
      <c r="N26" s="787"/>
      <c r="O26" s="787"/>
      <c r="P26" s="787"/>
      <c r="Q26" s="787"/>
      <c r="R26" s="787"/>
      <c r="S26" s="787"/>
      <c r="T26" s="787"/>
      <c r="U26" s="787"/>
      <c r="V26" s="787"/>
      <c r="W26" s="787"/>
      <c r="X26" s="787"/>
      <c r="Y26" s="787"/>
      <c r="Z26" s="787"/>
      <c r="AA26" s="787"/>
      <c r="AB26" s="787"/>
      <c r="AC26" s="787"/>
      <c r="AD26" s="787"/>
      <c r="AE26" s="787"/>
      <c r="AF26" s="787"/>
      <c r="AG26" s="787"/>
      <c r="AH26" s="787"/>
      <c r="AI26" s="787"/>
      <c r="AJ26" s="787"/>
      <c r="AK26" s="787"/>
      <c r="AL26" s="787"/>
      <c r="AM26" s="787"/>
      <c r="AN26" s="787"/>
      <c r="AO26" s="787"/>
      <c r="AP26" s="787"/>
      <c r="AQ26" s="787"/>
      <c r="AR26" s="787"/>
      <c r="AS26" s="787"/>
      <c r="AT26" s="787"/>
      <c r="AU26" s="787"/>
      <c r="AV26" s="787"/>
      <c r="AW26" s="787"/>
      <c r="AX26" s="787"/>
      <c r="AY26" s="787"/>
      <c r="AZ26" s="787"/>
      <c r="BA26" s="499">
        <v>3</v>
      </c>
      <c r="BB26" s="499">
        <v>4</v>
      </c>
      <c r="BC26" s="499">
        <v>5</v>
      </c>
      <c r="BD26" s="499">
        <v>6</v>
      </c>
      <c r="BE26" s="499">
        <v>7</v>
      </c>
      <c r="BF26" s="499">
        <v>8</v>
      </c>
      <c r="BG26" s="499">
        <v>9</v>
      </c>
      <c r="BH26" s="499">
        <v>10</v>
      </c>
      <c r="BI26" s="499">
        <v>11</v>
      </c>
      <c r="BJ26" s="499">
        <v>12</v>
      </c>
      <c r="BK26" s="499">
        <v>13</v>
      </c>
      <c r="BL26" s="499">
        <v>14</v>
      </c>
    </row>
    <row r="27" spans="1:64" ht="70" customHeight="1">
      <c r="A27" s="1068" t="str">
        <f>'Rubric (.)'!A20</f>
        <v>•  2.4.4 Presented service awkwardly
•  Appears clumsy when handling service items.</v>
      </c>
      <c r="B27" s="1068"/>
      <c r="C27" s="1068"/>
      <c r="D27" s="1068"/>
      <c r="E27" s="1068"/>
      <c r="F27" s="1068"/>
      <c r="G27" s="1068"/>
      <c r="H27" s="1068"/>
      <c r="I27" s="1068"/>
      <c r="J27" s="1068"/>
      <c r="K27" s="1068"/>
      <c r="L27" s="1068"/>
      <c r="M27" s="1068"/>
      <c r="N27" s="1068" t="str">
        <f>'Rubric (.)'!B20</f>
        <v>•  2.4.3 Needs to ensure service style and presentation is confident and professional
•  Had some shortfalls.</v>
      </c>
      <c r="O27" s="1068"/>
      <c r="P27" s="1068"/>
      <c r="Q27" s="1068"/>
      <c r="R27" s="1068"/>
      <c r="S27" s="1068"/>
      <c r="T27" s="1068"/>
      <c r="U27" s="1068"/>
      <c r="V27" s="1068"/>
      <c r="W27" s="1068"/>
      <c r="X27" s="1068"/>
      <c r="Y27" s="1068"/>
      <c r="Z27" s="1068"/>
      <c r="AA27" s="1068" t="str">
        <f>'Rubric (.)'!C20</f>
        <v>•  2.4.2 Ensured service style was confident and professional
•  Used correct service phrases
•  Was aware of noise made in the galley and cabin and worked to minimise this.</v>
      </c>
      <c r="AB27" s="1068"/>
      <c r="AC27" s="1068"/>
      <c r="AD27" s="1068"/>
      <c r="AE27" s="1068"/>
      <c r="AF27" s="1068"/>
      <c r="AG27" s="1068"/>
      <c r="AH27" s="1068"/>
      <c r="AI27" s="1068"/>
      <c r="AJ27" s="1068"/>
      <c r="AK27" s="1068"/>
      <c r="AL27" s="1068"/>
      <c r="AM27" s="1068"/>
      <c r="AN27" s="1068" t="str">
        <f>'Rubric (.)'!D20</f>
        <v>•  2.4.1 Demonstrated a detailed awareness of service and presentation
•  Was able to make personal recommendations
•  Delivered service with style and finesse.</v>
      </c>
      <c r="AO27" s="1068"/>
      <c r="AP27" s="1068"/>
      <c r="AQ27" s="1068"/>
      <c r="AR27" s="1068"/>
      <c r="AS27" s="1068"/>
      <c r="AT27" s="1068"/>
      <c r="AU27" s="1068"/>
      <c r="AV27" s="1068"/>
      <c r="AW27" s="1068"/>
      <c r="AX27" s="1068"/>
      <c r="AY27" s="1068"/>
      <c r="AZ27" s="1068"/>
      <c r="BA27" s="500" t="s">
        <v>10</v>
      </c>
      <c r="BB27" s="500" t="s">
        <v>10</v>
      </c>
      <c r="BC27" s="500" t="s">
        <v>10</v>
      </c>
      <c r="BD27" s="500" t="s">
        <v>10</v>
      </c>
      <c r="BE27" s="501">
        <f t="shared" si="1"/>
        <v>2</v>
      </c>
      <c r="BF27" s="501">
        <f t="shared" si="1"/>
        <v>2</v>
      </c>
      <c r="BG27" s="501">
        <f t="shared" si="1"/>
        <v>2</v>
      </c>
      <c r="BH27" s="501">
        <f t="shared" si="1"/>
        <v>2</v>
      </c>
      <c r="BI27" s="501">
        <f t="shared" si="1"/>
        <v>2</v>
      </c>
      <c r="BJ27" s="500" t="s">
        <v>10</v>
      </c>
      <c r="BK27" s="500" t="s">
        <v>10</v>
      </c>
      <c r="BL27" s="500" t="s">
        <v>10</v>
      </c>
    </row>
    <row r="28" spans="1:64" ht="15" customHeight="1">
      <c r="A28" s="1092" t="s">
        <v>868</v>
      </c>
      <c r="B28" s="1092"/>
      <c r="C28" s="1092"/>
      <c r="D28" s="1092"/>
      <c r="E28" s="1092"/>
      <c r="F28" s="1092"/>
      <c r="G28" s="1092"/>
      <c r="H28" s="1092"/>
      <c r="I28" s="1092"/>
      <c r="J28" s="1092"/>
      <c r="K28" s="1092"/>
      <c r="L28" s="1092"/>
      <c r="M28" s="1092"/>
      <c r="N28" s="1092" t="s">
        <v>869</v>
      </c>
      <c r="O28" s="1092"/>
      <c r="P28" s="1092"/>
      <c r="Q28" s="1092"/>
      <c r="R28" s="1092"/>
      <c r="S28" s="1092"/>
      <c r="T28" s="1092"/>
      <c r="U28" s="1092"/>
      <c r="V28" s="1092"/>
      <c r="W28" s="1092"/>
      <c r="X28" s="1092"/>
      <c r="Y28" s="1092"/>
      <c r="Z28" s="1092"/>
      <c r="AA28" s="1092" t="s">
        <v>870</v>
      </c>
      <c r="AB28" s="1092"/>
      <c r="AC28" s="1092"/>
      <c r="AD28" s="1092"/>
      <c r="AE28" s="1092"/>
      <c r="AF28" s="1092"/>
      <c r="AG28" s="1092"/>
      <c r="AH28" s="1092"/>
      <c r="AI28" s="1092"/>
      <c r="AJ28" s="1092"/>
      <c r="AK28" s="1092"/>
      <c r="AL28" s="1092"/>
      <c r="AM28" s="1092"/>
      <c r="AN28" s="1092" t="s">
        <v>871</v>
      </c>
      <c r="AO28" s="1092"/>
      <c r="AP28" s="1092"/>
      <c r="AQ28" s="1092"/>
      <c r="AR28" s="1092"/>
      <c r="AS28" s="1092"/>
      <c r="AT28" s="1092"/>
      <c r="AU28" s="1092"/>
      <c r="AV28" s="1092"/>
      <c r="AW28" s="1092"/>
      <c r="AX28" s="1092"/>
      <c r="AY28" s="1092"/>
      <c r="AZ28" s="1092"/>
      <c r="BA28" s="1109"/>
      <c r="BB28" s="1109"/>
      <c r="BC28" s="1109"/>
      <c r="BD28" s="1109"/>
      <c r="BE28" s="1109"/>
      <c r="BF28" s="1109"/>
      <c r="BG28" s="1109"/>
      <c r="BH28" s="1109"/>
      <c r="BI28" s="1109"/>
      <c r="BJ28" s="1109"/>
      <c r="BK28" s="1109"/>
      <c r="BL28" s="1109"/>
    </row>
    <row r="29" spans="1:64" ht="120" customHeight="1">
      <c r="A29" s="1093"/>
      <c r="B29" s="1093"/>
      <c r="C29" s="1093"/>
      <c r="D29" s="1093"/>
      <c r="E29" s="1093"/>
      <c r="F29" s="1093"/>
      <c r="G29" s="1093"/>
      <c r="H29" s="1093"/>
      <c r="I29" s="1093"/>
      <c r="J29" s="1093"/>
      <c r="K29" s="1093"/>
      <c r="L29" s="1093"/>
      <c r="M29" s="1093"/>
      <c r="N29" s="1093"/>
      <c r="O29" s="1093"/>
      <c r="P29" s="1093"/>
      <c r="Q29" s="1093"/>
      <c r="R29" s="1093"/>
      <c r="S29" s="1093"/>
      <c r="T29" s="1093"/>
      <c r="U29" s="1093"/>
      <c r="V29" s="1093"/>
      <c r="W29" s="1093"/>
      <c r="X29" s="1093"/>
      <c r="Y29" s="1093"/>
      <c r="Z29" s="1093"/>
      <c r="AA29" s="1093"/>
      <c r="AB29" s="1093"/>
      <c r="AC29" s="1093"/>
      <c r="AD29" s="1093"/>
      <c r="AE29" s="1093"/>
      <c r="AF29" s="1093"/>
      <c r="AG29" s="1093"/>
      <c r="AH29" s="1093"/>
      <c r="AI29" s="1093"/>
      <c r="AJ29" s="1093"/>
      <c r="AK29" s="1093"/>
      <c r="AL29" s="1093"/>
      <c r="AM29" s="1093"/>
      <c r="AN29" s="1069"/>
      <c r="AO29" s="1070"/>
      <c r="AP29" s="1070"/>
      <c r="AQ29" s="1070"/>
      <c r="AR29" s="1070"/>
      <c r="AS29" s="1070"/>
      <c r="AT29" s="1070"/>
      <c r="AU29" s="1070"/>
      <c r="AV29" s="1070"/>
      <c r="AW29" s="1070"/>
      <c r="AX29" s="1070"/>
      <c r="AY29" s="1070"/>
      <c r="AZ29" s="1071"/>
      <c r="BA29" s="1109"/>
      <c r="BB29" s="1109"/>
      <c r="BC29" s="1109"/>
      <c r="BD29" s="1109"/>
      <c r="BE29" s="1109"/>
      <c r="BF29" s="1109"/>
      <c r="BG29" s="1109"/>
      <c r="BH29" s="1109"/>
      <c r="BI29" s="1109"/>
      <c r="BJ29" s="1109"/>
      <c r="BK29" s="1109"/>
      <c r="BL29" s="1109"/>
    </row>
    <row r="30" spans="1:64" ht="30" customHeight="1">
      <c r="A30" s="803" t="str">
        <f>'Rubric (.)'!A21:D21</f>
        <v>3. My Teamwork</v>
      </c>
      <c r="B30" s="803"/>
      <c r="C30" s="803"/>
      <c r="D30" s="803"/>
      <c r="E30" s="803"/>
      <c r="F30" s="803"/>
      <c r="G30" s="803"/>
      <c r="H30" s="803"/>
      <c r="I30" s="803"/>
      <c r="J30" s="803"/>
      <c r="K30" s="803"/>
      <c r="L30" s="803"/>
      <c r="M30" s="803"/>
      <c r="N30" s="803"/>
      <c r="O30" s="803"/>
      <c r="P30" s="803"/>
      <c r="Q30" s="803"/>
      <c r="R30" s="803"/>
      <c r="S30" s="803"/>
      <c r="T30" s="803"/>
      <c r="U30" s="803"/>
      <c r="V30" s="803"/>
      <c r="W30" s="803"/>
      <c r="X30" s="803"/>
      <c r="Y30" s="803"/>
      <c r="Z30" s="803"/>
      <c r="AA30" s="803"/>
      <c r="AB30" s="803"/>
      <c r="AC30" s="803"/>
      <c r="AD30" s="803"/>
      <c r="AE30" s="803"/>
      <c r="AF30" s="803"/>
      <c r="AG30" s="803"/>
      <c r="AH30" s="803"/>
      <c r="AI30" s="803"/>
      <c r="AJ30" s="803"/>
      <c r="AK30" s="803"/>
      <c r="AL30" s="803"/>
      <c r="AM30" s="803"/>
      <c r="AN30" s="803"/>
      <c r="AO30" s="803"/>
      <c r="AP30" s="803"/>
      <c r="AQ30" s="803"/>
      <c r="AR30" s="803"/>
      <c r="AS30" s="803"/>
      <c r="AT30" s="803"/>
      <c r="AU30" s="803"/>
      <c r="AV30" s="803"/>
      <c r="AW30" s="803"/>
      <c r="AX30" s="803"/>
      <c r="AY30" s="803"/>
      <c r="AZ30" s="803"/>
      <c r="BA30" s="1108"/>
      <c r="BB30" s="1108"/>
      <c r="BC30" s="1108"/>
      <c r="BD30" s="1108"/>
      <c r="BE30" s="1108"/>
      <c r="BF30" s="1108"/>
      <c r="BG30" s="1108"/>
      <c r="BH30" s="1108"/>
      <c r="BI30" s="1108"/>
      <c r="BJ30" s="1108"/>
      <c r="BK30" s="1108"/>
      <c r="BL30" s="1108"/>
    </row>
    <row r="31" spans="1:64" ht="20" customHeight="1">
      <c r="A31" s="802" t="str">
        <f>Rubric!A22</f>
        <v>3.1 Relationship Builder: Develops good working relationship and promotes a positive work environment</v>
      </c>
      <c r="B31" s="802"/>
      <c r="C31" s="802"/>
      <c r="D31" s="802"/>
      <c r="E31" s="802"/>
      <c r="F31" s="802"/>
      <c r="G31" s="802"/>
      <c r="H31" s="802"/>
      <c r="I31" s="802"/>
      <c r="J31" s="802"/>
      <c r="K31" s="802"/>
      <c r="L31" s="802"/>
      <c r="M31" s="802"/>
      <c r="N31" s="802"/>
      <c r="O31" s="802"/>
      <c r="P31" s="802"/>
      <c r="Q31" s="802"/>
      <c r="R31" s="802"/>
      <c r="S31" s="802"/>
      <c r="T31" s="802"/>
      <c r="U31" s="802"/>
      <c r="V31" s="802"/>
      <c r="W31" s="802"/>
      <c r="X31" s="802"/>
      <c r="Y31" s="802"/>
      <c r="Z31" s="802"/>
      <c r="AA31" s="802"/>
      <c r="AB31" s="802"/>
      <c r="AC31" s="802"/>
      <c r="AD31" s="802"/>
      <c r="AE31" s="802"/>
      <c r="AF31" s="802"/>
      <c r="AG31" s="802"/>
      <c r="AH31" s="802"/>
      <c r="AI31" s="802"/>
      <c r="AJ31" s="802"/>
      <c r="AK31" s="802"/>
      <c r="AL31" s="802"/>
      <c r="AM31" s="802"/>
      <c r="AN31" s="802"/>
      <c r="AO31" s="802"/>
      <c r="AP31" s="802"/>
      <c r="AQ31" s="802"/>
      <c r="AR31" s="802"/>
      <c r="AS31" s="802"/>
      <c r="AT31" s="802"/>
      <c r="AU31" s="802"/>
      <c r="AV31" s="802"/>
      <c r="AW31" s="802"/>
      <c r="AX31" s="802"/>
      <c r="AY31" s="802"/>
      <c r="AZ31" s="802"/>
      <c r="BA31" s="499">
        <v>3</v>
      </c>
      <c r="BB31" s="499">
        <v>4</v>
      </c>
      <c r="BC31" s="499">
        <v>5</v>
      </c>
      <c r="BD31" s="499">
        <v>6</v>
      </c>
      <c r="BE31" s="499">
        <v>7</v>
      </c>
      <c r="BF31" s="499">
        <v>8</v>
      </c>
      <c r="BG31" s="499">
        <v>9</v>
      </c>
      <c r="BH31" s="499">
        <v>10</v>
      </c>
      <c r="BI31" s="499">
        <v>11</v>
      </c>
      <c r="BJ31" s="499">
        <v>12</v>
      </c>
      <c r="BK31" s="499">
        <v>13</v>
      </c>
      <c r="BL31" s="499">
        <v>14</v>
      </c>
    </row>
    <row r="32" spans="1:64" ht="70" customHeight="1">
      <c r="A32" s="1068" t="str">
        <f>'Rubric (.)'!A23</f>
        <v>•  3.1.4 Does not interact or involve others in discussions.</v>
      </c>
      <c r="B32" s="1068"/>
      <c r="C32" s="1068"/>
      <c r="D32" s="1068"/>
      <c r="E32" s="1068"/>
      <c r="F32" s="1068"/>
      <c r="G32" s="1068"/>
      <c r="H32" s="1068"/>
      <c r="I32" s="1068"/>
      <c r="J32" s="1068"/>
      <c r="K32" s="1068"/>
      <c r="L32" s="1068"/>
      <c r="M32" s="1068"/>
      <c r="N32" s="1068" t="str">
        <f>'Rubric (.)'!B23</f>
        <v>•  3.1.3 Needs to ensure builds good working relationships with colleagues
•  Be aware not to make others feel excluded.</v>
      </c>
      <c r="O32" s="1068"/>
      <c r="P32" s="1068"/>
      <c r="Q32" s="1068"/>
      <c r="R32" s="1068"/>
      <c r="S32" s="1068"/>
      <c r="T32" s="1068"/>
      <c r="U32" s="1068"/>
      <c r="V32" s="1068"/>
      <c r="W32" s="1068"/>
      <c r="X32" s="1068"/>
      <c r="Y32" s="1068"/>
      <c r="Z32" s="1068"/>
      <c r="AA32" s="1068" t="str">
        <f>'Rubric (.)'!C23</f>
        <v>•  3.1.2 Showed consideration to colleagues
•  Contributed to an enjoyable and effective working environment
•  Created a strong team spirit.</v>
      </c>
      <c r="AB32" s="1068"/>
      <c r="AC32" s="1068"/>
      <c r="AD32" s="1068"/>
      <c r="AE32" s="1068"/>
      <c r="AF32" s="1068"/>
      <c r="AG32" s="1068"/>
      <c r="AH32" s="1068"/>
      <c r="AI32" s="1068"/>
      <c r="AJ32" s="1068"/>
      <c r="AK32" s="1068"/>
      <c r="AL32" s="1068"/>
      <c r="AM32" s="1068"/>
      <c r="AN32" s="1068" t="str">
        <f>'Rubric (.)'!D23</f>
        <v>•  3.1.1 Built strong relationships and/or engaged with wider teams e.g
•  ground staff
•  Provided encouragement to colleagues in challenging situations.</v>
      </c>
      <c r="AO32" s="1068"/>
      <c r="AP32" s="1068"/>
      <c r="AQ32" s="1068"/>
      <c r="AR32" s="1068"/>
      <c r="AS32" s="1068"/>
      <c r="AT32" s="1068"/>
      <c r="AU32" s="1068"/>
      <c r="AV32" s="1068"/>
      <c r="AW32" s="1068"/>
      <c r="AX32" s="1068"/>
      <c r="AY32" s="1068"/>
      <c r="AZ32" s="1068"/>
      <c r="BA32" s="501">
        <f t="shared" ref="BA32:BL32" si="2">IF(ISBLANK(BA$2),"",2)</f>
        <v>2</v>
      </c>
      <c r="BB32" s="501">
        <f t="shared" si="2"/>
        <v>2</v>
      </c>
      <c r="BC32" s="501">
        <f t="shared" si="2"/>
        <v>2</v>
      </c>
      <c r="BD32" s="501">
        <f t="shared" si="2"/>
        <v>2</v>
      </c>
      <c r="BE32" s="501">
        <f t="shared" si="2"/>
        <v>2</v>
      </c>
      <c r="BF32" s="501">
        <f t="shared" si="2"/>
        <v>2</v>
      </c>
      <c r="BG32" s="501">
        <f t="shared" si="2"/>
        <v>2</v>
      </c>
      <c r="BH32" s="501">
        <f t="shared" si="2"/>
        <v>2</v>
      </c>
      <c r="BI32" s="501">
        <f t="shared" si="2"/>
        <v>2</v>
      </c>
      <c r="BJ32" s="501">
        <f t="shared" si="2"/>
        <v>2</v>
      </c>
      <c r="BK32" s="501">
        <f t="shared" si="2"/>
        <v>2</v>
      </c>
      <c r="BL32" s="501">
        <f t="shared" si="2"/>
        <v>2</v>
      </c>
    </row>
    <row r="33" spans="1:64" ht="20" customHeight="1">
      <c r="A33" s="802" t="str">
        <f>Rubric!A24</f>
        <v>3.2 Team Player: Helps and supports others to achieve team goals. Understands how their work affects others</v>
      </c>
      <c r="B33" s="802"/>
      <c r="C33" s="802"/>
      <c r="D33" s="802"/>
      <c r="E33" s="802"/>
      <c r="F33" s="802"/>
      <c r="G33" s="802"/>
      <c r="H33" s="802"/>
      <c r="I33" s="802"/>
      <c r="J33" s="802"/>
      <c r="K33" s="802"/>
      <c r="L33" s="802"/>
      <c r="M33" s="802"/>
      <c r="N33" s="802"/>
      <c r="O33" s="802"/>
      <c r="P33" s="802"/>
      <c r="Q33" s="802"/>
      <c r="R33" s="802"/>
      <c r="S33" s="802"/>
      <c r="T33" s="802"/>
      <c r="U33" s="802"/>
      <c r="V33" s="802"/>
      <c r="W33" s="802"/>
      <c r="X33" s="802"/>
      <c r="Y33" s="802"/>
      <c r="Z33" s="802"/>
      <c r="AA33" s="802"/>
      <c r="AB33" s="802"/>
      <c r="AC33" s="802"/>
      <c r="AD33" s="802"/>
      <c r="AE33" s="802"/>
      <c r="AF33" s="802"/>
      <c r="AG33" s="802"/>
      <c r="AH33" s="802"/>
      <c r="AI33" s="802"/>
      <c r="AJ33" s="802"/>
      <c r="AK33" s="802"/>
      <c r="AL33" s="802"/>
      <c r="AM33" s="802"/>
      <c r="AN33" s="802"/>
      <c r="AO33" s="802"/>
      <c r="AP33" s="802"/>
      <c r="AQ33" s="802"/>
      <c r="AR33" s="802"/>
      <c r="AS33" s="802"/>
      <c r="AT33" s="802"/>
      <c r="AU33" s="802"/>
      <c r="AV33" s="802"/>
      <c r="AW33" s="802"/>
      <c r="AX33" s="802"/>
      <c r="AY33" s="802"/>
      <c r="AZ33" s="802"/>
      <c r="BA33" s="499">
        <v>3</v>
      </c>
      <c r="BB33" s="499">
        <v>4</v>
      </c>
      <c r="BC33" s="499">
        <v>5</v>
      </c>
      <c r="BD33" s="499">
        <v>6</v>
      </c>
      <c r="BE33" s="499">
        <v>7</v>
      </c>
      <c r="BF33" s="499">
        <v>8</v>
      </c>
      <c r="BG33" s="499">
        <v>9</v>
      </c>
      <c r="BH33" s="499">
        <v>10</v>
      </c>
      <c r="BI33" s="499">
        <v>11</v>
      </c>
      <c r="BJ33" s="499">
        <v>12</v>
      </c>
      <c r="BK33" s="499">
        <v>13</v>
      </c>
      <c r="BL33" s="499">
        <v>14</v>
      </c>
    </row>
    <row r="34" spans="1:64" s="235" customFormat="1" ht="70" customHeight="1">
      <c r="A34" s="1068" t="str">
        <f>'Rubric (.)'!A25</f>
        <v>•  3.2.4 Appears to avoid taking ownership or working with others
•  Does not assist colleagues or acknowledge ideas of others.</v>
      </c>
      <c r="B34" s="1068"/>
      <c r="C34" s="1068"/>
      <c r="D34" s="1068"/>
      <c r="E34" s="1068"/>
      <c r="F34" s="1068"/>
      <c r="G34" s="1068"/>
      <c r="H34" s="1068"/>
      <c r="I34" s="1068"/>
      <c r="J34" s="1068"/>
      <c r="K34" s="1068"/>
      <c r="L34" s="1068"/>
      <c r="M34" s="1068"/>
      <c r="N34" s="1068" t="str">
        <f>'Rubric (.)'!B25</f>
        <v>•  3.2.3 Could have worked more closely with colleagues throughout the flight
•  Encouraged to offer assistance to colleagues in need.</v>
      </c>
      <c r="O34" s="1068"/>
      <c r="P34" s="1068"/>
      <c r="Q34" s="1068"/>
      <c r="R34" s="1068"/>
      <c r="S34" s="1068"/>
      <c r="T34" s="1068"/>
      <c r="U34" s="1068"/>
      <c r="V34" s="1068"/>
      <c r="W34" s="1068"/>
      <c r="X34" s="1068"/>
      <c r="Y34" s="1068"/>
      <c r="Z34" s="1068"/>
      <c r="AA34" s="1068" t="str">
        <f>'Rubric (.)'!C25</f>
        <v>•  3.2.2 Accepted an equal workload and contributed to achieving team goals
•  Shared experience and knowledge with colleagues
•  Actively supported colleagues as needed.</v>
      </c>
      <c r="AB34" s="1068"/>
      <c r="AC34" s="1068"/>
      <c r="AD34" s="1068"/>
      <c r="AE34" s="1068"/>
      <c r="AF34" s="1068"/>
      <c r="AG34" s="1068"/>
      <c r="AH34" s="1068"/>
      <c r="AI34" s="1068"/>
      <c r="AJ34" s="1068"/>
      <c r="AK34" s="1068"/>
      <c r="AL34" s="1068"/>
      <c r="AM34" s="1068"/>
      <c r="AN34" s="1068" t="str">
        <f>'Rubric (.)'!D25</f>
        <v>•  3.2.1 Actively encouraged team work
•  Offered solutions to help resolve team challenges
•  Exceptional support to colleagues through challenging situations.</v>
      </c>
      <c r="AO34" s="1068"/>
      <c r="AP34" s="1068"/>
      <c r="AQ34" s="1068"/>
      <c r="AR34" s="1068"/>
      <c r="AS34" s="1068"/>
      <c r="AT34" s="1068"/>
      <c r="AU34" s="1068"/>
      <c r="AV34" s="1068"/>
      <c r="AW34" s="1068"/>
      <c r="AX34" s="1068"/>
      <c r="AY34" s="1068"/>
      <c r="AZ34" s="1068"/>
      <c r="BA34" s="501">
        <f t="shared" ref="BA34:BL34" si="3">IF(ISBLANK(BA$2),"",2)</f>
        <v>2</v>
      </c>
      <c r="BB34" s="501">
        <f t="shared" si="3"/>
        <v>2</v>
      </c>
      <c r="BC34" s="501">
        <f t="shared" si="3"/>
        <v>2</v>
      </c>
      <c r="BD34" s="501">
        <f t="shared" si="3"/>
        <v>2</v>
      </c>
      <c r="BE34" s="501">
        <f t="shared" si="3"/>
        <v>2</v>
      </c>
      <c r="BF34" s="501">
        <f t="shared" si="3"/>
        <v>2</v>
      </c>
      <c r="BG34" s="501">
        <f t="shared" si="3"/>
        <v>2</v>
      </c>
      <c r="BH34" s="501">
        <f t="shared" si="3"/>
        <v>2</v>
      </c>
      <c r="BI34" s="501">
        <f t="shared" si="3"/>
        <v>2</v>
      </c>
      <c r="BJ34" s="501">
        <f t="shared" si="3"/>
        <v>2</v>
      </c>
      <c r="BK34" s="501">
        <f t="shared" si="3"/>
        <v>2</v>
      </c>
      <c r="BL34" s="501">
        <f t="shared" si="3"/>
        <v>2</v>
      </c>
    </row>
    <row r="35" spans="1:64" ht="20" customHeight="1">
      <c r="A35" s="802" t="str">
        <f>Rubric!A26</f>
        <v>3.3 Effective Communicator: Communicates clearly and appropriately. Shares information to ensure the efficient and effective delivery of service. Used active listening skills</v>
      </c>
      <c r="B35" s="802"/>
      <c r="C35" s="802"/>
      <c r="D35" s="802"/>
      <c r="E35" s="802"/>
      <c r="F35" s="802"/>
      <c r="G35" s="802"/>
      <c r="H35" s="802"/>
      <c r="I35" s="802"/>
      <c r="J35" s="802"/>
      <c r="K35" s="802"/>
      <c r="L35" s="802"/>
      <c r="M35" s="802"/>
      <c r="N35" s="802"/>
      <c r="O35" s="802"/>
      <c r="P35" s="802"/>
      <c r="Q35" s="802"/>
      <c r="R35" s="802"/>
      <c r="S35" s="802"/>
      <c r="T35" s="802"/>
      <c r="U35" s="802"/>
      <c r="V35" s="802"/>
      <c r="W35" s="802"/>
      <c r="X35" s="802"/>
      <c r="Y35" s="802"/>
      <c r="Z35" s="802"/>
      <c r="AA35" s="802"/>
      <c r="AB35" s="802"/>
      <c r="AC35" s="802"/>
      <c r="AD35" s="802"/>
      <c r="AE35" s="802"/>
      <c r="AF35" s="802"/>
      <c r="AG35" s="802"/>
      <c r="AH35" s="802"/>
      <c r="AI35" s="802"/>
      <c r="AJ35" s="802"/>
      <c r="AK35" s="802"/>
      <c r="AL35" s="802"/>
      <c r="AM35" s="802"/>
      <c r="AN35" s="802"/>
      <c r="AO35" s="802"/>
      <c r="AP35" s="802"/>
      <c r="AQ35" s="802"/>
      <c r="AR35" s="802"/>
      <c r="AS35" s="802"/>
      <c r="AT35" s="802"/>
      <c r="AU35" s="802"/>
      <c r="AV35" s="802"/>
      <c r="AW35" s="802"/>
      <c r="AX35" s="802"/>
      <c r="AY35" s="802"/>
      <c r="AZ35" s="802"/>
      <c r="BA35" s="499">
        <v>3</v>
      </c>
      <c r="BB35" s="499">
        <v>4</v>
      </c>
      <c r="BC35" s="499">
        <v>5</v>
      </c>
      <c r="BD35" s="499">
        <v>6</v>
      </c>
      <c r="BE35" s="499">
        <v>7</v>
      </c>
      <c r="BF35" s="499">
        <v>8</v>
      </c>
      <c r="BG35" s="499">
        <v>9</v>
      </c>
      <c r="BH35" s="499">
        <v>10</v>
      </c>
      <c r="BI35" s="499">
        <v>11</v>
      </c>
      <c r="BJ35" s="499">
        <v>12</v>
      </c>
      <c r="BK35" s="499">
        <v>13</v>
      </c>
      <c r="BL35" s="499">
        <v>14</v>
      </c>
    </row>
    <row r="36" spans="1:64" ht="70" customHeight="1">
      <c r="A36" s="1068" t="str">
        <f>'Rubric (.)'!A27</f>
        <v>•  3.3.4 Interrupts others or does not listen to the full communication
•  Appears to dominate others or retain important information.</v>
      </c>
      <c r="B36" s="1068"/>
      <c r="C36" s="1068"/>
      <c r="D36" s="1068"/>
      <c r="E36" s="1068"/>
      <c r="F36" s="1068"/>
      <c r="G36" s="1068"/>
      <c r="H36" s="1068"/>
      <c r="I36" s="1068"/>
      <c r="J36" s="1068"/>
      <c r="K36" s="1068"/>
      <c r="L36" s="1068"/>
      <c r="M36" s="1068"/>
      <c r="N36" s="1068" t="str">
        <f>'Rubric (.)'!B27</f>
        <v>•  3.3.3 Needs to ensure that communication is clear and appropriate.</v>
      </c>
      <c r="O36" s="1068"/>
      <c r="P36" s="1068"/>
      <c r="Q36" s="1068"/>
      <c r="R36" s="1068"/>
      <c r="S36" s="1068"/>
      <c r="T36" s="1068"/>
      <c r="U36" s="1068"/>
      <c r="V36" s="1068"/>
      <c r="W36" s="1068"/>
      <c r="X36" s="1068"/>
      <c r="Y36" s="1068"/>
      <c r="Z36" s="1068"/>
      <c r="AA36" s="1068" t="str">
        <f>'Rubric (.)'!C27</f>
        <v>•  3.3.2 Communicated clearly, openly and appropriately with colleagues and customers
•  Sought clarification and guidance when unsure.</v>
      </c>
      <c r="AB36" s="1068"/>
      <c r="AC36" s="1068"/>
      <c r="AD36" s="1068"/>
      <c r="AE36" s="1068"/>
      <c r="AF36" s="1068"/>
      <c r="AG36" s="1068"/>
      <c r="AH36" s="1068"/>
      <c r="AI36" s="1068"/>
      <c r="AJ36" s="1068"/>
      <c r="AK36" s="1068"/>
      <c r="AL36" s="1068"/>
      <c r="AM36" s="1068"/>
      <c r="AN36" s="1068" t="str">
        <f>'Rubric (.)'!D27</f>
        <v>•  3.3.1 Took a leading role in sharing and communicating with others
•  An inspirational communicator; able to capture and hold people’s attention.</v>
      </c>
      <c r="AO36" s="1068"/>
      <c r="AP36" s="1068"/>
      <c r="AQ36" s="1068"/>
      <c r="AR36" s="1068"/>
      <c r="AS36" s="1068"/>
      <c r="AT36" s="1068"/>
      <c r="AU36" s="1068"/>
      <c r="AV36" s="1068"/>
      <c r="AW36" s="1068"/>
      <c r="AX36" s="1068"/>
      <c r="AY36" s="1068"/>
      <c r="AZ36" s="1068"/>
      <c r="BA36" s="501">
        <f t="shared" ref="BA36:BL36" si="4">IF(ISBLANK(BA$2),"",2)</f>
        <v>2</v>
      </c>
      <c r="BB36" s="501">
        <f t="shared" si="4"/>
        <v>2</v>
      </c>
      <c r="BC36" s="501">
        <f t="shared" si="4"/>
        <v>2</v>
      </c>
      <c r="BD36" s="501">
        <f t="shared" si="4"/>
        <v>2</v>
      </c>
      <c r="BE36" s="501">
        <f t="shared" si="4"/>
        <v>2</v>
      </c>
      <c r="BF36" s="501">
        <f t="shared" si="4"/>
        <v>2</v>
      </c>
      <c r="BG36" s="501">
        <f t="shared" si="4"/>
        <v>2</v>
      </c>
      <c r="BH36" s="501">
        <f t="shared" si="4"/>
        <v>2</v>
      </c>
      <c r="BI36" s="501">
        <f t="shared" si="4"/>
        <v>2</v>
      </c>
      <c r="BJ36" s="501">
        <f t="shared" si="4"/>
        <v>2</v>
      </c>
      <c r="BK36" s="501">
        <f t="shared" si="4"/>
        <v>2</v>
      </c>
      <c r="BL36" s="501">
        <f t="shared" si="4"/>
        <v>2</v>
      </c>
    </row>
    <row r="37" spans="1:64" ht="15" customHeight="1">
      <c r="A37" s="1092" t="s">
        <v>868</v>
      </c>
      <c r="B37" s="1092"/>
      <c r="C37" s="1092"/>
      <c r="D37" s="1092"/>
      <c r="E37" s="1092"/>
      <c r="F37" s="1092"/>
      <c r="G37" s="1092"/>
      <c r="H37" s="1092"/>
      <c r="I37" s="1092"/>
      <c r="J37" s="1092"/>
      <c r="K37" s="1092"/>
      <c r="L37" s="1092"/>
      <c r="M37" s="1092"/>
      <c r="N37" s="1092" t="s">
        <v>869</v>
      </c>
      <c r="O37" s="1092"/>
      <c r="P37" s="1092"/>
      <c r="Q37" s="1092"/>
      <c r="R37" s="1092"/>
      <c r="S37" s="1092"/>
      <c r="T37" s="1092"/>
      <c r="U37" s="1092"/>
      <c r="V37" s="1092"/>
      <c r="W37" s="1092"/>
      <c r="X37" s="1092"/>
      <c r="Y37" s="1092"/>
      <c r="Z37" s="1092"/>
      <c r="AA37" s="1092" t="s">
        <v>870</v>
      </c>
      <c r="AB37" s="1092"/>
      <c r="AC37" s="1092"/>
      <c r="AD37" s="1092"/>
      <c r="AE37" s="1092"/>
      <c r="AF37" s="1092"/>
      <c r="AG37" s="1092"/>
      <c r="AH37" s="1092"/>
      <c r="AI37" s="1092"/>
      <c r="AJ37" s="1092"/>
      <c r="AK37" s="1092"/>
      <c r="AL37" s="1092"/>
      <c r="AM37" s="1092"/>
      <c r="AN37" s="1092" t="s">
        <v>871</v>
      </c>
      <c r="AO37" s="1092"/>
      <c r="AP37" s="1092"/>
      <c r="AQ37" s="1092"/>
      <c r="AR37" s="1092"/>
      <c r="AS37" s="1092"/>
      <c r="AT37" s="1092"/>
      <c r="AU37" s="1092"/>
      <c r="AV37" s="1092"/>
      <c r="AW37" s="1092"/>
      <c r="AX37" s="1092"/>
      <c r="AY37" s="1092"/>
      <c r="AZ37" s="1092"/>
      <c r="BA37" s="1109"/>
      <c r="BB37" s="1109"/>
      <c r="BC37" s="1109"/>
      <c r="BD37" s="1109"/>
      <c r="BE37" s="1109"/>
      <c r="BF37" s="1109"/>
      <c r="BG37" s="1109"/>
      <c r="BH37" s="1109"/>
      <c r="BI37" s="1109"/>
      <c r="BJ37" s="1109"/>
      <c r="BK37" s="1109"/>
      <c r="BL37" s="1109"/>
    </row>
    <row r="38" spans="1:64" ht="120" customHeight="1">
      <c r="A38" s="1093"/>
      <c r="B38" s="1093"/>
      <c r="C38" s="1093"/>
      <c r="D38" s="1093"/>
      <c r="E38" s="1093"/>
      <c r="F38" s="1093"/>
      <c r="G38" s="1093"/>
      <c r="H38" s="1093"/>
      <c r="I38" s="1093"/>
      <c r="J38" s="1093"/>
      <c r="K38" s="1093"/>
      <c r="L38" s="1093"/>
      <c r="M38" s="1093"/>
      <c r="N38" s="1093"/>
      <c r="O38" s="1093"/>
      <c r="P38" s="1093"/>
      <c r="Q38" s="1093"/>
      <c r="R38" s="1093"/>
      <c r="S38" s="1093"/>
      <c r="T38" s="1093"/>
      <c r="U38" s="1093"/>
      <c r="V38" s="1093"/>
      <c r="W38" s="1093"/>
      <c r="X38" s="1093"/>
      <c r="Y38" s="1093"/>
      <c r="Z38" s="1093"/>
      <c r="AA38" s="1093"/>
      <c r="AB38" s="1093"/>
      <c r="AC38" s="1093"/>
      <c r="AD38" s="1093"/>
      <c r="AE38" s="1093"/>
      <c r="AF38" s="1093"/>
      <c r="AG38" s="1093"/>
      <c r="AH38" s="1093"/>
      <c r="AI38" s="1093"/>
      <c r="AJ38" s="1093"/>
      <c r="AK38" s="1093"/>
      <c r="AL38" s="1093"/>
      <c r="AM38" s="1093"/>
      <c r="AN38" s="1093"/>
      <c r="AO38" s="1093"/>
      <c r="AP38" s="1093"/>
      <c r="AQ38" s="1093"/>
      <c r="AR38" s="1093"/>
      <c r="AS38" s="1093"/>
      <c r="AT38" s="1093"/>
      <c r="AU38" s="1093"/>
      <c r="AV38" s="1093"/>
      <c r="AW38" s="1093"/>
      <c r="AX38" s="1093"/>
      <c r="AY38" s="1093"/>
      <c r="AZ38" s="1093"/>
      <c r="BA38" s="1109"/>
      <c r="BB38" s="1109"/>
      <c r="BC38" s="1109"/>
      <c r="BD38" s="1109"/>
      <c r="BE38" s="1109"/>
      <c r="BF38" s="1109"/>
      <c r="BG38" s="1109"/>
      <c r="BH38" s="1109"/>
      <c r="BI38" s="1109"/>
      <c r="BJ38" s="1109"/>
      <c r="BK38" s="1109"/>
      <c r="BL38" s="1109"/>
    </row>
    <row r="39" spans="1:64" ht="30" customHeight="1">
      <c r="A39" s="804" t="str">
        <f>'Rubric (.)'!A28:D28</f>
        <v>4. My Knowledge and Professional Image</v>
      </c>
      <c r="B39" s="804"/>
      <c r="C39" s="804"/>
      <c r="D39" s="804"/>
      <c r="E39" s="804"/>
      <c r="F39" s="804"/>
      <c r="G39" s="804"/>
      <c r="H39" s="804"/>
      <c r="I39" s="804"/>
      <c r="J39" s="804"/>
      <c r="K39" s="804"/>
      <c r="L39" s="804"/>
      <c r="M39" s="804"/>
      <c r="N39" s="804"/>
      <c r="O39" s="804"/>
      <c r="P39" s="804"/>
      <c r="Q39" s="804"/>
      <c r="R39" s="804"/>
      <c r="S39" s="804"/>
      <c r="T39" s="804"/>
      <c r="U39" s="804"/>
      <c r="V39" s="804"/>
      <c r="W39" s="804"/>
      <c r="X39" s="804"/>
      <c r="Y39" s="804"/>
      <c r="Z39" s="804"/>
      <c r="AA39" s="804"/>
      <c r="AB39" s="804"/>
      <c r="AC39" s="804"/>
      <c r="AD39" s="804"/>
      <c r="AE39" s="804"/>
      <c r="AF39" s="804"/>
      <c r="AG39" s="804"/>
      <c r="AH39" s="804"/>
      <c r="AI39" s="804"/>
      <c r="AJ39" s="804"/>
      <c r="AK39" s="804"/>
      <c r="AL39" s="804"/>
      <c r="AM39" s="804"/>
      <c r="AN39" s="804"/>
      <c r="AO39" s="804"/>
      <c r="AP39" s="804"/>
      <c r="AQ39" s="804"/>
      <c r="AR39" s="804"/>
      <c r="AS39" s="804"/>
      <c r="AT39" s="804"/>
      <c r="AU39" s="804"/>
      <c r="AV39" s="804"/>
      <c r="AW39" s="804"/>
      <c r="AX39" s="804"/>
      <c r="AY39" s="804"/>
      <c r="AZ39" s="804"/>
      <c r="BA39" s="1106"/>
      <c r="BB39" s="1106"/>
      <c r="BC39" s="1106"/>
      <c r="BD39" s="1106"/>
      <c r="BE39" s="1106"/>
      <c r="BF39" s="1106"/>
      <c r="BG39" s="1106"/>
      <c r="BH39" s="1106"/>
      <c r="BI39" s="1106"/>
      <c r="BJ39" s="1106"/>
      <c r="BK39" s="1106"/>
      <c r="BL39" s="1106"/>
    </row>
    <row r="40" spans="1:64" ht="20" customHeight="1">
      <c r="A40" s="791" t="str">
        <f>Rubric!A29</f>
        <v>4.1 Image &amp; Uniform</v>
      </c>
      <c r="B40" s="791"/>
      <c r="C40" s="791"/>
      <c r="D40" s="791"/>
      <c r="E40" s="791"/>
      <c r="F40" s="791"/>
      <c r="G40" s="791"/>
      <c r="H40" s="791"/>
      <c r="I40" s="791"/>
      <c r="J40" s="791"/>
      <c r="K40" s="791"/>
      <c r="L40" s="791"/>
      <c r="M40" s="791"/>
      <c r="N40" s="791"/>
      <c r="O40" s="791"/>
      <c r="P40" s="791"/>
      <c r="Q40" s="791"/>
      <c r="R40" s="791"/>
      <c r="S40" s="791"/>
      <c r="T40" s="791"/>
      <c r="U40" s="791"/>
      <c r="V40" s="791"/>
      <c r="W40" s="791"/>
      <c r="X40" s="791"/>
      <c r="Y40" s="791"/>
      <c r="Z40" s="791"/>
      <c r="AA40" s="791"/>
      <c r="AB40" s="791"/>
      <c r="AC40" s="791"/>
      <c r="AD40" s="791"/>
      <c r="AE40" s="791"/>
      <c r="AF40" s="791"/>
      <c r="AG40" s="791"/>
      <c r="AH40" s="791"/>
      <c r="AI40" s="791"/>
      <c r="AJ40" s="791"/>
      <c r="AK40" s="791"/>
      <c r="AL40" s="791"/>
      <c r="AM40" s="791"/>
      <c r="AN40" s="791"/>
      <c r="AO40" s="791"/>
      <c r="AP40" s="791"/>
      <c r="AQ40" s="791"/>
      <c r="AR40" s="791"/>
      <c r="AS40" s="791"/>
      <c r="AT40" s="791"/>
      <c r="AU40" s="791"/>
      <c r="AV40" s="791"/>
      <c r="AW40" s="791"/>
      <c r="AX40" s="791"/>
      <c r="AY40" s="791"/>
      <c r="AZ40" s="791"/>
      <c r="BA40" s="499">
        <v>3</v>
      </c>
      <c r="BB40" s="499">
        <v>4</v>
      </c>
      <c r="BC40" s="499">
        <v>5</v>
      </c>
      <c r="BD40" s="499">
        <v>6</v>
      </c>
      <c r="BE40" s="499">
        <v>7</v>
      </c>
      <c r="BF40" s="499">
        <v>8</v>
      </c>
      <c r="BG40" s="499">
        <v>9</v>
      </c>
      <c r="BH40" s="499">
        <v>10</v>
      </c>
      <c r="BI40" s="499">
        <v>11</v>
      </c>
      <c r="BJ40" s="499">
        <v>12</v>
      </c>
      <c r="BK40" s="499">
        <v>13</v>
      </c>
      <c r="BL40" s="499">
        <v>14</v>
      </c>
    </row>
    <row r="41" spans="1:64" ht="70" customHeight="1">
      <c r="A41" s="1068" t="str">
        <f>'Rubric (.)'!A30</f>
        <v>•  4.1.3 Image and Uniform was not to standard and/or their shortfalls were not corrected.</v>
      </c>
      <c r="B41" s="1068"/>
      <c r="C41" s="1068"/>
      <c r="D41" s="1068"/>
      <c r="E41" s="1068"/>
      <c r="F41" s="1068"/>
      <c r="G41" s="1068"/>
      <c r="H41" s="1068"/>
      <c r="I41" s="1068"/>
      <c r="J41" s="1068"/>
      <c r="K41" s="1068"/>
      <c r="L41" s="1068"/>
      <c r="M41" s="1068"/>
      <c r="N41" s="1068" t="str">
        <f>'Rubric (.)'!B30</f>
        <v>•  4.1.2 Attempted to correct Image &amp; Uniform shortfalls</v>
      </c>
      <c r="O41" s="1068"/>
      <c r="P41" s="1068"/>
      <c r="Q41" s="1068"/>
      <c r="R41" s="1068"/>
      <c r="S41" s="1068"/>
      <c r="T41" s="1068"/>
      <c r="U41" s="1068"/>
      <c r="V41" s="1068"/>
      <c r="W41" s="1068"/>
      <c r="X41" s="1068"/>
      <c r="Y41" s="1068"/>
      <c r="Z41" s="1068"/>
      <c r="AA41" s="1068" t="str">
        <f>'Rubric (.)'!C30</f>
        <v>•  4.1.1 Met Image and Uniform standards
•  Any Shortfalls they had were corrected promptly
•  Portrayed a professional Emirates image.</v>
      </c>
      <c r="AB41" s="1068"/>
      <c r="AC41" s="1068"/>
      <c r="AD41" s="1068"/>
      <c r="AE41" s="1068"/>
      <c r="AF41" s="1068"/>
      <c r="AG41" s="1068"/>
      <c r="AH41" s="1068"/>
      <c r="AI41" s="1068"/>
      <c r="AJ41" s="1068"/>
      <c r="AK41" s="1068"/>
      <c r="AL41" s="1068"/>
      <c r="AM41" s="1068"/>
      <c r="AN41" s="1068"/>
      <c r="AO41" s="1068"/>
      <c r="AP41" s="1068"/>
      <c r="AQ41" s="1068"/>
      <c r="AR41" s="1068"/>
      <c r="AS41" s="1068"/>
      <c r="AT41" s="1068"/>
      <c r="AU41" s="1068"/>
      <c r="AV41" s="1068"/>
      <c r="AW41" s="1068"/>
      <c r="AX41" s="1068"/>
      <c r="AY41" s="1068"/>
      <c r="AZ41" s="1068"/>
      <c r="BA41" s="501">
        <f t="shared" ref="BA41:BL47" si="5">IF(ISBLANK(BA$2),"",2)</f>
        <v>2</v>
      </c>
      <c r="BB41" s="501">
        <f t="shared" si="5"/>
        <v>2</v>
      </c>
      <c r="BC41" s="501">
        <f t="shared" si="5"/>
        <v>2</v>
      </c>
      <c r="BD41" s="501">
        <f t="shared" si="5"/>
        <v>2</v>
      </c>
      <c r="BE41" s="501">
        <f t="shared" si="5"/>
        <v>2</v>
      </c>
      <c r="BF41" s="501">
        <f t="shared" si="5"/>
        <v>2</v>
      </c>
      <c r="BG41" s="501">
        <f t="shared" si="5"/>
        <v>2</v>
      </c>
      <c r="BH41" s="501">
        <f t="shared" si="5"/>
        <v>2</v>
      </c>
      <c r="BI41" s="501">
        <f t="shared" si="5"/>
        <v>2</v>
      </c>
      <c r="BJ41" s="501">
        <f t="shared" si="5"/>
        <v>2</v>
      </c>
      <c r="BK41" s="501">
        <f t="shared" si="5"/>
        <v>2</v>
      </c>
      <c r="BL41" s="501">
        <f t="shared" si="5"/>
        <v>2</v>
      </c>
    </row>
    <row r="42" spans="1:64" ht="20" customHeight="1">
      <c r="A42" s="791" t="str">
        <f>Rubric!A31</f>
        <v>4.2  SEP/ SEC/ GMT</v>
      </c>
      <c r="B42" s="791"/>
      <c r="C42" s="791"/>
      <c r="D42" s="791"/>
      <c r="E42" s="791"/>
      <c r="F42" s="791"/>
      <c r="G42" s="791"/>
      <c r="H42" s="791"/>
      <c r="I42" s="791"/>
      <c r="J42" s="791"/>
      <c r="K42" s="791"/>
      <c r="L42" s="791"/>
      <c r="M42" s="791"/>
      <c r="N42" s="791"/>
      <c r="O42" s="791"/>
      <c r="P42" s="791"/>
      <c r="Q42" s="791"/>
      <c r="R42" s="791"/>
      <c r="S42" s="791"/>
      <c r="T42" s="791"/>
      <c r="U42" s="791"/>
      <c r="V42" s="791"/>
      <c r="W42" s="791"/>
      <c r="X42" s="791"/>
      <c r="Y42" s="791"/>
      <c r="Z42" s="791"/>
      <c r="AA42" s="791"/>
      <c r="AB42" s="791"/>
      <c r="AC42" s="791"/>
      <c r="AD42" s="791"/>
      <c r="AE42" s="791"/>
      <c r="AF42" s="791"/>
      <c r="AG42" s="791"/>
      <c r="AH42" s="791"/>
      <c r="AI42" s="791"/>
      <c r="AJ42" s="791"/>
      <c r="AK42" s="791"/>
      <c r="AL42" s="791"/>
      <c r="AM42" s="791"/>
      <c r="AN42" s="791"/>
      <c r="AO42" s="791"/>
      <c r="AP42" s="791"/>
      <c r="AQ42" s="791"/>
      <c r="AR42" s="791"/>
      <c r="AS42" s="791"/>
      <c r="AT42" s="791"/>
      <c r="AU42" s="791"/>
      <c r="AV42" s="791"/>
      <c r="AW42" s="791"/>
      <c r="AX42" s="791"/>
      <c r="AY42" s="791"/>
      <c r="AZ42" s="791"/>
      <c r="BA42" s="499">
        <v>3</v>
      </c>
      <c r="BB42" s="499">
        <v>4</v>
      </c>
      <c r="BC42" s="499">
        <v>5</v>
      </c>
      <c r="BD42" s="499">
        <v>6</v>
      </c>
      <c r="BE42" s="499">
        <v>7</v>
      </c>
      <c r="BF42" s="499">
        <v>8</v>
      </c>
      <c r="BG42" s="499">
        <v>9</v>
      </c>
      <c r="BH42" s="499">
        <v>10</v>
      </c>
      <c r="BI42" s="499">
        <v>11</v>
      </c>
      <c r="BJ42" s="499">
        <v>12</v>
      </c>
      <c r="BK42" s="499">
        <v>13</v>
      </c>
      <c r="BL42" s="499">
        <v>14</v>
      </c>
    </row>
    <row r="43" spans="1:64" ht="70" customHeight="1">
      <c r="A43" s="1068" t="str">
        <f>'Rubric (.)'!A32</f>
        <v>•  4.2.3 Did not meet knowledge standards in theory and/or practise
•  Gave incorrect or uncertain answers to safe talk questions
•  Did not adhere to SOPs during the flight.</v>
      </c>
      <c r="B43" s="1068"/>
      <c r="C43" s="1068"/>
      <c r="D43" s="1068"/>
      <c r="E43" s="1068"/>
      <c r="F43" s="1068"/>
      <c r="G43" s="1068"/>
      <c r="H43" s="1068"/>
      <c r="I43" s="1068"/>
      <c r="J43" s="1068"/>
      <c r="K43" s="1068"/>
      <c r="L43" s="1068"/>
      <c r="M43" s="1068"/>
      <c r="N43" s="1068" t="str">
        <f>'Rubric (.)'!B32</f>
        <v>•  4.2.2 Managed scenario with guidance from trainers.</v>
      </c>
      <c r="O43" s="1068"/>
      <c r="P43" s="1068"/>
      <c r="Q43" s="1068"/>
      <c r="R43" s="1068"/>
      <c r="S43" s="1068"/>
      <c r="T43" s="1068"/>
      <c r="U43" s="1068"/>
      <c r="V43" s="1068"/>
      <c r="W43" s="1068"/>
      <c r="X43" s="1068"/>
      <c r="Y43" s="1068"/>
      <c r="Z43" s="1068"/>
      <c r="AA43" s="1068" t="str">
        <f>'Rubric (.)'!C32</f>
        <v>•  4.2.1 Met knowledge standards – in theory and practise
•  Correctly answered SafeTalk
•  Conducted thorough pre-flight security search
•  Consistently adhered to SOPs during normal situations
•  Regularly monitored cabin for safety/medical concerns.</v>
      </c>
      <c r="AB43" s="1068"/>
      <c r="AC43" s="1068"/>
      <c r="AD43" s="1068"/>
      <c r="AE43" s="1068"/>
      <c r="AF43" s="1068"/>
      <c r="AG43" s="1068"/>
      <c r="AH43" s="1068"/>
      <c r="AI43" s="1068"/>
      <c r="AJ43" s="1068"/>
      <c r="AK43" s="1068"/>
      <c r="AL43" s="1068"/>
      <c r="AM43" s="1068"/>
      <c r="AN43" s="1068"/>
      <c r="AO43" s="1068"/>
      <c r="AP43" s="1068"/>
      <c r="AQ43" s="1068"/>
      <c r="AR43" s="1068"/>
      <c r="AS43" s="1068"/>
      <c r="AT43" s="1068"/>
      <c r="AU43" s="1068"/>
      <c r="AV43" s="1068"/>
      <c r="AW43" s="1068"/>
      <c r="AX43" s="1068"/>
      <c r="AY43" s="1068"/>
      <c r="AZ43" s="1068"/>
      <c r="BA43" s="500" t="s">
        <v>10</v>
      </c>
      <c r="BB43" s="500" t="s">
        <v>10</v>
      </c>
      <c r="BC43" s="501">
        <f t="shared" si="5"/>
        <v>2</v>
      </c>
      <c r="BD43" s="501">
        <f t="shared" si="5"/>
        <v>2</v>
      </c>
      <c r="BE43" s="501">
        <f t="shared" si="5"/>
        <v>2</v>
      </c>
      <c r="BF43" s="501">
        <f t="shared" si="5"/>
        <v>2</v>
      </c>
      <c r="BG43" s="501">
        <f t="shared" si="5"/>
        <v>2</v>
      </c>
      <c r="BH43" s="501">
        <f t="shared" si="5"/>
        <v>2</v>
      </c>
      <c r="BI43" s="501">
        <f t="shared" si="5"/>
        <v>2</v>
      </c>
      <c r="BJ43" s="500" t="s">
        <v>10</v>
      </c>
      <c r="BK43" s="500" t="s">
        <v>10</v>
      </c>
      <c r="BL43" s="500" t="s">
        <v>10</v>
      </c>
    </row>
    <row r="44" spans="1:64" ht="20" customHeight="1">
      <c r="A44" s="791" t="str">
        <f>Rubric!A33</f>
        <v>4.3 Knowledge and promotion of Emirates products: Evaluation of crew in this category should take into account assigned cabin onboard</v>
      </c>
      <c r="B44" s="791"/>
      <c r="C44" s="791"/>
      <c r="D44" s="791"/>
      <c r="E44" s="791"/>
      <c r="F44" s="791"/>
      <c r="G44" s="791"/>
      <c r="H44" s="791"/>
      <c r="I44" s="791"/>
      <c r="J44" s="791"/>
      <c r="K44" s="791"/>
      <c r="L44" s="791"/>
      <c r="M44" s="791"/>
      <c r="N44" s="791"/>
      <c r="O44" s="791"/>
      <c r="P44" s="791"/>
      <c r="Q44" s="791"/>
      <c r="R44" s="791"/>
      <c r="S44" s="791"/>
      <c r="T44" s="791"/>
      <c r="U44" s="791"/>
      <c r="V44" s="791"/>
      <c r="W44" s="791"/>
      <c r="X44" s="791"/>
      <c r="Y44" s="791"/>
      <c r="Z44" s="791"/>
      <c r="AA44" s="791"/>
      <c r="AB44" s="791"/>
      <c r="AC44" s="791"/>
      <c r="AD44" s="791"/>
      <c r="AE44" s="791"/>
      <c r="AF44" s="791"/>
      <c r="AG44" s="791"/>
      <c r="AH44" s="791"/>
      <c r="AI44" s="791"/>
      <c r="AJ44" s="791"/>
      <c r="AK44" s="791"/>
      <c r="AL44" s="791"/>
      <c r="AM44" s="791"/>
      <c r="AN44" s="791"/>
      <c r="AO44" s="791"/>
      <c r="AP44" s="791"/>
      <c r="AQ44" s="791"/>
      <c r="AR44" s="791"/>
      <c r="AS44" s="791"/>
      <c r="AT44" s="791"/>
      <c r="AU44" s="791"/>
      <c r="AV44" s="791"/>
      <c r="AW44" s="791"/>
      <c r="AX44" s="791"/>
      <c r="AY44" s="791"/>
      <c r="AZ44" s="791"/>
      <c r="BA44" s="499">
        <v>3</v>
      </c>
      <c r="BB44" s="499">
        <v>4</v>
      </c>
      <c r="BC44" s="499">
        <v>5</v>
      </c>
      <c r="BD44" s="499">
        <v>6</v>
      </c>
      <c r="BE44" s="499">
        <v>7</v>
      </c>
      <c r="BF44" s="499">
        <v>8</v>
      </c>
      <c r="BG44" s="499">
        <v>9</v>
      </c>
      <c r="BH44" s="499">
        <v>10</v>
      </c>
      <c r="BI44" s="499">
        <v>11</v>
      </c>
      <c r="BJ44" s="499">
        <v>12</v>
      </c>
      <c r="BK44" s="499">
        <v>13</v>
      </c>
      <c r="BL44" s="499">
        <v>14</v>
      </c>
    </row>
    <row r="45" spans="1:64" ht="70" customHeight="1">
      <c r="A45" s="1068" t="str">
        <f>'Rubric (.)'!A34</f>
        <v>•  4.3.3 Did not use accurate terminology when offering or delivering products on-board
•  Oversimplified menu terminology
•  Needs to demonstrate knowledge of wider EK product e.g
•  Emirates Skywards.</v>
      </c>
      <c r="B45" s="1068"/>
      <c r="C45" s="1068"/>
      <c r="D45" s="1068"/>
      <c r="E45" s="1068"/>
      <c r="F45" s="1068"/>
      <c r="G45" s="1068"/>
      <c r="H45" s="1068"/>
      <c r="I45" s="1068"/>
      <c r="J45" s="1068"/>
      <c r="K45" s="1068"/>
      <c r="L45" s="1068"/>
      <c r="M45" s="1068"/>
      <c r="N45" s="1068" t="str">
        <f>'Rubric (.)'!B34</f>
        <v>•  4.3.2 Terminology or pronunciation is inconsistent when introducing items to customers
•  Some items were not delivered to customers
•  Shared basic information of products
•  Response to queries at times incorrect.</v>
      </c>
      <c r="O45" s="1068"/>
      <c r="P45" s="1068"/>
      <c r="Q45" s="1068"/>
      <c r="R45" s="1068"/>
      <c r="S45" s="1068"/>
      <c r="T45" s="1068"/>
      <c r="U45" s="1068"/>
      <c r="V45" s="1068"/>
      <c r="W45" s="1068"/>
      <c r="X45" s="1068"/>
      <c r="Y45" s="1068"/>
      <c r="Z45" s="1068"/>
      <c r="AA45" s="1068" t="str">
        <f>'Rubric (.)'!C34</f>
        <v>•  4.3.1 Good knowledge of menu and products, including terminology and pronunciation
•  Ensured that products were offered to customers
•  Was able to share information on EK services and products
•  Able to answer queries correctly.</v>
      </c>
      <c r="AB45" s="1068"/>
      <c r="AC45" s="1068"/>
      <c r="AD45" s="1068"/>
      <c r="AE45" s="1068"/>
      <c r="AF45" s="1068"/>
      <c r="AG45" s="1068"/>
      <c r="AH45" s="1068"/>
      <c r="AI45" s="1068"/>
      <c r="AJ45" s="1068"/>
      <c r="AK45" s="1068"/>
      <c r="AL45" s="1068"/>
      <c r="AM45" s="1068"/>
      <c r="AN45" s="1068"/>
      <c r="AO45" s="1068"/>
      <c r="AP45" s="1068"/>
      <c r="AQ45" s="1068"/>
      <c r="AR45" s="1068"/>
      <c r="AS45" s="1068"/>
      <c r="AT45" s="1068"/>
      <c r="AU45" s="1068"/>
      <c r="AV45" s="1068"/>
      <c r="AW45" s="1068"/>
      <c r="AX45" s="1068"/>
      <c r="AY45" s="1068"/>
      <c r="AZ45" s="1068"/>
      <c r="BA45" s="500" t="s">
        <v>10</v>
      </c>
      <c r="BB45" s="500" t="s">
        <v>10</v>
      </c>
      <c r="BC45" s="501">
        <f t="shared" si="5"/>
        <v>2</v>
      </c>
      <c r="BD45" s="501">
        <f t="shared" si="5"/>
        <v>2</v>
      </c>
      <c r="BE45" s="501">
        <f t="shared" si="5"/>
        <v>2</v>
      </c>
      <c r="BF45" s="501">
        <f t="shared" si="5"/>
        <v>2</v>
      </c>
      <c r="BG45" s="501">
        <f t="shared" si="5"/>
        <v>2</v>
      </c>
      <c r="BH45" s="501">
        <f t="shared" si="5"/>
        <v>2</v>
      </c>
      <c r="BI45" s="501">
        <f t="shared" si="5"/>
        <v>2</v>
      </c>
      <c r="BJ45" s="500" t="s">
        <v>10</v>
      </c>
      <c r="BK45" s="500" t="s">
        <v>10</v>
      </c>
      <c r="BL45" s="500" t="s">
        <v>10</v>
      </c>
    </row>
    <row r="46" spans="1:64" ht="20" customHeight="1">
      <c r="A46" s="791" t="str">
        <f>Rubric!A35</f>
        <v>4.4 Knowledge and delivery of service standards and procedures: Evaluation of crew in this category should take into account assigned cabin onboard</v>
      </c>
      <c r="B46" s="791"/>
      <c r="C46" s="791"/>
      <c r="D46" s="791"/>
      <c r="E46" s="791"/>
      <c r="F46" s="791"/>
      <c r="G46" s="791"/>
      <c r="H46" s="791"/>
      <c r="I46" s="791"/>
      <c r="J46" s="791"/>
      <c r="K46" s="791"/>
      <c r="L46" s="791"/>
      <c r="M46" s="791"/>
      <c r="N46" s="791"/>
      <c r="O46" s="791"/>
      <c r="P46" s="791"/>
      <c r="Q46" s="791"/>
      <c r="R46" s="791"/>
      <c r="S46" s="791"/>
      <c r="T46" s="791"/>
      <c r="U46" s="791"/>
      <c r="V46" s="791"/>
      <c r="W46" s="791"/>
      <c r="X46" s="791"/>
      <c r="Y46" s="791"/>
      <c r="Z46" s="791"/>
      <c r="AA46" s="791"/>
      <c r="AB46" s="791"/>
      <c r="AC46" s="791"/>
      <c r="AD46" s="791"/>
      <c r="AE46" s="791"/>
      <c r="AF46" s="791"/>
      <c r="AG46" s="791"/>
      <c r="AH46" s="791"/>
      <c r="AI46" s="791"/>
      <c r="AJ46" s="791"/>
      <c r="AK46" s="791"/>
      <c r="AL46" s="791"/>
      <c r="AM46" s="791"/>
      <c r="AN46" s="791"/>
      <c r="AO46" s="791"/>
      <c r="AP46" s="791"/>
      <c r="AQ46" s="791"/>
      <c r="AR46" s="791"/>
      <c r="AS46" s="791"/>
      <c r="AT46" s="791"/>
      <c r="AU46" s="791"/>
      <c r="AV46" s="791"/>
      <c r="AW46" s="791"/>
      <c r="AX46" s="791"/>
      <c r="AY46" s="791"/>
      <c r="AZ46" s="791"/>
      <c r="BA46" s="499">
        <v>3</v>
      </c>
      <c r="BB46" s="499">
        <v>4</v>
      </c>
      <c r="BC46" s="499">
        <v>5</v>
      </c>
      <c r="BD46" s="499">
        <v>6</v>
      </c>
      <c r="BE46" s="499">
        <v>7</v>
      </c>
      <c r="BF46" s="499">
        <v>8</v>
      </c>
      <c r="BG46" s="499">
        <v>9</v>
      </c>
      <c r="BH46" s="499">
        <v>10</v>
      </c>
      <c r="BI46" s="499">
        <v>11</v>
      </c>
      <c r="BJ46" s="499">
        <v>12</v>
      </c>
      <c r="BK46" s="499">
        <v>13</v>
      </c>
      <c r="BL46" s="499">
        <v>14</v>
      </c>
    </row>
    <row r="47" spans="1:64" ht="70" customHeight="1">
      <c r="A47" s="1068" t="str">
        <f>'Rubric (.)'!A36</f>
        <v>•  4.4.3 Unable to follow the correct service sequence or presentation
•  Lacked knowledge of service standards, procedures or knowledge not updated.</v>
      </c>
      <c r="B47" s="1068"/>
      <c r="C47" s="1068"/>
      <c r="D47" s="1068"/>
      <c r="E47" s="1068"/>
      <c r="F47" s="1068"/>
      <c r="G47" s="1068"/>
      <c r="H47" s="1068"/>
      <c r="I47" s="1068"/>
      <c r="J47" s="1068"/>
      <c r="K47" s="1068"/>
      <c r="L47" s="1068"/>
      <c r="M47" s="1068"/>
      <c r="N47" s="1068" t="str">
        <f>'Rubric (.)'!B36</f>
        <v>•  4.4.2 Demonstrated basic awareness of service standards
•  Standards or procedures delivered out of correct sequence or service order.</v>
      </c>
      <c r="O47" s="1068"/>
      <c r="P47" s="1068"/>
      <c r="Q47" s="1068"/>
      <c r="R47" s="1068"/>
      <c r="S47" s="1068"/>
      <c r="T47" s="1068"/>
      <c r="U47" s="1068"/>
      <c r="V47" s="1068"/>
      <c r="W47" s="1068"/>
      <c r="X47" s="1068"/>
      <c r="Y47" s="1068"/>
      <c r="Z47" s="1068"/>
      <c r="AA47" s="1068" t="str">
        <f>'Rubric (.)'!C36</f>
        <v>•  4.4.1 Knowledge was up to date
•  Followed service standards and procedures and applied correct service order or flow.</v>
      </c>
      <c r="AB47" s="1068"/>
      <c r="AC47" s="1068"/>
      <c r="AD47" s="1068"/>
      <c r="AE47" s="1068"/>
      <c r="AF47" s="1068"/>
      <c r="AG47" s="1068"/>
      <c r="AH47" s="1068"/>
      <c r="AI47" s="1068"/>
      <c r="AJ47" s="1068"/>
      <c r="AK47" s="1068"/>
      <c r="AL47" s="1068"/>
      <c r="AM47" s="1068"/>
      <c r="AN47" s="1068"/>
      <c r="AO47" s="1068"/>
      <c r="AP47" s="1068"/>
      <c r="AQ47" s="1068"/>
      <c r="AR47" s="1068"/>
      <c r="AS47" s="1068"/>
      <c r="AT47" s="1068"/>
      <c r="AU47" s="1068"/>
      <c r="AV47" s="1068"/>
      <c r="AW47" s="1068"/>
      <c r="AX47" s="1068"/>
      <c r="AY47" s="1068"/>
      <c r="AZ47" s="1068"/>
      <c r="BA47" s="500" t="s">
        <v>10</v>
      </c>
      <c r="BB47" s="500" t="s">
        <v>10</v>
      </c>
      <c r="BC47" s="501">
        <f t="shared" si="5"/>
        <v>2</v>
      </c>
      <c r="BD47" s="501">
        <f t="shared" si="5"/>
        <v>2</v>
      </c>
      <c r="BE47" s="501">
        <f t="shared" si="5"/>
        <v>2</v>
      </c>
      <c r="BF47" s="501">
        <f t="shared" si="5"/>
        <v>2</v>
      </c>
      <c r="BG47" s="501">
        <f t="shared" si="5"/>
        <v>2</v>
      </c>
      <c r="BH47" s="501">
        <f t="shared" si="5"/>
        <v>2</v>
      </c>
      <c r="BI47" s="501">
        <f t="shared" si="5"/>
        <v>2</v>
      </c>
      <c r="BJ47" s="501">
        <f t="shared" si="5"/>
        <v>2</v>
      </c>
      <c r="BK47" s="501">
        <f t="shared" si="5"/>
        <v>2</v>
      </c>
      <c r="BL47" s="500" t="s">
        <v>10</v>
      </c>
    </row>
    <row r="48" spans="1:64" ht="15" customHeight="1">
      <c r="A48" s="1092" t="s">
        <v>868</v>
      </c>
      <c r="B48" s="1092"/>
      <c r="C48" s="1092"/>
      <c r="D48" s="1092"/>
      <c r="E48" s="1092"/>
      <c r="F48" s="1092"/>
      <c r="G48" s="1092"/>
      <c r="H48" s="1092"/>
      <c r="I48" s="1092"/>
      <c r="J48" s="1092"/>
      <c r="K48" s="1092"/>
      <c r="L48" s="1092"/>
      <c r="M48" s="1092"/>
      <c r="N48" s="1092" t="s">
        <v>869</v>
      </c>
      <c r="O48" s="1092"/>
      <c r="P48" s="1092"/>
      <c r="Q48" s="1092"/>
      <c r="R48" s="1092"/>
      <c r="S48" s="1092"/>
      <c r="T48" s="1092"/>
      <c r="U48" s="1092"/>
      <c r="V48" s="1092"/>
      <c r="W48" s="1092"/>
      <c r="X48" s="1092"/>
      <c r="Y48" s="1092"/>
      <c r="Z48" s="1092"/>
      <c r="AA48" s="1092" t="s">
        <v>870</v>
      </c>
      <c r="AB48" s="1092"/>
      <c r="AC48" s="1092"/>
      <c r="AD48" s="1092"/>
      <c r="AE48" s="1092"/>
      <c r="AF48" s="1092"/>
      <c r="AG48" s="1092"/>
      <c r="AH48" s="1092"/>
      <c r="AI48" s="1092"/>
      <c r="AJ48" s="1092"/>
      <c r="AK48" s="1092"/>
      <c r="AL48" s="1092"/>
      <c r="AM48" s="1092"/>
      <c r="AN48" s="1092" t="s">
        <v>871</v>
      </c>
      <c r="AO48" s="1092"/>
      <c r="AP48" s="1092"/>
      <c r="AQ48" s="1092"/>
      <c r="AR48" s="1092"/>
      <c r="AS48" s="1092"/>
      <c r="AT48" s="1092"/>
      <c r="AU48" s="1092"/>
      <c r="AV48" s="1092"/>
      <c r="AW48" s="1092"/>
      <c r="AX48" s="1092"/>
      <c r="AY48" s="1092"/>
      <c r="AZ48" s="1092"/>
      <c r="BA48" s="1109"/>
      <c r="BB48" s="1109"/>
      <c r="BC48" s="1109"/>
      <c r="BD48" s="1109"/>
      <c r="BE48" s="1109"/>
      <c r="BF48" s="1109"/>
      <c r="BG48" s="1109"/>
      <c r="BH48" s="1109"/>
      <c r="BI48" s="1109"/>
      <c r="BJ48" s="1109"/>
      <c r="BK48" s="1109"/>
      <c r="BL48" s="1109"/>
    </row>
    <row r="49" spans="1:64" ht="120" customHeight="1">
      <c r="A49" s="1093"/>
      <c r="B49" s="1093"/>
      <c r="C49" s="1093"/>
      <c r="D49" s="1093"/>
      <c r="E49" s="1093"/>
      <c r="F49" s="1093"/>
      <c r="G49" s="1093"/>
      <c r="H49" s="1093"/>
      <c r="I49" s="1093"/>
      <c r="J49" s="1093"/>
      <c r="K49" s="1093"/>
      <c r="L49" s="1093"/>
      <c r="M49" s="1093"/>
      <c r="N49" s="1093"/>
      <c r="O49" s="1093"/>
      <c r="P49" s="1093"/>
      <c r="Q49" s="1093"/>
      <c r="R49" s="1093"/>
      <c r="S49" s="1093"/>
      <c r="T49" s="1093"/>
      <c r="U49" s="1093"/>
      <c r="V49" s="1093"/>
      <c r="W49" s="1093"/>
      <c r="X49" s="1093"/>
      <c r="Y49" s="1093"/>
      <c r="Z49" s="1093"/>
      <c r="AA49" s="1093"/>
      <c r="AB49" s="1093"/>
      <c r="AC49" s="1093"/>
      <c r="AD49" s="1093"/>
      <c r="AE49" s="1093"/>
      <c r="AF49" s="1093"/>
      <c r="AG49" s="1093"/>
      <c r="AH49" s="1093"/>
      <c r="AI49" s="1093"/>
      <c r="AJ49" s="1093"/>
      <c r="AK49" s="1093"/>
      <c r="AL49" s="1093"/>
      <c r="AM49" s="1093"/>
      <c r="AN49" s="1093"/>
      <c r="AO49" s="1093"/>
      <c r="AP49" s="1093"/>
      <c r="AQ49" s="1093"/>
      <c r="AR49" s="1093"/>
      <c r="AS49" s="1093"/>
      <c r="AT49" s="1093"/>
      <c r="AU49" s="1093"/>
      <c r="AV49" s="1093"/>
      <c r="AW49" s="1093"/>
      <c r="AX49" s="1093"/>
      <c r="AY49" s="1093"/>
      <c r="AZ49" s="1093"/>
      <c r="BA49" s="1109"/>
      <c r="BB49" s="1109"/>
      <c r="BC49" s="1109"/>
      <c r="BD49" s="1109"/>
      <c r="BE49" s="1109"/>
      <c r="BF49" s="1109"/>
      <c r="BG49" s="1109"/>
      <c r="BH49" s="1109"/>
      <c r="BI49" s="1109"/>
      <c r="BJ49" s="1109"/>
      <c r="BK49" s="1109"/>
      <c r="BL49" s="1109"/>
    </row>
    <row r="50" spans="1:64" ht="15" customHeight="1">
      <c r="A50" s="1111" t="s">
        <v>757</v>
      </c>
      <c r="B50" s="1111"/>
      <c r="C50" s="1111"/>
      <c r="D50" s="1111"/>
      <c r="E50" s="1111"/>
      <c r="F50" s="1111"/>
      <c r="G50" s="1111"/>
      <c r="H50" s="1111"/>
      <c r="I50" s="1111"/>
      <c r="J50" s="1111"/>
      <c r="K50" s="1111"/>
      <c r="L50" s="1111"/>
      <c r="M50" s="1111"/>
      <c r="N50" s="1111"/>
      <c r="O50" s="1111"/>
      <c r="P50" s="1111"/>
      <c r="Q50" s="1111"/>
      <c r="R50" s="1111"/>
      <c r="S50" s="1111"/>
      <c r="T50" s="1111"/>
      <c r="U50" s="1111"/>
      <c r="V50" s="1111"/>
      <c r="W50" s="1111"/>
      <c r="X50" s="1111"/>
      <c r="Y50" s="1111"/>
      <c r="Z50" s="1111"/>
      <c r="AA50" s="1111"/>
      <c r="AB50" s="1111"/>
      <c r="AC50" s="1111"/>
      <c r="AD50" s="1111"/>
      <c r="AE50" s="1111"/>
      <c r="AF50" s="1111"/>
      <c r="AG50" s="1111"/>
      <c r="AH50" s="1111"/>
      <c r="AI50" s="1111"/>
      <c r="AJ50" s="1111"/>
      <c r="AK50" s="1111"/>
      <c r="AL50" s="1111"/>
      <c r="AM50" s="1111"/>
      <c r="AN50" s="1111"/>
      <c r="AO50" s="1111"/>
      <c r="AP50" s="1111"/>
      <c r="AQ50" s="1111"/>
      <c r="AR50" s="1111"/>
      <c r="AS50" s="1111"/>
      <c r="AT50" s="1111"/>
      <c r="AU50" s="1111"/>
      <c r="AV50" s="1111"/>
      <c r="AW50" s="1111"/>
      <c r="AX50" s="1111"/>
      <c r="AY50" s="1111"/>
      <c r="AZ50" s="1111"/>
      <c r="BA50" s="1111"/>
      <c r="BB50" s="1111"/>
      <c r="BC50" s="1111"/>
      <c r="BD50" s="1111"/>
      <c r="BE50" s="1111"/>
      <c r="BF50" s="1111"/>
      <c r="BG50" s="1111"/>
      <c r="BH50" s="1111"/>
      <c r="BI50" s="1111"/>
      <c r="BJ50" s="1111"/>
      <c r="BK50" s="1111"/>
      <c r="BL50" s="1111"/>
    </row>
    <row r="51" spans="1:64" ht="15" customHeight="1">
      <c r="A51" s="1111"/>
      <c r="B51" s="1111"/>
      <c r="C51" s="1111"/>
      <c r="D51" s="1111"/>
      <c r="E51" s="1111"/>
      <c r="F51" s="1111"/>
      <c r="G51" s="1111"/>
      <c r="H51" s="1111"/>
      <c r="I51" s="1111"/>
      <c r="J51" s="1111"/>
      <c r="K51" s="1111"/>
      <c r="L51" s="1111"/>
      <c r="M51" s="1111"/>
      <c r="N51" s="1111"/>
      <c r="O51" s="1111"/>
      <c r="P51" s="1111"/>
      <c r="Q51" s="1111"/>
      <c r="R51" s="1111"/>
      <c r="S51" s="1111"/>
      <c r="T51" s="1111"/>
      <c r="U51" s="1111"/>
      <c r="V51" s="1111"/>
      <c r="W51" s="1111"/>
      <c r="X51" s="1111"/>
      <c r="Y51" s="1111"/>
      <c r="Z51" s="1111"/>
      <c r="AA51" s="1111"/>
      <c r="AB51" s="1111"/>
      <c r="AC51" s="1111"/>
      <c r="AD51" s="1111"/>
      <c r="AE51" s="1111"/>
      <c r="AF51" s="1111"/>
      <c r="AG51" s="1111"/>
      <c r="AH51" s="1111"/>
      <c r="AI51" s="1111"/>
      <c r="AJ51" s="1111"/>
      <c r="AK51" s="1111"/>
      <c r="AL51" s="1111"/>
      <c r="AM51" s="1111"/>
      <c r="AN51" s="1111"/>
      <c r="AO51" s="1111"/>
      <c r="AP51" s="1111"/>
      <c r="AQ51" s="1111"/>
      <c r="AR51" s="1111"/>
      <c r="AS51" s="1111"/>
      <c r="AT51" s="1111"/>
      <c r="AU51" s="1111"/>
      <c r="AV51" s="1111"/>
      <c r="AW51" s="1111"/>
      <c r="AX51" s="1111"/>
      <c r="AY51" s="1111"/>
      <c r="AZ51" s="1111"/>
      <c r="BA51" s="1111"/>
      <c r="BB51" s="1111"/>
      <c r="BC51" s="1111"/>
      <c r="BD51" s="1111"/>
      <c r="BE51" s="1111"/>
      <c r="BF51" s="1111"/>
      <c r="BG51" s="1111"/>
      <c r="BH51" s="1111"/>
      <c r="BI51" s="1111"/>
      <c r="BJ51" s="1111"/>
      <c r="BK51" s="1111"/>
      <c r="BL51" s="1111"/>
    </row>
    <row r="52" spans="1:64" ht="15" customHeight="1">
      <c r="A52" s="1105" t="s">
        <v>574</v>
      </c>
      <c r="B52" s="1105"/>
      <c r="C52" s="1105"/>
      <c r="D52" s="1103" t="s">
        <v>585</v>
      </c>
      <c r="E52" s="1104" t="s">
        <v>580</v>
      </c>
      <c r="F52" s="1104"/>
      <c r="G52" s="1104"/>
      <c r="H52" s="1104"/>
      <c r="I52" s="1104"/>
      <c r="J52" s="1104"/>
      <c r="K52" s="1104"/>
      <c r="L52" s="1104"/>
      <c r="M52" s="1118"/>
      <c r="N52" s="1105" t="s">
        <v>575</v>
      </c>
      <c r="O52" s="1105"/>
      <c r="P52" s="1105"/>
      <c r="Q52" s="1103" t="s">
        <v>585</v>
      </c>
      <c r="R52" s="1104" t="s">
        <v>581</v>
      </c>
      <c r="S52" s="1104"/>
      <c r="T52" s="1104"/>
      <c r="U52" s="1104"/>
      <c r="V52" s="1104"/>
      <c r="W52" s="1104"/>
      <c r="X52" s="1104"/>
      <c r="Y52" s="1104"/>
      <c r="Z52" s="1078"/>
      <c r="AA52" s="1105" t="s">
        <v>577</v>
      </c>
      <c r="AB52" s="1105"/>
      <c r="AC52" s="1105"/>
      <c r="AD52" s="1103" t="s">
        <v>585</v>
      </c>
      <c r="AE52" s="1104" t="s">
        <v>578</v>
      </c>
      <c r="AF52" s="1104"/>
      <c r="AG52" s="1104"/>
      <c r="AH52" s="1104"/>
      <c r="AI52" s="1104"/>
      <c r="AJ52" s="1104"/>
      <c r="AK52" s="1104"/>
      <c r="AL52" s="1104"/>
      <c r="AM52" s="1078"/>
      <c r="AN52" s="1105" t="s">
        <v>582</v>
      </c>
      <c r="AO52" s="1105"/>
      <c r="AP52" s="1105"/>
      <c r="AQ52" s="1103" t="s">
        <v>585</v>
      </c>
      <c r="AR52" s="1104" t="s">
        <v>583</v>
      </c>
      <c r="AS52" s="1104"/>
      <c r="AT52" s="1104"/>
      <c r="AU52" s="1104"/>
      <c r="AV52" s="1104"/>
      <c r="AW52" s="1104"/>
      <c r="AX52" s="1104"/>
      <c r="AY52" s="1104"/>
      <c r="AZ52" s="1078"/>
      <c r="BA52" s="1109"/>
      <c r="BB52" s="1109"/>
      <c r="BC52" s="1109"/>
      <c r="BD52" s="1109"/>
      <c r="BE52" s="1109"/>
      <c r="BF52" s="1109"/>
      <c r="BG52" s="1109"/>
      <c r="BH52" s="1109"/>
      <c r="BI52" s="1109"/>
      <c r="BJ52" s="1109"/>
      <c r="BK52" s="1109"/>
      <c r="BL52" s="1109"/>
    </row>
    <row r="53" spans="1:64" ht="15" customHeight="1">
      <c r="A53" s="1105"/>
      <c r="B53" s="1105"/>
      <c r="C53" s="1105"/>
      <c r="D53" s="1103"/>
      <c r="E53" s="1104"/>
      <c r="F53" s="1104"/>
      <c r="G53" s="1104"/>
      <c r="H53" s="1104"/>
      <c r="I53" s="1104"/>
      <c r="J53" s="1104"/>
      <c r="K53" s="1104"/>
      <c r="L53" s="1104"/>
      <c r="M53" s="1119"/>
      <c r="N53" s="1105"/>
      <c r="O53" s="1105"/>
      <c r="P53" s="1105"/>
      <c r="Q53" s="1103"/>
      <c r="R53" s="1104"/>
      <c r="S53" s="1104"/>
      <c r="T53" s="1104"/>
      <c r="U53" s="1104"/>
      <c r="V53" s="1104"/>
      <c r="W53" s="1104"/>
      <c r="X53" s="1104"/>
      <c r="Y53" s="1104"/>
      <c r="Z53" s="1079"/>
      <c r="AA53" s="1105"/>
      <c r="AB53" s="1105"/>
      <c r="AC53" s="1105"/>
      <c r="AD53" s="1103"/>
      <c r="AE53" s="1104"/>
      <c r="AF53" s="1104"/>
      <c r="AG53" s="1104"/>
      <c r="AH53" s="1104"/>
      <c r="AI53" s="1104"/>
      <c r="AJ53" s="1104"/>
      <c r="AK53" s="1104"/>
      <c r="AL53" s="1104"/>
      <c r="AM53" s="1079"/>
      <c r="AN53" s="1105"/>
      <c r="AO53" s="1105"/>
      <c r="AP53" s="1105"/>
      <c r="AQ53" s="1103"/>
      <c r="AR53" s="1104"/>
      <c r="AS53" s="1104"/>
      <c r="AT53" s="1104"/>
      <c r="AU53" s="1104"/>
      <c r="AV53" s="1104"/>
      <c r="AW53" s="1104"/>
      <c r="AX53" s="1104"/>
      <c r="AY53" s="1104"/>
      <c r="AZ53" s="1079"/>
      <c r="BA53" s="1109"/>
      <c r="BB53" s="1109"/>
      <c r="BC53" s="1109"/>
      <c r="BD53" s="1109"/>
      <c r="BE53" s="1109"/>
      <c r="BF53" s="1109"/>
      <c r="BG53" s="1109"/>
      <c r="BH53" s="1109"/>
      <c r="BI53" s="1109"/>
      <c r="BJ53" s="1109"/>
      <c r="BK53" s="1109"/>
      <c r="BL53" s="1109"/>
    </row>
    <row r="54" spans="1:64" ht="15" customHeight="1">
      <c r="A54" s="1112"/>
      <c r="B54" s="1113"/>
      <c r="C54" s="1114"/>
      <c r="D54" s="1103" t="s">
        <v>585</v>
      </c>
      <c r="E54" s="1104" t="s">
        <v>576</v>
      </c>
      <c r="F54" s="1104"/>
      <c r="G54" s="1104"/>
      <c r="H54" s="1104"/>
      <c r="I54" s="1104"/>
      <c r="J54" s="1104"/>
      <c r="K54" s="1104"/>
      <c r="L54" s="1104"/>
      <c r="M54" s="1119"/>
      <c r="N54" s="1112"/>
      <c r="O54" s="1113"/>
      <c r="P54" s="1113"/>
      <c r="Q54" s="1113"/>
      <c r="R54" s="1113"/>
      <c r="S54" s="1113"/>
      <c r="T54" s="1113"/>
      <c r="U54" s="1113"/>
      <c r="V54" s="1113"/>
      <c r="W54" s="1113"/>
      <c r="X54" s="1113"/>
      <c r="Y54" s="1114"/>
      <c r="Z54" s="1079"/>
      <c r="AA54" s="1072"/>
      <c r="AB54" s="1073"/>
      <c r="AC54" s="1074"/>
      <c r="AD54" s="1103" t="s">
        <v>585</v>
      </c>
      <c r="AE54" s="1104" t="s">
        <v>579</v>
      </c>
      <c r="AF54" s="1104"/>
      <c r="AG54" s="1104"/>
      <c r="AH54" s="1104"/>
      <c r="AI54" s="1104"/>
      <c r="AJ54" s="1104"/>
      <c r="AK54" s="1104"/>
      <c r="AL54" s="1104"/>
      <c r="AM54" s="1079"/>
      <c r="AN54" s="1072"/>
      <c r="AO54" s="1073"/>
      <c r="AP54" s="1074"/>
      <c r="AQ54" s="1118"/>
      <c r="AR54" s="1072"/>
      <c r="AS54" s="1073"/>
      <c r="AT54" s="1073"/>
      <c r="AU54" s="1073"/>
      <c r="AV54" s="1073"/>
      <c r="AW54" s="1073"/>
      <c r="AX54" s="1073"/>
      <c r="AY54" s="1074"/>
      <c r="AZ54" s="1079"/>
      <c r="BA54" s="1109"/>
      <c r="BB54" s="1109"/>
      <c r="BC54" s="1109"/>
      <c r="BD54" s="1109"/>
      <c r="BE54" s="1109"/>
      <c r="BF54" s="1109"/>
      <c r="BG54" s="1109"/>
      <c r="BH54" s="1109"/>
      <c r="BI54" s="1109"/>
      <c r="BJ54" s="1109"/>
      <c r="BK54" s="1109"/>
      <c r="BL54" s="1109"/>
    </row>
    <row r="55" spans="1:64" ht="15" customHeight="1">
      <c r="A55" s="1115"/>
      <c r="B55" s="1116"/>
      <c r="C55" s="1117"/>
      <c r="D55" s="1103"/>
      <c r="E55" s="1104"/>
      <c r="F55" s="1104"/>
      <c r="G55" s="1104"/>
      <c r="H55" s="1104"/>
      <c r="I55" s="1104"/>
      <c r="J55" s="1104"/>
      <c r="K55" s="1104"/>
      <c r="L55" s="1104"/>
      <c r="M55" s="1120"/>
      <c r="N55" s="1115"/>
      <c r="O55" s="1116"/>
      <c r="P55" s="1116"/>
      <c r="Q55" s="1116"/>
      <c r="R55" s="1116"/>
      <c r="S55" s="1116"/>
      <c r="T55" s="1116"/>
      <c r="U55" s="1116"/>
      <c r="V55" s="1116"/>
      <c r="W55" s="1116"/>
      <c r="X55" s="1116"/>
      <c r="Y55" s="1117"/>
      <c r="Z55" s="1080"/>
      <c r="AA55" s="1075"/>
      <c r="AB55" s="1076"/>
      <c r="AC55" s="1077"/>
      <c r="AD55" s="1103"/>
      <c r="AE55" s="1104"/>
      <c r="AF55" s="1104"/>
      <c r="AG55" s="1104"/>
      <c r="AH55" s="1104"/>
      <c r="AI55" s="1104"/>
      <c r="AJ55" s="1104"/>
      <c r="AK55" s="1104"/>
      <c r="AL55" s="1104"/>
      <c r="AM55" s="1080"/>
      <c r="AN55" s="1075"/>
      <c r="AO55" s="1076"/>
      <c r="AP55" s="1077"/>
      <c r="AQ55" s="1120"/>
      <c r="AR55" s="1075"/>
      <c r="AS55" s="1076"/>
      <c r="AT55" s="1076"/>
      <c r="AU55" s="1076"/>
      <c r="AV55" s="1076"/>
      <c r="AW55" s="1076"/>
      <c r="AX55" s="1076"/>
      <c r="AY55" s="1077"/>
      <c r="AZ55" s="1080"/>
      <c r="BA55" s="1109"/>
      <c r="BB55" s="1109"/>
      <c r="BC55" s="1109"/>
      <c r="BD55" s="1109"/>
      <c r="BE55" s="1109"/>
      <c r="BF55" s="1109"/>
      <c r="BG55" s="1109"/>
      <c r="BH55" s="1109"/>
      <c r="BI55" s="1109"/>
      <c r="BJ55" s="1109"/>
      <c r="BK55" s="1109"/>
      <c r="BL55" s="1109"/>
    </row>
    <row r="56" spans="1:64" ht="15" customHeight="1">
      <c r="A56" s="1110" t="s">
        <v>250</v>
      </c>
      <c r="B56" s="1110"/>
      <c r="C56" s="1110"/>
      <c r="D56" s="1110"/>
      <c r="E56" s="1110"/>
      <c r="F56" s="1110"/>
      <c r="G56" s="1110"/>
      <c r="H56" s="1110"/>
      <c r="I56" s="1110"/>
      <c r="J56" s="1110"/>
      <c r="K56" s="1110"/>
      <c r="L56" s="1110"/>
      <c r="M56" s="1110"/>
      <c r="N56" s="1110"/>
      <c r="O56" s="1110"/>
      <c r="P56" s="1110"/>
      <c r="Q56" s="1110"/>
      <c r="R56" s="1110"/>
      <c r="S56" s="1110"/>
      <c r="T56" s="1110"/>
      <c r="U56" s="1110"/>
      <c r="V56" s="1110"/>
      <c r="W56" s="1110"/>
      <c r="X56" s="1110"/>
      <c r="Y56" s="1110"/>
      <c r="Z56" s="1110"/>
      <c r="AA56" s="1110"/>
      <c r="AB56" s="1110"/>
      <c r="AC56" s="1110"/>
      <c r="AD56" s="1110"/>
      <c r="AE56" s="1110"/>
      <c r="AF56" s="1110"/>
      <c r="AG56" s="1110"/>
      <c r="AH56" s="1110"/>
      <c r="AI56" s="1110"/>
      <c r="AJ56" s="1110"/>
      <c r="AK56" s="1110"/>
      <c r="AL56" s="1110"/>
      <c r="AM56" s="1110"/>
      <c r="AN56" s="1110"/>
      <c r="AO56" s="1110"/>
      <c r="AP56" s="1110"/>
      <c r="AQ56" s="1110"/>
      <c r="AR56" s="1110"/>
      <c r="AS56" s="1110"/>
      <c r="AT56" s="1110"/>
      <c r="AU56" s="1110"/>
      <c r="AV56" s="1110"/>
      <c r="AW56" s="1110"/>
      <c r="AX56" s="1110"/>
      <c r="AY56" s="1110"/>
      <c r="AZ56" s="1110"/>
      <c r="BA56" s="1109"/>
      <c r="BB56" s="1109"/>
      <c r="BC56" s="1109"/>
      <c r="BD56" s="1109"/>
      <c r="BE56" s="1109"/>
      <c r="BF56" s="1109"/>
      <c r="BG56" s="1109"/>
      <c r="BH56" s="1109"/>
      <c r="BI56" s="1109"/>
      <c r="BJ56" s="1109"/>
      <c r="BK56" s="1109"/>
      <c r="BL56" s="1109"/>
    </row>
    <row r="57" spans="1:64" ht="120" customHeight="1">
      <c r="A57" s="1069"/>
      <c r="B57" s="1070"/>
      <c r="C57" s="1070"/>
      <c r="D57" s="1070"/>
      <c r="E57" s="1070"/>
      <c r="F57" s="1070"/>
      <c r="G57" s="1070"/>
      <c r="H57" s="1070"/>
      <c r="I57" s="1070"/>
      <c r="J57" s="1070"/>
      <c r="K57" s="1070"/>
      <c r="L57" s="1070"/>
      <c r="M57" s="1070"/>
      <c r="N57" s="1070"/>
      <c r="O57" s="1070"/>
      <c r="P57" s="1070"/>
      <c r="Q57" s="1070"/>
      <c r="R57" s="1070"/>
      <c r="S57" s="1070"/>
      <c r="T57" s="1070"/>
      <c r="U57" s="1070"/>
      <c r="V57" s="1070"/>
      <c r="W57" s="1070"/>
      <c r="X57" s="1070"/>
      <c r="Y57" s="1070"/>
      <c r="Z57" s="1070"/>
      <c r="AA57" s="1070"/>
      <c r="AB57" s="1070"/>
      <c r="AC57" s="1070"/>
      <c r="AD57" s="1070"/>
      <c r="AE57" s="1070"/>
      <c r="AF57" s="1070"/>
      <c r="AG57" s="1070"/>
      <c r="AH57" s="1070"/>
      <c r="AI57" s="1070"/>
      <c r="AJ57" s="1070"/>
      <c r="AK57" s="1070"/>
      <c r="AL57" s="1070"/>
      <c r="AM57" s="1070"/>
      <c r="AN57" s="1070"/>
      <c r="AO57" s="1070"/>
      <c r="AP57" s="1070"/>
      <c r="AQ57" s="1070"/>
      <c r="AR57" s="1070"/>
      <c r="AS57" s="1070"/>
      <c r="AT57" s="1070"/>
      <c r="AU57" s="1070"/>
      <c r="AV57" s="1070"/>
      <c r="AW57" s="1070"/>
      <c r="AX57" s="1070"/>
      <c r="AY57" s="1070"/>
      <c r="AZ57" s="1071"/>
      <c r="BA57" s="1109"/>
      <c r="BB57" s="1109"/>
      <c r="BC57" s="1109"/>
      <c r="BD57" s="1109"/>
      <c r="BE57" s="1109"/>
      <c r="BF57" s="1109"/>
      <c r="BG57" s="1109"/>
      <c r="BH57" s="1109"/>
      <c r="BI57" s="1109"/>
      <c r="BJ57" s="1109"/>
      <c r="BK57" s="1109"/>
      <c r="BL57" s="1109"/>
    </row>
  </sheetData>
  <sheetProtection sheet="1" objects="1" scenarios="1"/>
  <customSheetViews>
    <customSheetView guid="{B4419C5D-1877-4ABB-A46F-9E0AFFC75B59}" scale="85" showPageBreaks="1" showGridLines="0" view="pageBreakPreview">
      <pane ySplit="5" topLeftCell="A12" activePane="bottomLeft" state="frozen"/>
      <selection pane="bottomLeft" activeCell="L3" sqref="L3:Z3"/>
      <rowBreaks count="3" manualBreakCount="3">
        <brk id="18" max="16383" man="1"/>
        <brk id="29" max="16383" man="1"/>
        <brk id="38" max="16383" man="1"/>
      </rowBreaks>
      <pageMargins left="0" right="0" top="0" bottom="0" header="0" footer="0"/>
      <printOptions horizontalCentered="1"/>
      <pageSetup paperSize="9" scale="78" orientation="landscape" r:id="rId1"/>
    </customSheetView>
  </customSheetViews>
  <mergeCells count="177">
    <mergeCell ref="BA52:BL57"/>
    <mergeCell ref="A56:AZ56"/>
    <mergeCell ref="A49:M49"/>
    <mergeCell ref="N49:Z49"/>
    <mergeCell ref="AA49:AM49"/>
    <mergeCell ref="AN49:AZ49"/>
    <mergeCell ref="A50:BL51"/>
    <mergeCell ref="BA48:BL49"/>
    <mergeCell ref="A48:M48"/>
    <mergeCell ref="N48:Z48"/>
    <mergeCell ref="AA48:AM48"/>
    <mergeCell ref="AN48:AZ48"/>
    <mergeCell ref="A54:C55"/>
    <mergeCell ref="M52:M55"/>
    <mergeCell ref="N54:Y55"/>
    <mergeCell ref="Z52:Z55"/>
    <mergeCell ref="AA54:AC55"/>
    <mergeCell ref="AM52:AM55"/>
    <mergeCell ref="AN54:AP55"/>
    <mergeCell ref="AQ54:AQ55"/>
    <mergeCell ref="AD52:AD53"/>
    <mergeCell ref="AE52:AL53"/>
    <mergeCell ref="AD54:AD55"/>
    <mergeCell ref="AE54:AL55"/>
    <mergeCell ref="AA47:AM47"/>
    <mergeCell ref="AN47:AZ47"/>
    <mergeCell ref="A45:M45"/>
    <mergeCell ref="N45:Z45"/>
    <mergeCell ref="AA45:AM45"/>
    <mergeCell ref="AN45:AZ45"/>
    <mergeCell ref="A43:M43"/>
    <mergeCell ref="N43:Z43"/>
    <mergeCell ref="AA43:AM43"/>
    <mergeCell ref="AN43:AZ43"/>
    <mergeCell ref="A44:AZ44"/>
    <mergeCell ref="A46:AZ46"/>
    <mergeCell ref="A52:C53"/>
    <mergeCell ref="N52:P53"/>
    <mergeCell ref="D52:D53"/>
    <mergeCell ref="BA17:BL18"/>
    <mergeCell ref="BA28:BL29"/>
    <mergeCell ref="A30:AZ30"/>
    <mergeCell ref="A13:AZ13"/>
    <mergeCell ref="A14:M14"/>
    <mergeCell ref="N14:Z14"/>
    <mergeCell ref="AA14:AM14"/>
    <mergeCell ref="AN14:AZ14"/>
    <mergeCell ref="N18:Z18"/>
    <mergeCell ref="AA18:AM18"/>
    <mergeCell ref="AN18:AZ18"/>
    <mergeCell ref="BA37:BL38"/>
    <mergeCell ref="A28:M28"/>
    <mergeCell ref="N28:Z28"/>
    <mergeCell ref="AA28:AM28"/>
    <mergeCell ref="AN28:AZ28"/>
    <mergeCell ref="AN32:AZ32"/>
    <mergeCell ref="A19:AZ19"/>
    <mergeCell ref="A27:M27"/>
    <mergeCell ref="A47:M47"/>
    <mergeCell ref="N47:Z47"/>
    <mergeCell ref="D54:D55"/>
    <mergeCell ref="E52:L53"/>
    <mergeCell ref="E54:L55"/>
    <mergeCell ref="Q52:Q53"/>
    <mergeCell ref="R52:Y53"/>
    <mergeCell ref="AA52:AC53"/>
    <mergeCell ref="BA39:BL39"/>
    <mergeCell ref="A9:AZ9"/>
    <mergeCell ref="A7:AZ7"/>
    <mergeCell ref="BA19:BL19"/>
    <mergeCell ref="BA30:BL30"/>
    <mergeCell ref="AN52:AP53"/>
    <mergeCell ref="AQ52:AQ53"/>
    <mergeCell ref="AR52:AY53"/>
    <mergeCell ref="A11:AZ11"/>
    <mergeCell ref="AA17:AM17"/>
    <mergeCell ref="AN17:AZ17"/>
    <mergeCell ref="A18:M18"/>
    <mergeCell ref="A42:AZ42"/>
    <mergeCell ref="A41:M41"/>
    <mergeCell ref="N41:Z41"/>
    <mergeCell ref="AA41:AM41"/>
    <mergeCell ref="AN41:AZ41"/>
    <mergeCell ref="A40:AZ40"/>
    <mergeCell ref="AN37:AZ37"/>
    <mergeCell ref="A38:M38"/>
    <mergeCell ref="N38:Z38"/>
    <mergeCell ref="AA38:AM38"/>
    <mergeCell ref="AN38:AZ38"/>
    <mergeCell ref="A35:AZ35"/>
    <mergeCell ref="A33:AZ33"/>
    <mergeCell ref="A31:AZ31"/>
    <mergeCell ref="A21:M21"/>
    <mergeCell ref="N21:Z21"/>
    <mergeCell ref="AA21:AM21"/>
    <mergeCell ref="AN21:AZ21"/>
    <mergeCell ref="N27:Z27"/>
    <mergeCell ref="A36:M36"/>
    <mergeCell ref="N36:Z36"/>
    <mergeCell ref="AA36:AM36"/>
    <mergeCell ref="AN36:AZ36"/>
    <mergeCell ref="A37:M37"/>
    <mergeCell ref="N37:Z37"/>
    <mergeCell ref="AA37:AM37"/>
    <mergeCell ref="A22:AZ22"/>
    <mergeCell ref="A23:M23"/>
    <mergeCell ref="N23:Z23"/>
    <mergeCell ref="AA23:AM23"/>
    <mergeCell ref="A12:M12"/>
    <mergeCell ref="L5:AG5"/>
    <mergeCell ref="N4:AM4"/>
    <mergeCell ref="AN10:AZ10"/>
    <mergeCell ref="A15:AZ15"/>
    <mergeCell ref="A6:AZ6"/>
    <mergeCell ref="BK3:BK5"/>
    <mergeCell ref="BA6:BL6"/>
    <mergeCell ref="AS2:AZ3"/>
    <mergeCell ref="N12:Z12"/>
    <mergeCell ref="AA12:AM12"/>
    <mergeCell ref="AA10:AM10"/>
    <mergeCell ref="N2:Z2"/>
    <mergeCell ref="AN16:AZ16"/>
    <mergeCell ref="BL3:BL5"/>
    <mergeCell ref="BA3:BA5"/>
    <mergeCell ref="BB3:BB5"/>
    <mergeCell ref="BC3:BC5"/>
    <mergeCell ref="BD3:BD5"/>
    <mergeCell ref="BE3:BE5"/>
    <mergeCell ref="BF3:BF5"/>
    <mergeCell ref="BG3:BG5"/>
    <mergeCell ref="BH3:BH5"/>
    <mergeCell ref="BI3:BI5"/>
    <mergeCell ref="BJ3:BJ5"/>
    <mergeCell ref="AN12:AZ12"/>
    <mergeCell ref="A34:M34"/>
    <mergeCell ref="N34:Z34"/>
    <mergeCell ref="AA34:AM34"/>
    <mergeCell ref="AN34:AZ34"/>
    <mergeCell ref="A32:M32"/>
    <mergeCell ref="N32:Z32"/>
    <mergeCell ref="AA32:AM32"/>
    <mergeCell ref="A17:M17"/>
    <mergeCell ref="N17:Z17"/>
    <mergeCell ref="N29:Z29"/>
    <mergeCell ref="AA29:AM29"/>
    <mergeCell ref="A20:AZ20"/>
    <mergeCell ref="AN23:AZ23"/>
    <mergeCell ref="A25:M25"/>
    <mergeCell ref="N25:Z25"/>
    <mergeCell ref="AA25:AM25"/>
    <mergeCell ref="AN25:AZ25"/>
    <mergeCell ref="A24:AZ24"/>
    <mergeCell ref="A29:M29"/>
    <mergeCell ref="A16:M16"/>
    <mergeCell ref="N16:Z16"/>
    <mergeCell ref="AA16:AM16"/>
    <mergeCell ref="A57:AZ57"/>
    <mergeCell ref="AR54:AY55"/>
    <mergeCell ref="AZ52:AZ55"/>
    <mergeCell ref="AX1:AY1"/>
    <mergeCell ref="AS1:AW1"/>
    <mergeCell ref="AS4:AT5"/>
    <mergeCell ref="AU4:AV5"/>
    <mergeCell ref="AW4:AX5"/>
    <mergeCell ref="AY4:AZ5"/>
    <mergeCell ref="L3:Z3"/>
    <mergeCell ref="A39:AZ39"/>
    <mergeCell ref="AN29:AZ29"/>
    <mergeCell ref="A26:AZ26"/>
    <mergeCell ref="AA27:AM27"/>
    <mergeCell ref="AN27:AZ27"/>
    <mergeCell ref="A8:M8"/>
    <mergeCell ref="N8:Z8"/>
    <mergeCell ref="AA8:AM8"/>
    <mergeCell ref="AN8:AZ8"/>
    <mergeCell ref="A10:M10"/>
    <mergeCell ref="N10:Z10"/>
  </mergeCells>
  <conditionalFormatting sqref="BA10:BL10 BA12:BL12 BA14:BL14 BA21:BL21 BA23:BL23 BA25:BL25 BA27:BL27 BA32:BL32 BA34:BL34 BA36:BL36 BA41:BL41 BA43:BL43 BA45:BL45 BA16:BL16 BA47:BL47 BA8:BL8">
    <cfRule type="cellIs" dxfId="10730" priority="1" operator="equal">
      <formula>3</formula>
    </cfRule>
    <cfRule type="cellIs" dxfId="10729" priority="2" operator="equal">
      <formula>1</formula>
    </cfRule>
    <cfRule type="cellIs" dxfId="10728" priority="3" operator="equal">
      <formula>0</formula>
    </cfRule>
  </conditionalFormatting>
  <hyperlinks>
    <hyperlink ref="AS4:AT5" location="_PROF" display="MP" xr:uid="{00000000-0004-0000-0500-000000000000}"/>
    <hyperlink ref="AU4:AV5" location="_MCS" display="MCS" xr:uid="{00000000-0004-0000-0500-000001000000}"/>
    <hyperlink ref="AW4:AX5" location="_TW" display="TW" xr:uid="{00000000-0004-0000-0500-000002000000}"/>
    <hyperlink ref="AY4:AZ5" location="_MKPI" display="MKPI" xr:uid="{00000000-0004-0000-0500-000003000000}"/>
    <hyperlink ref="AS2:AZ3" location="E_Learnings" display="e-Learnings" xr:uid="{00000000-0004-0000-0500-000004000000}"/>
  </hyperlinks>
  <printOptions horizontalCentered="1"/>
  <pageMargins left="0" right="0" top="0" bottom="0" header="0" footer="0"/>
  <pageSetup paperSize="9" scale="76" orientation="landscape" r:id="rId2"/>
  <rowBreaks count="3" manualBreakCount="3">
    <brk id="18" max="16383" man="1"/>
    <brk id="29" max="16383" man="1"/>
    <brk id="38" max="16383" man="1"/>
  </rowBreak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T68"/>
  <sheetViews>
    <sheetView showGridLines="0" zoomScale="50" zoomScaleNormal="50" workbookViewId="0"/>
  </sheetViews>
  <sheetFormatPr baseColWidth="10" defaultColWidth="9.1640625" defaultRowHeight="14"/>
  <cols>
    <col min="1" max="1" width="56.5" style="2" customWidth="1"/>
    <col min="2" max="2" width="10.5" style="2" customWidth="1"/>
    <col min="3" max="3" width="11.33203125" style="16" bestFit="1" customWidth="1"/>
    <col min="4" max="4" width="3.6640625" style="16" customWidth="1"/>
    <col min="5" max="5" width="8.6640625" style="2" customWidth="1"/>
    <col min="6" max="6" width="8.6640625" style="16" customWidth="1"/>
    <col min="7" max="7" width="3.6640625" style="16" customWidth="1"/>
    <col min="8" max="8" width="8.6640625" style="2" customWidth="1"/>
    <col min="9" max="9" width="8.6640625" style="16" customWidth="1"/>
    <col min="10" max="10" width="3.6640625" style="16" customWidth="1"/>
    <col min="11" max="11" width="8.6640625" style="2" customWidth="1"/>
    <col min="12" max="12" width="8.6640625" style="16" customWidth="1"/>
    <col min="13" max="13" width="3.6640625" style="16" customWidth="1"/>
    <col min="14" max="14" width="8.6640625" style="2" customWidth="1"/>
    <col min="15" max="15" width="8.6640625" style="2" hidden="1" customWidth="1"/>
    <col min="16" max="16" width="8.6640625" style="16" customWidth="1"/>
    <col min="17" max="17" width="3.6640625" style="16" customWidth="1"/>
    <col min="18" max="19" width="8.6640625" style="2" customWidth="1"/>
    <col min="20" max="20" width="10.5" style="2" customWidth="1"/>
    <col min="21" max="22" width="11.5" style="2" customWidth="1"/>
    <col min="23" max="23" width="3.6640625" style="16" customWidth="1"/>
    <col min="24" max="28" width="8.6640625" style="2" customWidth="1"/>
    <col min="29" max="29" width="3.6640625" style="2" customWidth="1"/>
    <col min="30" max="34" width="8.6640625" style="2" customWidth="1"/>
    <col min="35" max="35" width="3.6640625" style="2" customWidth="1"/>
    <col min="36" max="40" width="8.6640625" style="2" customWidth="1"/>
    <col min="41" max="41" width="3.6640625" style="2" customWidth="1"/>
    <col min="42" max="45" width="8.6640625" style="2" customWidth="1"/>
    <col min="46" max="46" width="10.5" style="2" customWidth="1"/>
    <col min="47" max="47" width="3.6640625" style="16" customWidth="1"/>
    <col min="48" max="52" width="8.6640625" style="2" customWidth="1"/>
    <col min="53" max="53" width="3.6640625" style="16" customWidth="1"/>
    <col min="54" max="54" width="8.6640625" style="2" customWidth="1"/>
    <col min="55" max="55" width="8.6640625" style="16" customWidth="1"/>
    <col min="56" max="56" width="3.6640625" style="16" customWidth="1"/>
    <col min="57" max="57" width="8.6640625" style="2" customWidth="1"/>
    <col min="58" max="58" width="8.6640625" style="16" customWidth="1"/>
    <col min="59" max="59" width="3.6640625" style="16" customWidth="1"/>
    <col min="60" max="60" width="8.6640625" style="2" customWidth="1"/>
    <col min="61" max="61" width="8.6640625" style="16" customWidth="1"/>
    <col min="62" max="62" width="3.6640625" style="16" customWidth="1"/>
    <col min="63" max="63" width="11.6640625" style="36" customWidth="1"/>
    <col min="64" max="64" width="13.5" style="36" customWidth="1"/>
    <col min="65" max="65" width="12.6640625" style="16" customWidth="1"/>
    <col min="66" max="66" width="12.33203125" style="16" customWidth="1"/>
    <col min="67" max="72" width="9.1640625" style="16" customWidth="1"/>
    <col min="73" max="16384" width="9.1640625" style="510"/>
  </cols>
  <sheetData>
    <row r="1" spans="1:66" ht="20" customHeight="1">
      <c r="A1" s="512" t="s">
        <v>86</v>
      </c>
      <c r="B1" s="511"/>
      <c r="C1" s="236">
        <f>Name</f>
        <v>0</v>
      </c>
      <c r="D1" s="511"/>
      <c r="E1" s="511"/>
      <c r="F1" s="510"/>
      <c r="G1" s="236"/>
      <c r="H1" s="236"/>
      <c r="I1" s="236"/>
      <c r="J1" s="236"/>
      <c r="K1" s="1156" t="s">
        <v>88</v>
      </c>
      <c r="L1" s="1156"/>
      <c r="M1" s="1157">
        <f>StaffNumber</f>
        <v>0</v>
      </c>
      <c r="N1" s="1157"/>
      <c r="O1" s="1157"/>
      <c r="P1" s="1157"/>
      <c r="Q1" s="63"/>
      <c r="R1" s="799"/>
      <c r="S1" s="799"/>
      <c r="T1" s="799"/>
      <c r="U1" s="799"/>
      <c r="V1" s="799"/>
      <c r="W1" s="799"/>
      <c r="X1" s="799"/>
      <c r="Y1" s="541"/>
      <c r="Z1" s="63"/>
      <c r="AA1" s="63"/>
      <c r="AB1" s="63"/>
      <c r="AC1" s="1158"/>
      <c r="AD1" s="1158"/>
      <c r="AE1" s="1158"/>
      <c r="AF1" s="1158"/>
      <c r="AG1" s="1158"/>
      <c r="AH1" s="1158"/>
      <c r="AI1" s="1158"/>
      <c r="AJ1" s="1158"/>
      <c r="AK1" s="1158"/>
      <c r="AL1" s="1158"/>
      <c r="AM1" s="1158"/>
      <c r="AN1" s="1158"/>
      <c r="AO1" s="1158"/>
      <c r="AP1" s="1158"/>
      <c r="AQ1" s="1158"/>
      <c r="AR1" s="1158"/>
      <c r="AS1" s="1158"/>
      <c r="AT1" s="1158"/>
      <c r="AU1" s="1158"/>
      <c r="AV1" s="1158"/>
      <c r="AW1" s="1158"/>
      <c r="AX1" s="1158"/>
      <c r="AY1" s="1158"/>
      <c r="AZ1" s="1158"/>
      <c r="BA1" s="1158"/>
      <c r="BB1" s="1158"/>
      <c r="BC1" s="1158"/>
      <c r="BD1" s="1158"/>
      <c r="BE1" s="1158"/>
      <c r="BF1" s="2"/>
      <c r="BG1" s="2"/>
      <c r="BI1" s="2"/>
      <c r="BJ1" s="2"/>
      <c r="BK1" s="41"/>
      <c r="BL1" s="41"/>
    </row>
    <row r="2" spans="1:66" ht="20" customHeight="1" thickBot="1">
      <c r="A2" s="512" t="s">
        <v>87</v>
      </c>
      <c r="B2" s="511"/>
      <c r="C2" s="503">
        <f>Trainers</f>
        <v>0</v>
      </c>
      <c r="D2" s="511"/>
      <c r="E2" s="511"/>
      <c r="F2" s="510"/>
      <c r="G2" s="236"/>
      <c r="H2" s="236"/>
      <c r="I2" s="236"/>
      <c r="J2" s="236"/>
      <c r="K2" s="1156" t="s">
        <v>89</v>
      </c>
      <c r="L2" s="1156"/>
      <c r="M2" s="1157">
        <f>Report!AR3</f>
        <v>0</v>
      </c>
      <c r="N2" s="1157"/>
      <c r="O2" s="1157"/>
      <c r="P2" s="1157"/>
      <c r="Q2" s="63"/>
      <c r="R2" s="799"/>
      <c r="S2" s="799"/>
      <c r="T2" s="799"/>
      <c r="U2" s="799"/>
      <c r="V2" s="799"/>
      <c r="W2" s="799"/>
      <c r="X2" s="799"/>
      <c r="Y2" s="541"/>
      <c r="Z2" s="63"/>
      <c r="AA2" s="63"/>
      <c r="AB2" s="63"/>
      <c r="AC2" s="1158"/>
      <c r="AD2" s="1158"/>
      <c r="AE2" s="1158"/>
      <c r="AF2" s="1158"/>
      <c r="AG2" s="1158"/>
      <c r="AH2" s="1158"/>
      <c r="AI2" s="1158"/>
      <c r="AJ2" s="1158"/>
      <c r="AK2" s="1158"/>
      <c r="AL2" s="1158"/>
      <c r="AM2" s="1158"/>
      <c r="AN2" s="1158"/>
      <c r="AO2" s="1158"/>
      <c r="AP2" s="1158"/>
      <c r="AQ2" s="1158"/>
      <c r="AR2" s="1158"/>
      <c r="AS2" s="1158"/>
      <c r="AT2" s="1158"/>
      <c r="AU2" s="1158"/>
      <c r="AV2" s="1158"/>
      <c r="AW2" s="1158"/>
      <c r="AX2" s="1158"/>
      <c r="AY2" s="1158"/>
      <c r="AZ2" s="1158"/>
      <c r="BA2" s="1158"/>
      <c r="BB2" s="1158"/>
      <c r="BC2" s="1158"/>
      <c r="BD2" s="1158"/>
      <c r="BE2" s="1158"/>
      <c r="BF2" s="2"/>
      <c r="BG2" s="2"/>
      <c r="BI2" s="2"/>
      <c r="BJ2" s="2"/>
      <c r="BK2" s="41"/>
      <c r="BL2" s="41"/>
    </row>
    <row r="3" spans="1:66" ht="20" customHeight="1" thickBot="1">
      <c r="A3" s="1133" t="s">
        <v>9</v>
      </c>
      <c r="B3" s="154"/>
      <c r="C3" s="1140" t="s">
        <v>39</v>
      </c>
      <c r="D3" s="27"/>
      <c r="E3" s="46"/>
      <c r="F3" s="1135" t="s">
        <v>39</v>
      </c>
      <c r="G3" s="27"/>
      <c r="H3" s="47"/>
      <c r="I3" s="1135" t="s">
        <v>39</v>
      </c>
      <c r="J3" s="27"/>
      <c r="K3" s="48"/>
      <c r="L3" s="1135" t="s">
        <v>39</v>
      </c>
      <c r="M3" s="27"/>
      <c r="N3" s="49"/>
      <c r="O3" s="1146" t="s">
        <v>759</v>
      </c>
      <c r="P3" s="1151" t="s">
        <v>39</v>
      </c>
      <c r="Q3" s="27"/>
      <c r="R3" s="59" t="s">
        <v>81</v>
      </c>
      <c r="S3" s="1135" t="s">
        <v>39</v>
      </c>
      <c r="T3" s="1146" t="s">
        <v>758</v>
      </c>
      <c r="U3" s="1151" t="s">
        <v>39</v>
      </c>
      <c r="V3" s="1150" t="s">
        <v>637</v>
      </c>
      <c r="W3" s="27"/>
      <c r="X3" s="152" t="s">
        <v>204</v>
      </c>
      <c r="Y3" s="1135" t="s">
        <v>39</v>
      </c>
      <c r="Z3" s="1143" t="s">
        <v>203</v>
      </c>
      <c r="AA3" s="1151" t="s">
        <v>39</v>
      </c>
      <c r="AB3" s="1150" t="s">
        <v>637</v>
      </c>
      <c r="AC3" s="55"/>
      <c r="AD3" s="67" t="s">
        <v>71</v>
      </c>
      <c r="AE3" s="1135" t="s">
        <v>39</v>
      </c>
      <c r="AF3" s="1143" t="s">
        <v>771</v>
      </c>
      <c r="AG3" s="1151" t="s">
        <v>39</v>
      </c>
      <c r="AH3" s="1150" t="s">
        <v>637</v>
      </c>
      <c r="AI3" s="55"/>
      <c r="AJ3" s="67" t="s">
        <v>71</v>
      </c>
      <c r="AK3" s="1151" t="s">
        <v>39</v>
      </c>
      <c r="AL3" s="1143" t="s">
        <v>770</v>
      </c>
      <c r="AM3" s="1151" t="s">
        <v>39</v>
      </c>
      <c r="AN3" s="1150" t="s">
        <v>637</v>
      </c>
      <c r="AO3" s="55"/>
      <c r="AP3" s="68" t="s">
        <v>70</v>
      </c>
      <c r="AQ3" s="1151" t="s">
        <v>39</v>
      </c>
      <c r="AR3" s="1143" t="s">
        <v>772</v>
      </c>
      <c r="AS3" s="1151" t="s">
        <v>39</v>
      </c>
      <c r="AT3" s="1150" t="s">
        <v>637</v>
      </c>
      <c r="AU3" s="45"/>
      <c r="AV3" s="68" t="s">
        <v>70</v>
      </c>
      <c r="AW3" s="565"/>
      <c r="AX3" s="1143" t="s">
        <v>773</v>
      </c>
      <c r="AY3" s="1151" t="s">
        <v>39</v>
      </c>
      <c r="AZ3" s="1150" t="s">
        <v>637</v>
      </c>
      <c r="BA3" s="45"/>
      <c r="BB3" s="69"/>
      <c r="BC3" s="1135" t="s">
        <v>39</v>
      </c>
      <c r="BD3" s="45"/>
      <c r="BE3" s="70"/>
      <c r="BF3" s="1135" t="s">
        <v>39</v>
      </c>
      <c r="BG3" s="27"/>
      <c r="BH3" s="50"/>
      <c r="BI3" s="1135" t="s">
        <v>39</v>
      </c>
      <c r="BJ3" s="27"/>
      <c r="BK3" s="1155" t="s">
        <v>762</v>
      </c>
      <c r="BL3" s="1155" t="s">
        <v>763</v>
      </c>
      <c r="BM3" s="1155" t="s">
        <v>762</v>
      </c>
      <c r="BN3" s="1155" t="s">
        <v>763</v>
      </c>
    </row>
    <row r="4" spans="1:66" ht="20" customHeight="1">
      <c r="A4" s="1133"/>
      <c r="B4" s="1138" t="s">
        <v>0</v>
      </c>
      <c r="C4" s="1141"/>
      <c r="D4" s="45"/>
      <c r="E4" s="1138" t="s">
        <v>1</v>
      </c>
      <c r="F4" s="1136"/>
      <c r="G4" s="45"/>
      <c r="H4" s="1138" t="s">
        <v>2</v>
      </c>
      <c r="I4" s="1136"/>
      <c r="J4" s="45"/>
      <c r="K4" s="1154" t="s">
        <v>3</v>
      </c>
      <c r="L4" s="1136"/>
      <c r="M4" s="45"/>
      <c r="N4" s="1149" t="s">
        <v>79</v>
      </c>
      <c r="O4" s="1147"/>
      <c r="P4" s="1152"/>
      <c r="Q4" s="45"/>
      <c r="R4" s="1149" t="s">
        <v>80</v>
      </c>
      <c r="S4" s="1136"/>
      <c r="T4" s="1147"/>
      <c r="U4" s="1152"/>
      <c r="V4" s="1150"/>
      <c r="W4" s="45"/>
      <c r="X4" s="1149" t="s">
        <v>202</v>
      </c>
      <c r="Y4" s="1136"/>
      <c r="Z4" s="1144"/>
      <c r="AA4" s="1152"/>
      <c r="AB4" s="1150"/>
      <c r="AC4" s="55"/>
      <c r="AD4" s="1149" t="s">
        <v>61</v>
      </c>
      <c r="AE4" s="1136"/>
      <c r="AF4" s="1144"/>
      <c r="AG4" s="1152"/>
      <c r="AH4" s="1150"/>
      <c r="AI4" s="55"/>
      <c r="AJ4" s="1149" t="s">
        <v>61</v>
      </c>
      <c r="AK4" s="1152"/>
      <c r="AL4" s="1144"/>
      <c r="AM4" s="1152"/>
      <c r="AN4" s="1150"/>
      <c r="AO4" s="55"/>
      <c r="AP4" s="1149" t="s">
        <v>82</v>
      </c>
      <c r="AQ4" s="1152"/>
      <c r="AR4" s="1144"/>
      <c r="AS4" s="1152"/>
      <c r="AT4" s="1150"/>
      <c r="AU4" s="45"/>
      <c r="AV4" s="1149" t="s">
        <v>82</v>
      </c>
      <c r="AW4" s="552"/>
      <c r="AX4" s="1144"/>
      <c r="AY4" s="1152"/>
      <c r="AZ4" s="1150"/>
      <c r="BA4" s="45"/>
      <c r="BB4" s="1154" t="s">
        <v>20</v>
      </c>
      <c r="BC4" s="1136"/>
      <c r="BD4" s="45"/>
      <c r="BE4" s="1154" t="s">
        <v>21</v>
      </c>
      <c r="BF4" s="1136"/>
      <c r="BG4" s="45"/>
      <c r="BH4" s="1154" t="s">
        <v>22</v>
      </c>
      <c r="BI4" s="1136"/>
      <c r="BJ4" s="45"/>
      <c r="BK4" s="1155"/>
      <c r="BL4" s="1155"/>
      <c r="BM4" s="1155"/>
      <c r="BN4" s="1155"/>
    </row>
    <row r="5" spans="1:66" ht="20" customHeight="1" thickBot="1">
      <c r="A5" s="1134"/>
      <c r="B5" s="1139"/>
      <c r="C5" s="1142"/>
      <c r="D5" s="27"/>
      <c r="E5" s="1139"/>
      <c r="F5" s="1137"/>
      <c r="G5" s="27"/>
      <c r="H5" s="1139"/>
      <c r="I5" s="1137"/>
      <c r="J5" s="27"/>
      <c r="K5" s="1139"/>
      <c r="L5" s="1137"/>
      <c r="M5" s="27"/>
      <c r="N5" s="1139"/>
      <c r="O5" s="1148"/>
      <c r="P5" s="1153"/>
      <c r="Q5" s="27"/>
      <c r="R5" s="1139"/>
      <c r="S5" s="1137"/>
      <c r="T5" s="1148"/>
      <c r="U5" s="1153"/>
      <c r="V5" s="1150"/>
      <c r="W5" s="27"/>
      <c r="X5" s="1139"/>
      <c r="Y5" s="1137"/>
      <c r="Z5" s="1145"/>
      <c r="AA5" s="1153"/>
      <c r="AB5" s="1150"/>
      <c r="AC5" s="55"/>
      <c r="AD5" s="1139"/>
      <c r="AE5" s="1137"/>
      <c r="AF5" s="1145"/>
      <c r="AG5" s="1153"/>
      <c r="AH5" s="1150"/>
      <c r="AI5" s="55"/>
      <c r="AJ5" s="1139"/>
      <c r="AK5" s="1153"/>
      <c r="AL5" s="1145"/>
      <c r="AM5" s="1153"/>
      <c r="AN5" s="1150"/>
      <c r="AO5" s="55"/>
      <c r="AP5" s="1139"/>
      <c r="AQ5" s="1153"/>
      <c r="AR5" s="1145"/>
      <c r="AS5" s="1153"/>
      <c r="AT5" s="1150"/>
      <c r="AU5" s="45"/>
      <c r="AV5" s="1139"/>
      <c r="AW5" s="553"/>
      <c r="AX5" s="1145"/>
      <c r="AY5" s="1153"/>
      <c r="AZ5" s="1150"/>
      <c r="BA5" s="45"/>
      <c r="BB5" s="1139"/>
      <c r="BC5" s="1137"/>
      <c r="BD5" s="45"/>
      <c r="BE5" s="1139"/>
      <c r="BF5" s="1137"/>
      <c r="BG5" s="27"/>
      <c r="BH5" s="1139"/>
      <c r="BI5" s="1137"/>
      <c r="BJ5" s="27"/>
      <c r="BK5" s="1155"/>
      <c r="BL5" s="1155"/>
      <c r="BM5" s="1155"/>
      <c r="BN5" s="1155"/>
    </row>
    <row r="6" spans="1:66" ht="30" customHeight="1">
      <c r="A6" s="457" t="str">
        <f>'Rubric (.)'!A1:D1</f>
        <v>1. My Professionalism</v>
      </c>
      <c r="B6" s="484" t="s">
        <v>0</v>
      </c>
      <c r="C6" s="485" t="s">
        <v>39</v>
      </c>
      <c r="D6" s="460"/>
      <c r="E6" s="484" t="s">
        <v>1</v>
      </c>
      <c r="F6" s="485" t="s">
        <v>39</v>
      </c>
      <c r="G6" s="460"/>
      <c r="H6" s="484" t="s">
        <v>2</v>
      </c>
      <c r="I6" s="485" t="s">
        <v>39</v>
      </c>
      <c r="J6" s="460"/>
      <c r="K6" s="484" t="s">
        <v>3</v>
      </c>
      <c r="L6" s="485" t="s">
        <v>39</v>
      </c>
      <c r="M6" s="460"/>
      <c r="N6" s="484" t="s">
        <v>7</v>
      </c>
      <c r="O6" s="496"/>
      <c r="P6" s="485" t="s">
        <v>39</v>
      </c>
      <c r="Q6" s="460"/>
      <c r="R6" s="484" t="s">
        <v>8</v>
      </c>
      <c r="S6" s="496"/>
      <c r="T6" s="496"/>
      <c r="U6" s="485" t="s">
        <v>39</v>
      </c>
      <c r="V6" s="559"/>
      <c r="W6" s="460"/>
      <c r="X6" s="484" t="s">
        <v>11</v>
      </c>
      <c r="Y6" s="496"/>
      <c r="Z6" s="496"/>
      <c r="AA6" s="485" t="s">
        <v>39</v>
      </c>
      <c r="AB6" s="559"/>
      <c r="AC6" s="433"/>
      <c r="AD6" s="484" t="s">
        <v>12</v>
      </c>
      <c r="AE6" s="496"/>
      <c r="AF6" s="496"/>
      <c r="AG6" s="485" t="s">
        <v>39</v>
      </c>
      <c r="AH6" s="559"/>
      <c r="AI6" s="433"/>
      <c r="AJ6" s="484" t="s">
        <v>12</v>
      </c>
      <c r="AK6" s="496"/>
      <c r="AL6" s="496"/>
      <c r="AM6" s="485" t="s">
        <v>39</v>
      </c>
      <c r="AN6" s="559"/>
      <c r="AO6" s="433"/>
      <c r="AP6" s="484" t="s">
        <v>13</v>
      </c>
      <c r="AQ6" s="496"/>
      <c r="AR6" s="496"/>
      <c r="AS6" s="496"/>
      <c r="AT6" s="485" t="s">
        <v>39</v>
      </c>
      <c r="AU6" s="460"/>
      <c r="AV6" s="484" t="s">
        <v>13</v>
      </c>
      <c r="AW6" s="496"/>
      <c r="AX6" s="496"/>
      <c r="AY6" s="485" t="s">
        <v>39</v>
      </c>
      <c r="AZ6" s="559"/>
      <c r="BA6" s="460"/>
      <c r="BB6" s="484" t="s">
        <v>20</v>
      </c>
      <c r="BC6" s="485" t="s">
        <v>39</v>
      </c>
      <c r="BD6" s="460"/>
      <c r="BE6" s="463" t="s">
        <v>21</v>
      </c>
      <c r="BF6" s="464" t="s">
        <v>39</v>
      </c>
      <c r="BG6" s="460"/>
      <c r="BH6" s="484" t="s">
        <v>22</v>
      </c>
      <c r="BI6" s="485" t="s">
        <v>39</v>
      </c>
      <c r="BJ6" s="21"/>
      <c r="BM6" s="432" t="s">
        <v>5</v>
      </c>
      <c r="BN6" s="432" t="s">
        <v>5</v>
      </c>
    </row>
    <row r="7" spans="1:66" ht="30" customHeight="1">
      <c r="A7" s="478" t="str">
        <f>'Rubric (.)'!A2:D2</f>
        <v>1.1 Positive Approach: Shows drive, passion and energy</v>
      </c>
      <c r="B7" s="465">
        <f>'D3 to D14'!BA8</f>
        <v>2</v>
      </c>
      <c r="C7" s="466">
        <f>VLOOKUP(B7,$A$65:$B$68,2,TRUE)*100</f>
        <v>98.99</v>
      </c>
      <c r="E7" s="465">
        <f>'D3 to D14'!BB8</f>
        <v>2</v>
      </c>
      <c r="F7" s="466">
        <f>VLOOKUP(E7,$A$65:$B$68,2,TRUE)*100</f>
        <v>98.99</v>
      </c>
      <c r="H7" s="465">
        <f>'D3 to D14'!BC8</f>
        <v>2</v>
      </c>
      <c r="I7" s="466">
        <f>VLOOKUP(H7,$A$65:$B$68,2,TRUE)*100</f>
        <v>98.99</v>
      </c>
      <c r="K7" s="465">
        <f>'D3 to D14'!BD8</f>
        <v>2</v>
      </c>
      <c r="L7" s="466">
        <f>VLOOKUP(K7,$A$65:$B$68,2,TRUE)*100</f>
        <v>98.99</v>
      </c>
      <c r="N7" s="465">
        <f>'D3 to D14'!BE8</f>
        <v>2</v>
      </c>
      <c r="O7" s="483">
        <f>'PRC | KHI AS'!D51</f>
        <v>0</v>
      </c>
      <c r="P7" s="466">
        <f>VLOOKUP(N7,$A$65:$B$68,2,TRUE)*100</f>
        <v>98.99</v>
      </c>
      <c r="R7" s="465">
        <f>'D3 to D14'!BF8</f>
        <v>2</v>
      </c>
      <c r="S7" s="466">
        <f>VLOOKUP(R7,$A$65:$B$68,2,TRUE)*100</f>
        <v>98.99</v>
      </c>
      <c r="T7" s="483" t="str">
        <f>_DEL_1.1_T</f>
        <v>N/A</v>
      </c>
      <c r="U7" s="466" t="str">
        <f>IFERROR((_DEL_1.1_T/_DEL_1.1_MT)*98.99,"N/A")</f>
        <v>N/A</v>
      </c>
      <c r="V7" s="560">
        <f>IF(T7="N/A",S7,((S7*0.7)+(U7*0.3)))</f>
        <v>98.99</v>
      </c>
      <c r="X7" s="465">
        <f>'D3 to D14'!BG8</f>
        <v>2</v>
      </c>
      <c r="Y7" s="466">
        <f>VLOOKUP(X7,$A$65:$B$68,2,TRUE)*100</f>
        <v>98.99</v>
      </c>
      <c r="Z7" s="483" t="str">
        <f>_BKK_1.1_T</f>
        <v>N/A</v>
      </c>
      <c r="AA7" s="466" t="str">
        <f>IFERROR((_BKK_1.1_T/_BKK_1.1_MT)*98.99,"N/A")</f>
        <v>N/A</v>
      </c>
      <c r="AB7" s="560">
        <f>IF(Z7="N/A",Y7,((Y7*0.7)+(AA7*0.3)))</f>
        <v>98.99</v>
      </c>
      <c r="AC7" s="16"/>
      <c r="AD7" s="465">
        <f>'D3 to D14'!BH8</f>
        <v>2</v>
      </c>
      <c r="AE7" s="466">
        <f>VLOOKUP(AD7,$A$65:$B$68,2,TRUE)*100</f>
        <v>98.99</v>
      </c>
      <c r="AF7" s="483" t="str">
        <f>_LHRAT_1.1_T</f>
        <v>N/A</v>
      </c>
      <c r="AG7" s="466" t="str">
        <f>IFERROR((_LHRAT_1.1_T/_LHRAT_1.1_MT)*98.99,"N/A")</f>
        <v>N/A</v>
      </c>
      <c r="AH7" s="560">
        <f>IF(AF7="N/A",AE7,((AE7*0.7)+(AG7*0.3)))</f>
        <v>98.99</v>
      </c>
      <c r="AI7" s="16"/>
      <c r="AJ7" s="465">
        <f>'D3 to D14'!BH8</f>
        <v>2</v>
      </c>
      <c r="AK7" s="466">
        <f>VLOOKUP(AJ7,$A$65:$B$68,2,TRUE)*100</f>
        <v>98.99</v>
      </c>
      <c r="AL7" s="483" t="str">
        <f>_LHRLU_1.1_T</f>
        <v>N/A</v>
      </c>
      <c r="AM7" s="466" t="str">
        <f>IFERROR((_LHRLU_1.1_T/_LHRLU_1.1_MT)*98.99,"N/A")</f>
        <v>N/A</v>
      </c>
      <c r="AN7" s="560">
        <f>IF(AL7="N/A",AK7,((AK7*0.7)+(AM7*0.3)))</f>
        <v>98.99</v>
      </c>
      <c r="AO7" s="16"/>
      <c r="AP7" s="465">
        <f>'D3 to D14'!BI8</f>
        <v>2</v>
      </c>
      <c r="AQ7" s="466">
        <f>VLOOKUP(AP7,$A$65:$B$68,2,TRUE)*100</f>
        <v>98.99</v>
      </c>
      <c r="AR7" s="483" t="str">
        <f>_JFKLU_1.1_T</f>
        <v>N/A</v>
      </c>
      <c r="AS7" s="466" t="str">
        <f>IFERROR((_JFKLU_1.1_T/_JFKLU_1.1_MT)*98.99,"N/A")</f>
        <v>N/A</v>
      </c>
      <c r="AT7" s="560">
        <f>IF(AR7="N/A",AQ7,((AQ7*0.7)+(AS7*0.3)))</f>
        <v>98.99</v>
      </c>
      <c r="AV7" s="465">
        <f>'D3 to D14'!BI8</f>
        <v>2</v>
      </c>
      <c r="AW7" s="466">
        <f>VLOOKUP(AV7,$A$65:$B$68,2,TRUE)*100</f>
        <v>98.99</v>
      </c>
      <c r="AX7" s="483" t="str">
        <f>_JFKLBBF_1.1_T</f>
        <v>N/A</v>
      </c>
      <c r="AY7" s="466" t="str">
        <f>IFERROR((_JFKLBBF_1.1_T/_JFKLBBF_1.1_MT)*98.99,"N/A")</f>
        <v>N/A</v>
      </c>
      <c r="AZ7" s="560">
        <f>IF(AX7="N/A",AW7,((AW7*0.7)+(AY7*0.3)))</f>
        <v>98.99</v>
      </c>
      <c r="BB7" s="465">
        <f>'D3 to D14'!BJ8</f>
        <v>2</v>
      </c>
      <c r="BC7" s="466">
        <f>VLOOKUP(BB7,$A$65:$B$68,2,TRUE)*100</f>
        <v>98.99</v>
      </c>
      <c r="BE7" s="465">
        <f>'D3 to D14'!BK8</f>
        <v>2</v>
      </c>
      <c r="BF7" s="466">
        <f>VLOOKUP(BE7,$A$65:$B$68,2,TRUE)*100</f>
        <v>98.99</v>
      </c>
      <c r="BH7" s="465">
        <f>'D3 to D14'!BL8</f>
        <v>2</v>
      </c>
      <c r="BI7" s="466">
        <f>VLOOKUP(BH7,$A$65:$B$68,2,TRUE)*100</f>
        <v>98.99</v>
      </c>
      <c r="BK7" s="37">
        <f>AVERAGE(C7,F7,I7,L7,P7,V7,AB7,AH7,AT7,BC7,BF7,BI7)</f>
        <v>98.99</v>
      </c>
      <c r="BL7" s="37">
        <f>AVERAGE(C7,F7,I7,L7,P7,V7,AB7,AN7,AZ7,BC7,BF7,BI7)</f>
        <v>98.99</v>
      </c>
      <c r="BM7" s="101" t="str">
        <f>IF(BK7&lt;70,"Below Standard","")</f>
        <v/>
      </c>
      <c r="BN7" s="101" t="str">
        <f>IF(BL7&lt;70,"Below Standard","")</f>
        <v/>
      </c>
    </row>
    <row r="8" spans="1:66" ht="30" customHeight="1">
      <c r="A8" s="478" t="str">
        <f>'Rubric (.)'!A4:D4</f>
        <v>1.2 Resilient: Is calm and controlled under pressure. Adjusts to changes and manages challenging situations effectively</v>
      </c>
      <c r="B8" s="467">
        <f>'D3 to D14'!BA10</f>
        <v>2</v>
      </c>
      <c r="C8" s="466">
        <f t="shared" ref="C8:C11" si="0">VLOOKUP(B8,$A$65:$B$68,2,TRUE)*100</f>
        <v>98.99</v>
      </c>
      <c r="E8" s="467">
        <f>'D3 to D14'!BB10</f>
        <v>2</v>
      </c>
      <c r="F8" s="466">
        <f t="shared" ref="F8:F11" si="1">VLOOKUP(E8,$A$65:$B$68,2,TRUE)*100</f>
        <v>98.99</v>
      </c>
      <c r="H8" s="467">
        <f>'D3 to D14'!BC10</f>
        <v>2</v>
      </c>
      <c r="I8" s="466">
        <f t="shared" ref="I8:I11" si="2">VLOOKUP(H8,$A$65:$B$68,2,TRUE)*100</f>
        <v>98.99</v>
      </c>
      <c r="K8" s="467">
        <f>'D3 to D14'!BD10</f>
        <v>2</v>
      </c>
      <c r="L8" s="466">
        <f t="shared" ref="L8:L11" si="3">VLOOKUP(K8,$A$65:$B$68,2,TRUE)*100</f>
        <v>98.99</v>
      </c>
      <c r="N8" s="467">
        <f>'D3 to D14'!BE10</f>
        <v>2</v>
      </c>
      <c r="O8" s="482" t="s">
        <v>10</v>
      </c>
      <c r="P8" s="466">
        <f>VLOOKUP(N8,$A$65:$B$68,2,TRUE)*100</f>
        <v>98.99</v>
      </c>
      <c r="R8" s="467">
        <f>'D3 to D14'!BF10</f>
        <v>2</v>
      </c>
      <c r="S8" s="466">
        <f t="shared" ref="S8:S11" si="4">VLOOKUP(R8,$A$65:$B$68,2,TRUE)*100</f>
        <v>98.99</v>
      </c>
      <c r="T8" s="483" t="str">
        <f>_DEL_1.2_T</f>
        <v>N/A</v>
      </c>
      <c r="U8" s="466" t="str">
        <f>IFERROR((_DEL_1.2_T/_DEL_1.2_MT)*98.99,"N/A")</f>
        <v>N/A</v>
      </c>
      <c r="V8" s="560">
        <f t="shared" ref="V8:V11" si="5">IF(T8="N/A",S8,((S8*0.7)+(U8*0.3)))</f>
        <v>98.99</v>
      </c>
      <c r="X8" s="467">
        <f>'D3 to D14'!BG10</f>
        <v>2</v>
      </c>
      <c r="Y8" s="466">
        <f t="shared" ref="Y8:Y11" si="6">VLOOKUP(X8,$A$65:$B$68,2,TRUE)*100</f>
        <v>98.99</v>
      </c>
      <c r="Z8" s="483" t="str">
        <f>_BKK_1.2_T</f>
        <v>N/A</v>
      </c>
      <c r="AA8" s="466" t="str">
        <f>IFERROR((_BKK_1.2_T/_BKK_1.2_MT)*98.99,"N/A")</f>
        <v>N/A</v>
      </c>
      <c r="AB8" s="560">
        <f t="shared" ref="AB8:AB11" si="7">IF(Z8="N/A",Y8,((Y8*0.7)+(AA8*0.3)))</f>
        <v>98.99</v>
      </c>
      <c r="AC8" s="16"/>
      <c r="AD8" s="467">
        <f>'D3 to D14'!BH10</f>
        <v>2</v>
      </c>
      <c r="AE8" s="466">
        <f t="shared" ref="AE8:AE11" si="8">VLOOKUP(AD8,$A$65:$B$68,2,TRUE)*100</f>
        <v>98.99</v>
      </c>
      <c r="AF8" s="483" t="str">
        <f>_LHRAT_1.2_T</f>
        <v>N/A</v>
      </c>
      <c r="AG8" s="466" t="str">
        <f>IFERROR((_LHRAT_1.2_T/_LHRAT_1.2_MT)*98.99,"N/A")</f>
        <v>N/A</v>
      </c>
      <c r="AH8" s="560">
        <f t="shared" ref="AH8:AH11" si="9">IF(AF8="N/A",AE8,((AE8*0.7)+(AG8*0.3)))</f>
        <v>98.99</v>
      </c>
      <c r="AI8" s="16"/>
      <c r="AJ8" s="467">
        <f>'D3 to D14'!BH10</f>
        <v>2</v>
      </c>
      <c r="AK8" s="466">
        <f t="shared" ref="AK8:AK11" si="10">VLOOKUP(AJ8,$A$65:$B$68,2,TRUE)*100</f>
        <v>98.99</v>
      </c>
      <c r="AL8" s="483" t="str">
        <f>_LHRLU_1.2_T</f>
        <v>N/A</v>
      </c>
      <c r="AM8" s="466" t="str">
        <f>IFERROR((_LHRLU_1.2_T/_LHRLU_1.2_MT)*98.99,"N/A")</f>
        <v>N/A</v>
      </c>
      <c r="AN8" s="560">
        <f t="shared" ref="AN8:AN11" si="11">IF(AL8="N/A",AK8,((AK8*0.7)+(AM8*0.3)))</f>
        <v>98.99</v>
      </c>
      <c r="AO8" s="16"/>
      <c r="AP8" s="467">
        <f>'D3 to D14'!BI10</f>
        <v>2</v>
      </c>
      <c r="AQ8" s="466">
        <f t="shared" ref="AQ8:AQ11" si="12">VLOOKUP(AP8,$A$65:$B$68,2,TRUE)*100</f>
        <v>98.99</v>
      </c>
      <c r="AR8" s="483" t="str">
        <f>_JFKLU_1.2_T</f>
        <v>N/A</v>
      </c>
      <c r="AS8" s="466" t="str">
        <f>IFERROR((_JFKLU_1.2_T/_JFKLU_1.2_MT)*98.99,"N/A")</f>
        <v>N/A</v>
      </c>
      <c r="AT8" s="560">
        <f t="shared" ref="AT8:AT11" si="13">IF(AR8="N/A",AQ8,((AQ8*0.7)+(AS8*0.3)))</f>
        <v>98.99</v>
      </c>
      <c r="AV8" s="467">
        <f>'D3 to D14'!BI10</f>
        <v>2</v>
      </c>
      <c r="AW8" s="466">
        <f t="shared" ref="AW8:AW11" si="14">VLOOKUP(AV8,$A$65:$B$68,2,TRUE)*100</f>
        <v>98.99</v>
      </c>
      <c r="AX8" s="483" t="str">
        <f>_JFKLBBF_1.2_T</f>
        <v>N/A</v>
      </c>
      <c r="AY8" s="466" t="str">
        <f>IFERROR((_JFKLBBF_1.2_T/_JFKLBBF_1.2_MT)*98.99,"N/A")</f>
        <v>N/A</v>
      </c>
      <c r="AZ8" s="560">
        <f t="shared" ref="AZ8:AZ11" si="15">IF(AX8="N/A",AW8,((AW8*0.7)+(AY8*0.3)))</f>
        <v>98.99</v>
      </c>
      <c r="BB8" s="465">
        <f>'D3 to D14'!BJ10</f>
        <v>2</v>
      </c>
      <c r="BC8" s="466">
        <f t="shared" ref="BC8:BC11" si="16">VLOOKUP(BB8,$A$65:$B$68,2,TRUE)*100</f>
        <v>98.99</v>
      </c>
      <c r="BE8" s="465">
        <f>'D3 to D14'!BK10</f>
        <v>2</v>
      </c>
      <c r="BF8" s="466">
        <f t="shared" ref="BF8:BF11" si="17">VLOOKUP(BE8,$A$65:$B$68,2,TRUE)*100</f>
        <v>98.99</v>
      </c>
      <c r="BH8" s="465">
        <f>'D3 to D14'!BL10</f>
        <v>2</v>
      </c>
      <c r="BI8" s="466">
        <f t="shared" ref="BI8:BI11" si="18">VLOOKUP(BH8,$A$65:$B$68,2,TRUE)*100</f>
        <v>98.99</v>
      </c>
      <c r="BK8" s="37">
        <f t="shared" ref="BK8:BK11" si="19">AVERAGE(C8,F8,I8,L8,P8,V8,AB8,AH8,AT8,BC8,BF8,BI8)</f>
        <v>98.99</v>
      </c>
      <c r="BL8" s="37">
        <f t="shared" ref="BL8:BL11" si="20">AVERAGE(C8,F8,I8,L8,P8,V8,AB8,AN8,AZ8,BC8,BF8,BI8)</f>
        <v>98.99</v>
      </c>
      <c r="BM8" s="101" t="str">
        <f t="shared" ref="BM8:BN11" si="21">IF(BK8&lt;70,"Below Standard","")</f>
        <v/>
      </c>
      <c r="BN8" s="101" t="str">
        <f t="shared" si="21"/>
        <v/>
      </c>
    </row>
    <row r="9" spans="1:66" ht="30" customHeight="1">
      <c r="A9" s="478" t="str">
        <f>'Rubric (.)'!A6:D6</f>
        <v>1.3 Cosmopolitan: Shows respect for other cultures and appreciates differences</v>
      </c>
      <c r="B9" s="467">
        <f>'D3 to D14'!BA12</f>
        <v>2</v>
      </c>
      <c r="C9" s="466">
        <f t="shared" si="0"/>
        <v>98.99</v>
      </c>
      <c r="E9" s="467">
        <f>'D3 to D14'!BB12</f>
        <v>2</v>
      </c>
      <c r="F9" s="466">
        <f t="shared" si="1"/>
        <v>98.99</v>
      </c>
      <c r="H9" s="467">
        <f>'D3 to D14'!BC12</f>
        <v>2</v>
      </c>
      <c r="I9" s="466">
        <f t="shared" si="2"/>
        <v>98.99</v>
      </c>
      <c r="K9" s="467">
        <f>'D3 to D14'!BD12</f>
        <v>2</v>
      </c>
      <c r="L9" s="466">
        <f t="shared" si="3"/>
        <v>98.99</v>
      </c>
      <c r="N9" s="467">
        <f>'D3 to D14'!BE12</f>
        <v>2</v>
      </c>
      <c r="O9" s="482" t="s">
        <v>10</v>
      </c>
      <c r="P9" s="466">
        <f t="shared" ref="P9:P11" si="22">VLOOKUP(N9,$A$65:$B$68,2,TRUE)*100</f>
        <v>98.99</v>
      </c>
      <c r="R9" s="467">
        <f>'D3 to D14'!BF12</f>
        <v>2</v>
      </c>
      <c r="S9" s="466">
        <f t="shared" si="4"/>
        <v>98.99</v>
      </c>
      <c r="T9" s="483" t="str">
        <f>_DEL_1.3_T</f>
        <v>N/A</v>
      </c>
      <c r="U9" s="466" t="str">
        <f>IFERROR((_DEL_1.3_T/_DEL_1.3_MT)*98.99,"N/A")</f>
        <v>N/A</v>
      </c>
      <c r="V9" s="560">
        <f t="shared" si="5"/>
        <v>98.99</v>
      </c>
      <c r="X9" s="467">
        <f>'D3 to D14'!BG12</f>
        <v>2</v>
      </c>
      <c r="Y9" s="466">
        <f t="shared" si="6"/>
        <v>98.99</v>
      </c>
      <c r="Z9" s="483" t="str">
        <f>_BKK_1.3_T</f>
        <v>N/A</v>
      </c>
      <c r="AA9" s="466" t="str">
        <f>IFERROR((_BKK_1.3_T/_BKK_1.3_MT)*98.99,"N/A")</f>
        <v>N/A</v>
      </c>
      <c r="AB9" s="560">
        <f t="shared" si="7"/>
        <v>98.99</v>
      </c>
      <c r="AC9" s="16"/>
      <c r="AD9" s="467">
        <f>'D3 to D14'!BH12</f>
        <v>2</v>
      </c>
      <c r="AE9" s="466">
        <f t="shared" si="8"/>
        <v>98.99</v>
      </c>
      <c r="AF9" s="483" t="str">
        <f>_LHRAT_1.3_T</f>
        <v>N/A</v>
      </c>
      <c r="AG9" s="466" t="str">
        <f>IFERROR((_LHRAT_1.3_T/_LHRAT_1.3_MT)*98.99,"N/A")</f>
        <v>N/A</v>
      </c>
      <c r="AH9" s="560">
        <f t="shared" si="9"/>
        <v>98.99</v>
      </c>
      <c r="AI9" s="16"/>
      <c r="AJ9" s="467">
        <f>'D3 to D14'!BH12</f>
        <v>2</v>
      </c>
      <c r="AK9" s="466">
        <f t="shared" si="10"/>
        <v>98.99</v>
      </c>
      <c r="AL9" s="483" t="str">
        <f>_LHRLU_1.3_T</f>
        <v>N/A</v>
      </c>
      <c r="AM9" s="466" t="str">
        <f>IFERROR((_LHRLU_1.3_T/_LHRLU_1.3_MT)*98.99,"N/A")</f>
        <v>N/A</v>
      </c>
      <c r="AN9" s="560">
        <f t="shared" si="11"/>
        <v>98.99</v>
      </c>
      <c r="AO9" s="16"/>
      <c r="AP9" s="467">
        <f>'D3 to D14'!BI12</f>
        <v>2</v>
      </c>
      <c r="AQ9" s="466">
        <f t="shared" si="12"/>
        <v>98.99</v>
      </c>
      <c r="AR9" s="483" t="str">
        <f>_JFKLU_1.3_T</f>
        <v>N/A</v>
      </c>
      <c r="AS9" s="466" t="str">
        <f>IFERROR((_JFKLU_1.3_T/_JFKLU_1.3_MT)*98.99,"N/A")</f>
        <v>N/A</v>
      </c>
      <c r="AT9" s="560">
        <f t="shared" si="13"/>
        <v>98.99</v>
      </c>
      <c r="AV9" s="467">
        <f>'D3 to D14'!BI12</f>
        <v>2</v>
      </c>
      <c r="AW9" s="466">
        <f t="shared" si="14"/>
        <v>98.99</v>
      </c>
      <c r="AX9" s="483" t="str">
        <f>_JFKLBBF_1.3_T</f>
        <v>N/A</v>
      </c>
      <c r="AY9" s="466" t="str">
        <f>IFERROR((_JFKLBBF_1.3_T/_JFKLBBF_1.3_MT)*98.99,"N/A")</f>
        <v>N/A</v>
      </c>
      <c r="AZ9" s="560">
        <f t="shared" si="15"/>
        <v>98.99</v>
      </c>
      <c r="BB9" s="465">
        <f>'D3 to D14'!BJ12</f>
        <v>2</v>
      </c>
      <c r="BC9" s="466">
        <f t="shared" si="16"/>
        <v>98.99</v>
      </c>
      <c r="BE9" s="465">
        <f>'D3 to D14'!BK12</f>
        <v>2</v>
      </c>
      <c r="BF9" s="466">
        <f t="shared" si="17"/>
        <v>98.99</v>
      </c>
      <c r="BH9" s="465">
        <f>'D3 to D14'!BL12</f>
        <v>2</v>
      </c>
      <c r="BI9" s="466">
        <f t="shared" si="18"/>
        <v>98.99</v>
      </c>
      <c r="BK9" s="37">
        <f t="shared" si="19"/>
        <v>98.99</v>
      </c>
      <c r="BL9" s="37">
        <f t="shared" si="20"/>
        <v>98.99</v>
      </c>
      <c r="BM9" s="101" t="str">
        <f t="shared" si="21"/>
        <v/>
      </c>
      <c r="BN9" s="101" t="str">
        <f t="shared" si="21"/>
        <v/>
      </c>
    </row>
    <row r="10" spans="1:66" ht="30" customHeight="1">
      <c r="A10" s="478" t="str">
        <f>'Rubric (.)'!A8:D8</f>
        <v>1.4 Organised: Has an organised and structured approach to work</v>
      </c>
      <c r="B10" s="467">
        <f>'D3 to D14'!BA14</f>
        <v>2</v>
      </c>
      <c r="C10" s="466">
        <f t="shared" si="0"/>
        <v>98.99</v>
      </c>
      <c r="E10" s="467">
        <f>'D3 to D14'!BB14</f>
        <v>2</v>
      </c>
      <c r="F10" s="466">
        <f t="shared" si="1"/>
        <v>98.99</v>
      </c>
      <c r="H10" s="467">
        <f>'D3 to D14'!BC14</f>
        <v>2</v>
      </c>
      <c r="I10" s="466">
        <f t="shared" si="2"/>
        <v>98.99</v>
      </c>
      <c r="K10" s="467">
        <f>'D3 to D14'!BD14</f>
        <v>2</v>
      </c>
      <c r="L10" s="466">
        <f t="shared" si="3"/>
        <v>98.99</v>
      </c>
      <c r="N10" s="467">
        <f>'D3 to D14'!BE14</f>
        <v>2</v>
      </c>
      <c r="O10" s="482" t="s">
        <v>10</v>
      </c>
      <c r="P10" s="466">
        <f t="shared" si="22"/>
        <v>98.99</v>
      </c>
      <c r="R10" s="467">
        <f>'D3 to D14'!BF14</f>
        <v>2</v>
      </c>
      <c r="S10" s="466">
        <f t="shared" si="4"/>
        <v>98.99</v>
      </c>
      <c r="T10" s="483" t="str">
        <f>_DEL_1.4_T</f>
        <v>N/A</v>
      </c>
      <c r="U10" s="466" t="str">
        <f>IFERROR((_DEL_1.4_T/_DEL_1.4_MT)*98.99,"N/A")</f>
        <v>N/A</v>
      </c>
      <c r="V10" s="560">
        <f t="shared" si="5"/>
        <v>98.99</v>
      </c>
      <c r="X10" s="467">
        <f>'D3 to D14'!BG14</f>
        <v>2</v>
      </c>
      <c r="Y10" s="466">
        <f t="shared" si="6"/>
        <v>98.99</v>
      </c>
      <c r="Z10" s="483" t="str">
        <f>_BKK_1.4_T</f>
        <v>N/A</v>
      </c>
      <c r="AA10" s="466" t="str">
        <f>IFERROR((_BKK_1.4_T/_BKK_1.4_MT)*98.99,"N/A")</f>
        <v>N/A</v>
      </c>
      <c r="AB10" s="560">
        <f t="shared" si="7"/>
        <v>98.99</v>
      </c>
      <c r="AC10" s="16"/>
      <c r="AD10" s="467">
        <f>'D3 to D14'!BH14</f>
        <v>2</v>
      </c>
      <c r="AE10" s="466">
        <f t="shared" si="8"/>
        <v>98.99</v>
      </c>
      <c r="AF10" s="483" t="str">
        <f>_LHRAT_1.4_T</f>
        <v>N/A</v>
      </c>
      <c r="AG10" s="466" t="str">
        <f>IFERROR((_LHRAT_1.4_T/_LHRAT_1.4_MT)*98.99,"N/A")</f>
        <v>N/A</v>
      </c>
      <c r="AH10" s="560">
        <f t="shared" si="9"/>
        <v>98.99</v>
      </c>
      <c r="AI10" s="16"/>
      <c r="AJ10" s="467">
        <f>'D3 to D14'!BH14</f>
        <v>2</v>
      </c>
      <c r="AK10" s="466">
        <f t="shared" si="10"/>
        <v>98.99</v>
      </c>
      <c r="AL10" s="483" t="str">
        <f>_LHRLU_1.4_T</f>
        <v>N/A</v>
      </c>
      <c r="AM10" s="466" t="str">
        <f>IFERROR((_LHRLU_1.4_T/_LHRLU_1.4_MT)*98.99,"N/A")</f>
        <v>N/A</v>
      </c>
      <c r="AN10" s="560">
        <f t="shared" si="11"/>
        <v>98.99</v>
      </c>
      <c r="AO10" s="16"/>
      <c r="AP10" s="467">
        <f>'D3 to D14'!BI14</f>
        <v>2</v>
      </c>
      <c r="AQ10" s="466">
        <f t="shared" si="12"/>
        <v>98.99</v>
      </c>
      <c r="AR10" s="483" t="str">
        <f>_JFKLU_1.4_T</f>
        <v>N/A</v>
      </c>
      <c r="AS10" s="466" t="str">
        <f>IFERROR((_JFKLU_1.4_T/_JFKLU_1.4_MT)*98.99,"N/A")</f>
        <v>N/A</v>
      </c>
      <c r="AT10" s="560">
        <f t="shared" si="13"/>
        <v>98.99</v>
      </c>
      <c r="AV10" s="467">
        <f>'D3 to D14'!BI14</f>
        <v>2</v>
      </c>
      <c r="AW10" s="466">
        <f t="shared" si="14"/>
        <v>98.99</v>
      </c>
      <c r="AX10" s="483" t="str">
        <f>_JFKLBBF_1.4_T</f>
        <v>N/A</v>
      </c>
      <c r="AY10" s="466" t="str">
        <f>IFERROR((_JFKLBBF_1.4_T/_JFKLBBF_1.4_MT)*98.99,"N/A")</f>
        <v>N/A</v>
      </c>
      <c r="AZ10" s="560">
        <f t="shared" si="15"/>
        <v>98.99</v>
      </c>
      <c r="BB10" s="465">
        <f>'D3 to D14'!BJ14</f>
        <v>2</v>
      </c>
      <c r="BC10" s="466">
        <f t="shared" si="16"/>
        <v>98.99</v>
      </c>
      <c r="BE10" s="465">
        <f>'D3 to D14'!BK14</f>
        <v>2</v>
      </c>
      <c r="BF10" s="466">
        <f t="shared" si="17"/>
        <v>98.99</v>
      </c>
      <c r="BH10" s="465">
        <f>'D3 to D14'!BL14</f>
        <v>2</v>
      </c>
      <c r="BI10" s="466">
        <f t="shared" si="18"/>
        <v>98.99</v>
      </c>
      <c r="BK10" s="37">
        <f t="shared" si="19"/>
        <v>98.99</v>
      </c>
      <c r="BL10" s="37">
        <f t="shared" si="20"/>
        <v>98.99</v>
      </c>
      <c r="BM10" s="101" t="str">
        <f t="shared" si="21"/>
        <v/>
      </c>
      <c r="BN10" s="101" t="str">
        <f t="shared" si="21"/>
        <v/>
      </c>
    </row>
    <row r="11" spans="1:66" ht="30" customHeight="1">
      <c r="A11" s="478" t="str">
        <f>'Rubric (.)'!A10:D10</f>
        <v>1.5 Thorough: Demonstrates a strong attention to detail</v>
      </c>
      <c r="B11" s="467">
        <f>'D3 to D14'!BA16</f>
        <v>2</v>
      </c>
      <c r="C11" s="466">
        <f t="shared" si="0"/>
        <v>98.99</v>
      </c>
      <c r="E11" s="467">
        <f>'D3 to D14'!BB16</f>
        <v>2</v>
      </c>
      <c r="F11" s="466">
        <f t="shared" si="1"/>
        <v>98.99</v>
      </c>
      <c r="H11" s="467">
        <f>'D3 to D14'!BC16</f>
        <v>2</v>
      </c>
      <c r="I11" s="466">
        <f t="shared" si="2"/>
        <v>98.99</v>
      </c>
      <c r="K11" s="467">
        <f>'D3 to D14'!BD16</f>
        <v>2</v>
      </c>
      <c r="L11" s="466">
        <f t="shared" si="3"/>
        <v>98.99</v>
      </c>
      <c r="N11" s="467">
        <f>'D3 to D14'!BE16</f>
        <v>2</v>
      </c>
      <c r="O11" s="482">
        <f>'PRC | KHI AS'!L51</f>
        <v>0</v>
      </c>
      <c r="P11" s="466">
        <f t="shared" si="22"/>
        <v>98.99</v>
      </c>
      <c r="R11" s="467">
        <f>'D3 to D14'!BF16</f>
        <v>2</v>
      </c>
      <c r="S11" s="466">
        <f t="shared" si="4"/>
        <v>98.99</v>
      </c>
      <c r="T11" s="483" t="str">
        <f>_DEL_1.5_T</f>
        <v>N/A</v>
      </c>
      <c r="U11" s="466" t="str">
        <f>IFERROR((_DEL_1.5_T/_DEL_1.5_MT)*98.99,"N/A")</f>
        <v>N/A</v>
      </c>
      <c r="V11" s="560">
        <f t="shared" si="5"/>
        <v>98.99</v>
      </c>
      <c r="X11" s="467">
        <f>'D3 to D14'!BG16</f>
        <v>2</v>
      </c>
      <c r="Y11" s="466">
        <f t="shared" si="6"/>
        <v>98.99</v>
      </c>
      <c r="Z11" s="483" t="str">
        <f>_BKK_1.5_T</f>
        <v>N/A</v>
      </c>
      <c r="AA11" s="466" t="str">
        <f>IFERROR((_BKK_1.5_T/_BKK_1.5_MT)*98.99,"N/A")</f>
        <v>N/A</v>
      </c>
      <c r="AB11" s="560">
        <f t="shared" si="7"/>
        <v>98.99</v>
      </c>
      <c r="AC11" s="16"/>
      <c r="AD11" s="467">
        <f>'D3 to D14'!BH16</f>
        <v>2</v>
      </c>
      <c r="AE11" s="466">
        <f t="shared" si="8"/>
        <v>98.99</v>
      </c>
      <c r="AF11" s="483" t="str">
        <f>_LHRAT_1.5_T</f>
        <v>N/A</v>
      </c>
      <c r="AG11" s="466" t="str">
        <f>IFERROR((_LHRAT_1.5_T/_LHRAT_1.5_MT)*98.99,"N/A")</f>
        <v>N/A</v>
      </c>
      <c r="AH11" s="560">
        <f t="shared" si="9"/>
        <v>98.99</v>
      </c>
      <c r="AI11" s="16"/>
      <c r="AJ11" s="467">
        <f>'D3 to D14'!BH16</f>
        <v>2</v>
      </c>
      <c r="AK11" s="466">
        <f t="shared" si="10"/>
        <v>98.99</v>
      </c>
      <c r="AL11" s="483" t="str">
        <f>_LHRLU_1.5_T</f>
        <v>N/A</v>
      </c>
      <c r="AM11" s="466" t="str">
        <f>IFERROR((_LHRLU_1.5_T/_LHRLU_1.5_MT)*98.99,"N/A")</f>
        <v>N/A</v>
      </c>
      <c r="AN11" s="560">
        <f t="shared" si="11"/>
        <v>98.99</v>
      </c>
      <c r="AO11" s="16"/>
      <c r="AP11" s="467">
        <f>'D3 to D14'!BI16</f>
        <v>2</v>
      </c>
      <c r="AQ11" s="466">
        <f t="shared" si="12"/>
        <v>98.99</v>
      </c>
      <c r="AR11" s="483" t="str">
        <f>_JFKLU_1.5_T</f>
        <v>N/A</v>
      </c>
      <c r="AS11" s="466" t="str">
        <f>IFERROR((_JFKLU_1.5_T/_JFKLU_1.5_MT)*98.99,"N/A")</f>
        <v>N/A</v>
      </c>
      <c r="AT11" s="560">
        <f t="shared" si="13"/>
        <v>98.99</v>
      </c>
      <c r="AV11" s="467">
        <f>'D3 to D14'!BI16</f>
        <v>2</v>
      </c>
      <c r="AW11" s="466">
        <f t="shared" si="14"/>
        <v>98.99</v>
      </c>
      <c r="AX11" s="483" t="str">
        <f>_JFKLBBF_1.5_T</f>
        <v>N/A</v>
      </c>
      <c r="AY11" s="466" t="str">
        <f>IFERROR((_JFKLBBF_1.5_T/_JFKLBBF_1.5_MT)*98.99,"N/A")</f>
        <v>N/A</v>
      </c>
      <c r="AZ11" s="560">
        <f t="shared" si="15"/>
        <v>98.99</v>
      </c>
      <c r="BB11" s="465">
        <f>'D3 to D14'!BJ16</f>
        <v>2</v>
      </c>
      <c r="BC11" s="466">
        <f t="shared" si="16"/>
        <v>98.99</v>
      </c>
      <c r="BE11" s="465">
        <f>'D3 to D14'!BK16</f>
        <v>2</v>
      </c>
      <c r="BF11" s="466">
        <f t="shared" si="17"/>
        <v>98.99</v>
      </c>
      <c r="BH11" s="465">
        <f>'D3 to D14'!BL16</f>
        <v>2</v>
      </c>
      <c r="BI11" s="466">
        <f t="shared" si="18"/>
        <v>98.99</v>
      </c>
      <c r="BK11" s="37">
        <f t="shared" si="19"/>
        <v>98.99</v>
      </c>
      <c r="BL11" s="37">
        <f t="shared" si="20"/>
        <v>98.99</v>
      </c>
      <c r="BM11" s="101" t="str">
        <f t="shared" si="21"/>
        <v/>
      </c>
      <c r="BN11" s="101" t="str">
        <f t="shared" si="21"/>
        <v/>
      </c>
    </row>
    <row r="12" spans="1:66" ht="20" customHeight="1">
      <c r="A12" s="462" t="s">
        <v>24</v>
      </c>
      <c r="B12" s="468">
        <f>AVERAGE(B7:B11)</f>
        <v>2</v>
      </c>
      <c r="C12" s="469">
        <f>AVERAGE(C7:C11)</f>
        <v>98.99</v>
      </c>
      <c r="D12" s="9"/>
      <c r="E12" s="468">
        <f>AVERAGE(E7:E11)</f>
        <v>2</v>
      </c>
      <c r="F12" s="469">
        <f>AVERAGE(F7:F11)</f>
        <v>98.99</v>
      </c>
      <c r="G12" s="9"/>
      <c r="H12" s="468">
        <f>AVERAGE(H7:H11)</f>
        <v>2</v>
      </c>
      <c r="I12" s="469">
        <f>AVERAGE(I7:I11)</f>
        <v>98.99</v>
      </c>
      <c r="J12" s="9"/>
      <c r="K12" s="468">
        <f>AVERAGE(K7:K11)</f>
        <v>2</v>
      </c>
      <c r="L12" s="469">
        <f>AVERAGE(L7:L11)</f>
        <v>98.99</v>
      </c>
      <c r="M12" s="9"/>
      <c r="N12" s="468">
        <f>AVERAGE(N7:N11)</f>
        <v>2</v>
      </c>
      <c r="O12" s="470"/>
      <c r="P12" s="469">
        <f>AVERAGE(P7:P11)</f>
        <v>98.99</v>
      </c>
      <c r="R12" s="468">
        <f>AVERAGE(R7:R11)</f>
        <v>2</v>
      </c>
      <c r="S12" s="470"/>
      <c r="T12" s="470"/>
      <c r="U12" s="470"/>
      <c r="V12" s="469">
        <f>AVERAGE(V7:V11)</f>
        <v>98.99</v>
      </c>
      <c r="X12" s="468">
        <f>AVERAGE(X7:X11)</f>
        <v>2</v>
      </c>
      <c r="Y12" s="470"/>
      <c r="Z12" s="470"/>
      <c r="AA12" s="470"/>
      <c r="AB12" s="469">
        <f>AVERAGE(AB7:AB11)</f>
        <v>98.99</v>
      </c>
      <c r="AC12" s="16"/>
      <c r="AD12" s="468">
        <f>AVERAGE(AD7:AD11)</f>
        <v>2</v>
      </c>
      <c r="AE12" s="470"/>
      <c r="AF12" s="470"/>
      <c r="AG12" s="470"/>
      <c r="AH12" s="469">
        <f>AVERAGE(AH7:AH11)</f>
        <v>98.99</v>
      </c>
      <c r="AI12" s="16"/>
      <c r="AJ12" s="468">
        <f>AVERAGE(AJ7:AJ11)</f>
        <v>2</v>
      </c>
      <c r="AK12" s="470"/>
      <c r="AL12" s="470"/>
      <c r="AM12" s="470"/>
      <c r="AN12" s="469">
        <f>AVERAGE(AN7:AN11)</f>
        <v>98.99</v>
      </c>
      <c r="AO12" s="16"/>
      <c r="AP12" s="468">
        <f>AVERAGE(AP7:AP11)</f>
        <v>2</v>
      </c>
      <c r="AQ12" s="470"/>
      <c r="AR12" s="470"/>
      <c r="AS12" s="470"/>
      <c r="AT12" s="469">
        <f>AVERAGE(AT7:AT11)</f>
        <v>98.99</v>
      </c>
      <c r="AV12" s="468">
        <f>AVERAGE(AV7:AV11)</f>
        <v>2</v>
      </c>
      <c r="AW12" s="470"/>
      <c r="AX12" s="470"/>
      <c r="AY12" s="470"/>
      <c r="AZ12" s="469">
        <f>AVERAGE(AZ7:AZ11)</f>
        <v>98.99</v>
      </c>
      <c r="BB12" s="468">
        <f>AVERAGE(BB7:BB11)</f>
        <v>2</v>
      </c>
      <c r="BC12" s="469">
        <f>AVERAGE(BC7:BC11)</f>
        <v>98.99</v>
      </c>
      <c r="BE12" s="468">
        <f>AVERAGE(BE7:BE11)</f>
        <v>2</v>
      </c>
      <c r="BF12" s="469">
        <f>AVERAGE(BF7:BF11)</f>
        <v>98.99</v>
      </c>
      <c r="BH12" s="468">
        <f>AVERAGE(BH7:BH11)</f>
        <v>2</v>
      </c>
      <c r="BI12" s="469">
        <f>AVERAGE(BI7:BI11)</f>
        <v>98.99</v>
      </c>
      <c r="BK12" s="39"/>
      <c r="BL12" s="39"/>
    </row>
    <row r="13" spans="1:66" ht="20" customHeight="1">
      <c r="A13" s="61"/>
      <c r="B13" s="456"/>
      <c r="C13" s="456"/>
      <c r="D13" s="456"/>
      <c r="E13" s="456"/>
      <c r="F13" s="456"/>
      <c r="G13" s="2"/>
      <c r="AC13" s="16"/>
      <c r="AI13" s="16"/>
      <c r="AO13" s="16"/>
    </row>
    <row r="14" spans="1:66" ht="30" customHeight="1">
      <c r="A14" s="458" t="str">
        <f>'Rubric (.)'!A12:D12</f>
        <v>2. My Customer Service</v>
      </c>
      <c r="B14" s="463" t="s">
        <v>0</v>
      </c>
      <c r="C14" s="464" t="s">
        <v>39</v>
      </c>
      <c r="D14" s="45"/>
      <c r="E14" s="463" t="s">
        <v>1</v>
      </c>
      <c r="F14" s="464" t="s">
        <v>39</v>
      </c>
      <c r="G14" s="45"/>
      <c r="H14" s="463" t="s">
        <v>2</v>
      </c>
      <c r="I14" s="464" t="s">
        <v>39</v>
      </c>
      <c r="J14" s="45"/>
      <c r="K14" s="463" t="s">
        <v>3</v>
      </c>
      <c r="L14" s="464" t="s">
        <v>39</v>
      </c>
      <c r="M14" s="45"/>
      <c r="N14" s="463" t="s">
        <v>7</v>
      </c>
      <c r="O14" s="497"/>
      <c r="P14" s="464" t="s">
        <v>39</v>
      </c>
      <c r="Q14" s="45"/>
      <c r="R14" s="463" t="s">
        <v>8</v>
      </c>
      <c r="S14" s="497"/>
      <c r="T14" s="497"/>
      <c r="U14" s="464" t="s">
        <v>39</v>
      </c>
      <c r="V14" s="559"/>
      <c r="W14" s="45"/>
      <c r="X14" s="463" t="s">
        <v>11</v>
      </c>
      <c r="Y14" s="497"/>
      <c r="Z14" s="497"/>
      <c r="AA14" s="464" t="s">
        <v>39</v>
      </c>
      <c r="AB14" s="559"/>
      <c r="AC14" s="9"/>
      <c r="AD14" s="463" t="s">
        <v>12</v>
      </c>
      <c r="AE14" s="497"/>
      <c r="AF14" s="497"/>
      <c r="AG14" s="464" t="s">
        <v>39</v>
      </c>
      <c r="AH14" s="559"/>
      <c r="AI14" s="9"/>
      <c r="AJ14" s="463" t="s">
        <v>12</v>
      </c>
      <c r="AK14" s="497"/>
      <c r="AL14" s="497"/>
      <c r="AM14" s="464" t="s">
        <v>39</v>
      </c>
      <c r="AN14" s="559"/>
      <c r="AO14" s="9"/>
      <c r="AP14" s="463" t="s">
        <v>13</v>
      </c>
      <c r="AQ14" s="497"/>
      <c r="AR14" s="497"/>
      <c r="AS14" s="497"/>
      <c r="AT14" s="464" t="s">
        <v>39</v>
      </c>
      <c r="AU14" s="45"/>
      <c r="AV14" s="463" t="s">
        <v>13</v>
      </c>
      <c r="AW14" s="497"/>
      <c r="AX14" s="497"/>
      <c r="AY14" s="464" t="s">
        <v>39</v>
      </c>
      <c r="AZ14" s="559"/>
      <c r="BA14" s="45"/>
      <c r="BB14" s="463" t="s">
        <v>20</v>
      </c>
      <c r="BC14" s="464" t="s">
        <v>39</v>
      </c>
      <c r="BD14" s="45"/>
      <c r="BE14" s="463" t="s">
        <v>21</v>
      </c>
      <c r="BF14" s="464" t="s">
        <v>39</v>
      </c>
      <c r="BG14" s="45"/>
      <c r="BH14" s="463" t="s">
        <v>22</v>
      </c>
      <c r="BI14" s="464" t="s">
        <v>39</v>
      </c>
      <c r="BJ14" s="21"/>
      <c r="BM14" s="2"/>
      <c r="BN14" s="2"/>
    </row>
    <row r="15" spans="1:66" ht="30" customHeight="1">
      <c r="A15" s="477" t="str">
        <f>'Rubric (.)'!A13:D13</f>
        <v>2.1 Friendly and Caring: Builds relationships with customers and creates a welcoming and comfortable environment</v>
      </c>
      <c r="B15" s="475" t="str">
        <f>'D3 to D14'!BA21</f>
        <v>N/A</v>
      </c>
      <c r="C15" s="549"/>
      <c r="E15" s="475" t="str">
        <f>'D3 to D14'!BB21</f>
        <v>N/A</v>
      </c>
      <c r="F15" s="549"/>
      <c r="H15" s="475">
        <f>'D3 to D14'!BC21</f>
        <v>2</v>
      </c>
      <c r="I15" s="549">
        <f>VLOOKUP(H15,$A$65:$B$68,2,TRUE)*100</f>
        <v>98.99</v>
      </c>
      <c r="K15" s="475">
        <f>'D3 to D14'!BD21</f>
        <v>2</v>
      </c>
      <c r="L15" s="549">
        <f>VLOOKUP(K15,$A$65:$B$68,2,TRUE)*100</f>
        <v>98.99</v>
      </c>
      <c r="N15" s="475">
        <f>'D3 to D14'!BE21</f>
        <v>2</v>
      </c>
      <c r="O15" s="9">
        <f>'PRC | KHI AS'!N51</f>
        <v>0</v>
      </c>
      <c r="P15" s="549">
        <f>VLOOKUP(N15,$A$65:$B$68,2,TRUE)*100</f>
        <v>98.99</v>
      </c>
      <c r="R15" s="475">
        <f>'D3 to D14'!BF21</f>
        <v>2</v>
      </c>
      <c r="S15" s="549">
        <f>VLOOKUP(R15,$A$65:$B$68,2,TRUE)*100</f>
        <v>98.99</v>
      </c>
      <c r="T15" s="9" t="str">
        <f>_DEL_2.1_T</f>
        <v>N/A</v>
      </c>
      <c r="U15" s="549" t="str">
        <f>IFERROR((_DEL_2.1_T/_DEL_2.1_MT)*98.99,"N/A")</f>
        <v>N/A</v>
      </c>
      <c r="V15" s="549">
        <f>IF(T15="N/A",S15,((S15*0.7)+(U15*0.3)))</f>
        <v>98.99</v>
      </c>
      <c r="X15" s="475">
        <f>'D3 to D14'!BG21</f>
        <v>2</v>
      </c>
      <c r="Y15" s="549">
        <f>VLOOKUP(X15,$A$65:$B$68,2,TRUE)*100</f>
        <v>98.99</v>
      </c>
      <c r="Z15" s="482" t="str">
        <f>_BKK_2.1_T</f>
        <v>N/A</v>
      </c>
      <c r="AA15" s="549" t="str">
        <f>IFERROR((_BKK_2.1_T/_BKK_2.1_MT)*98.99,"N/A")</f>
        <v>N/A</v>
      </c>
      <c r="AB15" s="549">
        <f>IF(Z15="N/A",Y15,((Y15*0.7)+(AA15*0.3)))</f>
        <v>98.99</v>
      </c>
      <c r="AC15" s="16"/>
      <c r="AD15" s="475">
        <f>'D3 to D14'!BH21</f>
        <v>2</v>
      </c>
      <c r="AE15" s="549">
        <f>VLOOKUP(AD15,$A$65:$B$68,2,TRUE)*100</f>
        <v>98.99</v>
      </c>
      <c r="AF15" s="483" t="str">
        <f>_LHRAT_2.1_T</f>
        <v>N/A</v>
      </c>
      <c r="AG15" s="549" t="str">
        <f>IFERROR((_LHRAT_2.1_T/_LHRAT_2.1_MT)*98.99,"N/A")</f>
        <v>N/A</v>
      </c>
      <c r="AH15" s="549">
        <f>IF(AF15="N/A",AE15,((AE15*0.7)+(AG15*0.3)))</f>
        <v>98.99</v>
      </c>
      <c r="AI15" s="16"/>
      <c r="AJ15" s="475">
        <f>'D3 to D14'!BH21</f>
        <v>2</v>
      </c>
      <c r="AK15" s="549">
        <f>VLOOKUP(AJ15,$A$65:$B$68,2,TRUE)*100</f>
        <v>98.99</v>
      </c>
      <c r="AL15" s="483" t="str">
        <f>_LHRLU_2.1_T</f>
        <v>N/A</v>
      </c>
      <c r="AM15" s="549" t="str">
        <f>IFERROR((_LHRLU_2.1_T/_LHRLU_2.1_MT)*98.99,"N/A")</f>
        <v>N/A</v>
      </c>
      <c r="AN15" s="549">
        <f>IF(AL15="N/A",AK15,((AK15*0.7)+(AM15*0.3)))</f>
        <v>98.99</v>
      </c>
      <c r="AO15" s="16"/>
      <c r="AP15" s="475">
        <f>'D3 to D14'!BI21</f>
        <v>2</v>
      </c>
      <c r="AQ15" s="549">
        <f>VLOOKUP(AP15,$A$65:$B$68,2,TRUE)*100</f>
        <v>98.99</v>
      </c>
      <c r="AR15" s="483" t="str">
        <f>_JFKLU_2.1_T</f>
        <v>N/A</v>
      </c>
      <c r="AS15" s="549" t="str">
        <f>IFERROR((_JFKLU_2.1_T/_JFKLU_2.1_MT)*98.99,"N/A")</f>
        <v>N/A</v>
      </c>
      <c r="AT15" s="549">
        <f>IF(AR15="N/A",AQ15,((AQ15*0.7)+(AS15*0.3)))</f>
        <v>98.99</v>
      </c>
      <c r="AV15" s="475">
        <f>'D3 to D14'!BI21</f>
        <v>2</v>
      </c>
      <c r="AW15" s="549">
        <f>VLOOKUP(AV15,$A$65:$B$68,2,TRUE)*100</f>
        <v>98.99</v>
      </c>
      <c r="AX15" s="483" t="str">
        <f>_JFKLBBF_2.1_T</f>
        <v>N/A</v>
      </c>
      <c r="AY15" s="549" t="str">
        <f>IFERROR((_JFKLBBF_2.1_T/_JFKLBBF_2.1_MT)*98.99,"N/A")</f>
        <v>N/A</v>
      </c>
      <c r="AZ15" s="549">
        <f>IF(AX15="N/A",AW15,((AW15*0.7)+(AY15*0.3)))</f>
        <v>98.99</v>
      </c>
      <c r="BB15" s="475" t="str">
        <f>'D3 to D14'!BJ21</f>
        <v>N/A</v>
      </c>
      <c r="BC15" s="549"/>
      <c r="BD15" s="9"/>
      <c r="BE15" s="475" t="str">
        <f>'D3 to D14'!BK21</f>
        <v>N/A</v>
      </c>
      <c r="BF15" s="549"/>
      <c r="BG15" s="9"/>
      <c r="BH15" s="475" t="str">
        <f>'D3 to D14'!BL21</f>
        <v>N/A</v>
      </c>
      <c r="BI15" s="549"/>
      <c r="BJ15" s="9"/>
      <c r="BK15" s="37">
        <f t="shared" ref="BK15" si="23">AVERAGE(C15,F15,I15,L15,P15,V15,AB15,AH15,AT15,BC15,BF15,BI15)</f>
        <v>98.99</v>
      </c>
      <c r="BL15" s="37">
        <f t="shared" ref="BL15" si="24">AVERAGE(C15,F15,I15,L15,P15,V15,AB15,AN15,AZ15,BC15,BF15,BI15)</f>
        <v>98.99</v>
      </c>
      <c r="BM15" s="101" t="str">
        <f>IF(BK15&lt;70,"Below Standard","")</f>
        <v/>
      </c>
      <c r="BN15" s="101" t="str">
        <f>IF(BL15&lt;70,"Below Standard","")</f>
        <v/>
      </c>
    </row>
    <row r="16" spans="1:66" ht="30" customHeight="1">
      <c r="A16" s="477" t="str">
        <f>'Rubric (.)'!A15:D15</f>
        <v>2.2 Anticipating customer needs: Anticipates customers’ needs and uses their initiative to meet them</v>
      </c>
      <c r="B16" s="475" t="str">
        <f>'D3 to D14'!BA23</f>
        <v>N/A</v>
      </c>
      <c r="C16" s="549"/>
      <c r="E16" s="475" t="str">
        <f>'D3 to D14'!BB23</f>
        <v>N/A</v>
      </c>
      <c r="F16" s="549"/>
      <c r="H16" s="475" t="str">
        <f>'D3 to D14'!BC23</f>
        <v>N/A</v>
      </c>
      <c r="I16" s="549"/>
      <c r="K16" s="475" t="str">
        <f>'D3 to D14'!BD23</f>
        <v>N/A</v>
      </c>
      <c r="L16" s="549"/>
      <c r="N16" s="475">
        <f>'D3 to D14'!BE23</f>
        <v>2</v>
      </c>
      <c r="O16" s="9">
        <f>'PRC | KHI AS'!P51</f>
        <v>0</v>
      </c>
      <c r="P16" s="549">
        <f t="shared" ref="P16:P18" si="25">VLOOKUP(N16,$A$65:$B$68,2,TRUE)*100</f>
        <v>98.99</v>
      </c>
      <c r="R16" s="475">
        <f>'D3 to D14'!BF23</f>
        <v>2</v>
      </c>
      <c r="S16" s="549">
        <f t="shared" ref="S16:S18" si="26">VLOOKUP(R16,$A$65:$B$68,2,TRUE)*100</f>
        <v>98.99</v>
      </c>
      <c r="T16" s="9" t="str">
        <f>_DEL_2.2_T</f>
        <v>N/A</v>
      </c>
      <c r="U16" s="549" t="str">
        <f>IFERROR((_DEL_2.2_T/_DEL_2.2_MT)*98.99,"N/A")</f>
        <v>N/A</v>
      </c>
      <c r="V16" s="549">
        <f t="shared" ref="V16:V18" si="27">IF(T16="N/A",S16,((S16*0.7)+(U16*0.3)))</f>
        <v>98.99</v>
      </c>
      <c r="X16" s="475">
        <f>'D3 to D14'!BG23</f>
        <v>2</v>
      </c>
      <c r="Y16" s="549">
        <f t="shared" ref="Y16:Y18" si="28">VLOOKUP(X16,$A$65:$B$68,2,TRUE)*100</f>
        <v>98.99</v>
      </c>
      <c r="Z16" s="482" t="str">
        <f>_BKK_2.2_T</f>
        <v>N/A</v>
      </c>
      <c r="AA16" s="549" t="str">
        <f>IFERROR((_BKK_2.2_T/_BKK_2.2_MT)*98.99,"N/A")</f>
        <v>N/A</v>
      </c>
      <c r="AB16" s="549">
        <f t="shared" ref="AB16:AB18" si="29">IF(Z16="N/A",Y16,((Y16*0.7)+(AA16*0.3)))</f>
        <v>98.99</v>
      </c>
      <c r="AC16" s="16"/>
      <c r="AD16" s="475">
        <f>'D3 to D14'!BH23</f>
        <v>2</v>
      </c>
      <c r="AE16" s="549">
        <f t="shared" ref="AE16:AE18" si="30">VLOOKUP(AD16,$A$65:$B$68,2,TRUE)*100</f>
        <v>98.99</v>
      </c>
      <c r="AF16" s="483" t="str">
        <f>_LHRAT_2.2_T</f>
        <v>N/A</v>
      </c>
      <c r="AG16" s="549" t="str">
        <f>IFERROR((_LHRAT_2.2_T/_LHRAT_2.2_MT)*98.99,"N/A")</f>
        <v>N/A</v>
      </c>
      <c r="AH16" s="549">
        <f t="shared" ref="AH16:AH18" si="31">IF(AF16="N/A",AE16,((AE16*0.7)+(AG16*0.3)))</f>
        <v>98.99</v>
      </c>
      <c r="AI16" s="16"/>
      <c r="AJ16" s="475">
        <f>'D3 to D14'!BH23</f>
        <v>2</v>
      </c>
      <c r="AK16" s="549">
        <f t="shared" ref="AK16:AK18" si="32">VLOOKUP(AJ16,$A$65:$B$68,2,TRUE)*100</f>
        <v>98.99</v>
      </c>
      <c r="AL16" s="483" t="str">
        <f>_LHRLU_2.2_T</f>
        <v>N/A</v>
      </c>
      <c r="AM16" s="549" t="str">
        <f>IFERROR((_LHRLU_2.2_T/_LHRLU_2.2_MT)*98.99,"N/A")</f>
        <v>N/A</v>
      </c>
      <c r="AN16" s="549">
        <f t="shared" ref="AN16:AN18" si="33">IF(AL16="N/A",AK16,((AK16*0.7)+(AM16*0.3)))</f>
        <v>98.99</v>
      </c>
      <c r="AO16" s="16"/>
      <c r="AP16" s="475">
        <f>'D3 to D14'!BI23</f>
        <v>2</v>
      </c>
      <c r="AQ16" s="549">
        <f t="shared" ref="AQ16:AQ18" si="34">VLOOKUP(AP16,$A$65:$B$68,2,TRUE)*100</f>
        <v>98.99</v>
      </c>
      <c r="AR16" s="483" t="str">
        <f>_JFKLU_2.2_T</f>
        <v>N/A</v>
      </c>
      <c r="AS16" s="549" t="str">
        <f>IFERROR((_JFKLU_2.2_T/_JFKLU_2.2_MT)*98.99,"N/A")</f>
        <v>N/A</v>
      </c>
      <c r="AT16" s="549">
        <f t="shared" ref="AT16:AT18" si="35">IF(AR16="N/A",AQ16,((AQ16*0.7)+(AS16*0.3)))</f>
        <v>98.99</v>
      </c>
      <c r="AV16" s="475">
        <f>'D3 to D14'!BI23</f>
        <v>2</v>
      </c>
      <c r="AW16" s="549">
        <f t="shared" ref="AW16:AW18" si="36">VLOOKUP(AV16,$A$65:$B$68,2,TRUE)*100</f>
        <v>98.99</v>
      </c>
      <c r="AX16" s="483" t="str">
        <f>_JFKLBBF_2.2_T</f>
        <v>N/A</v>
      </c>
      <c r="AY16" s="549" t="str">
        <f>IFERROR((_JFKLBBF_2.2_T/_JFKLBBF_2.2_MT)*98.99,"N/A")</f>
        <v>N/A</v>
      </c>
      <c r="AZ16" s="549">
        <f t="shared" ref="AZ16:AZ18" si="37">IF(AX16="N/A",AW16,((AW16*0.7)+(AY16*0.3)))</f>
        <v>98.99</v>
      </c>
      <c r="BB16" s="475" t="str">
        <f>'D3 to D14'!BJ23</f>
        <v>N/A</v>
      </c>
      <c r="BC16" s="549"/>
      <c r="BD16" s="9"/>
      <c r="BE16" s="475" t="str">
        <f>'D3 to D14'!BK23</f>
        <v>N/A</v>
      </c>
      <c r="BF16" s="549"/>
      <c r="BG16" s="9"/>
      <c r="BH16" s="475" t="str">
        <f>'D3 to D14'!BL23</f>
        <v>N/A</v>
      </c>
      <c r="BI16" s="549"/>
      <c r="BJ16" s="9"/>
      <c r="BK16" s="37">
        <f t="shared" ref="BK16:BK18" si="38">AVERAGE(C16,F16,I16,L16,P16,V16,AB16,AH16,AT16,BC16,BF16,BI16)</f>
        <v>98.99</v>
      </c>
      <c r="BL16" s="37">
        <f t="shared" ref="BL16:BL18" si="39">AVERAGE(C16,F16,I16,L16,P16,V16,AB16,AN16,AZ16,BC16,BF16,BI16)</f>
        <v>98.99</v>
      </c>
      <c r="BM16" s="101" t="str">
        <f t="shared" ref="BM16:BN18" si="40">IF(BK16&lt;70,"Below Standard","")</f>
        <v/>
      </c>
      <c r="BN16" s="101" t="str">
        <f t="shared" si="40"/>
        <v/>
      </c>
    </row>
    <row r="17" spans="1:66" ht="30" customHeight="1">
      <c r="A17" s="477" t="str">
        <f>'Rubric (.)'!A17:D17</f>
        <v>2.3 Responsive and Helpful: Provides a prompt and flexible approach to meeting customer needs and requests. Ability to handle customer complaints and concerns.</v>
      </c>
      <c r="B17" s="475" t="str">
        <f>'D3 to D14'!BA25</f>
        <v>N/A</v>
      </c>
      <c r="C17" s="549"/>
      <c r="E17" s="475" t="str">
        <f>'D3 to D14'!BB25</f>
        <v>N/A</v>
      </c>
      <c r="F17" s="549"/>
      <c r="H17" s="475">
        <f>'D3 to D14'!BC25</f>
        <v>2</v>
      </c>
      <c r="I17" s="549">
        <f>VLOOKUP(H17,$A$65:$B$68,2,TRUE)*100</f>
        <v>98.99</v>
      </c>
      <c r="K17" s="475">
        <f>'D3 to D14'!BD25</f>
        <v>2</v>
      </c>
      <c r="L17" s="549">
        <f>VLOOKUP(K17,$A$65:$B$68,2,TRUE)*100</f>
        <v>98.99</v>
      </c>
      <c r="N17" s="475">
        <f>'D3 to D14'!BE25</f>
        <v>2</v>
      </c>
      <c r="O17" s="9" t="s">
        <v>10</v>
      </c>
      <c r="P17" s="549">
        <f t="shared" si="25"/>
        <v>98.99</v>
      </c>
      <c r="R17" s="475">
        <f>'D3 to D14'!BF25</f>
        <v>2</v>
      </c>
      <c r="S17" s="549">
        <f t="shared" si="26"/>
        <v>98.99</v>
      </c>
      <c r="T17" s="9" t="str">
        <f>_DEL_2.3_T</f>
        <v>N/A</v>
      </c>
      <c r="U17" s="549" t="str">
        <f>IFERROR((_DEL_2.3_T/_DEL_2.3_MT)*98.99,"N/A")</f>
        <v>N/A</v>
      </c>
      <c r="V17" s="549">
        <f t="shared" si="27"/>
        <v>98.99</v>
      </c>
      <c r="X17" s="475">
        <f>'D3 to D14'!BG25</f>
        <v>2</v>
      </c>
      <c r="Y17" s="549">
        <f t="shared" si="28"/>
        <v>98.99</v>
      </c>
      <c r="Z17" s="482" t="str">
        <f>_BKK_2.3_T</f>
        <v>N/A</v>
      </c>
      <c r="AA17" s="549" t="str">
        <f>IFERROR((_BKK_2.3_T/_BKK_2.3_MT)*98.99,"N/A")</f>
        <v>N/A</v>
      </c>
      <c r="AB17" s="549">
        <f t="shared" si="29"/>
        <v>98.99</v>
      </c>
      <c r="AC17" s="16"/>
      <c r="AD17" s="475">
        <f>'D3 to D14'!BH25</f>
        <v>2</v>
      </c>
      <c r="AE17" s="549">
        <f t="shared" si="30"/>
        <v>98.99</v>
      </c>
      <c r="AF17" s="483" t="str">
        <f>_LHRAT_2.3_T</f>
        <v>N/A</v>
      </c>
      <c r="AG17" s="549" t="str">
        <f>IFERROR((_LHRAT_2.3_T/_LHRAT_2.3_MT)*98.99,"N/A")</f>
        <v>N/A</v>
      </c>
      <c r="AH17" s="549">
        <f t="shared" si="31"/>
        <v>98.99</v>
      </c>
      <c r="AI17" s="16"/>
      <c r="AJ17" s="475">
        <f>'D3 to D14'!BH25</f>
        <v>2</v>
      </c>
      <c r="AK17" s="549">
        <f t="shared" si="32"/>
        <v>98.99</v>
      </c>
      <c r="AL17" s="483" t="str">
        <f>_LHRLU_2.3_T</f>
        <v>N/A</v>
      </c>
      <c r="AM17" s="549" t="str">
        <f>IFERROR((_LHRLU_2.3_T/_LHRLU_2.3_MT)*98.99,"N/A")</f>
        <v>N/A</v>
      </c>
      <c r="AN17" s="549">
        <f t="shared" si="33"/>
        <v>98.99</v>
      </c>
      <c r="AO17" s="16"/>
      <c r="AP17" s="475">
        <f>'D3 to D14'!BI25</f>
        <v>2</v>
      </c>
      <c r="AQ17" s="549">
        <f t="shared" si="34"/>
        <v>98.99</v>
      </c>
      <c r="AR17" s="483" t="str">
        <f>_JFKLU_2.3_T</f>
        <v>N/A</v>
      </c>
      <c r="AS17" s="549" t="str">
        <f>IFERROR((_JFKLU_2.3_T/_JFKLU_2.3_MT)*98.99,"N/A")</f>
        <v>N/A</v>
      </c>
      <c r="AT17" s="549">
        <f t="shared" si="35"/>
        <v>98.99</v>
      </c>
      <c r="AV17" s="475">
        <f>'D3 to D14'!BI25</f>
        <v>2</v>
      </c>
      <c r="AW17" s="549">
        <f t="shared" si="36"/>
        <v>98.99</v>
      </c>
      <c r="AX17" s="483" t="str">
        <f>_JFKLBBF_2.3_T</f>
        <v>N/A</v>
      </c>
      <c r="AY17" s="549" t="str">
        <f>IFERROR((_JFKLBBF_2.3_T/_JFKLBBF_2.3_MT)*98.99,"N/A")</f>
        <v>N/A</v>
      </c>
      <c r="AZ17" s="549">
        <f t="shared" si="37"/>
        <v>98.99</v>
      </c>
      <c r="BB17" s="475" t="str">
        <f>'D3 to D14'!BJ25</f>
        <v>N/A</v>
      </c>
      <c r="BC17" s="549"/>
      <c r="BD17" s="9"/>
      <c r="BE17" s="475" t="str">
        <f>'D3 to D14'!BK25</f>
        <v>N/A</v>
      </c>
      <c r="BF17" s="549"/>
      <c r="BG17" s="9"/>
      <c r="BH17" s="475" t="str">
        <f>'D3 to D14'!BL25</f>
        <v>N/A</v>
      </c>
      <c r="BI17" s="549"/>
      <c r="BJ17" s="9"/>
      <c r="BK17" s="37">
        <f t="shared" si="38"/>
        <v>98.99</v>
      </c>
      <c r="BL17" s="37">
        <f t="shared" si="39"/>
        <v>98.99</v>
      </c>
      <c r="BM17" s="101" t="str">
        <f t="shared" si="40"/>
        <v/>
      </c>
      <c r="BN17" s="101" t="str">
        <f t="shared" si="40"/>
        <v/>
      </c>
    </row>
    <row r="18" spans="1:66" ht="30" customHeight="1">
      <c r="A18" s="477" t="str">
        <f>'Rubric (.)'!A19:D19</f>
        <v>2.4 Service Style: Fully reflected expectations for their cabin</v>
      </c>
      <c r="B18" s="475" t="str">
        <f>'D3 to D14'!BA27</f>
        <v>N/A</v>
      </c>
      <c r="C18" s="549"/>
      <c r="E18" s="475" t="str">
        <f>'D3 to D14'!BB27</f>
        <v>N/A</v>
      </c>
      <c r="F18" s="549"/>
      <c r="H18" s="475" t="str">
        <f>'D3 to D14'!BC27</f>
        <v>N/A</v>
      </c>
      <c r="I18" s="549"/>
      <c r="K18" s="475" t="str">
        <f>'D3 to D14'!BD27</f>
        <v>N/A</v>
      </c>
      <c r="L18" s="549"/>
      <c r="N18" s="475">
        <f>'D3 to D14'!BE27</f>
        <v>2</v>
      </c>
      <c r="O18" s="9">
        <f>'PRC | KHI AS'!T51</f>
        <v>0</v>
      </c>
      <c r="P18" s="549">
        <f t="shared" si="25"/>
        <v>98.99</v>
      </c>
      <c r="R18" s="475">
        <f>'D3 to D14'!BF27</f>
        <v>2</v>
      </c>
      <c r="S18" s="549">
        <f t="shared" si="26"/>
        <v>98.99</v>
      </c>
      <c r="T18" s="9" t="str">
        <f>_DEL_2.4_T</f>
        <v>N/A</v>
      </c>
      <c r="U18" s="549" t="str">
        <f>IFERROR((_DEL_2.4_T/_DEL_2.4_MT)*98.99,"N/A")</f>
        <v>N/A</v>
      </c>
      <c r="V18" s="549">
        <f t="shared" si="27"/>
        <v>98.99</v>
      </c>
      <c r="X18" s="475">
        <f>'D3 to D14'!BG27</f>
        <v>2</v>
      </c>
      <c r="Y18" s="549">
        <f t="shared" si="28"/>
        <v>98.99</v>
      </c>
      <c r="Z18" s="482" t="str">
        <f>_BKK_2.4_T</f>
        <v>N/A</v>
      </c>
      <c r="AA18" s="549" t="str">
        <f>IFERROR((_BKK_2.4_T/_BKK_2.4_MT)*98.99,"N/A")</f>
        <v>N/A</v>
      </c>
      <c r="AB18" s="549">
        <f t="shared" si="29"/>
        <v>98.99</v>
      </c>
      <c r="AC18" s="16"/>
      <c r="AD18" s="475">
        <f>'D3 to D14'!BH27</f>
        <v>2</v>
      </c>
      <c r="AE18" s="549">
        <f t="shared" si="30"/>
        <v>98.99</v>
      </c>
      <c r="AF18" s="483" t="str">
        <f>_LHRAT_2.4_T</f>
        <v>N/A</v>
      </c>
      <c r="AG18" s="549" t="str">
        <f>IFERROR((_LHRAT_2.4_T/_LHRAT_2.4_MT)*98.99,"N/A")</f>
        <v>N/A</v>
      </c>
      <c r="AH18" s="549">
        <f t="shared" si="31"/>
        <v>98.99</v>
      </c>
      <c r="AI18" s="16"/>
      <c r="AJ18" s="475">
        <f>'D3 to D14'!BH27</f>
        <v>2</v>
      </c>
      <c r="AK18" s="549">
        <f t="shared" si="32"/>
        <v>98.99</v>
      </c>
      <c r="AL18" s="483" t="str">
        <f>_LHRLU_2.4_T</f>
        <v>N/A</v>
      </c>
      <c r="AM18" s="549" t="str">
        <f>IFERROR((_LHRLU_2.4_T/_LHRLU_2.4_MT)*98.99,"N/A")</f>
        <v>N/A</v>
      </c>
      <c r="AN18" s="549">
        <f t="shared" si="33"/>
        <v>98.99</v>
      </c>
      <c r="AO18" s="16"/>
      <c r="AP18" s="475">
        <f>'D3 to D14'!BI27</f>
        <v>2</v>
      </c>
      <c r="AQ18" s="549">
        <f t="shared" si="34"/>
        <v>98.99</v>
      </c>
      <c r="AR18" s="483" t="str">
        <f>_JFKLU_2.4_T</f>
        <v>N/A</v>
      </c>
      <c r="AS18" s="549" t="str">
        <f>IFERROR((_JFKLU_2.4_T/_JFKLU_2.4_MT)*98.99,"N/A")</f>
        <v>N/A</v>
      </c>
      <c r="AT18" s="549">
        <f t="shared" si="35"/>
        <v>98.99</v>
      </c>
      <c r="AV18" s="475">
        <f>'D3 to D14'!BI27</f>
        <v>2</v>
      </c>
      <c r="AW18" s="549">
        <f t="shared" si="36"/>
        <v>98.99</v>
      </c>
      <c r="AX18" s="483" t="str">
        <f>_JFKLBBF_2.4_T</f>
        <v>N/A</v>
      </c>
      <c r="AY18" s="549" t="str">
        <f>IFERROR((_JFKLBBF_2.4_T/_JFKLBBF_2.4_MT)*98.99,"N/A")</f>
        <v>N/A</v>
      </c>
      <c r="AZ18" s="549">
        <f t="shared" si="37"/>
        <v>98.99</v>
      </c>
      <c r="BB18" s="475" t="str">
        <f>'D3 to D14'!BJ27</f>
        <v>N/A</v>
      </c>
      <c r="BC18" s="549"/>
      <c r="BD18" s="9"/>
      <c r="BE18" s="475" t="str">
        <f>'D3 to D14'!BK27</f>
        <v>N/A</v>
      </c>
      <c r="BF18" s="549"/>
      <c r="BG18" s="9"/>
      <c r="BH18" s="475" t="str">
        <f>'D3 to D14'!BL27</f>
        <v>N/A</v>
      </c>
      <c r="BI18" s="549"/>
      <c r="BJ18" s="9"/>
      <c r="BK18" s="37">
        <f t="shared" si="38"/>
        <v>98.99</v>
      </c>
      <c r="BL18" s="37">
        <f t="shared" si="39"/>
        <v>98.99</v>
      </c>
      <c r="BM18" s="101" t="str">
        <f t="shared" si="40"/>
        <v/>
      </c>
      <c r="BN18" s="101" t="str">
        <f t="shared" si="40"/>
        <v/>
      </c>
    </row>
    <row r="19" spans="1:66" ht="20" customHeight="1">
      <c r="A19" s="462" t="s">
        <v>24</v>
      </c>
      <c r="B19" s="473" t="e">
        <f>AVERAGE(B15:B18)</f>
        <v>#DIV/0!</v>
      </c>
      <c r="C19" s="474" t="e">
        <f>AVERAGE(C15:C18)</f>
        <v>#DIV/0!</v>
      </c>
      <c r="D19" s="9"/>
      <c r="E19" s="473" t="e">
        <f>AVERAGE(E15:E18)</f>
        <v>#DIV/0!</v>
      </c>
      <c r="F19" s="474" t="e">
        <f>AVERAGE(F15:F18)</f>
        <v>#DIV/0!</v>
      </c>
      <c r="G19" s="9"/>
      <c r="H19" s="473">
        <f>AVERAGE(H15:H18)</f>
        <v>2</v>
      </c>
      <c r="I19" s="474">
        <f>AVERAGE(I15:I18)</f>
        <v>98.99</v>
      </c>
      <c r="J19" s="9"/>
      <c r="K19" s="473">
        <f>AVERAGE(K15:K18)</f>
        <v>2</v>
      </c>
      <c r="L19" s="474">
        <f>AVERAGE(L15:L18)</f>
        <v>98.99</v>
      </c>
      <c r="M19" s="9"/>
      <c r="N19" s="473">
        <f>AVERAGE(N15:N18)</f>
        <v>2</v>
      </c>
      <c r="O19" s="476"/>
      <c r="P19" s="474">
        <f>AVERAGE(P15:P18)</f>
        <v>98.99</v>
      </c>
      <c r="R19" s="473">
        <f>AVERAGE(R15:R18)</f>
        <v>2</v>
      </c>
      <c r="S19" s="476"/>
      <c r="T19" s="476"/>
      <c r="U19" s="476"/>
      <c r="V19" s="469">
        <f>AVERAGE(V15:V18)</f>
        <v>98.99</v>
      </c>
      <c r="X19" s="473">
        <f>AVERAGE(X15:X18)</f>
        <v>2</v>
      </c>
      <c r="Y19" s="476"/>
      <c r="Z19" s="476"/>
      <c r="AA19" s="476"/>
      <c r="AB19" s="469">
        <f>AVERAGE(AB15:AB18)</f>
        <v>98.99</v>
      </c>
      <c r="AC19" s="16"/>
      <c r="AD19" s="473">
        <f>AVERAGE(AD15:AD18)</f>
        <v>2</v>
      </c>
      <c r="AE19" s="476"/>
      <c r="AF19" s="476"/>
      <c r="AG19" s="476"/>
      <c r="AH19" s="469">
        <f>AVERAGE(AH15:AH18)</f>
        <v>98.99</v>
      </c>
      <c r="AI19" s="16"/>
      <c r="AJ19" s="473">
        <f>AVERAGE(AJ15:AJ18)</f>
        <v>2</v>
      </c>
      <c r="AK19" s="476"/>
      <c r="AL19" s="476"/>
      <c r="AM19" s="476"/>
      <c r="AN19" s="469">
        <f>AVERAGE(AN15:AN18)</f>
        <v>98.99</v>
      </c>
      <c r="AO19" s="16"/>
      <c r="AP19" s="473">
        <f>AVERAGE(AP15:AP18)</f>
        <v>2</v>
      </c>
      <c r="AQ19" s="476"/>
      <c r="AR19" s="476"/>
      <c r="AS19" s="476"/>
      <c r="AT19" s="469">
        <f>AVERAGE(AT15:AT18)</f>
        <v>98.99</v>
      </c>
      <c r="AV19" s="473">
        <f>AVERAGE(AV15:AV18)</f>
        <v>2</v>
      </c>
      <c r="AW19" s="476"/>
      <c r="AX19" s="476"/>
      <c r="AY19" s="476"/>
      <c r="AZ19" s="469">
        <f>AVERAGE(AZ15:AZ18)</f>
        <v>98.99</v>
      </c>
      <c r="BB19" s="473" t="e">
        <f>AVERAGE(BB15:BB18)</f>
        <v>#DIV/0!</v>
      </c>
      <c r="BC19" s="474" t="e">
        <f>AVERAGE(BC15:BC18)</f>
        <v>#DIV/0!</v>
      </c>
      <c r="BD19" s="9"/>
      <c r="BE19" s="473" t="e">
        <f>AVERAGE(BE15:BE18)</f>
        <v>#DIV/0!</v>
      </c>
      <c r="BF19" s="474" t="e">
        <f>AVERAGE(BF15:BF18)</f>
        <v>#DIV/0!</v>
      </c>
      <c r="BG19" s="9"/>
      <c r="BH19" s="473" t="e">
        <f>AVERAGE(BH15:BH18)</f>
        <v>#DIV/0!</v>
      </c>
      <c r="BI19" s="474" t="e">
        <f>AVERAGE(BI15:BI18)</f>
        <v>#DIV/0!</v>
      </c>
      <c r="BJ19" s="9"/>
      <c r="BK19" s="38"/>
      <c r="BL19" s="38"/>
    </row>
    <row r="20" spans="1:66" ht="20" customHeight="1">
      <c r="A20" s="61"/>
      <c r="B20" s="61"/>
      <c r="C20" s="15"/>
      <c r="F20" s="22"/>
      <c r="I20" s="22"/>
      <c r="L20" s="22"/>
      <c r="P20" s="22"/>
      <c r="AC20" s="16"/>
      <c r="AI20" s="16"/>
      <c r="AO20" s="16"/>
      <c r="BC20" s="28"/>
      <c r="BF20" s="28"/>
      <c r="BI20" s="28"/>
    </row>
    <row r="21" spans="1:66" ht="30" customHeight="1">
      <c r="A21" s="459" t="str">
        <f>'Rubric (.)'!A21:D21</f>
        <v>3. My Teamwork</v>
      </c>
      <c r="B21" s="463" t="s">
        <v>0</v>
      </c>
      <c r="C21" s="464" t="s">
        <v>39</v>
      </c>
      <c r="D21" s="45"/>
      <c r="E21" s="463" t="s">
        <v>1</v>
      </c>
      <c r="F21" s="464" t="s">
        <v>39</v>
      </c>
      <c r="G21" s="45"/>
      <c r="H21" s="463" t="s">
        <v>2</v>
      </c>
      <c r="I21" s="464" t="s">
        <v>39</v>
      </c>
      <c r="J21" s="45"/>
      <c r="K21" s="463" t="s">
        <v>3</v>
      </c>
      <c r="L21" s="464" t="s">
        <v>39</v>
      </c>
      <c r="M21" s="45"/>
      <c r="N21" s="463" t="s">
        <v>7</v>
      </c>
      <c r="O21" s="497"/>
      <c r="P21" s="464" t="s">
        <v>39</v>
      </c>
      <c r="Q21" s="45"/>
      <c r="R21" s="463" t="s">
        <v>8</v>
      </c>
      <c r="S21" s="497"/>
      <c r="T21" s="497"/>
      <c r="U21" s="464" t="s">
        <v>39</v>
      </c>
      <c r="V21" s="559"/>
      <c r="W21" s="45"/>
      <c r="X21" s="463" t="s">
        <v>11</v>
      </c>
      <c r="Y21" s="497"/>
      <c r="Z21" s="497"/>
      <c r="AA21" s="464" t="s">
        <v>39</v>
      </c>
      <c r="AB21" s="559"/>
      <c r="AC21" s="9"/>
      <c r="AD21" s="463" t="s">
        <v>12</v>
      </c>
      <c r="AE21" s="497"/>
      <c r="AF21" s="497"/>
      <c r="AG21" s="464" t="s">
        <v>39</v>
      </c>
      <c r="AH21" s="559"/>
      <c r="AI21" s="9"/>
      <c r="AJ21" s="463" t="s">
        <v>12</v>
      </c>
      <c r="AK21" s="497"/>
      <c r="AL21" s="497"/>
      <c r="AM21" s="464" t="s">
        <v>39</v>
      </c>
      <c r="AN21" s="559"/>
      <c r="AO21" s="9"/>
      <c r="AP21" s="463" t="s">
        <v>13</v>
      </c>
      <c r="AQ21" s="497"/>
      <c r="AR21" s="497"/>
      <c r="AS21" s="497"/>
      <c r="AT21" s="464" t="s">
        <v>39</v>
      </c>
      <c r="AU21" s="45"/>
      <c r="AV21" s="463" t="s">
        <v>13</v>
      </c>
      <c r="AW21" s="497"/>
      <c r="AX21" s="497"/>
      <c r="AY21" s="464" t="s">
        <v>39</v>
      </c>
      <c r="AZ21" s="559"/>
      <c r="BA21" s="45"/>
      <c r="BB21" s="463" t="s">
        <v>20</v>
      </c>
      <c r="BC21" s="464" t="s">
        <v>39</v>
      </c>
      <c r="BD21" s="45"/>
      <c r="BE21" s="463" t="s">
        <v>21</v>
      </c>
      <c r="BF21" s="464" t="s">
        <v>39</v>
      </c>
      <c r="BG21" s="45"/>
      <c r="BH21" s="463" t="s">
        <v>22</v>
      </c>
      <c r="BI21" s="464" t="s">
        <v>39</v>
      </c>
      <c r="BJ21" s="21"/>
    </row>
    <row r="22" spans="1:66" ht="30" customHeight="1">
      <c r="A22" s="461" t="str">
        <f>'Rubric (.)'!A22:D22</f>
        <v>3.1 Relationship Builder: Develops good working relationship and promotes a positive work environment</v>
      </c>
      <c r="B22" s="480">
        <f>'D3 to D14'!BA32</f>
        <v>2</v>
      </c>
      <c r="C22" s="479">
        <f>VLOOKUP(B22,$A$65:$B$68,2,TRUE)*100</f>
        <v>98.99</v>
      </c>
      <c r="E22" s="480">
        <f>'D3 to D14'!BB32</f>
        <v>2</v>
      </c>
      <c r="F22" s="479">
        <f>VLOOKUP(E22,$A$65:$B$68,2,TRUE)*100</f>
        <v>98.99</v>
      </c>
      <c r="H22" s="480">
        <f>'D3 to D14'!BC32</f>
        <v>2</v>
      </c>
      <c r="I22" s="479">
        <f>VLOOKUP(H22,$A$65:$B$68,2,TRUE)*100</f>
        <v>98.99</v>
      </c>
      <c r="K22" s="480">
        <f>'D3 to D14'!BD32</f>
        <v>2</v>
      </c>
      <c r="L22" s="479">
        <f>VLOOKUP(K22,$A$65:$B$68,2,TRUE)*100</f>
        <v>98.99</v>
      </c>
      <c r="N22" s="480">
        <f>'D3 to D14'!BE32</f>
        <v>2</v>
      </c>
      <c r="O22" s="481">
        <f>'PRC | KHI AS'!V51</f>
        <v>0</v>
      </c>
      <c r="P22" s="479">
        <f>VLOOKUP(N22,$A$65:$B$68,2,TRUE)*100</f>
        <v>98.99</v>
      </c>
      <c r="R22" s="480">
        <f>'D3 to D14'!BF32</f>
        <v>2</v>
      </c>
      <c r="S22" s="479">
        <f t="shared" ref="S22:S24" si="41">VLOOKUP(R22,$A$65:$B$68,2,TRUE)*100</f>
        <v>98.99</v>
      </c>
      <c r="T22" s="481" t="str">
        <f>_DEL_3.1_T</f>
        <v>N/A</v>
      </c>
      <c r="U22" s="479" t="str">
        <f>IFERROR((_DEL_3.1_T/_DEL_3.1_MT)*98.99,"N/A")</f>
        <v>N/A</v>
      </c>
      <c r="V22" s="479">
        <f>IF(T22="N/A",S22,((S22*0.7)+(U22*0.3)))</f>
        <v>98.99</v>
      </c>
      <c r="X22" s="480">
        <f>'D3 to D14'!BG32</f>
        <v>2</v>
      </c>
      <c r="Y22" s="479">
        <f t="shared" ref="Y22:Y24" si="42">VLOOKUP(X22,$A$65:$B$68,2,TRUE)*100</f>
        <v>98.99</v>
      </c>
      <c r="Z22" s="482" t="str">
        <f>_BKK_3.1_T</f>
        <v>N/A</v>
      </c>
      <c r="AA22" s="479" t="str">
        <f>IFERROR((_BKK_3.1_T/_BKK_3.1_MT)*98.99,"N/A")</f>
        <v>N/A</v>
      </c>
      <c r="AB22" s="479">
        <f>IF(Z22="N/A",Y22,((Y22*0.7)+(AA22*0.3)))</f>
        <v>98.99</v>
      </c>
      <c r="AC22" s="16"/>
      <c r="AD22" s="480">
        <f>'D3 to D14'!BH32</f>
        <v>2</v>
      </c>
      <c r="AE22" s="479">
        <f t="shared" ref="AE22:AE24" si="43">VLOOKUP(AD22,$A$65:$B$68,2,TRUE)*100</f>
        <v>98.99</v>
      </c>
      <c r="AF22" s="483" t="str">
        <f>_LHRAT_3.1_T</f>
        <v>N/A</v>
      </c>
      <c r="AG22" s="479" t="str">
        <f>IFERROR((_LHRAT_3.1_T/_LHRAT_3.1_MT)*98.99,"N/A")</f>
        <v>N/A</v>
      </c>
      <c r="AH22" s="479">
        <f>IF(AF22="N/A",AE22,((AE22*0.7)+(AG22*0.3)))</f>
        <v>98.99</v>
      </c>
      <c r="AI22" s="16"/>
      <c r="AJ22" s="480">
        <f>'D3 to D14'!BH32</f>
        <v>2</v>
      </c>
      <c r="AK22" s="479">
        <f t="shared" ref="AK22:AK24" si="44">VLOOKUP(AJ22,$A$65:$B$68,2,TRUE)*100</f>
        <v>98.99</v>
      </c>
      <c r="AL22" s="483" t="str">
        <f>_LHRLU_3.1_T</f>
        <v>N/A</v>
      </c>
      <c r="AM22" s="479" t="str">
        <f>IFERROR((_LHRLU_3.1_T/_LHRLU_3.1_MT)*98.99,"N/A")</f>
        <v>N/A</v>
      </c>
      <c r="AN22" s="479">
        <f>IF(AL22="N/A",AK22,((AK22*0.7)+(AM22*0.3)))</f>
        <v>98.99</v>
      </c>
      <c r="AO22" s="16"/>
      <c r="AP22" s="480">
        <f>'D3 to D14'!BI32</f>
        <v>2</v>
      </c>
      <c r="AQ22" s="479">
        <f t="shared" ref="AQ22:AQ24" si="45">VLOOKUP(AP22,$A$65:$B$68,2,TRUE)*100</f>
        <v>98.99</v>
      </c>
      <c r="AR22" s="483" t="str">
        <f>_JFKLU_3.1_T</f>
        <v>N/A</v>
      </c>
      <c r="AS22" s="479" t="str">
        <f>IFERROR((_JFKLU_3.1_T/_JFKLU_3.1_MT)*98.99,"N/A")</f>
        <v>N/A</v>
      </c>
      <c r="AT22" s="479">
        <f>IF(AR22="N/A",AQ22,((AQ22*0.7)+(AS22*0.3)))</f>
        <v>98.99</v>
      </c>
      <c r="AV22" s="480">
        <f>'D3 to D14'!BI32</f>
        <v>2</v>
      </c>
      <c r="AW22" s="479">
        <f t="shared" ref="AW22:AW24" si="46">VLOOKUP(AV22,$A$65:$B$68,2,TRUE)*100</f>
        <v>98.99</v>
      </c>
      <c r="AX22" s="483" t="str">
        <f>_JFKLBBF_3.1_T</f>
        <v>N/A</v>
      </c>
      <c r="AY22" s="479" t="str">
        <f>IFERROR((_JFKLBBF_3.1_T/_JFKLBBF_3.1_MT)*98.99,"N/A")</f>
        <v>N/A</v>
      </c>
      <c r="AZ22" s="479">
        <f>IF(AX22="N/A",AW22,((AW22*0.7)+(AY22*0.3)))</f>
        <v>98.99</v>
      </c>
      <c r="BB22" s="480">
        <f>'D3 to D14'!BJ32</f>
        <v>2</v>
      </c>
      <c r="BC22" s="479">
        <f>VLOOKUP(BB22,$A$65:$B$68,2,TRUE)*100</f>
        <v>98.99</v>
      </c>
      <c r="BE22" s="480">
        <f>'D3 to D14'!BK32</f>
        <v>2</v>
      </c>
      <c r="BF22" s="479">
        <f>VLOOKUP(BE22,$A$65:$B$68,2,TRUE)*100</f>
        <v>98.99</v>
      </c>
      <c r="BH22" s="480">
        <f>'D3 to D14'!BL32</f>
        <v>2</v>
      </c>
      <c r="BI22" s="479">
        <f>VLOOKUP(BH22,$A$65:$B$68,2,TRUE)*100</f>
        <v>98.99</v>
      </c>
      <c r="BK22" s="37">
        <f t="shared" ref="BK22:BK24" si="47">AVERAGE(C22,F22,I22,L22,P22,V22,AB22,AH22,AT22,BC22,BF22,BI22)</f>
        <v>98.99</v>
      </c>
      <c r="BL22" s="37">
        <f t="shared" ref="BL22:BL24" si="48">AVERAGE(C22,F22,I22,L22,P22,V22,AB22,AN22,AZ22,BC22,BF22,BI22)</f>
        <v>98.99</v>
      </c>
      <c r="BM22" s="101" t="str">
        <f>IF(BK22&lt;70,"Below Standard","")</f>
        <v/>
      </c>
      <c r="BN22" s="101" t="str">
        <f>IF(BL22&lt;70,"Below Standard","")</f>
        <v/>
      </c>
    </row>
    <row r="23" spans="1:66" ht="30" customHeight="1">
      <c r="A23" s="461" t="str">
        <f>'Rubric (.)'!A24:D24</f>
        <v>3.2 Team Player: Helps and supports others to achieve team goals. Understands how their work affects others</v>
      </c>
      <c r="B23" s="480">
        <f>'D3 to D14'!BA34</f>
        <v>2</v>
      </c>
      <c r="C23" s="479">
        <f t="shared" ref="C23:C24" si="49">VLOOKUP(B23,$A$65:$B$68,2,TRUE)*100</f>
        <v>98.99</v>
      </c>
      <c r="E23" s="480">
        <f>'D3 to D14'!BB34</f>
        <v>2</v>
      </c>
      <c r="F23" s="479">
        <f t="shared" ref="F23:F24" si="50">VLOOKUP(E23,$A$65:$B$68,2,TRUE)*100</f>
        <v>98.99</v>
      </c>
      <c r="H23" s="480">
        <f>'D3 to D14'!BC34</f>
        <v>2</v>
      </c>
      <c r="I23" s="479">
        <f t="shared" ref="I23:I24" si="51">VLOOKUP(H23,$A$65:$B$68,2,TRUE)*100</f>
        <v>98.99</v>
      </c>
      <c r="K23" s="480">
        <f>'D3 to D14'!BD34</f>
        <v>2</v>
      </c>
      <c r="L23" s="479">
        <f t="shared" ref="L23:L24" si="52">VLOOKUP(K23,$A$65:$B$68,2,TRUE)*100</f>
        <v>98.99</v>
      </c>
      <c r="N23" s="480">
        <f>'D3 to D14'!BE34</f>
        <v>2</v>
      </c>
      <c r="O23" s="9" t="s">
        <v>10</v>
      </c>
      <c r="P23" s="479">
        <f t="shared" ref="P23:P24" si="53">VLOOKUP(N23,$A$65:$B$68,2,TRUE)*100</f>
        <v>98.99</v>
      </c>
      <c r="R23" s="480">
        <f>'D3 to D14'!BF34</f>
        <v>2</v>
      </c>
      <c r="S23" s="479">
        <f t="shared" si="41"/>
        <v>98.99</v>
      </c>
      <c r="T23" s="481" t="str">
        <f>_DEL_3.2_T</f>
        <v>N/A</v>
      </c>
      <c r="U23" s="479" t="str">
        <f>IFERROR((_DEL_3.2_T/_DEL_3.2_MT)*98.99,"N/A")</f>
        <v>N/A</v>
      </c>
      <c r="V23" s="479">
        <f t="shared" ref="V23:V24" si="54">IF(T23="N/A",S23,((S23*0.7)+(U23*0.3)))</f>
        <v>98.99</v>
      </c>
      <c r="X23" s="480">
        <f>'D3 to D14'!BG34</f>
        <v>2</v>
      </c>
      <c r="Y23" s="479">
        <f t="shared" si="42"/>
        <v>98.99</v>
      </c>
      <c r="Z23" s="482" t="str">
        <f>_BKK_3.2_T</f>
        <v>N/A</v>
      </c>
      <c r="AA23" s="479" t="str">
        <f>IFERROR((_BKK_3.2_T/_BKK_3.2_MT)*98.99,"N/A")</f>
        <v>N/A</v>
      </c>
      <c r="AB23" s="479">
        <f t="shared" ref="AB23:AB24" si="55">IF(Z23="N/A",Y23,((Y23*0.7)+(AA23*0.3)))</f>
        <v>98.99</v>
      </c>
      <c r="AC23" s="16"/>
      <c r="AD23" s="480">
        <f>'D3 to D14'!BH34</f>
        <v>2</v>
      </c>
      <c r="AE23" s="479">
        <f t="shared" si="43"/>
        <v>98.99</v>
      </c>
      <c r="AF23" s="483" t="str">
        <f>_LHRAT_3.2_T</f>
        <v>N/A</v>
      </c>
      <c r="AG23" s="479" t="str">
        <f>IFERROR((_LHRAT_3.2_T/_LHRAT_3.2_MT)*98.99,"N/A")</f>
        <v>N/A</v>
      </c>
      <c r="AH23" s="479">
        <f t="shared" ref="AH23:AH24" si="56">IF(AF23="N/A",AE23,((AE23*0.7)+(AG23*0.3)))</f>
        <v>98.99</v>
      </c>
      <c r="AI23" s="16"/>
      <c r="AJ23" s="480">
        <f>'D3 to D14'!BH34</f>
        <v>2</v>
      </c>
      <c r="AK23" s="479">
        <f t="shared" si="44"/>
        <v>98.99</v>
      </c>
      <c r="AL23" s="483" t="str">
        <f>_LHRLU_3.2_T</f>
        <v>N/A</v>
      </c>
      <c r="AM23" s="479" t="str">
        <f>IFERROR((_LHRLU_3.2_T/_LHRLU_3.2_MT)*98.99,"N/A")</f>
        <v>N/A</v>
      </c>
      <c r="AN23" s="479">
        <f t="shared" ref="AN23:AN24" si="57">IF(AL23="N/A",AK23,((AK23*0.7)+(AM23*0.3)))</f>
        <v>98.99</v>
      </c>
      <c r="AO23" s="16"/>
      <c r="AP23" s="480">
        <f>'D3 to D14'!BI34</f>
        <v>2</v>
      </c>
      <c r="AQ23" s="479">
        <f t="shared" si="45"/>
        <v>98.99</v>
      </c>
      <c r="AR23" s="483" t="str">
        <f>_JFKLU_3.2_T</f>
        <v>N/A</v>
      </c>
      <c r="AS23" s="479" t="str">
        <f>IFERROR((_JFKLU_3.2_T/_JFKLU_3.2_MT)*98.99,"N/A")</f>
        <v>N/A</v>
      </c>
      <c r="AT23" s="479">
        <f t="shared" ref="AT23:AT24" si="58">IF(AR23="N/A",AQ23,((AQ23*0.7)+(AS23*0.3)))</f>
        <v>98.99</v>
      </c>
      <c r="AV23" s="480">
        <f>'D3 to D14'!BI34</f>
        <v>2</v>
      </c>
      <c r="AW23" s="479">
        <f t="shared" si="46"/>
        <v>98.99</v>
      </c>
      <c r="AX23" s="483" t="str">
        <f>_JFKLBBF_3.2_T</f>
        <v>N/A</v>
      </c>
      <c r="AY23" s="479" t="str">
        <f>IFERROR((_JFKLBBF_3.2_T/_JFKLBBF_3.2_MT)*98.99,"N/A")</f>
        <v>N/A</v>
      </c>
      <c r="AZ23" s="479">
        <f t="shared" ref="AZ23:AZ24" si="59">IF(AX23="N/A",AW23,((AW23*0.7)+(AY23*0.3)))</f>
        <v>98.99</v>
      </c>
      <c r="BB23" s="480">
        <f>'D3 to D14'!BJ34</f>
        <v>2</v>
      </c>
      <c r="BC23" s="479">
        <f t="shared" ref="BC23:BC24" si="60">VLOOKUP(BB23,$A$65:$B$68,2,TRUE)*100</f>
        <v>98.99</v>
      </c>
      <c r="BE23" s="480">
        <f>'D3 to D14'!BK34</f>
        <v>2</v>
      </c>
      <c r="BF23" s="479">
        <f t="shared" ref="BF23:BF24" si="61">VLOOKUP(BE23,$A$65:$B$68,2,TRUE)*100</f>
        <v>98.99</v>
      </c>
      <c r="BH23" s="480">
        <f>'D3 to D14'!BL34</f>
        <v>2</v>
      </c>
      <c r="BI23" s="479">
        <f t="shared" ref="BI23:BI24" si="62">VLOOKUP(BH23,$A$65:$B$68,2,TRUE)*100</f>
        <v>98.99</v>
      </c>
      <c r="BK23" s="37">
        <f t="shared" si="47"/>
        <v>98.99</v>
      </c>
      <c r="BL23" s="37">
        <f t="shared" si="48"/>
        <v>98.99</v>
      </c>
      <c r="BM23" s="101" t="str">
        <f t="shared" ref="BM23:BN24" si="63">IF(BK23&lt;70,"Below Standard","")</f>
        <v/>
      </c>
      <c r="BN23" s="101" t="str">
        <f t="shared" si="63"/>
        <v/>
      </c>
    </row>
    <row r="24" spans="1:66" ht="30" customHeight="1">
      <c r="A24" s="461" t="str">
        <f>'Rubric (.)'!A26:D26</f>
        <v>3.3 Effective Communicator: Communicates clearly and appropriately. Shares information to ensure the efficient and effective delivery of service. Used active listening skills</v>
      </c>
      <c r="B24" s="480">
        <f>'D3 to D14'!BA36</f>
        <v>2</v>
      </c>
      <c r="C24" s="479">
        <f t="shared" si="49"/>
        <v>98.99</v>
      </c>
      <c r="E24" s="480">
        <f>'D3 to D14'!BB36</f>
        <v>2</v>
      </c>
      <c r="F24" s="479">
        <f t="shared" si="50"/>
        <v>98.99</v>
      </c>
      <c r="H24" s="480">
        <f>'D3 to D14'!BC36</f>
        <v>2</v>
      </c>
      <c r="I24" s="479">
        <f t="shared" si="51"/>
        <v>98.99</v>
      </c>
      <c r="K24" s="480">
        <f>'D3 to D14'!BD36</f>
        <v>2</v>
      </c>
      <c r="L24" s="479">
        <f t="shared" si="52"/>
        <v>98.99</v>
      </c>
      <c r="N24" s="480">
        <f>'D3 to D14'!BE36</f>
        <v>2</v>
      </c>
      <c r="O24" s="9" t="s">
        <v>10</v>
      </c>
      <c r="P24" s="479">
        <f t="shared" si="53"/>
        <v>98.99</v>
      </c>
      <c r="R24" s="480">
        <f>'D3 to D14'!BF36</f>
        <v>2</v>
      </c>
      <c r="S24" s="479">
        <f t="shared" si="41"/>
        <v>98.99</v>
      </c>
      <c r="T24" s="481" t="str">
        <f>_DEL_3.3_T</f>
        <v>N/A</v>
      </c>
      <c r="U24" s="479" t="str">
        <f>IFERROR((_DEL_3.3_T/_DEL_3.3_MT)*98.99,"N/A")</f>
        <v>N/A</v>
      </c>
      <c r="V24" s="479">
        <f t="shared" si="54"/>
        <v>98.99</v>
      </c>
      <c r="X24" s="480">
        <f>'D3 to D14'!BG36</f>
        <v>2</v>
      </c>
      <c r="Y24" s="479">
        <f t="shared" si="42"/>
        <v>98.99</v>
      </c>
      <c r="Z24" s="482" t="str">
        <f>_BKK_3.3_T</f>
        <v>N/A</v>
      </c>
      <c r="AA24" s="479" t="str">
        <f>IFERROR((_BKK_3.3_T/_BKK_3.3_MT)*98.99,"N/A")</f>
        <v>N/A</v>
      </c>
      <c r="AB24" s="479">
        <f t="shared" si="55"/>
        <v>98.99</v>
      </c>
      <c r="AC24" s="16"/>
      <c r="AD24" s="480">
        <f>'D3 to D14'!BH36</f>
        <v>2</v>
      </c>
      <c r="AE24" s="479">
        <f t="shared" si="43"/>
        <v>98.99</v>
      </c>
      <c r="AF24" s="483" t="str">
        <f>_LHRAT_3.3_T</f>
        <v>N/A</v>
      </c>
      <c r="AG24" s="479" t="str">
        <f>IFERROR((_LHRAT_3.3_T/_LHRAT_3.3_MT)*98.99,"N/A")</f>
        <v>N/A</v>
      </c>
      <c r="AH24" s="479">
        <f t="shared" si="56"/>
        <v>98.99</v>
      </c>
      <c r="AI24" s="16"/>
      <c r="AJ24" s="480">
        <f>'D3 to D14'!BH36</f>
        <v>2</v>
      </c>
      <c r="AK24" s="479">
        <f t="shared" si="44"/>
        <v>98.99</v>
      </c>
      <c r="AL24" s="483" t="str">
        <f>_LHRLU_3.3_T</f>
        <v>N/A</v>
      </c>
      <c r="AM24" s="479" t="str">
        <f>IFERROR((_LHRLU_3.3_T/_LHRLU_3.3_MT)*98.99,"N/A")</f>
        <v>N/A</v>
      </c>
      <c r="AN24" s="479">
        <f t="shared" si="57"/>
        <v>98.99</v>
      </c>
      <c r="AO24" s="16"/>
      <c r="AP24" s="480">
        <f>'D3 to D14'!BI36</f>
        <v>2</v>
      </c>
      <c r="AQ24" s="479">
        <f t="shared" si="45"/>
        <v>98.99</v>
      </c>
      <c r="AR24" s="483" t="str">
        <f>_JFKLU_3.3_T</f>
        <v>N/A</v>
      </c>
      <c r="AS24" s="479" t="str">
        <f>IFERROR((_JFKLU_3.3_T/_JFKLU_3.3_MT)*98.99,"N/A")</f>
        <v>N/A</v>
      </c>
      <c r="AT24" s="479">
        <f t="shared" si="58"/>
        <v>98.99</v>
      </c>
      <c r="AV24" s="480">
        <f>'D3 to D14'!BI36</f>
        <v>2</v>
      </c>
      <c r="AW24" s="479">
        <f t="shared" si="46"/>
        <v>98.99</v>
      </c>
      <c r="AX24" s="483" t="str">
        <f>_JFKLBBF_3.3_T</f>
        <v>N/A</v>
      </c>
      <c r="AY24" s="479" t="str">
        <f>IFERROR((_JFKLBBF_3.3_T/_JFKLBBF_3.3_MT)*98.99,"N/A")</f>
        <v>N/A</v>
      </c>
      <c r="AZ24" s="479">
        <f t="shared" si="59"/>
        <v>98.99</v>
      </c>
      <c r="BB24" s="480">
        <f>'D3 to D14'!BJ36</f>
        <v>2</v>
      </c>
      <c r="BC24" s="479">
        <f t="shared" si="60"/>
        <v>98.99</v>
      </c>
      <c r="BE24" s="480">
        <f>'D3 to D14'!BK36</f>
        <v>2</v>
      </c>
      <c r="BF24" s="479">
        <f t="shared" si="61"/>
        <v>98.99</v>
      </c>
      <c r="BH24" s="480">
        <f>'D3 to D14'!BL36</f>
        <v>2</v>
      </c>
      <c r="BI24" s="479">
        <f t="shared" si="62"/>
        <v>98.99</v>
      </c>
      <c r="BK24" s="37">
        <f t="shared" si="47"/>
        <v>98.99</v>
      </c>
      <c r="BL24" s="37">
        <f t="shared" si="48"/>
        <v>98.99</v>
      </c>
      <c r="BM24" s="101" t="str">
        <f t="shared" si="63"/>
        <v/>
      </c>
      <c r="BN24" s="101" t="str">
        <f t="shared" si="63"/>
        <v/>
      </c>
    </row>
    <row r="25" spans="1:66" ht="20" customHeight="1">
      <c r="A25" s="462" t="s">
        <v>24</v>
      </c>
      <c r="B25" s="473">
        <f>AVERAGE(B22:B24)</f>
        <v>2</v>
      </c>
      <c r="C25" s="474">
        <f>AVERAGE(C22:C24)</f>
        <v>98.99</v>
      </c>
      <c r="D25" s="9"/>
      <c r="E25" s="473">
        <f>AVERAGE(E22:E24)</f>
        <v>2</v>
      </c>
      <c r="F25" s="474">
        <f>AVERAGE(F22:F24)</f>
        <v>98.99</v>
      </c>
      <c r="G25" s="9"/>
      <c r="H25" s="473">
        <f>AVERAGE(H22:H24)</f>
        <v>2</v>
      </c>
      <c r="I25" s="474">
        <f>AVERAGE(I22:I24)</f>
        <v>98.99</v>
      </c>
      <c r="J25" s="9"/>
      <c r="K25" s="473">
        <f>AVERAGE(K22:K24)</f>
        <v>2</v>
      </c>
      <c r="L25" s="474">
        <f>AVERAGE(L22:L24)</f>
        <v>98.99</v>
      </c>
      <c r="M25" s="9"/>
      <c r="N25" s="473">
        <f>AVERAGE(N22:N24)</f>
        <v>2</v>
      </c>
      <c r="O25" s="476"/>
      <c r="P25" s="474">
        <f>AVERAGE(P22:P24)</f>
        <v>98.99</v>
      </c>
      <c r="R25" s="473">
        <f>AVERAGE(R22:R24)</f>
        <v>2</v>
      </c>
      <c r="S25" s="476"/>
      <c r="T25" s="476"/>
      <c r="U25" s="476"/>
      <c r="V25" s="469">
        <f>AVERAGE(V22:V24)</f>
        <v>98.99</v>
      </c>
      <c r="X25" s="473">
        <f>AVERAGE(X22:X24)</f>
        <v>2</v>
      </c>
      <c r="Y25" s="476"/>
      <c r="Z25" s="476"/>
      <c r="AA25" s="476"/>
      <c r="AB25" s="469">
        <f>AVERAGE(AB22:AB24)</f>
        <v>98.99</v>
      </c>
      <c r="AC25" s="16"/>
      <c r="AD25" s="473">
        <f>AVERAGE(AD22:AD24)</f>
        <v>2</v>
      </c>
      <c r="AE25" s="476"/>
      <c r="AF25" s="476"/>
      <c r="AG25" s="476"/>
      <c r="AH25" s="469">
        <f>AVERAGE(AH22:AH24)</f>
        <v>98.99</v>
      </c>
      <c r="AI25" s="16"/>
      <c r="AJ25" s="473">
        <f>AVERAGE(AJ22:AJ24)</f>
        <v>2</v>
      </c>
      <c r="AK25" s="476"/>
      <c r="AL25" s="476"/>
      <c r="AN25" s="469">
        <f>AVERAGE(AN22:AN24)</f>
        <v>98.99</v>
      </c>
      <c r="AO25" s="16"/>
      <c r="AP25" s="473">
        <f>AVERAGE(AP22:AP24)</f>
        <v>2</v>
      </c>
      <c r="AQ25" s="476"/>
      <c r="AR25" s="476"/>
      <c r="AT25" s="469">
        <f>AVERAGE(AT22:AT24)</f>
        <v>98.99</v>
      </c>
      <c r="AV25" s="473">
        <f>AVERAGE(AV22:AV24)</f>
        <v>2</v>
      </c>
      <c r="AW25" s="476"/>
      <c r="AX25" s="476"/>
      <c r="AZ25" s="469">
        <f>AVERAGE(AZ22:AZ24)</f>
        <v>98.99</v>
      </c>
      <c r="BB25" s="473">
        <f>AVERAGE(BB22:BB24)</f>
        <v>2</v>
      </c>
      <c r="BC25" s="474">
        <f>AVERAGE(BC22:BC24)</f>
        <v>98.99</v>
      </c>
      <c r="BE25" s="473">
        <f>AVERAGE(BE22:BE24)</f>
        <v>2</v>
      </c>
      <c r="BF25" s="474">
        <f>AVERAGE(BF22:BF24)</f>
        <v>98.99</v>
      </c>
      <c r="BH25" s="473">
        <f>AVERAGE(BH22:BH24)</f>
        <v>2</v>
      </c>
      <c r="BI25" s="474">
        <f>AVERAGE(BI22:BI24)</f>
        <v>98.99</v>
      </c>
      <c r="BK25" s="39"/>
      <c r="BL25" s="39"/>
    </row>
    <row r="26" spans="1:66" ht="20" customHeight="1">
      <c r="A26" s="61"/>
      <c r="B26" s="61"/>
      <c r="C26" s="15"/>
      <c r="F26" s="22"/>
      <c r="I26" s="22"/>
      <c r="L26" s="22"/>
      <c r="P26" s="22"/>
      <c r="AC26" s="16"/>
      <c r="AI26" s="16"/>
      <c r="AO26" s="16"/>
      <c r="BC26" s="28"/>
      <c r="BF26" s="28"/>
      <c r="BI26" s="28"/>
    </row>
    <row r="27" spans="1:66" ht="30" customHeight="1">
      <c r="A27" s="471" t="str">
        <f>'Rubric (.)'!A28:D28</f>
        <v>4. My Knowledge and Professional Image</v>
      </c>
      <c r="B27" s="463" t="s">
        <v>0</v>
      </c>
      <c r="C27" s="464" t="s">
        <v>39</v>
      </c>
      <c r="D27" s="45"/>
      <c r="E27" s="463" t="s">
        <v>1</v>
      </c>
      <c r="F27" s="464" t="s">
        <v>39</v>
      </c>
      <c r="G27" s="45"/>
      <c r="H27" s="463" t="s">
        <v>2</v>
      </c>
      <c r="I27" s="464" t="s">
        <v>39</v>
      </c>
      <c r="J27" s="45"/>
      <c r="K27" s="463" t="s">
        <v>3</v>
      </c>
      <c r="L27" s="464" t="s">
        <v>39</v>
      </c>
      <c r="M27" s="45"/>
      <c r="N27" s="463" t="s">
        <v>7</v>
      </c>
      <c r="O27" s="497"/>
      <c r="P27" s="464" t="s">
        <v>39</v>
      </c>
      <c r="Q27" s="45"/>
      <c r="R27" s="463" t="s">
        <v>8</v>
      </c>
      <c r="S27" s="497"/>
      <c r="T27" s="497"/>
      <c r="U27" s="464" t="s">
        <v>39</v>
      </c>
      <c r="V27" s="559"/>
      <c r="W27" s="45"/>
      <c r="X27" s="463" t="s">
        <v>11</v>
      </c>
      <c r="Y27" s="497"/>
      <c r="Z27" s="497"/>
      <c r="AA27" s="464" t="s">
        <v>39</v>
      </c>
      <c r="AB27" s="559"/>
      <c r="AC27" s="9"/>
      <c r="AD27" s="463" t="s">
        <v>12</v>
      </c>
      <c r="AE27" s="497"/>
      <c r="AF27" s="497"/>
      <c r="AG27" s="464" t="s">
        <v>39</v>
      </c>
      <c r="AH27" s="559"/>
      <c r="AI27" s="9"/>
      <c r="AJ27" s="463" t="s">
        <v>12</v>
      </c>
      <c r="AK27" s="497"/>
      <c r="AL27" s="497"/>
      <c r="AM27" s="464" t="s">
        <v>39</v>
      </c>
      <c r="AN27" s="559"/>
      <c r="AO27" s="9"/>
      <c r="AP27" s="463" t="s">
        <v>13</v>
      </c>
      <c r="AQ27" s="497"/>
      <c r="AR27" s="497"/>
      <c r="AS27" s="497"/>
      <c r="AT27" s="464" t="s">
        <v>39</v>
      </c>
      <c r="AU27" s="45"/>
      <c r="AV27" s="463" t="s">
        <v>13</v>
      </c>
      <c r="AW27" s="497"/>
      <c r="AX27" s="497"/>
      <c r="AY27" s="464" t="s">
        <v>39</v>
      </c>
      <c r="AZ27" s="559"/>
      <c r="BA27" s="45"/>
      <c r="BB27" s="463" t="s">
        <v>20</v>
      </c>
      <c r="BC27" s="464" t="s">
        <v>39</v>
      </c>
      <c r="BD27" s="45"/>
      <c r="BE27" s="463" t="s">
        <v>21</v>
      </c>
      <c r="BF27" s="464" t="s">
        <v>39</v>
      </c>
      <c r="BG27" s="45"/>
      <c r="BH27" s="463" t="s">
        <v>22</v>
      </c>
      <c r="BI27" s="464" t="s">
        <v>39</v>
      </c>
      <c r="BJ27" s="21"/>
    </row>
    <row r="28" spans="1:66" ht="30" customHeight="1">
      <c r="A28" s="472" t="str">
        <f>'Rubric (.)'!A29:D29</f>
        <v>4.1 Image &amp; Uniform</v>
      </c>
      <c r="B28" s="467">
        <f>'D3 to D14'!BA41</f>
        <v>2</v>
      </c>
      <c r="C28" s="550">
        <f>VLOOKUP(B28,$A$65:$B$68,2,TRUE)*100</f>
        <v>98.99</v>
      </c>
      <c r="E28" s="467">
        <f>'D3 to D14'!BB41</f>
        <v>2</v>
      </c>
      <c r="F28" s="550">
        <f>VLOOKUP(E28,$A$65:$B$68,2,TRUE)*100</f>
        <v>98.99</v>
      </c>
      <c r="H28" s="467">
        <f>'D3 to D14'!BC41</f>
        <v>2</v>
      </c>
      <c r="I28" s="550">
        <f>VLOOKUP(H28,$A$65:$B$68,2,TRUE)*100</f>
        <v>98.99</v>
      </c>
      <c r="K28" s="467">
        <f>'D3 to D14'!BD41</f>
        <v>2</v>
      </c>
      <c r="L28" s="550">
        <f>VLOOKUP(K28,$A$65:$B$68,2,TRUE)*100</f>
        <v>98.99</v>
      </c>
      <c r="N28" s="467">
        <f>'D3 to D14'!BE41</f>
        <v>2</v>
      </c>
      <c r="O28" s="9" t="s">
        <v>10</v>
      </c>
      <c r="P28" s="550">
        <f>VLOOKUP(N28,$A$65:$B$68,2,TRUE)*100</f>
        <v>98.99</v>
      </c>
      <c r="R28" s="467">
        <f>'D3 to D14'!BF41</f>
        <v>2</v>
      </c>
      <c r="S28" s="550">
        <f t="shared" ref="S28:S31" si="64">VLOOKUP(R28,$A$65:$B$68,2,TRUE)*100</f>
        <v>98.99</v>
      </c>
      <c r="T28" s="482" t="str">
        <f>_DEL_4.1_T</f>
        <v>N/A</v>
      </c>
      <c r="U28" s="550" t="str">
        <f>IFERROR((_DEL_4.1_T/_DEL_4.1_MT)*98.99,"N/A")</f>
        <v>N/A</v>
      </c>
      <c r="V28" s="550">
        <f>IF(T28="N/A",S28,((S28*0.7)+(U28*0.3)))</f>
        <v>98.99</v>
      </c>
      <c r="X28" s="467">
        <f>'D3 to D14'!BG41</f>
        <v>2</v>
      </c>
      <c r="Y28" s="550">
        <f t="shared" ref="Y28:Y31" si="65">VLOOKUP(X28,$A$65:$B$68,2,TRUE)*100</f>
        <v>98.99</v>
      </c>
      <c r="Z28" s="482" t="str">
        <f>_BKK_4.1_T</f>
        <v>N/A</v>
      </c>
      <c r="AA28" s="550" t="str">
        <f>IFERROR((_BKK_4.1_T/_BKK_4.1_MT)*98.99,"N/A")</f>
        <v>N/A</v>
      </c>
      <c r="AB28" s="550">
        <f>IF(Z28="N/A",Y28,((Y28*0.7)+(AA28*0.3)))</f>
        <v>98.99</v>
      </c>
      <c r="AC28" s="16"/>
      <c r="AD28" s="467">
        <f>'D3 to D14'!BH41</f>
        <v>2</v>
      </c>
      <c r="AE28" s="550">
        <f t="shared" ref="AE28:AE31" si="66">VLOOKUP(AD28,$A$65:$B$68,2,TRUE)*100</f>
        <v>98.99</v>
      </c>
      <c r="AF28" s="483" t="str">
        <f>_LHRAT_4.1_T</f>
        <v>N/A</v>
      </c>
      <c r="AG28" s="550" t="str">
        <f>IFERROR((_LHRAT_4.1_T/_LHRAT_4.1_MT)*98.99,"N/A")</f>
        <v>N/A</v>
      </c>
      <c r="AH28" s="550">
        <f>IF(AF28="N/A",AE28,((AE28*0.7)+(AG28*0.3)))</f>
        <v>98.99</v>
      </c>
      <c r="AI28" s="16"/>
      <c r="AJ28" s="467">
        <f>'D3 to D14'!BH41</f>
        <v>2</v>
      </c>
      <c r="AK28" s="550">
        <f t="shared" ref="AK28:AK31" si="67">VLOOKUP(AJ28,$A$65:$B$68,2,TRUE)*100</f>
        <v>98.99</v>
      </c>
      <c r="AL28" s="483" t="str">
        <f>_LHRLU_4.1_T</f>
        <v>N/A</v>
      </c>
      <c r="AM28" s="550" t="str">
        <f>IFERROR((_LHRLU_4.1_T/_LHRLU_4.1_MT)*98.99,"N/A")</f>
        <v>N/A</v>
      </c>
      <c r="AN28" s="550">
        <f>IF(AL28="N/A",AK28,((AK28*0.7)+(AM28*0.3)))</f>
        <v>98.99</v>
      </c>
      <c r="AO28" s="16"/>
      <c r="AP28" s="467">
        <f>'D3 to D14'!BI41</f>
        <v>2</v>
      </c>
      <c r="AQ28" s="550">
        <f t="shared" ref="AQ28:AQ31" si="68">VLOOKUP(AP28,$A$65:$B$68,2,TRUE)*100</f>
        <v>98.99</v>
      </c>
      <c r="AR28" s="483" t="str">
        <f>_JFKLU_4.1_T</f>
        <v>N/A</v>
      </c>
      <c r="AS28" s="550" t="str">
        <f>IFERROR((_JFKLU_4.1_T/_JFKLU_4.1_MT)*98.99,"N/A")</f>
        <v>N/A</v>
      </c>
      <c r="AT28" s="550">
        <f>IF(AR28="N/A",AQ28,((AQ28*0.7)+(AS28*0.3)))</f>
        <v>98.99</v>
      </c>
      <c r="AV28" s="467">
        <f>'D3 to D14'!BI41</f>
        <v>2</v>
      </c>
      <c r="AW28" s="550">
        <f t="shared" ref="AW28:AW31" si="69">VLOOKUP(AV28,$A$65:$B$68,2,TRUE)*100</f>
        <v>98.99</v>
      </c>
      <c r="AX28" s="483" t="str">
        <f>_JFKLBBF_4.1_T</f>
        <v>N/A</v>
      </c>
      <c r="AY28" s="550" t="str">
        <f>IFERROR((_JFKLBBF_4.1_T/_JFKLBBF_4.1_MT)*98.99,"N/A")</f>
        <v>N/A</v>
      </c>
      <c r="AZ28" s="550">
        <f>IF(AX28="N/A",AW28,((AW28*0.7)+(AY28*0.3)))</f>
        <v>98.99</v>
      </c>
      <c r="BB28" s="467">
        <f>'D3 to D14'!BJ41</f>
        <v>2</v>
      </c>
      <c r="BC28" s="550">
        <f>VLOOKUP(BB28,$A$65:$B$68,2,TRUE)*100</f>
        <v>98.99</v>
      </c>
      <c r="BE28" s="467">
        <f>'D3 to D14'!BK41</f>
        <v>2</v>
      </c>
      <c r="BF28" s="550">
        <f>VLOOKUP(BE28,$A$65:$B$68,2,TRUE)*100</f>
        <v>98.99</v>
      </c>
      <c r="BH28" s="467">
        <f>'D3 to D14'!BL41</f>
        <v>2</v>
      </c>
      <c r="BI28" s="550">
        <f>VLOOKUP(BH28,$A$65:$B$68,2,TRUE)*100</f>
        <v>98.99</v>
      </c>
      <c r="BK28" s="37">
        <f t="shared" ref="BK28:BK30" si="70">AVERAGE(C28,F28,I28,L28,P28,V28,AB28,AH28,AT28,BC28,BF28,BI28)</f>
        <v>98.99</v>
      </c>
      <c r="BL28" s="37">
        <f t="shared" ref="BL28:BL30" si="71">AVERAGE(C28,F28,I28,L28,P28,V28,AB28,AN28,AZ28,BC28,BF28,BI28)</f>
        <v>98.99</v>
      </c>
      <c r="BM28" s="101" t="str">
        <f>IF(BK28&lt;70,"Below Standard","")</f>
        <v/>
      </c>
      <c r="BN28" s="101" t="str">
        <f>IF(BL28&lt;70,"Below Standard","")</f>
        <v/>
      </c>
    </row>
    <row r="29" spans="1:66" ht="30" customHeight="1">
      <c r="A29" s="472" t="str">
        <f>'Rubric (.)'!A31:D31</f>
        <v>4.2  SEP/ SEC/ GMT</v>
      </c>
      <c r="B29" s="467" t="str">
        <f>'D3 to D14'!BA43</f>
        <v>N/A</v>
      </c>
      <c r="C29" s="550"/>
      <c r="E29" s="467" t="str">
        <f>'D3 to D14'!BB43</f>
        <v>N/A</v>
      </c>
      <c r="F29" s="550"/>
      <c r="H29" s="467">
        <f>'D3 to D14'!BC43</f>
        <v>2</v>
      </c>
      <c r="I29" s="550">
        <f t="shared" ref="I29:I31" si="72">VLOOKUP(H29,$A$65:$B$68,2,TRUE)*100</f>
        <v>98.99</v>
      </c>
      <c r="K29" s="467">
        <f>'D3 to D14'!BD43</f>
        <v>2</v>
      </c>
      <c r="L29" s="550">
        <f t="shared" ref="L29:L31" si="73">VLOOKUP(K29,$A$65:$B$68,2,TRUE)*100</f>
        <v>98.99</v>
      </c>
      <c r="N29" s="467">
        <f>'D3 to D14'!BE43</f>
        <v>2</v>
      </c>
      <c r="O29" s="9" t="s">
        <v>10</v>
      </c>
      <c r="P29" s="550">
        <f t="shared" ref="P29:P31" si="74">VLOOKUP(N29,$A$65:$B$68,2,TRUE)*100</f>
        <v>98.99</v>
      </c>
      <c r="R29" s="467">
        <f>'D3 to D14'!BF43</f>
        <v>2</v>
      </c>
      <c r="S29" s="550">
        <f t="shared" si="64"/>
        <v>98.99</v>
      </c>
      <c r="T29" s="482" t="str">
        <f>_DEL_4.2_T</f>
        <v>N/A</v>
      </c>
      <c r="U29" s="550" t="str">
        <f>IFERROR((_DEL_4.2_T/_DEL_4.2_MT)*98.99,"N/A")</f>
        <v>N/A</v>
      </c>
      <c r="V29" s="550">
        <f t="shared" ref="V29:V31" si="75">IF(T29="N/A",S29,((S29*0.7)+(U29*0.3)))</f>
        <v>98.99</v>
      </c>
      <c r="X29" s="467">
        <f>'D3 to D14'!BG43</f>
        <v>2</v>
      </c>
      <c r="Y29" s="550">
        <f t="shared" si="65"/>
        <v>98.99</v>
      </c>
      <c r="Z29" s="482" t="str">
        <f>_BKK_4.2_T</f>
        <v>N/A</v>
      </c>
      <c r="AA29" s="550" t="str">
        <f>IFERROR((_BKK_4.2_T/_BKK_4.2_MT)*98.99,"N/A")</f>
        <v>N/A</v>
      </c>
      <c r="AB29" s="550">
        <f t="shared" ref="AB29:AB31" si="76">IF(Z29="N/A",Y29,((Y29*0.7)+(AA29*0.3)))</f>
        <v>98.99</v>
      </c>
      <c r="AC29" s="16"/>
      <c r="AD29" s="467">
        <f>'D3 to D14'!BH43</f>
        <v>2</v>
      </c>
      <c r="AE29" s="550">
        <f t="shared" si="66"/>
        <v>98.99</v>
      </c>
      <c r="AF29" s="483" t="str">
        <f>_LHRAT_4.2_T</f>
        <v>N/A</v>
      </c>
      <c r="AG29" s="550" t="str">
        <f>IFERROR((_LHRAT_4.2_T/_LHRAT_4.2_MT)*98.99,"N/A")</f>
        <v>N/A</v>
      </c>
      <c r="AH29" s="550">
        <f t="shared" ref="AH29:AH31" si="77">IF(AF29="N/A",AE29,((AE29*0.7)+(AG29*0.3)))</f>
        <v>98.99</v>
      </c>
      <c r="AI29" s="16"/>
      <c r="AJ29" s="467">
        <f>'D3 to D14'!BH43</f>
        <v>2</v>
      </c>
      <c r="AK29" s="550">
        <f t="shared" si="67"/>
        <v>98.99</v>
      </c>
      <c r="AL29" s="483" t="str">
        <f>_LHRLU_4.2_T</f>
        <v>N/A</v>
      </c>
      <c r="AM29" s="550" t="str">
        <f>IFERROR((_LHRLU_4.2_T/_LHRLU_4.2_MT)*98.99,"N/A")</f>
        <v>N/A</v>
      </c>
      <c r="AN29" s="550">
        <f t="shared" ref="AN29:AN31" si="78">IF(AL29="N/A",AK29,((AK29*0.7)+(AM29*0.3)))</f>
        <v>98.99</v>
      </c>
      <c r="AO29" s="16"/>
      <c r="AP29" s="467">
        <f>'D3 to D14'!BI43</f>
        <v>2</v>
      </c>
      <c r="AQ29" s="550">
        <f t="shared" si="68"/>
        <v>98.99</v>
      </c>
      <c r="AR29" s="483" t="str">
        <f>_JFKLU_4.2_T</f>
        <v>N/A</v>
      </c>
      <c r="AS29" s="550" t="str">
        <f>IFERROR((_JFKLU_4.2_T/_JFKLU_4.2_MT)*98.99,"N/A")</f>
        <v>N/A</v>
      </c>
      <c r="AT29" s="550">
        <f t="shared" ref="AT29:AT31" si="79">IF(AR29="N/A",AQ29,((AQ29*0.7)+(AS29*0.3)))</f>
        <v>98.99</v>
      </c>
      <c r="AV29" s="467">
        <f>'D3 to D14'!BI43</f>
        <v>2</v>
      </c>
      <c r="AW29" s="550">
        <f t="shared" si="69"/>
        <v>98.99</v>
      </c>
      <c r="AX29" s="483" t="str">
        <f>_JFKLBBF_4.2_T</f>
        <v>N/A</v>
      </c>
      <c r="AY29" s="550" t="str">
        <f>IFERROR((_JFKLBBF_4.2_T/_JFKLBBF_4.2_MT)*98.99,"N/A")</f>
        <v>N/A</v>
      </c>
      <c r="AZ29" s="550">
        <f t="shared" ref="AZ29:AZ31" si="80">IF(AX29="N/A",AW29,((AW29*0.7)+(AY29*0.3)))</f>
        <v>98.99</v>
      </c>
      <c r="BB29" s="467" t="str">
        <f>'D3 to D14'!BJ43</f>
        <v>N/A</v>
      </c>
      <c r="BC29" s="550"/>
      <c r="BE29" s="467" t="str">
        <f>'D3 to D14'!BK43</f>
        <v>N/A</v>
      </c>
      <c r="BF29" s="550"/>
      <c r="BH29" s="467" t="str">
        <f>'D3 to D14'!BL43</f>
        <v>N/A</v>
      </c>
      <c r="BI29" s="550"/>
      <c r="BK29" s="37">
        <f t="shared" si="70"/>
        <v>98.99</v>
      </c>
      <c r="BL29" s="37">
        <f t="shared" si="71"/>
        <v>98.99</v>
      </c>
      <c r="BM29" s="101" t="str">
        <f t="shared" ref="BM29:BN30" si="81">IF(BK29&lt;70,"Below Standard","")</f>
        <v/>
      </c>
      <c r="BN29" s="101" t="str">
        <f t="shared" si="81"/>
        <v/>
      </c>
    </row>
    <row r="30" spans="1:66" ht="30" customHeight="1">
      <c r="A30" s="472" t="str">
        <f>'Rubric (.)'!A33:D33</f>
        <v>4.3 Knowledge and promotion of Emirates products: Evaluation of crew in this category should take into account assigned cabin onboard</v>
      </c>
      <c r="B30" s="467" t="str">
        <f>'D3 to D14'!BA45</f>
        <v>N/A</v>
      </c>
      <c r="C30" s="550"/>
      <c r="E30" s="467" t="str">
        <f>'D3 to D14'!BB45</f>
        <v>N/A</v>
      </c>
      <c r="F30" s="550"/>
      <c r="H30" s="467">
        <f>'D3 to D14'!BC45</f>
        <v>2</v>
      </c>
      <c r="I30" s="550">
        <f t="shared" si="72"/>
        <v>98.99</v>
      </c>
      <c r="K30" s="467">
        <f>'D3 to D14'!BD45</f>
        <v>2</v>
      </c>
      <c r="L30" s="550">
        <f t="shared" si="73"/>
        <v>98.99</v>
      </c>
      <c r="N30" s="467">
        <f>'D3 to D14'!BE45</f>
        <v>2</v>
      </c>
      <c r="O30" s="482">
        <f>'PRC | KHI AS'!AF51</f>
        <v>0</v>
      </c>
      <c r="P30" s="550">
        <f t="shared" si="74"/>
        <v>98.99</v>
      </c>
      <c r="R30" s="467">
        <f>'D3 to D14'!BF45</f>
        <v>2</v>
      </c>
      <c r="S30" s="550">
        <f t="shared" si="64"/>
        <v>98.99</v>
      </c>
      <c r="T30" s="482" t="str">
        <f>_DEL_4.3_T</f>
        <v>N/A</v>
      </c>
      <c r="U30" s="550" t="str">
        <f>IFERROR((_DEL_4.3_T/_DEL_4.3_MT)*98.99,"N/A")</f>
        <v>N/A</v>
      </c>
      <c r="V30" s="550">
        <f t="shared" si="75"/>
        <v>98.99</v>
      </c>
      <c r="X30" s="467">
        <f>'D3 to D14'!BG45</f>
        <v>2</v>
      </c>
      <c r="Y30" s="550">
        <f t="shared" si="65"/>
        <v>98.99</v>
      </c>
      <c r="Z30" s="482" t="str">
        <f>_BKK_4.3_T</f>
        <v>N/A</v>
      </c>
      <c r="AA30" s="550" t="str">
        <f>IFERROR((_BKK_4.3_T/_BKK_4.3_MT)*98.99,"N/A")</f>
        <v>N/A</v>
      </c>
      <c r="AB30" s="550">
        <f t="shared" si="76"/>
        <v>98.99</v>
      </c>
      <c r="AC30" s="16"/>
      <c r="AD30" s="467">
        <f>'D3 to D14'!BH45</f>
        <v>2</v>
      </c>
      <c r="AE30" s="550">
        <f t="shared" si="66"/>
        <v>98.99</v>
      </c>
      <c r="AF30" s="483" t="str">
        <f>_LHRAT_4.3_T</f>
        <v>N/A</v>
      </c>
      <c r="AG30" s="550" t="str">
        <f>IFERROR((_LHRAT_4.3_T/_LHRAT_4.3_MT)*98.99,"N/A")</f>
        <v>N/A</v>
      </c>
      <c r="AH30" s="550">
        <f t="shared" si="77"/>
        <v>98.99</v>
      </c>
      <c r="AI30" s="16"/>
      <c r="AJ30" s="467">
        <f>'D3 to D14'!BH45</f>
        <v>2</v>
      </c>
      <c r="AK30" s="550">
        <f t="shared" si="67"/>
        <v>98.99</v>
      </c>
      <c r="AL30" s="483" t="str">
        <f>_LHRLU_4.3_T</f>
        <v>N/A</v>
      </c>
      <c r="AM30" s="550" t="str">
        <f>IFERROR((_LHRLU_4.3_T/_LHRLU_4.3_MT)*98.99,"N/A")</f>
        <v>N/A</v>
      </c>
      <c r="AN30" s="550">
        <f t="shared" si="78"/>
        <v>98.99</v>
      </c>
      <c r="AO30" s="16"/>
      <c r="AP30" s="467">
        <f>'D3 to D14'!BI45</f>
        <v>2</v>
      </c>
      <c r="AQ30" s="550">
        <f t="shared" si="68"/>
        <v>98.99</v>
      </c>
      <c r="AR30" s="483" t="str">
        <f>_JFKLU_4.3_T</f>
        <v>N/A</v>
      </c>
      <c r="AS30" s="550" t="str">
        <f>IFERROR((_JFKLU_4.3_T/_JFKLU_4.3_MT)*98.99,"N/A")</f>
        <v>N/A</v>
      </c>
      <c r="AT30" s="550">
        <f t="shared" si="79"/>
        <v>98.99</v>
      </c>
      <c r="AV30" s="467">
        <f>'D3 to D14'!BI45</f>
        <v>2</v>
      </c>
      <c r="AW30" s="550">
        <f t="shared" si="69"/>
        <v>98.99</v>
      </c>
      <c r="AX30" s="483" t="str">
        <f>_JFKLBBF_4.3_T</f>
        <v>N/A</v>
      </c>
      <c r="AY30" s="550" t="str">
        <f>IFERROR((_JFKLBBF_4.3_T/_JFKLBBF_4.3_MT)*98.99,"N/A")</f>
        <v>N/A</v>
      </c>
      <c r="AZ30" s="550">
        <f t="shared" si="80"/>
        <v>98.99</v>
      </c>
      <c r="BB30" s="467" t="str">
        <f>'D3 to D14'!BJ45</f>
        <v>N/A</v>
      </c>
      <c r="BC30" s="550"/>
      <c r="BE30" s="467" t="str">
        <f>'D3 to D14'!BK45</f>
        <v>N/A</v>
      </c>
      <c r="BF30" s="550"/>
      <c r="BH30" s="467" t="str">
        <f>'D3 to D14'!BL45</f>
        <v>N/A</v>
      </c>
      <c r="BI30" s="550"/>
      <c r="BK30" s="37">
        <f t="shared" si="70"/>
        <v>98.99</v>
      </c>
      <c r="BL30" s="37">
        <f t="shared" si="71"/>
        <v>98.99</v>
      </c>
      <c r="BM30" s="101" t="str">
        <f t="shared" si="81"/>
        <v/>
      </c>
      <c r="BN30" s="101" t="str">
        <f t="shared" si="81"/>
        <v/>
      </c>
    </row>
    <row r="31" spans="1:66" ht="30" customHeight="1">
      <c r="A31" s="472" t="str">
        <f>'Rubric (.)'!A35:D35</f>
        <v>4.4 Knowledge and delivery of service standards and procedures: Evaluation of crew in this category should take into account assigned cabin onboard</v>
      </c>
      <c r="B31" s="467" t="str">
        <f>'D3 to D14'!BA47</f>
        <v>N/A</v>
      </c>
      <c r="C31" s="550"/>
      <c r="E31" s="467" t="str">
        <f>'D3 to D14'!BB47</f>
        <v>N/A</v>
      </c>
      <c r="F31" s="550"/>
      <c r="H31" s="467">
        <f>'D3 to D14'!BC47</f>
        <v>2</v>
      </c>
      <c r="I31" s="550">
        <f t="shared" si="72"/>
        <v>98.99</v>
      </c>
      <c r="K31" s="467">
        <f>'D3 to D14'!BD47</f>
        <v>2</v>
      </c>
      <c r="L31" s="550">
        <f t="shared" si="73"/>
        <v>98.99</v>
      </c>
      <c r="N31" s="467">
        <f>'D3 to D14'!BE47</f>
        <v>2</v>
      </c>
      <c r="O31" s="482">
        <f>'PRC | KHI AS'!AH51</f>
        <v>0</v>
      </c>
      <c r="P31" s="550">
        <f t="shared" si="74"/>
        <v>98.99</v>
      </c>
      <c r="R31" s="467">
        <f>'D3 to D14'!BF47</f>
        <v>2</v>
      </c>
      <c r="S31" s="550">
        <f t="shared" si="64"/>
        <v>98.99</v>
      </c>
      <c r="T31" s="482" t="str">
        <f>_DEL_4.4_T</f>
        <v>N/A</v>
      </c>
      <c r="U31" s="550" t="str">
        <f>IFERROR((_DEL_4.4_T/_DEL_4.4_MT)*98.99,"N/A")</f>
        <v>N/A</v>
      </c>
      <c r="V31" s="550">
        <f t="shared" si="75"/>
        <v>98.99</v>
      </c>
      <c r="X31" s="467">
        <f>'D3 to D14'!BG47</f>
        <v>2</v>
      </c>
      <c r="Y31" s="550">
        <f t="shared" si="65"/>
        <v>98.99</v>
      </c>
      <c r="Z31" s="482" t="str">
        <f>_BKK_4.4_T</f>
        <v>N/A</v>
      </c>
      <c r="AA31" s="550" t="str">
        <f>IFERROR((_BKK_4.4_T/_BKK_4.4_MT)*98.99,"N/A")</f>
        <v>N/A</v>
      </c>
      <c r="AB31" s="550">
        <f t="shared" si="76"/>
        <v>98.99</v>
      </c>
      <c r="AC31" s="16"/>
      <c r="AD31" s="467">
        <f>'D3 to D14'!BH47</f>
        <v>2</v>
      </c>
      <c r="AE31" s="550">
        <f t="shared" si="66"/>
        <v>98.99</v>
      </c>
      <c r="AF31" s="483" t="str">
        <f>_LHRAT_4.4_T</f>
        <v>N/A</v>
      </c>
      <c r="AG31" s="550" t="str">
        <f>IFERROR((_LHRAT_4.4_T/_LHRAT_4.4_MT)*98.99,"N/A")</f>
        <v>N/A</v>
      </c>
      <c r="AH31" s="550">
        <f t="shared" si="77"/>
        <v>98.99</v>
      </c>
      <c r="AI31" s="16"/>
      <c r="AJ31" s="467">
        <f>'D3 to D14'!BH47</f>
        <v>2</v>
      </c>
      <c r="AK31" s="550">
        <f t="shared" si="67"/>
        <v>98.99</v>
      </c>
      <c r="AL31" s="483" t="str">
        <f>_LHRLU_4.4_T</f>
        <v>N/A</v>
      </c>
      <c r="AM31" s="550" t="str">
        <f>IFERROR((_LHRLU_4.4_T/_LHRLU_4.4_MT)*98.99,"N/A")</f>
        <v>N/A</v>
      </c>
      <c r="AN31" s="550">
        <f t="shared" si="78"/>
        <v>98.99</v>
      </c>
      <c r="AO31" s="16"/>
      <c r="AP31" s="467">
        <f>'D3 to D14'!BI47</f>
        <v>2</v>
      </c>
      <c r="AQ31" s="550">
        <f t="shared" si="68"/>
        <v>98.99</v>
      </c>
      <c r="AR31" s="483" t="str">
        <f>_JFKLU_4.4_T</f>
        <v>N/A</v>
      </c>
      <c r="AS31" s="550" t="str">
        <f>IFERROR((_JFKLU_4.4_T/_JFKLU_4.4_MT)*98.99,"N/A")</f>
        <v>N/A</v>
      </c>
      <c r="AT31" s="550">
        <f t="shared" si="79"/>
        <v>98.99</v>
      </c>
      <c r="AV31" s="467">
        <f>'D3 to D14'!BI47</f>
        <v>2</v>
      </c>
      <c r="AW31" s="550">
        <f t="shared" si="69"/>
        <v>98.99</v>
      </c>
      <c r="AX31" s="483" t="str">
        <f>_JFKLBBF_4.4_T</f>
        <v>N/A</v>
      </c>
      <c r="AY31" s="550" t="str">
        <f>IFERROR((_JFKLBBF_4.4_T/_JFKLBBF_4.4_MT)*98.99,"N/A")</f>
        <v>N/A</v>
      </c>
      <c r="AZ31" s="550">
        <f t="shared" si="80"/>
        <v>98.99</v>
      </c>
      <c r="BB31" s="467">
        <f>'D3 to D14'!BJ47</f>
        <v>2</v>
      </c>
      <c r="BC31" s="550"/>
      <c r="BE31" s="467">
        <f>'D3 to D14'!BK47</f>
        <v>2</v>
      </c>
      <c r="BF31" s="550"/>
      <c r="BH31" s="467" t="str">
        <f>'D3 to D14'!BL47</f>
        <v>N/A</v>
      </c>
      <c r="BI31" s="550"/>
      <c r="BK31" s="37">
        <f t="shared" ref="BK31" si="82">AVERAGE(C31,F31,I31,L31,P31,V31,AB31,AH31,AT31,BC31,BF31,BI31)</f>
        <v>98.99</v>
      </c>
      <c r="BL31" s="37">
        <f t="shared" ref="BL31" si="83">AVERAGE(C31,F31,I31,L31,P31,V31,AB31,AN31,AZ31,BC31,BF31,BI31)</f>
        <v>98.99</v>
      </c>
      <c r="BM31" s="101" t="str">
        <f>IF(BK31&lt;70,"Below Standard","")</f>
        <v/>
      </c>
      <c r="BN31" s="101" t="str">
        <f>IF(BL31&lt;70,"Below Standard","")</f>
        <v/>
      </c>
    </row>
    <row r="32" spans="1:66" ht="20" customHeight="1">
      <c r="A32" s="462" t="s">
        <v>24</v>
      </c>
      <c r="B32" s="473">
        <f>AVERAGE(B28:B31)</f>
        <v>2</v>
      </c>
      <c r="C32" s="474">
        <f>AVERAGE(C28:C31)</f>
        <v>98.99</v>
      </c>
      <c r="D32" s="9"/>
      <c r="E32" s="473">
        <f>AVERAGE(E28:E31)</f>
        <v>2</v>
      </c>
      <c r="F32" s="474">
        <f>AVERAGE(F28:F31)</f>
        <v>98.99</v>
      </c>
      <c r="G32" s="51"/>
      <c r="H32" s="473">
        <f>AVERAGE(H28:H31)</f>
        <v>2</v>
      </c>
      <c r="I32" s="474">
        <f>AVERAGE(I28:I31)</f>
        <v>98.99</v>
      </c>
      <c r="J32" s="9"/>
      <c r="K32" s="473">
        <f>AVERAGE(K28:K31)</f>
        <v>2</v>
      </c>
      <c r="L32" s="474">
        <f>AVERAGE(L28:L31)</f>
        <v>98.99</v>
      </c>
      <c r="M32" s="9"/>
      <c r="N32" s="473">
        <f>AVERAGE(N28:N31)</f>
        <v>2</v>
      </c>
      <c r="O32" s="476"/>
      <c r="P32" s="474">
        <f>AVERAGE(P28:P31)</f>
        <v>98.99</v>
      </c>
      <c r="R32" s="473">
        <f>AVERAGE(R28:R31)</f>
        <v>2</v>
      </c>
      <c r="S32" s="476"/>
      <c r="T32" s="476"/>
      <c r="U32" s="476"/>
      <c r="V32" s="469">
        <f>AVERAGE(V28:V31)</f>
        <v>98.99</v>
      </c>
      <c r="X32" s="473">
        <f>AVERAGE(X28:X31)</f>
        <v>2</v>
      </c>
      <c r="Y32" s="476"/>
      <c r="Z32" s="476"/>
      <c r="AA32" s="476"/>
      <c r="AB32" s="469">
        <f>AVERAGE(AB28:AB31)</f>
        <v>98.99</v>
      </c>
      <c r="AC32" s="16"/>
      <c r="AD32" s="473">
        <f>AVERAGE(AD28:AD31)</f>
        <v>2</v>
      </c>
      <c r="AE32" s="476"/>
      <c r="AF32" s="476"/>
      <c r="AG32" s="476"/>
      <c r="AH32" s="469">
        <f>AVERAGE(AH28:AH31)</f>
        <v>98.99</v>
      </c>
      <c r="AI32" s="16"/>
      <c r="AJ32" s="473">
        <f>AVERAGE(AJ28:AJ31)</f>
        <v>2</v>
      </c>
      <c r="AK32" s="476"/>
      <c r="AL32" s="476"/>
      <c r="AM32" s="476"/>
      <c r="AN32" s="469">
        <f>AVERAGE(AN28:AN31)</f>
        <v>98.99</v>
      </c>
      <c r="AO32" s="16"/>
      <c r="AP32" s="473">
        <f>AVERAGE(AP28:AP31)</f>
        <v>2</v>
      </c>
      <c r="AQ32" s="476"/>
      <c r="AR32" s="476"/>
      <c r="AS32" s="476"/>
      <c r="AT32" s="469">
        <f>AVERAGE(AT28:AT31)</f>
        <v>98.99</v>
      </c>
      <c r="AV32" s="473">
        <f>AVERAGE(AV28:AV31)</f>
        <v>2</v>
      </c>
      <c r="AW32" s="476"/>
      <c r="AX32" s="476"/>
      <c r="AY32" s="476"/>
      <c r="AZ32" s="469">
        <f>AVERAGE(AZ28:AZ31)</f>
        <v>98.99</v>
      </c>
      <c r="BB32" s="473">
        <f>AVERAGE(BB28:BB31)</f>
        <v>2</v>
      </c>
      <c r="BC32" s="474">
        <f>AVERAGE(BC28:BC31)</f>
        <v>98.99</v>
      </c>
      <c r="BE32" s="473">
        <f>AVERAGE(BE28:BE31)</f>
        <v>2</v>
      </c>
      <c r="BF32" s="474">
        <f>AVERAGE(BF28:BF31)</f>
        <v>98.99</v>
      </c>
      <c r="BH32" s="473">
        <f>AVERAGE(BH28:BH31)</f>
        <v>2</v>
      </c>
      <c r="BI32" s="474">
        <f>AVERAGE(BI28:BI31)</f>
        <v>98.99</v>
      </c>
      <c r="BK32" s="39"/>
      <c r="BL32" s="39"/>
    </row>
    <row r="33" spans="1:64" ht="19.5" customHeight="1">
      <c r="AC33" s="16"/>
      <c r="AI33" s="16"/>
      <c r="AO33" s="16"/>
    </row>
    <row r="34" spans="1:64" ht="20" customHeight="1">
      <c r="A34" s="62" t="s">
        <v>18</v>
      </c>
      <c r="B34" s="547">
        <f>SUM(B15:B18,B22:B24,B7:B11,B28:B31)</f>
        <v>18</v>
      </c>
      <c r="C34" s="15"/>
      <c r="D34" s="1122"/>
      <c r="E34" s="436">
        <f>SUM(E15:E18,E22:E24,E7:E11,E28:E31)</f>
        <v>18</v>
      </c>
      <c r="F34" s="22"/>
      <c r="G34" s="1122"/>
      <c r="H34" s="436">
        <f>SUM(H15:H18,H22:H24,H7:H11,H28:H31)</f>
        <v>28</v>
      </c>
      <c r="I34" s="22"/>
      <c r="J34" s="1122"/>
      <c r="K34" s="436">
        <f>SUM(K15:K18,K22:K24,K7:K11,K28:K31)</f>
        <v>28</v>
      </c>
      <c r="L34" s="22"/>
      <c r="M34" s="1122"/>
      <c r="N34" s="436">
        <f>SUM(N15:N18,N22:N24,N7:N11,N28:N31)</f>
        <v>32</v>
      </c>
      <c r="O34" s="436">
        <f>'PRC | KHI AS'!A51</f>
        <v>0</v>
      </c>
      <c r="P34" s="22"/>
      <c r="Q34" s="1122"/>
      <c r="R34" s="436">
        <f>SUM(R15:R18,R22:R24,R7:R11,R28:R31)</f>
        <v>32</v>
      </c>
      <c r="S34" s="547"/>
      <c r="T34" s="30">
        <f>'DEL AS'!A76</f>
        <v>0</v>
      </c>
      <c r="U34" s="11"/>
      <c r="V34" s="547"/>
      <c r="W34" s="1122"/>
      <c r="X34" s="436">
        <f>SUM(X15:X18,X22:X24,X7:X11,X28:X31)</f>
        <v>32</v>
      </c>
      <c r="Y34" s="547"/>
      <c r="Z34" s="30">
        <f>'BKK AS'!A85</f>
        <v>0</v>
      </c>
      <c r="AA34" s="26"/>
      <c r="AB34" s="547"/>
      <c r="AC34" s="16"/>
      <c r="AD34" s="436">
        <f>SUM(AD15:AD18,AD22:AD24,AD7:AD11,AD28:AD31)</f>
        <v>32</v>
      </c>
      <c r="AE34" s="547"/>
      <c r="AF34" s="30">
        <f>'LHR AT AS'!A79</f>
        <v>0</v>
      </c>
      <c r="AG34" s="26"/>
      <c r="AH34" s="547"/>
      <c r="AI34" s="16"/>
      <c r="AJ34" s="436">
        <f>SUM(AJ15:AJ18,AJ22:AJ24,AJ7:AJ11,AJ28:AJ31)</f>
        <v>32</v>
      </c>
      <c r="AK34" s="547"/>
      <c r="AL34" s="436">
        <f>'LHR LU AS'!A79</f>
        <v>0</v>
      </c>
      <c r="AM34" s="436"/>
      <c r="AN34" s="547"/>
      <c r="AO34" s="16"/>
      <c r="AP34" s="436">
        <f>SUM(AP15:AP18,AP22:AP24,AP7:AP11,AP28:AP31)</f>
        <v>32</v>
      </c>
      <c r="AQ34" s="547"/>
      <c r="AR34" s="30">
        <f>'JFK LU AS'!A82</f>
        <v>0</v>
      </c>
      <c r="AS34" s="547"/>
      <c r="AT34" s="26"/>
      <c r="AU34" s="1122"/>
      <c r="AV34" s="436">
        <f>SUM(AV15:AV18,AV22:AV24,AV7:AV11,AV28:AV31)</f>
        <v>32</v>
      </c>
      <c r="AW34" s="547"/>
      <c r="AX34" s="436">
        <f>'JFK LB | BF AS'!A101</f>
        <v>0</v>
      </c>
      <c r="AY34" s="436"/>
      <c r="AZ34" s="547"/>
      <c r="BA34" s="1122"/>
      <c r="BB34" s="436">
        <f>SUM(BB15:BB18,BB22:BB24,BB7:BB11,BB28:BB31)</f>
        <v>20</v>
      </c>
      <c r="BC34" s="28"/>
      <c r="BD34" s="1122"/>
      <c r="BE34" s="436">
        <f>SUM(BE15:BE18,BE22:BE24,BE7:BE11,BE28:BE31)</f>
        <v>20</v>
      </c>
      <c r="BF34" s="28"/>
      <c r="BG34" s="1122"/>
      <c r="BH34" s="436">
        <f>SUM(BH15:BH18,BH22:BH24,BH7:BH11,BH28:BH31)</f>
        <v>18</v>
      </c>
      <c r="BI34" s="28"/>
      <c r="BJ34" s="1122"/>
    </row>
    <row r="35" spans="1:64" ht="20" customHeight="1">
      <c r="A35" s="62" t="s">
        <v>19</v>
      </c>
      <c r="B35" s="3">
        <v>36</v>
      </c>
      <c r="C35" s="15"/>
      <c r="D35" s="1122"/>
      <c r="E35" s="3">
        <v>36</v>
      </c>
      <c r="F35" s="22"/>
      <c r="G35" s="1122"/>
      <c r="H35" s="3">
        <v>56</v>
      </c>
      <c r="I35" s="22"/>
      <c r="J35" s="1122"/>
      <c r="K35" s="3">
        <v>56</v>
      </c>
      <c r="L35" s="22"/>
      <c r="M35" s="1122"/>
      <c r="N35" s="3">
        <v>64</v>
      </c>
      <c r="O35" s="3">
        <f>'PRC | KHI AS'!A52</f>
        <v>0</v>
      </c>
      <c r="P35" s="22"/>
      <c r="Q35" s="1122"/>
      <c r="R35" s="3">
        <v>64</v>
      </c>
      <c r="S35" s="3"/>
      <c r="T35" s="3">
        <f>'DEL AS'!A77</f>
        <v>0</v>
      </c>
      <c r="U35" s="436"/>
      <c r="V35" s="547"/>
      <c r="W35" s="1122"/>
      <c r="X35" s="3">
        <v>64</v>
      </c>
      <c r="Y35" s="3"/>
      <c r="Z35" s="3">
        <f>'BKK AS'!A86</f>
        <v>0</v>
      </c>
      <c r="AA35" s="436"/>
      <c r="AB35" s="547"/>
      <c r="AC35" s="16"/>
      <c r="AD35" s="3">
        <v>64</v>
      </c>
      <c r="AE35" s="3"/>
      <c r="AF35" s="3">
        <f>'LHR AT AS'!A80</f>
        <v>0</v>
      </c>
      <c r="AG35" s="436"/>
      <c r="AH35" s="547"/>
      <c r="AI35" s="16"/>
      <c r="AJ35" s="3">
        <v>64</v>
      </c>
      <c r="AK35" s="3"/>
      <c r="AL35" s="3">
        <f>'LHR LU AS'!A80</f>
        <v>0</v>
      </c>
      <c r="AM35" s="436"/>
      <c r="AN35" s="547"/>
      <c r="AO35" s="16"/>
      <c r="AP35" s="3">
        <v>64</v>
      </c>
      <c r="AQ35" s="3"/>
      <c r="AR35" s="3">
        <f>'JFK LU AS'!A83</f>
        <v>0</v>
      </c>
      <c r="AS35" s="3"/>
      <c r="AT35" s="436"/>
      <c r="AU35" s="1122"/>
      <c r="AV35" s="3">
        <v>64</v>
      </c>
      <c r="AW35" s="3"/>
      <c r="AX35" s="3">
        <f>'JFK LB | BF AS'!A102</f>
        <v>0</v>
      </c>
      <c r="AY35" s="436"/>
      <c r="AZ35" s="547"/>
      <c r="BA35" s="1122"/>
      <c r="BB35" s="3">
        <v>36</v>
      </c>
      <c r="BC35" s="28"/>
      <c r="BD35" s="1122"/>
      <c r="BE35" s="3">
        <v>36</v>
      </c>
      <c r="BF35" s="28"/>
      <c r="BG35" s="1122"/>
      <c r="BH35" s="3">
        <v>32</v>
      </c>
      <c r="BI35" s="28"/>
      <c r="BJ35" s="1122"/>
    </row>
    <row r="36" spans="1:64" ht="19.5" customHeight="1" thickBot="1">
      <c r="A36" s="17"/>
      <c r="B36" s="60"/>
      <c r="C36" s="15"/>
      <c r="D36" s="33"/>
      <c r="E36" s="15"/>
      <c r="F36" s="22"/>
      <c r="G36" s="33"/>
      <c r="H36" s="15"/>
      <c r="I36" s="22"/>
      <c r="J36" s="33"/>
      <c r="K36" s="15"/>
      <c r="L36" s="22"/>
      <c r="M36" s="15"/>
      <c r="N36" s="15"/>
      <c r="O36" s="433"/>
      <c r="P36" s="22"/>
      <c r="Q36" s="15"/>
      <c r="R36" s="15"/>
      <c r="S36" s="542"/>
      <c r="T36" s="28"/>
      <c r="U36" s="436"/>
      <c r="V36" s="547"/>
      <c r="W36" s="15"/>
      <c r="X36" s="15"/>
      <c r="Y36" s="542"/>
      <c r="Z36" s="28"/>
      <c r="AA36" s="436"/>
      <c r="AB36" s="547"/>
      <c r="AC36" s="57"/>
      <c r="AD36" s="15"/>
      <c r="AE36" s="542"/>
      <c r="AF36" s="28"/>
      <c r="AG36" s="436"/>
      <c r="AH36" s="547"/>
      <c r="AI36" s="57"/>
      <c r="AJ36" s="433"/>
      <c r="AK36" s="542"/>
      <c r="AL36" s="433"/>
      <c r="AM36" s="436"/>
      <c r="AN36" s="547"/>
      <c r="AO36" s="433"/>
      <c r="AP36" s="15"/>
      <c r="AQ36" s="542"/>
      <c r="AR36" s="28"/>
      <c r="AS36" s="542"/>
      <c r="AT36" s="436"/>
      <c r="AU36" s="15"/>
      <c r="AV36" s="433"/>
      <c r="AW36" s="542"/>
      <c r="AX36" s="433"/>
      <c r="AY36" s="436"/>
      <c r="AZ36" s="547"/>
      <c r="BA36" s="433"/>
      <c r="BB36" s="28"/>
      <c r="BC36" s="28"/>
      <c r="BD36" s="15"/>
      <c r="BE36" s="28"/>
      <c r="BF36" s="28"/>
      <c r="BG36" s="15"/>
      <c r="BH36" s="28"/>
      <c r="BI36" s="28"/>
      <c r="BJ36" s="15"/>
      <c r="BK36" s="21"/>
      <c r="BL36" s="21"/>
    </row>
    <row r="37" spans="1:64" ht="20" customHeight="1">
      <c r="A37" s="17"/>
      <c r="B37" s="60"/>
      <c r="C37" s="20"/>
      <c r="D37" s="33"/>
      <c r="E37" s="20"/>
      <c r="F37" s="22"/>
      <c r="G37" s="33"/>
      <c r="H37" s="20"/>
      <c r="I37" s="22"/>
      <c r="J37" s="33"/>
      <c r="K37" s="20"/>
      <c r="L37" s="22"/>
      <c r="M37" s="20"/>
      <c r="N37" s="1123">
        <f>(N34/N35)*100</f>
        <v>50</v>
      </c>
      <c r="O37" s="1125" t="e">
        <f>'PRC | KHI AS'!A54</f>
        <v>#DIV/0!</v>
      </c>
      <c r="P37" s="22"/>
      <c r="Q37" s="20"/>
      <c r="R37" s="1123">
        <f>AVERAGE(S7,S8,S9,S10,S11,S15,S16,S17,S18,S22,S23,S24,S28,S29,S30,S31)</f>
        <v>98.99</v>
      </c>
      <c r="S37" s="543"/>
      <c r="T37" s="1125" t="e">
        <f>'DEL AS'!A79</f>
        <v>#DIV/0!</v>
      </c>
      <c r="U37" s="20"/>
      <c r="V37" s="542"/>
      <c r="W37" s="20"/>
      <c r="X37" s="1123">
        <f>AVERAGE(Y7,Y8,Y9,Y10,Y11,Y15,Y16,Y17,Y18,Y22,Y23,Y24,Y28,Y29,Y30,Y31)</f>
        <v>98.99</v>
      </c>
      <c r="Y37" s="543"/>
      <c r="Z37" s="1125" t="e">
        <f>'BKK AS'!A88</f>
        <v>#DIV/0!</v>
      </c>
      <c r="AA37" s="24"/>
      <c r="AB37" s="542"/>
      <c r="AC37" s="57"/>
      <c r="AD37" s="1123">
        <f>AVERAGE(AE7,AE8,AE9,AE10,AE11,AE15,AE16,AE17,AE18,AE22,AE23,AE24,AE28,AE29,AE30,AE31)</f>
        <v>98.99</v>
      </c>
      <c r="AE37" s="543"/>
      <c r="AF37" s="1125" t="e">
        <f>'LHR AT AS'!A82</f>
        <v>#DIV/0!</v>
      </c>
      <c r="AG37" s="24"/>
      <c r="AH37" s="542"/>
      <c r="AI37" s="57"/>
      <c r="AJ37" s="1123">
        <f>AVERAGE(AK7,AK8,AK9,AK10,AK11,AK15,AK16,AK17,AK18,AK22,AK23,AK24,AK28,AK29,AK30,AK31)</f>
        <v>98.99</v>
      </c>
      <c r="AK37" s="543"/>
      <c r="AL37" s="1125" t="e">
        <f>'LHR LU AS'!A82</f>
        <v>#DIV/0!</v>
      </c>
      <c r="AM37" s="433"/>
      <c r="AN37" s="542"/>
      <c r="AO37" s="433"/>
      <c r="AP37" s="1123">
        <f>AVERAGE(AQ7,AQ8,AQ9,AQ10,AQ11,AQ15,AQ16,AQ17,AQ18,AQ22,AQ23,AQ24,AQ28,AQ29,AQ30,AQ31)</f>
        <v>98.99</v>
      </c>
      <c r="AQ37" s="543"/>
      <c r="AR37" s="1125" t="e">
        <f>'JFK LU AS'!A85</f>
        <v>#DIV/0!</v>
      </c>
      <c r="AS37" s="546"/>
      <c r="AT37" s="436"/>
      <c r="AU37" s="20"/>
      <c r="AV37" s="1123">
        <f>AVERAGE(AW7,AW8,AW9,AW10,AW11,AW15,AW16,AW17,AW18,AW22,AW23,AW24,AW28,AW29,AW30,AW31)</f>
        <v>98.99</v>
      </c>
      <c r="AW37" s="543"/>
      <c r="AX37" s="1125" t="e">
        <f>'JFK LB | BF AS'!A104</f>
        <v>#DIV/0!</v>
      </c>
      <c r="AY37" s="436"/>
      <c r="AZ37" s="547"/>
      <c r="BA37" s="433"/>
      <c r="BB37" s="28"/>
      <c r="BC37" s="28"/>
      <c r="BD37" s="20"/>
      <c r="BE37" s="28"/>
      <c r="BF37" s="28"/>
      <c r="BG37" s="20"/>
      <c r="BH37" s="28"/>
      <c r="BI37" s="28"/>
      <c r="BJ37" s="20"/>
      <c r="BK37" s="21"/>
      <c r="BL37" s="21"/>
    </row>
    <row r="38" spans="1:64" ht="20" customHeight="1" thickBot="1">
      <c r="A38" s="17"/>
      <c r="B38" s="60"/>
      <c r="C38" s="15"/>
      <c r="D38" s="33"/>
      <c r="E38" s="15"/>
      <c r="F38" s="22"/>
      <c r="G38" s="33"/>
      <c r="H38" s="15"/>
      <c r="I38" s="22"/>
      <c r="J38" s="33"/>
      <c r="K38" s="15"/>
      <c r="L38" s="22"/>
      <c r="M38" s="15"/>
      <c r="N38" s="1124"/>
      <c r="O38" s="1132"/>
      <c r="P38" s="22"/>
      <c r="Q38" s="15"/>
      <c r="R38" s="1124"/>
      <c r="S38" s="544"/>
      <c r="T38" s="1132"/>
      <c r="U38" s="15"/>
      <c r="V38" s="542"/>
      <c r="W38" s="15"/>
      <c r="X38" s="1124"/>
      <c r="Y38" s="544"/>
      <c r="Z38" s="1126"/>
      <c r="AA38" s="24"/>
      <c r="AB38" s="542"/>
      <c r="AC38" s="57"/>
      <c r="AD38" s="1124"/>
      <c r="AE38" s="544"/>
      <c r="AF38" s="1126"/>
      <c r="AG38" s="24"/>
      <c r="AH38" s="542"/>
      <c r="AI38" s="57"/>
      <c r="AJ38" s="1124"/>
      <c r="AK38" s="544"/>
      <c r="AL38" s="1126"/>
      <c r="AM38" s="433"/>
      <c r="AN38" s="542"/>
      <c r="AO38" s="433"/>
      <c r="AP38" s="1124"/>
      <c r="AQ38" s="544"/>
      <c r="AR38" s="1126"/>
      <c r="AS38" s="546"/>
      <c r="AT38" s="24"/>
      <c r="AU38" s="15"/>
      <c r="AV38" s="1124"/>
      <c r="AW38" s="544"/>
      <c r="AX38" s="1126"/>
      <c r="AY38" s="433"/>
      <c r="AZ38" s="542"/>
      <c r="BA38" s="433"/>
      <c r="BB38" s="28"/>
      <c r="BC38" s="28"/>
      <c r="BD38" s="15"/>
      <c r="BE38" s="28"/>
      <c r="BF38" s="28"/>
      <c r="BG38" s="15"/>
      <c r="BH38" s="28"/>
      <c r="BI38" s="28"/>
      <c r="BJ38" s="15"/>
      <c r="BK38" s="21"/>
      <c r="BL38" s="21"/>
    </row>
    <row r="39" spans="1:64" ht="20" customHeight="1">
      <c r="A39" s="17"/>
      <c r="B39" s="545"/>
      <c r="C39" s="33"/>
      <c r="D39" s="33"/>
      <c r="E39" s="33"/>
      <c r="F39" s="33"/>
      <c r="G39" s="33"/>
      <c r="H39" s="33"/>
      <c r="I39" s="33"/>
      <c r="J39" s="33"/>
      <c r="K39" s="33"/>
      <c r="L39" s="33"/>
      <c r="M39" s="33"/>
      <c r="N39" s="33"/>
      <c r="O39" s="433"/>
      <c r="P39" s="33"/>
      <c r="Q39" s="33"/>
      <c r="R39" s="14"/>
      <c r="S39" s="14"/>
      <c r="T39" s="16"/>
      <c r="U39" s="33"/>
      <c r="V39" s="542"/>
      <c r="W39" s="33"/>
      <c r="X39" s="14"/>
      <c r="Y39" s="14"/>
      <c r="Z39" s="34"/>
      <c r="AA39" s="33"/>
      <c r="AB39" s="542"/>
      <c r="AC39" s="57"/>
      <c r="AD39" s="14"/>
      <c r="AE39" s="14"/>
      <c r="AF39" s="34"/>
      <c r="AG39" s="33"/>
      <c r="AH39" s="542"/>
      <c r="AI39" s="57"/>
      <c r="AJ39" s="14"/>
      <c r="AK39" s="14"/>
      <c r="AL39" s="434"/>
      <c r="AM39" s="433"/>
      <c r="AN39" s="542"/>
      <c r="AO39" s="433"/>
      <c r="AP39" s="14"/>
      <c r="AQ39" s="14"/>
      <c r="AR39" s="27"/>
      <c r="AS39" s="45"/>
      <c r="AT39" s="33"/>
      <c r="AU39" s="33"/>
      <c r="AV39" s="14"/>
      <c r="AW39" s="14"/>
      <c r="AX39" s="45"/>
      <c r="AY39" s="433"/>
      <c r="AZ39" s="542"/>
      <c r="BA39" s="433"/>
      <c r="BB39" s="33"/>
      <c r="BC39" s="33"/>
      <c r="BD39" s="33"/>
      <c r="BE39" s="33"/>
      <c r="BF39" s="33"/>
      <c r="BG39" s="33"/>
      <c r="BH39" s="33"/>
      <c r="BI39" s="33"/>
      <c r="BJ39" s="33"/>
      <c r="BK39" s="21"/>
      <c r="BL39" s="21"/>
    </row>
    <row r="40" spans="1:64" ht="20" customHeight="1">
      <c r="A40" s="17"/>
      <c r="B40" s="545"/>
      <c r="C40" s="33"/>
      <c r="D40" s="33"/>
      <c r="E40" s="33"/>
      <c r="F40" s="33"/>
      <c r="G40" s="33"/>
      <c r="H40" s="33"/>
      <c r="I40" s="33"/>
      <c r="J40" s="33"/>
      <c r="K40" s="33"/>
      <c r="L40" s="33"/>
      <c r="M40" s="33"/>
      <c r="N40" s="33"/>
      <c r="O40" s="433"/>
      <c r="P40" s="33"/>
      <c r="Q40" s="33"/>
      <c r="R40" s="14"/>
      <c r="S40" s="14"/>
      <c r="T40" s="16"/>
      <c r="U40" s="33"/>
      <c r="V40" s="542"/>
      <c r="W40" s="33"/>
      <c r="X40" s="14"/>
      <c r="Y40" s="14"/>
      <c r="Z40" s="34"/>
      <c r="AA40" s="33"/>
      <c r="AB40" s="542"/>
      <c r="AC40" s="57"/>
      <c r="AD40" s="14"/>
      <c r="AE40" s="14"/>
      <c r="AF40" s="34"/>
      <c r="AG40" s="33"/>
      <c r="AH40" s="542"/>
      <c r="AI40" s="57"/>
      <c r="AJ40" s="14"/>
      <c r="AK40" s="14"/>
      <c r="AL40" s="434"/>
      <c r="AM40" s="433"/>
      <c r="AN40" s="542"/>
      <c r="AO40" s="433"/>
      <c r="AP40" s="14"/>
      <c r="AQ40" s="14"/>
      <c r="AR40" s="27"/>
      <c r="AS40" s="45"/>
      <c r="AT40" s="33"/>
      <c r="AU40" s="33"/>
      <c r="AV40" s="14"/>
      <c r="AW40" s="14"/>
      <c r="AX40" s="45"/>
      <c r="AY40" s="433"/>
      <c r="AZ40" s="542"/>
      <c r="BA40" s="433"/>
      <c r="BB40" s="33"/>
      <c r="BC40" s="33"/>
      <c r="BD40" s="33"/>
      <c r="BE40" s="33"/>
      <c r="BF40" s="33"/>
      <c r="BG40" s="33"/>
      <c r="BH40" s="33"/>
      <c r="BI40" s="33"/>
      <c r="BJ40" s="33"/>
      <c r="BK40" s="21"/>
      <c r="BL40" s="21"/>
    </row>
    <row r="41" spans="1:64" ht="20" customHeight="1" thickBot="1">
      <c r="A41" s="62"/>
      <c r="B41" s="551"/>
      <c r="C41" s="17"/>
      <c r="D41" s="17"/>
      <c r="E41" s="10"/>
      <c r="F41" s="17"/>
      <c r="G41" s="17"/>
      <c r="H41" s="10"/>
      <c r="I41" s="17"/>
      <c r="J41" s="17"/>
      <c r="K41" s="10"/>
      <c r="L41" s="17"/>
      <c r="M41" s="17"/>
      <c r="N41" s="10"/>
      <c r="O41" s="435"/>
      <c r="P41" s="17"/>
      <c r="Q41" s="17"/>
      <c r="R41" s="12"/>
      <c r="S41" s="548"/>
      <c r="T41" s="31"/>
      <c r="U41" s="12"/>
      <c r="V41" s="548"/>
      <c r="W41" s="17"/>
      <c r="X41" s="12"/>
      <c r="Y41" s="548"/>
      <c r="Z41" s="31"/>
      <c r="AA41" s="25"/>
      <c r="AB41" s="548"/>
      <c r="AC41" s="58"/>
      <c r="AD41" s="12"/>
      <c r="AE41" s="548"/>
      <c r="AF41" s="31"/>
      <c r="AG41" s="25"/>
      <c r="AH41" s="548"/>
      <c r="AI41" s="58"/>
      <c r="AJ41" s="435"/>
      <c r="AK41" s="548"/>
      <c r="AL41" s="435"/>
      <c r="AM41" s="435"/>
      <c r="AN41" s="548"/>
      <c r="AO41" s="435"/>
      <c r="AP41" s="12"/>
      <c r="AQ41" s="548"/>
      <c r="AR41" s="31"/>
      <c r="AS41" s="548"/>
      <c r="AT41" s="25"/>
      <c r="AU41" s="17"/>
      <c r="AV41" s="435"/>
      <c r="AW41" s="548"/>
      <c r="AX41" s="435"/>
      <c r="AY41" s="435"/>
      <c r="AZ41" s="548"/>
      <c r="BA41" s="17"/>
      <c r="BB41" s="31"/>
      <c r="BC41" s="17"/>
      <c r="BD41" s="17"/>
      <c r="BE41" s="31"/>
      <c r="BF41" s="17"/>
      <c r="BG41" s="17"/>
      <c r="BH41" s="31"/>
      <c r="BI41" s="17"/>
      <c r="BJ41" s="17"/>
    </row>
    <row r="42" spans="1:64" ht="20" customHeight="1">
      <c r="A42" s="1130" t="s">
        <v>4</v>
      </c>
      <c r="B42" s="1123">
        <f>AVERAGE(C7,C8,C9,C10,C11,C15,C16,C17,C18,C22,C23,C24,C28,C29,C30,C31)</f>
        <v>98.99</v>
      </c>
      <c r="C42" s="33"/>
      <c r="D42" s="1131"/>
      <c r="E42" s="1123">
        <f>AVERAGE(F7,F8,F9,F10,F11,F15,F16,F17,F18,F22,F23,F24,F28,F29,F30,F31)</f>
        <v>98.99</v>
      </c>
      <c r="F42" s="23"/>
      <c r="G42" s="1131"/>
      <c r="H42" s="1123">
        <f>AVERAGE(I7,I8,I9,I10,I11,I15,I16,I17,I18,I22,I23,I24,I28,I29,I30,I31)</f>
        <v>98.99</v>
      </c>
      <c r="I42" s="23"/>
      <c r="J42" s="1131"/>
      <c r="K42" s="1123">
        <f>AVERAGE(L7,L8,L9,L10,L11,L15,L16,L17,L18,L22,L23,L24,L28,L29,L30,L31)</f>
        <v>98.99</v>
      </c>
      <c r="L42" s="23"/>
      <c r="M42" s="1131"/>
      <c r="N42" s="1123">
        <f>AVERAGE(P7,P8,P9,P10,P11,P15,P16,P17,P18,P22,P23,P24,P28,P29,P30,P31)</f>
        <v>98.99</v>
      </c>
      <c r="O42" s="1125">
        <f>(0/100)*N42</f>
        <v>0</v>
      </c>
      <c r="Q42" s="1121"/>
      <c r="R42" s="1123" t="e">
        <f>AVERAGE(R37:T38)</f>
        <v>#DIV/0!</v>
      </c>
      <c r="S42" s="543"/>
      <c r="T42" s="1125" t="e">
        <f>(10/100)*R42</f>
        <v>#DIV/0!</v>
      </c>
      <c r="U42" s="14"/>
      <c r="V42" s="14"/>
      <c r="W42" s="1121"/>
      <c r="X42" s="1123" t="e">
        <f>AVERAGE(X37:Z38)</f>
        <v>#DIV/0!</v>
      </c>
      <c r="Y42" s="543"/>
      <c r="Z42" s="1123" t="e">
        <f>(20/100)*X42</f>
        <v>#DIV/0!</v>
      </c>
      <c r="AA42" s="14"/>
      <c r="AB42" s="14"/>
      <c r="AC42" s="14"/>
      <c r="AD42" s="1123" t="e">
        <f>AVERAGE(AD37:AF38)</f>
        <v>#DIV/0!</v>
      </c>
      <c r="AE42" s="543"/>
      <c r="AF42" s="1123" t="e">
        <f>(35/100)*AD42</f>
        <v>#DIV/0!</v>
      </c>
      <c r="AG42" s="14"/>
      <c r="AH42" s="14"/>
      <c r="AI42" s="14"/>
      <c r="AJ42" s="1123" t="e">
        <f>AVERAGE(AJ37:AL38)</f>
        <v>#DIV/0!</v>
      </c>
      <c r="AK42" s="543"/>
      <c r="AL42" s="1123" t="e">
        <f>(35/100)*AJ42</f>
        <v>#DIV/0!</v>
      </c>
      <c r="AM42" s="14"/>
      <c r="AN42" s="14"/>
      <c r="AO42" s="14"/>
      <c r="AP42" s="1123" t="e">
        <f>AVERAGE(AP37:AR38)</f>
        <v>#DIV/0!</v>
      </c>
      <c r="AQ42" s="543"/>
      <c r="AR42" s="1123" t="e">
        <f>(35/100)*AP42</f>
        <v>#DIV/0!</v>
      </c>
      <c r="AS42" s="14"/>
      <c r="AT42" s="14"/>
      <c r="AU42" s="1121"/>
      <c r="AV42" s="1123" t="e">
        <f>AVERAGE(AV37:AX38)</f>
        <v>#DIV/0!</v>
      </c>
      <c r="AW42" s="543"/>
      <c r="AX42" s="1123" t="e">
        <f>(35/100)*AV42</f>
        <v>#DIV/0!</v>
      </c>
      <c r="AY42" s="14"/>
      <c r="AZ42" s="14"/>
      <c r="BA42" s="1121"/>
      <c r="BB42" s="1123">
        <f>AVERAGE(BC7,BC8,BC9,BC10,BC11,BC15,BC16,BC17,BC18,BC22,BC23,BC24,BC28,BC29,BC30,BC31)</f>
        <v>98.99</v>
      </c>
      <c r="BC42" s="29"/>
      <c r="BD42" s="1121"/>
      <c r="BE42" s="1123">
        <f>AVERAGE(BF7,BF8,BF9,BF10,BF11,BF15,BF16,BF17,BF18,BF22,BF23,BF24,BF28,BF29,BF30,BF31)</f>
        <v>98.99</v>
      </c>
      <c r="BF42" s="29"/>
      <c r="BG42" s="1121"/>
      <c r="BH42" s="1123">
        <f>AVERAGE(BI7,BI8,BI9,BI10,BI11,BI15,BI16,BI17,BI18,BI22,BI23,BI24,BI28,BI29,BI30,BI31)</f>
        <v>98.99</v>
      </c>
      <c r="BI42" s="29"/>
      <c r="BJ42" s="1121"/>
    </row>
    <row r="43" spans="1:64" ht="20" customHeight="1" thickBot="1">
      <c r="A43" s="1130"/>
      <c r="B43" s="1124"/>
      <c r="C43" s="33"/>
      <c r="D43" s="1131"/>
      <c r="E43" s="1124"/>
      <c r="F43" s="23"/>
      <c r="G43" s="1131"/>
      <c r="H43" s="1124"/>
      <c r="I43" s="23"/>
      <c r="J43" s="1131"/>
      <c r="K43" s="1124"/>
      <c r="L43" s="23"/>
      <c r="M43" s="1131"/>
      <c r="N43" s="1124"/>
      <c r="O43" s="1126"/>
      <c r="Q43" s="1121"/>
      <c r="R43" s="1124"/>
      <c r="S43" s="544"/>
      <c r="T43" s="1126"/>
      <c r="U43" s="14"/>
      <c r="V43" s="14"/>
      <c r="W43" s="1121"/>
      <c r="X43" s="1124"/>
      <c r="Y43" s="544"/>
      <c r="Z43" s="1124"/>
      <c r="AA43" s="14"/>
      <c r="AB43" s="14"/>
      <c r="AC43" s="14"/>
      <c r="AD43" s="1124"/>
      <c r="AE43" s="544"/>
      <c r="AF43" s="1124"/>
      <c r="AG43" s="14"/>
      <c r="AH43" s="14"/>
      <c r="AI43" s="14"/>
      <c r="AJ43" s="1124"/>
      <c r="AK43" s="544"/>
      <c r="AL43" s="1124"/>
      <c r="AM43" s="14"/>
      <c r="AN43" s="14"/>
      <c r="AO43" s="14"/>
      <c r="AP43" s="1124"/>
      <c r="AQ43" s="544"/>
      <c r="AR43" s="1124"/>
      <c r="AS43" s="14"/>
      <c r="AT43" s="14"/>
      <c r="AU43" s="1121"/>
      <c r="AV43" s="1124"/>
      <c r="AW43" s="544"/>
      <c r="AX43" s="1124"/>
      <c r="AY43" s="14"/>
      <c r="AZ43" s="14"/>
      <c r="BA43" s="1121"/>
      <c r="BB43" s="1124"/>
      <c r="BC43" s="29"/>
      <c r="BD43" s="1121"/>
      <c r="BE43" s="1124"/>
      <c r="BF43" s="29"/>
      <c r="BG43" s="1121"/>
      <c r="BH43" s="1124"/>
      <c r="BI43" s="29"/>
      <c r="BJ43" s="1121"/>
    </row>
    <row r="44" spans="1:64" ht="20" customHeight="1"/>
    <row r="45" spans="1:64" ht="20" customHeight="1">
      <c r="A45" s="505"/>
    </row>
    <row r="46" spans="1:64" ht="20" customHeight="1">
      <c r="A46" s="283" t="s">
        <v>623</v>
      </c>
      <c r="B46" s="5">
        <f>B35*$A$55</f>
        <v>30.596399999999999</v>
      </c>
      <c r="C46" s="18"/>
      <c r="E46" s="5">
        <f>E35*$A$55</f>
        <v>30.596399999999999</v>
      </c>
      <c r="F46" s="18"/>
      <c r="H46" s="5">
        <f>H35*$A$55</f>
        <v>47.5944</v>
      </c>
      <c r="I46" s="18"/>
      <c r="K46" s="5">
        <f>K35*$A$55</f>
        <v>47.5944</v>
      </c>
      <c r="L46" s="18"/>
      <c r="N46" s="5">
        <f>N35*$A$55</f>
        <v>54.393599999999999</v>
      </c>
      <c r="P46" s="18"/>
      <c r="R46" s="5">
        <f>R35*$A$55</f>
        <v>54.393599999999999</v>
      </c>
      <c r="S46" s="554"/>
      <c r="X46" s="5">
        <f>X35*$A$55</f>
        <v>54.393599999999999</v>
      </c>
      <c r="Y46" s="554"/>
      <c r="AD46" s="5">
        <f>AD35*$A$55</f>
        <v>54.393599999999999</v>
      </c>
      <c r="AE46" s="554"/>
      <c r="AJ46" s="5">
        <f>AJ35*$A$55</f>
        <v>54.393599999999999</v>
      </c>
      <c r="AK46" s="554"/>
      <c r="AP46" s="5">
        <f>AP35*$A$55</f>
        <v>54.393599999999999</v>
      </c>
      <c r="AQ46" s="554"/>
      <c r="AV46" s="5">
        <f>AV35*$A$55</f>
        <v>54.393599999999999</v>
      </c>
      <c r="AW46" s="554"/>
      <c r="BB46" s="5">
        <f>BB35*$A$55</f>
        <v>30.596399999999999</v>
      </c>
      <c r="BC46" s="18"/>
      <c r="BE46" s="5">
        <f>BE35*$A$55</f>
        <v>30.596399999999999</v>
      </c>
      <c r="BF46" s="18"/>
      <c r="BH46" s="5">
        <f>BH35*$A$55</f>
        <v>27.1968</v>
      </c>
      <c r="BI46" s="18"/>
    </row>
    <row r="47" spans="1:64" ht="20" customHeight="1">
      <c r="A47" s="502" t="s">
        <v>624</v>
      </c>
      <c r="B47" s="6">
        <f>B35*$A$56</f>
        <v>30.599999999999998</v>
      </c>
      <c r="C47" s="18"/>
      <c r="E47" s="6">
        <f>E35*$A$56</f>
        <v>30.599999999999998</v>
      </c>
      <c r="F47" s="18"/>
      <c r="H47" s="6">
        <f>H35*$A$56</f>
        <v>47.6</v>
      </c>
      <c r="I47" s="18"/>
      <c r="K47" s="6">
        <f>K35*$A$56</f>
        <v>47.6</v>
      </c>
      <c r="L47" s="18"/>
      <c r="N47" s="6">
        <f>N35*$A$56</f>
        <v>54.4</v>
      </c>
      <c r="P47" s="18"/>
      <c r="R47" s="6">
        <f>R35*$A$56</f>
        <v>54.4</v>
      </c>
      <c r="S47" s="555"/>
      <c r="X47" s="6">
        <f>X35*$A$56</f>
        <v>54.4</v>
      </c>
      <c r="Y47" s="555"/>
      <c r="AD47" s="6">
        <f>AD35*$A$56</f>
        <v>54.4</v>
      </c>
      <c r="AE47" s="555"/>
      <c r="AJ47" s="6">
        <f>AJ35*$A$56</f>
        <v>54.4</v>
      </c>
      <c r="AK47" s="555"/>
      <c r="AP47" s="6">
        <f>AP35*$A$56</f>
        <v>54.4</v>
      </c>
      <c r="AQ47" s="555"/>
      <c r="AV47" s="6">
        <f>AV35*$A$56</f>
        <v>54.4</v>
      </c>
      <c r="AW47" s="555"/>
      <c r="BB47" s="6">
        <f>BB35*$A$56</f>
        <v>30.599999999999998</v>
      </c>
      <c r="BC47" s="18"/>
      <c r="BE47" s="6">
        <f>BE35*$A$56</f>
        <v>30.599999999999998</v>
      </c>
      <c r="BF47" s="18"/>
      <c r="BH47" s="6">
        <f>BH35*$A$56</f>
        <v>27.2</v>
      </c>
      <c r="BI47" s="18"/>
    </row>
    <row r="48" spans="1:64" ht="20" customHeight="1">
      <c r="A48" s="504"/>
      <c r="B48" s="6">
        <f>B35*$A$57</f>
        <v>32.3964</v>
      </c>
      <c r="C48" s="18"/>
      <c r="E48" s="6">
        <f>E35*$A$57</f>
        <v>32.3964</v>
      </c>
      <c r="F48" s="18"/>
      <c r="H48" s="6">
        <f>H35*$A$57</f>
        <v>50.394400000000005</v>
      </c>
      <c r="I48" s="18"/>
      <c r="K48" s="6">
        <f>K35*$A$57</f>
        <v>50.394400000000005</v>
      </c>
      <c r="L48" s="18"/>
      <c r="N48" s="6">
        <f>N35*$A$57</f>
        <v>57.593600000000002</v>
      </c>
      <c r="P48" s="18"/>
      <c r="R48" s="6">
        <f>R35*$A$57</f>
        <v>57.593600000000002</v>
      </c>
      <c r="S48" s="555"/>
      <c r="X48" s="6">
        <f>X35*$A$57</f>
        <v>57.593600000000002</v>
      </c>
      <c r="Y48" s="555"/>
      <c r="AD48" s="6">
        <f>AD35*$A$57</f>
        <v>57.593600000000002</v>
      </c>
      <c r="AE48" s="555"/>
      <c r="AJ48" s="6">
        <f>AJ35*$A$57</f>
        <v>57.593600000000002</v>
      </c>
      <c r="AK48" s="555"/>
      <c r="AP48" s="6">
        <f>AP35*$A$57</f>
        <v>57.593600000000002</v>
      </c>
      <c r="AQ48" s="555"/>
      <c r="AV48" s="6">
        <f>AV35*$A$57</f>
        <v>57.593600000000002</v>
      </c>
      <c r="AW48" s="555"/>
      <c r="BB48" s="6">
        <f>BB35*$A$57</f>
        <v>32.3964</v>
      </c>
      <c r="BC48" s="18"/>
      <c r="BE48" s="6">
        <f>BE35*$A$57</f>
        <v>32.3964</v>
      </c>
      <c r="BF48" s="18"/>
      <c r="BH48" s="6">
        <f>BH35*$A$57</f>
        <v>28.796800000000001</v>
      </c>
      <c r="BI48" s="18"/>
    </row>
    <row r="49" spans="1:61" ht="20" customHeight="1">
      <c r="A49" s="1128" t="s">
        <v>635</v>
      </c>
      <c r="B49" s="7">
        <f>B35*$A$58</f>
        <v>32.4</v>
      </c>
      <c r="C49" s="18"/>
      <c r="E49" s="7">
        <f>E35*$A$58</f>
        <v>32.4</v>
      </c>
      <c r="F49" s="18"/>
      <c r="H49" s="7">
        <f>H35*$A$58</f>
        <v>50.4</v>
      </c>
      <c r="I49" s="18"/>
      <c r="K49" s="7">
        <f>K35*$A$58</f>
        <v>50.4</v>
      </c>
      <c r="L49" s="18"/>
      <c r="N49" s="7">
        <f>N35*$A$58</f>
        <v>57.6</v>
      </c>
      <c r="P49" s="18"/>
      <c r="R49" s="7">
        <f>R35*$A$58</f>
        <v>57.6</v>
      </c>
      <c r="S49" s="556"/>
      <c r="X49" s="7">
        <f>X35*$A$58</f>
        <v>57.6</v>
      </c>
      <c r="Y49" s="556"/>
      <c r="AD49" s="7">
        <f>AD35*$A$58</f>
        <v>57.6</v>
      </c>
      <c r="AE49" s="556"/>
      <c r="AJ49" s="7">
        <f>AJ35*$A$58</f>
        <v>57.6</v>
      </c>
      <c r="AK49" s="556"/>
      <c r="AP49" s="7">
        <f>AP35*$A$58</f>
        <v>57.6</v>
      </c>
      <c r="AQ49" s="556"/>
      <c r="AV49" s="7">
        <f>AV35*$A$58</f>
        <v>57.6</v>
      </c>
      <c r="AW49" s="556"/>
      <c r="BB49" s="7">
        <f>BB35*$A$58</f>
        <v>32.4</v>
      </c>
      <c r="BC49" s="18"/>
      <c r="BE49" s="7">
        <f>BE35*$A$58</f>
        <v>32.4</v>
      </c>
      <c r="BF49" s="18"/>
      <c r="BH49" s="7">
        <f>BH35*$A$58</f>
        <v>28.8</v>
      </c>
      <c r="BI49" s="18"/>
    </row>
    <row r="50" spans="1:61" ht="20" customHeight="1">
      <c r="A50" s="1128"/>
      <c r="B50" s="7">
        <f>B35*$A$59</f>
        <v>35.636400000000002</v>
      </c>
      <c r="C50" s="18"/>
      <c r="E50" s="7">
        <f>E35*$A$59</f>
        <v>35.636400000000002</v>
      </c>
      <c r="F50" s="18"/>
      <c r="H50" s="7">
        <f>H35*$A$59</f>
        <v>55.434399999999997</v>
      </c>
      <c r="I50" s="18"/>
      <c r="K50" s="7">
        <f>K35*$A$59</f>
        <v>55.434399999999997</v>
      </c>
      <c r="L50" s="18"/>
      <c r="N50" s="7">
        <f>N35*$A$59</f>
        <v>63.3536</v>
      </c>
      <c r="P50" s="18"/>
      <c r="R50" s="7">
        <f>R35*$A$59</f>
        <v>63.3536</v>
      </c>
      <c r="S50" s="556"/>
      <c r="X50" s="7">
        <f>X35*$A$59</f>
        <v>63.3536</v>
      </c>
      <c r="Y50" s="556"/>
      <c r="AD50" s="7">
        <f>AD35*$A$59</f>
        <v>63.3536</v>
      </c>
      <c r="AE50" s="556"/>
      <c r="AJ50" s="7">
        <f>AJ35*$A$59</f>
        <v>63.3536</v>
      </c>
      <c r="AK50" s="556"/>
      <c r="AP50" s="7">
        <f>AP35*$A$59</f>
        <v>63.3536</v>
      </c>
      <c r="AQ50" s="556"/>
      <c r="AV50" s="7">
        <f>AV35*$A$59</f>
        <v>63.3536</v>
      </c>
      <c r="AW50" s="556"/>
      <c r="BB50" s="7">
        <f>BB35*$A$59</f>
        <v>35.636400000000002</v>
      </c>
      <c r="BC50" s="18"/>
      <c r="BE50" s="7">
        <f>BE35*$A$59</f>
        <v>35.636400000000002</v>
      </c>
      <c r="BF50" s="18"/>
      <c r="BH50" s="7">
        <f>BH35*$A$59</f>
        <v>31.6768</v>
      </c>
      <c r="BI50" s="18"/>
    </row>
    <row r="51" spans="1:61" ht="20" customHeight="1">
      <c r="A51" s="1129" t="s">
        <v>625</v>
      </c>
      <c r="B51" s="8">
        <f>B35*$A$60</f>
        <v>35.64</v>
      </c>
      <c r="C51" s="18"/>
      <c r="E51" s="8">
        <f>E35*$A$60</f>
        <v>35.64</v>
      </c>
      <c r="F51" s="18"/>
      <c r="H51" s="8">
        <f>H35*$A$60</f>
        <v>55.44</v>
      </c>
      <c r="I51" s="18"/>
      <c r="K51" s="8">
        <f>K35*$A$60</f>
        <v>55.44</v>
      </c>
      <c r="L51" s="18"/>
      <c r="N51" s="8">
        <f>N35*$A$60</f>
        <v>63.36</v>
      </c>
      <c r="P51" s="18"/>
      <c r="R51" s="8">
        <f>R35*$A$60</f>
        <v>63.36</v>
      </c>
      <c r="S51" s="557"/>
      <c r="X51" s="8">
        <f>X35*$A$60</f>
        <v>63.36</v>
      </c>
      <c r="Y51" s="557"/>
      <c r="AD51" s="8">
        <f>AD35*$A$60</f>
        <v>63.36</v>
      </c>
      <c r="AE51" s="557"/>
      <c r="AJ51" s="8">
        <f>AJ35*$A$60</f>
        <v>63.36</v>
      </c>
      <c r="AK51" s="557"/>
      <c r="AP51" s="8">
        <f>AP35*$A$60</f>
        <v>63.36</v>
      </c>
      <c r="AQ51" s="557"/>
      <c r="AV51" s="8">
        <f>AV35*$A$60</f>
        <v>63.36</v>
      </c>
      <c r="AW51" s="557"/>
      <c r="BB51" s="8">
        <f>BB35*$A$60</f>
        <v>35.64</v>
      </c>
      <c r="BC51" s="18"/>
      <c r="BE51" s="8">
        <f>BE35*$A$60</f>
        <v>35.64</v>
      </c>
      <c r="BF51" s="18"/>
      <c r="BH51" s="8">
        <f>BH35*$A$60</f>
        <v>31.68</v>
      </c>
      <c r="BI51" s="18"/>
    </row>
    <row r="52" spans="1:61" ht="20" customHeight="1">
      <c r="A52" s="1129"/>
      <c r="B52" s="8">
        <f>B35*$A$61</f>
        <v>36</v>
      </c>
      <c r="C52" s="18"/>
      <c r="E52" s="8">
        <f>E35*$A$61</f>
        <v>36</v>
      </c>
      <c r="F52" s="18"/>
      <c r="H52" s="8">
        <f>H35*$A$61</f>
        <v>56</v>
      </c>
      <c r="I52" s="18"/>
      <c r="K52" s="8">
        <f>K35*$A$61</f>
        <v>56</v>
      </c>
      <c r="L52" s="18"/>
      <c r="N52" s="8">
        <f>N35*$A$61</f>
        <v>64</v>
      </c>
      <c r="P52" s="18"/>
      <c r="R52" s="8">
        <f>R35*$A$61</f>
        <v>64</v>
      </c>
      <c r="S52" s="557"/>
      <c r="X52" s="8">
        <f>X35*$A$61</f>
        <v>64</v>
      </c>
      <c r="Y52" s="557"/>
      <c r="AD52" s="8">
        <f>AD35*$A$61</f>
        <v>64</v>
      </c>
      <c r="AE52" s="557"/>
      <c r="AJ52" s="8">
        <f>AJ35*$A$61</f>
        <v>64</v>
      </c>
      <c r="AK52" s="557"/>
      <c r="AP52" s="8">
        <f>AP35*$A$61</f>
        <v>64</v>
      </c>
      <c r="AQ52" s="557"/>
      <c r="AV52" s="8">
        <f>AV35*$A$61</f>
        <v>64</v>
      </c>
      <c r="AW52" s="557"/>
      <c r="BB52" s="8">
        <f>BB35*$A$61</f>
        <v>36</v>
      </c>
      <c r="BC52" s="18"/>
      <c r="BE52" s="8">
        <f>BE35*$A$61</f>
        <v>36</v>
      </c>
      <c r="BF52" s="18"/>
      <c r="BH52" s="8">
        <f>BH35*$A$61</f>
        <v>32</v>
      </c>
      <c r="BI52" s="18"/>
    </row>
    <row r="53" spans="1:61" ht="20" customHeight="1">
      <c r="A53" s="1127"/>
      <c r="B53" s="4">
        <f>B35*$A$62</f>
        <v>36.705600000000004</v>
      </c>
      <c r="C53" s="19"/>
      <c r="E53" s="4">
        <f>E35*$A$62</f>
        <v>36.705600000000004</v>
      </c>
      <c r="F53" s="19"/>
      <c r="H53" s="4">
        <f>H35*$A$62</f>
        <v>57.0976</v>
      </c>
      <c r="I53" s="19"/>
      <c r="K53" s="4">
        <f>K35*$A$62</f>
        <v>57.0976</v>
      </c>
      <c r="L53" s="19"/>
      <c r="N53" s="4">
        <f>N35*$A$62</f>
        <v>65.254400000000004</v>
      </c>
      <c r="P53" s="19"/>
      <c r="R53" s="4">
        <f>R35*$A$62</f>
        <v>65.254400000000004</v>
      </c>
      <c r="S53" s="558"/>
      <c r="X53" s="4">
        <f>X35*$A$62</f>
        <v>65.254400000000004</v>
      </c>
      <c r="Y53" s="558"/>
      <c r="AD53" s="4">
        <f>AD35*$A$62</f>
        <v>65.254400000000004</v>
      </c>
      <c r="AE53" s="558"/>
      <c r="AJ53" s="4">
        <f>AJ35*$A$62</f>
        <v>65.254400000000004</v>
      </c>
      <c r="AK53" s="558"/>
      <c r="AP53" s="4">
        <f>AP35*$A$62</f>
        <v>65.254400000000004</v>
      </c>
      <c r="AQ53" s="558"/>
      <c r="AV53" s="4">
        <f>AV35*$A$62</f>
        <v>65.254400000000004</v>
      </c>
      <c r="AW53" s="558"/>
      <c r="BB53" s="4">
        <f>BB35*$A$62</f>
        <v>36.705600000000004</v>
      </c>
      <c r="BC53" s="19"/>
      <c r="BE53" s="4">
        <f>BE35*$A$62</f>
        <v>36.705600000000004</v>
      </c>
      <c r="BF53" s="19"/>
      <c r="BH53" s="4">
        <f>BH35*$A$62</f>
        <v>32.627200000000002</v>
      </c>
      <c r="BI53" s="19"/>
    </row>
    <row r="54" spans="1:61" ht="20" customHeight="1">
      <c r="A54" s="1127"/>
      <c r="B54" s="4">
        <f>B35*$A$63</f>
        <v>46.800000000000004</v>
      </c>
      <c r="C54" s="19"/>
      <c r="E54" s="4">
        <f>E35*$A$63</f>
        <v>46.800000000000004</v>
      </c>
      <c r="F54" s="19"/>
      <c r="H54" s="4">
        <f>H35*$A$63</f>
        <v>72.8</v>
      </c>
      <c r="I54" s="19"/>
      <c r="K54" s="4">
        <f>K35*$A$63</f>
        <v>72.8</v>
      </c>
      <c r="L54" s="19"/>
      <c r="N54" s="4">
        <f>N35*$A$63</f>
        <v>83.2</v>
      </c>
      <c r="P54" s="19"/>
      <c r="R54" s="4">
        <f>R35*$A$63</f>
        <v>83.2</v>
      </c>
      <c r="S54" s="558"/>
      <c r="X54" s="4">
        <f>X35*$A$63</f>
        <v>83.2</v>
      </c>
      <c r="Y54" s="558"/>
      <c r="AD54" s="4">
        <f>AD35*$A$63</f>
        <v>83.2</v>
      </c>
      <c r="AE54" s="558"/>
      <c r="AJ54" s="4">
        <f>AJ35*$A$63</f>
        <v>83.2</v>
      </c>
      <c r="AK54" s="558"/>
      <c r="AP54" s="4">
        <f>AP35*$A$63</f>
        <v>83.2</v>
      </c>
      <c r="AQ54" s="558"/>
      <c r="AV54" s="4">
        <f>AV35*$A$63</f>
        <v>83.2</v>
      </c>
      <c r="AW54" s="558"/>
      <c r="BB54" s="4">
        <f>BB35*$A$63</f>
        <v>46.800000000000004</v>
      </c>
      <c r="BC54" s="19"/>
      <c r="BE54" s="4">
        <f>BE35*$A$63</f>
        <v>46.800000000000004</v>
      </c>
      <c r="BF54" s="19"/>
      <c r="BH54" s="4">
        <f>BH35*$A$63</f>
        <v>41.6</v>
      </c>
      <c r="BI54" s="19"/>
    </row>
    <row r="55" spans="1:61" ht="15" customHeight="1">
      <c r="A55" s="505">
        <v>0.84989999999999999</v>
      </c>
    </row>
    <row r="56" spans="1:61" ht="15" customHeight="1">
      <c r="A56" s="506">
        <v>0.85</v>
      </c>
    </row>
    <row r="57" spans="1:61" ht="15" customHeight="1">
      <c r="A57" s="505">
        <v>0.89990000000000003</v>
      </c>
      <c r="AU57" s="2"/>
    </row>
    <row r="58" spans="1:61" ht="15" customHeight="1">
      <c r="A58" s="506">
        <v>0.9</v>
      </c>
      <c r="AU58" s="2"/>
    </row>
    <row r="59" spans="1:61" ht="15" customHeight="1">
      <c r="A59" s="505">
        <v>0.9899</v>
      </c>
    </row>
    <row r="60" spans="1:61" ht="15" customHeight="1">
      <c r="A60" s="506">
        <v>0.99</v>
      </c>
    </row>
    <row r="61" spans="1:61" ht="15" customHeight="1">
      <c r="A61" s="506">
        <v>1</v>
      </c>
    </row>
    <row r="62" spans="1:61" ht="15" customHeight="1">
      <c r="A62" s="505">
        <v>1.0196000000000001</v>
      </c>
    </row>
    <row r="63" spans="1:61" ht="15" customHeight="1">
      <c r="A63" s="506">
        <v>1.3</v>
      </c>
    </row>
    <row r="65" spans="1:2">
      <c r="A65" s="2">
        <v>0</v>
      </c>
      <c r="B65" s="505">
        <v>0</v>
      </c>
    </row>
    <row r="66" spans="1:2">
      <c r="A66" s="2">
        <v>1</v>
      </c>
      <c r="B66" s="505">
        <v>0.32990000000000003</v>
      </c>
    </row>
    <row r="67" spans="1:2">
      <c r="A67" s="2">
        <v>2</v>
      </c>
      <c r="B67" s="505">
        <v>0.9899</v>
      </c>
    </row>
    <row r="68" spans="1:2">
      <c r="A68" s="2">
        <v>3</v>
      </c>
      <c r="B68" s="505">
        <v>1</v>
      </c>
    </row>
  </sheetData>
  <sheetProtection sheet="1" objects="1" scenarios="1" selectLockedCells="1"/>
  <customSheetViews>
    <customSheetView guid="{6F32447A-4407-44AD-A35F-AE919A5CF3AF}" showGridLines="0">
      <pane xSplit="1" ySplit="5" topLeftCell="B6" activePane="bottomRight" state="frozen"/>
      <selection pane="bottomRight" activeCell="Z3" sqref="Z3"/>
    </customSheetView>
    <customSheetView guid="{B4419C5D-1877-4ABB-A46F-9E0AFFC75B59}" scale="55" showGridLines="0" hiddenColumns="1" state="hidden">
      <pane xSplit="1" ySplit="5" topLeftCell="AJ15" activePane="bottomRight" state="frozen"/>
      <selection pane="bottomRight" activeCell="X11" sqref="X11"/>
      <pageMargins left="0.7" right="0.7" top="0.75" bottom="0.75" header="0.3" footer="0.3"/>
      <pageSetup scale="44" orientation="portrait" horizontalDpi="4294967293" r:id="rId1"/>
    </customSheetView>
  </customSheetViews>
  <mergeCells count="120">
    <mergeCell ref="BM3:BM5"/>
    <mergeCell ref="BN3:BN5"/>
    <mergeCell ref="K1:L1"/>
    <mergeCell ref="M1:P1"/>
    <mergeCell ref="K2:L2"/>
    <mergeCell ref="M2:P2"/>
    <mergeCell ref="BK3:BK5"/>
    <mergeCell ref="BL3:BL5"/>
    <mergeCell ref="L3:L5"/>
    <mergeCell ref="BI3:BI5"/>
    <mergeCell ref="BH4:BH5"/>
    <mergeCell ref="R1:X1"/>
    <mergeCell ref="AC1:BE1"/>
    <mergeCell ref="R2:X2"/>
    <mergeCell ref="AC2:BE2"/>
    <mergeCell ref="BF3:BF5"/>
    <mergeCell ref="U3:U5"/>
    <mergeCell ref="T3:T5"/>
    <mergeCell ref="BE4:BE5"/>
    <mergeCell ref="AR3:AR5"/>
    <mergeCell ref="Z3:Z5"/>
    <mergeCell ref="AA3:AA5"/>
    <mergeCell ref="BC3:BC5"/>
    <mergeCell ref="BB4:BB5"/>
    <mergeCell ref="AE3:AE5"/>
    <mergeCell ref="AZ3:AZ5"/>
    <mergeCell ref="AP4:AP5"/>
    <mergeCell ref="AD4:AD5"/>
    <mergeCell ref="X4:X5"/>
    <mergeCell ref="AG3:AG5"/>
    <mergeCell ref="AF3:AF5"/>
    <mergeCell ref="K4:K5"/>
    <mergeCell ref="P3:P5"/>
    <mergeCell ref="S3:S5"/>
    <mergeCell ref="V3:V5"/>
    <mergeCell ref="Y3:Y5"/>
    <mergeCell ref="AB3:AB5"/>
    <mergeCell ref="AH3:AH5"/>
    <mergeCell ref="AM3:AM5"/>
    <mergeCell ref="AJ4:AJ5"/>
    <mergeCell ref="AX3:AX5"/>
    <mergeCell ref="AY3:AY5"/>
    <mergeCell ref="AV4:AV5"/>
    <mergeCell ref="AT3:AT5"/>
    <mergeCell ref="AN3:AN5"/>
    <mergeCell ref="AS3:AS5"/>
    <mergeCell ref="AQ3:AQ5"/>
    <mergeCell ref="AK3:AK5"/>
    <mergeCell ref="T37:T38"/>
    <mergeCell ref="Q34:Q35"/>
    <mergeCell ref="R37:R38"/>
    <mergeCell ref="W34:W35"/>
    <mergeCell ref="AJ37:AJ38"/>
    <mergeCell ref="AL37:AL38"/>
    <mergeCell ref="A3:A5"/>
    <mergeCell ref="F3:F5"/>
    <mergeCell ref="D42:D43"/>
    <mergeCell ref="E42:E43"/>
    <mergeCell ref="B4:B5"/>
    <mergeCell ref="E4:E5"/>
    <mergeCell ref="C3:C5"/>
    <mergeCell ref="D34:D35"/>
    <mergeCell ref="G34:G35"/>
    <mergeCell ref="G42:G43"/>
    <mergeCell ref="J34:J35"/>
    <mergeCell ref="H4:H5"/>
    <mergeCell ref="AL3:AL5"/>
    <mergeCell ref="O3:O5"/>
    <mergeCell ref="M34:M35"/>
    <mergeCell ref="I3:I5"/>
    <mergeCell ref="N4:N5"/>
    <mergeCell ref="R4:R5"/>
    <mergeCell ref="A53:A54"/>
    <mergeCell ref="A49:A50"/>
    <mergeCell ref="A51:A52"/>
    <mergeCell ref="A42:A43"/>
    <mergeCell ref="B42:B43"/>
    <mergeCell ref="N37:N38"/>
    <mergeCell ref="AR42:AR43"/>
    <mergeCell ref="AU42:AU43"/>
    <mergeCell ref="R42:R43"/>
    <mergeCell ref="T42:T43"/>
    <mergeCell ref="W42:W43"/>
    <mergeCell ref="O42:O43"/>
    <mergeCell ref="Q42:Q43"/>
    <mergeCell ref="J42:J43"/>
    <mergeCell ref="K42:K43"/>
    <mergeCell ref="M42:M43"/>
    <mergeCell ref="AF42:AF43"/>
    <mergeCell ref="Z42:Z43"/>
    <mergeCell ref="AP42:AP43"/>
    <mergeCell ref="AD42:AD43"/>
    <mergeCell ref="N42:N43"/>
    <mergeCell ref="H42:H43"/>
    <mergeCell ref="O37:O38"/>
    <mergeCell ref="AD37:AD38"/>
    <mergeCell ref="BJ42:BJ43"/>
    <mergeCell ref="BG42:BG43"/>
    <mergeCell ref="BG34:BG35"/>
    <mergeCell ref="BH42:BH43"/>
    <mergeCell ref="X42:X43"/>
    <mergeCell ref="AX37:AX38"/>
    <mergeCell ref="AV42:AV43"/>
    <mergeCell ref="AX42:AX43"/>
    <mergeCell ref="BA42:BA43"/>
    <mergeCell ref="AR37:AR38"/>
    <mergeCell ref="AJ42:AJ43"/>
    <mergeCell ref="AL42:AL43"/>
    <mergeCell ref="BA34:BA35"/>
    <mergeCell ref="AV37:AV38"/>
    <mergeCell ref="BJ34:BJ35"/>
    <mergeCell ref="BD34:BD35"/>
    <mergeCell ref="AF37:AF38"/>
    <mergeCell ref="Z37:Z38"/>
    <mergeCell ref="BD42:BD43"/>
    <mergeCell ref="BE42:BE43"/>
    <mergeCell ref="BB42:BB43"/>
    <mergeCell ref="AU34:AU35"/>
    <mergeCell ref="X37:X38"/>
    <mergeCell ref="AP37:AP38"/>
  </mergeCells>
  <conditionalFormatting sqref="BK7:BL11">
    <cfRule type="cellIs" dxfId="10727" priority="275" operator="greaterThan">
      <formula>100.05</formula>
    </cfRule>
    <cfRule type="cellIs" dxfId="10726" priority="276" operator="between">
      <formula>90.05</formula>
      <formula>100</formula>
    </cfRule>
    <cfRule type="cellIs" dxfId="10725" priority="277" operator="between">
      <formula>80.05</formula>
      <formula>90</formula>
    </cfRule>
    <cfRule type="cellIs" dxfId="10724" priority="278" operator="between">
      <formula>70</formula>
      <formula>80</formula>
    </cfRule>
    <cfRule type="cellIs" dxfId="10723" priority="279" operator="lessThan">
      <formula>70</formula>
    </cfRule>
  </conditionalFormatting>
  <conditionalFormatting sqref="BM7:BN11 BM22:BN24 BM28:BN31">
    <cfRule type="notContainsBlanks" dxfId="10722" priority="244">
      <formula>LEN(TRIM(BM7))&gt;0</formula>
    </cfRule>
  </conditionalFormatting>
  <conditionalFormatting sqref="B42:B43">
    <cfRule type="cellIs" dxfId="10721" priority="232" operator="greaterThan">
      <formula>100</formula>
    </cfRule>
    <cfRule type="cellIs" dxfId="10720" priority="233" operator="between">
      <formula>90.01</formula>
      <formula>100</formula>
    </cfRule>
    <cfRule type="cellIs" dxfId="10719" priority="234" operator="between">
      <formula>80.01</formula>
      <formula>90</formula>
    </cfRule>
    <cfRule type="cellIs" dxfId="10718" priority="235" operator="between">
      <formula>70.01</formula>
      <formula>80</formula>
    </cfRule>
    <cfRule type="cellIs" dxfId="10717" priority="236" operator="lessThanOrEqual">
      <formula>70</formula>
    </cfRule>
  </conditionalFormatting>
  <conditionalFormatting sqref="R42:S43">
    <cfRule type="cellIs" dxfId="10716" priority="152" operator="greaterThan">
      <formula>100</formula>
    </cfRule>
    <cfRule type="cellIs" dxfId="10715" priority="153" operator="between">
      <formula>90.01</formula>
      <formula>100</formula>
    </cfRule>
    <cfRule type="cellIs" dxfId="10714" priority="154" operator="between">
      <formula>80.01</formula>
      <formula>90</formula>
    </cfRule>
    <cfRule type="cellIs" dxfId="10713" priority="155" operator="between">
      <formula>70.01</formula>
      <formula>80</formula>
    </cfRule>
    <cfRule type="cellIs" dxfId="10712" priority="156" operator="lessThanOrEqual">
      <formula>70</formula>
    </cfRule>
  </conditionalFormatting>
  <conditionalFormatting sqref="AP42:AQ43">
    <cfRule type="cellIs" dxfId="10711" priority="147" operator="greaterThan">
      <formula>100</formula>
    </cfRule>
    <cfRule type="cellIs" dxfId="10710" priority="148" operator="between">
      <formula>90.01</formula>
      <formula>100</formula>
    </cfRule>
    <cfRule type="cellIs" dxfId="10709" priority="149" operator="between">
      <formula>80.01</formula>
      <formula>90</formula>
    </cfRule>
    <cfRule type="cellIs" dxfId="10708" priority="150" operator="between">
      <formula>70.01</formula>
      <formula>80</formula>
    </cfRule>
    <cfRule type="cellIs" dxfId="10707" priority="151" operator="lessThanOrEqual">
      <formula>70</formula>
    </cfRule>
  </conditionalFormatting>
  <conditionalFormatting sqref="AD42:AE43">
    <cfRule type="cellIs" dxfId="10706" priority="142" operator="greaterThan">
      <formula>100</formula>
    </cfRule>
    <cfRule type="cellIs" dxfId="10705" priority="143" operator="between">
      <formula>90.01</formula>
      <formula>100</formula>
    </cfRule>
    <cfRule type="cellIs" dxfId="10704" priority="144" operator="between">
      <formula>80.01</formula>
      <formula>90</formula>
    </cfRule>
    <cfRule type="cellIs" dxfId="10703" priority="145" operator="between">
      <formula>70.01</formula>
      <formula>80</formula>
    </cfRule>
    <cfRule type="cellIs" dxfId="10702" priority="146" operator="lessThanOrEqual">
      <formula>70</formula>
    </cfRule>
  </conditionalFormatting>
  <conditionalFormatting sqref="X42:Y43">
    <cfRule type="cellIs" dxfId="10701" priority="137" operator="greaterThan">
      <formula>100</formula>
    </cfRule>
    <cfRule type="cellIs" dxfId="10700" priority="138" operator="between">
      <formula>90.01</formula>
      <formula>100</formula>
    </cfRule>
    <cfRule type="cellIs" dxfId="10699" priority="139" operator="between">
      <formula>80.01</formula>
      <formula>90</formula>
    </cfRule>
    <cfRule type="cellIs" dxfId="10698" priority="140" operator="between">
      <formula>70.01</formula>
      <formula>80</formula>
    </cfRule>
    <cfRule type="cellIs" dxfId="10697" priority="141" operator="lessThanOrEqual">
      <formula>70</formula>
    </cfRule>
  </conditionalFormatting>
  <conditionalFormatting sqref="AJ42:AK43">
    <cfRule type="cellIs" dxfId="10696" priority="117" operator="greaterThan">
      <formula>100</formula>
    </cfRule>
    <cfRule type="cellIs" dxfId="10695" priority="118" operator="between">
      <formula>90.01</formula>
      <formula>100</formula>
    </cfRule>
    <cfRule type="cellIs" dxfId="10694" priority="119" operator="between">
      <formula>80.01</formula>
      <formula>90</formula>
    </cfRule>
    <cfRule type="cellIs" dxfId="10693" priority="120" operator="between">
      <formula>70.01</formula>
      <formula>80</formula>
    </cfRule>
    <cfRule type="cellIs" dxfId="10692" priority="121" operator="lessThanOrEqual">
      <formula>70</formula>
    </cfRule>
  </conditionalFormatting>
  <conditionalFormatting sqref="AV42:AW43">
    <cfRule type="cellIs" dxfId="10691" priority="112" operator="greaterThan">
      <formula>100</formula>
    </cfRule>
    <cfRule type="cellIs" dxfId="10690" priority="113" operator="between">
      <formula>90.01</formula>
      <formula>100</formula>
    </cfRule>
    <cfRule type="cellIs" dxfId="10689" priority="114" operator="between">
      <formula>80.01</formula>
      <formula>90</formula>
    </cfRule>
    <cfRule type="cellIs" dxfId="10688" priority="115" operator="between">
      <formula>70.01</formula>
      <formula>80</formula>
    </cfRule>
    <cfRule type="cellIs" dxfId="10687" priority="116" operator="lessThanOrEqual">
      <formula>70</formula>
    </cfRule>
  </conditionalFormatting>
  <conditionalFormatting sqref="BM15:BN18">
    <cfRule type="notContainsBlanks" dxfId="10686" priority="101">
      <formula>LEN(TRIM(BM15))&gt;0</formula>
    </cfRule>
  </conditionalFormatting>
  <conditionalFormatting sqref="N42:N43">
    <cfRule type="cellIs" dxfId="10685" priority="76" operator="greaterThan">
      <formula>100</formula>
    </cfRule>
    <cfRule type="cellIs" dxfId="10684" priority="77" operator="between">
      <formula>90.01</formula>
      <formula>100</formula>
    </cfRule>
    <cfRule type="cellIs" dxfId="10683" priority="78" operator="between">
      <formula>80.01</formula>
      <formula>90</formula>
    </cfRule>
    <cfRule type="cellIs" dxfId="10682" priority="79" operator="between">
      <formula>70.01</formula>
      <formula>80</formula>
    </cfRule>
    <cfRule type="cellIs" dxfId="10681" priority="80" operator="lessThanOrEqual">
      <formula>70</formula>
    </cfRule>
  </conditionalFormatting>
  <conditionalFormatting sqref="E42:E43">
    <cfRule type="cellIs" dxfId="10680" priority="91" operator="greaterThan">
      <formula>100</formula>
    </cfRule>
    <cfRule type="cellIs" dxfId="10679" priority="92" operator="between">
      <formula>90.01</formula>
      <formula>100</formula>
    </cfRule>
    <cfRule type="cellIs" dxfId="10678" priority="93" operator="between">
      <formula>80.01</formula>
      <formula>90</formula>
    </cfRule>
    <cfRule type="cellIs" dxfId="10677" priority="94" operator="between">
      <formula>70.01</formula>
      <formula>80</formula>
    </cfRule>
    <cfRule type="cellIs" dxfId="10676" priority="95" operator="lessThanOrEqual">
      <formula>70</formula>
    </cfRule>
  </conditionalFormatting>
  <conditionalFormatting sqref="H42:H43">
    <cfRule type="cellIs" dxfId="10675" priority="86" operator="greaterThan">
      <formula>100</formula>
    </cfRule>
    <cfRule type="cellIs" dxfId="10674" priority="87" operator="between">
      <formula>90.01</formula>
      <formula>100</formula>
    </cfRule>
    <cfRule type="cellIs" dxfId="10673" priority="88" operator="between">
      <formula>80.01</formula>
      <formula>90</formula>
    </cfRule>
    <cfRule type="cellIs" dxfId="10672" priority="89" operator="between">
      <formula>70.01</formula>
      <formula>80</formula>
    </cfRule>
    <cfRule type="cellIs" dxfId="10671" priority="90" operator="lessThanOrEqual">
      <formula>70</formula>
    </cfRule>
  </conditionalFormatting>
  <conditionalFormatting sqref="K42:K43">
    <cfRule type="cellIs" dxfId="10670" priority="81" operator="greaterThan">
      <formula>100</formula>
    </cfRule>
    <cfRule type="cellIs" dxfId="10669" priority="82" operator="between">
      <formula>90.01</formula>
      <formula>100</formula>
    </cfRule>
    <cfRule type="cellIs" dxfId="10668" priority="83" operator="between">
      <formula>80.01</formula>
      <formula>90</formula>
    </cfRule>
    <cfRule type="cellIs" dxfId="10667" priority="84" operator="between">
      <formula>70.01</formula>
      <formula>80</formula>
    </cfRule>
    <cfRule type="cellIs" dxfId="10666" priority="85" operator="lessThanOrEqual">
      <formula>70</formula>
    </cfRule>
  </conditionalFormatting>
  <conditionalFormatting sqref="BK15:BL18">
    <cfRule type="cellIs" dxfId="10665" priority="71" operator="greaterThan">
      <formula>100.05</formula>
    </cfRule>
    <cfRule type="cellIs" dxfId="10664" priority="72" operator="between">
      <formula>90.05</formula>
      <formula>100</formula>
    </cfRule>
    <cfRule type="cellIs" dxfId="10663" priority="73" operator="between">
      <formula>80.05</formula>
      <formula>90</formula>
    </cfRule>
    <cfRule type="cellIs" dxfId="10662" priority="74" operator="between">
      <formula>70</formula>
      <formula>80</formula>
    </cfRule>
    <cfRule type="cellIs" dxfId="10661" priority="75" operator="lessThan">
      <formula>70</formula>
    </cfRule>
  </conditionalFormatting>
  <conditionalFormatting sqref="BK22:BL24">
    <cfRule type="cellIs" dxfId="10660" priority="66" operator="greaterThan">
      <formula>100.05</formula>
    </cfRule>
    <cfRule type="cellIs" dxfId="10659" priority="67" operator="between">
      <formula>90.05</formula>
      <formula>100</formula>
    </cfRule>
    <cfRule type="cellIs" dxfId="10658" priority="68" operator="between">
      <formula>80.05</formula>
      <formula>90</formula>
    </cfRule>
    <cfRule type="cellIs" dxfId="10657" priority="69" operator="between">
      <formula>70</formula>
      <formula>80</formula>
    </cfRule>
    <cfRule type="cellIs" dxfId="10656" priority="70" operator="lessThan">
      <formula>70</formula>
    </cfRule>
  </conditionalFormatting>
  <conditionalFormatting sqref="BK28:BL31">
    <cfRule type="cellIs" dxfId="10655" priority="61" operator="greaterThan">
      <formula>100.05</formula>
    </cfRule>
    <cfRule type="cellIs" dxfId="10654" priority="62" operator="between">
      <formula>90.05</formula>
      <formula>100</formula>
    </cfRule>
    <cfRule type="cellIs" dxfId="10653" priority="63" operator="between">
      <formula>80.05</formula>
      <formula>90</formula>
    </cfRule>
    <cfRule type="cellIs" dxfId="10652" priority="64" operator="between">
      <formula>70</formula>
      <formula>80</formula>
    </cfRule>
    <cfRule type="cellIs" dxfId="10651" priority="65" operator="lessThan">
      <formula>70</formula>
    </cfRule>
  </conditionalFormatting>
  <conditionalFormatting sqref="AJ37:AJ38">
    <cfRule type="cellIs" dxfId="10650" priority="11" operator="greaterThan">
      <formula>100</formula>
    </cfRule>
    <cfRule type="cellIs" dxfId="10649" priority="12" operator="between">
      <formula>90.01</formula>
      <formula>100</formula>
    </cfRule>
    <cfRule type="cellIs" dxfId="10648" priority="13" operator="between">
      <formula>80.01</formula>
      <formula>90</formula>
    </cfRule>
    <cfRule type="cellIs" dxfId="10647" priority="14" operator="between">
      <formula>70.01</formula>
      <formula>80</formula>
    </cfRule>
    <cfRule type="cellIs" dxfId="10646" priority="15" operator="lessThanOrEqual">
      <formula>70</formula>
    </cfRule>
  </conditionalFormatting>
  <conditionalFormatting sqref="BB42:BB43">
    <cfRule type="cellIs" dxfId="10645" priority="41" operator="greaterThan">
      <formula>100</formula>
    </cfRule>
    <cfRule type="cellIs" dxfId="10644" priority="42" operator="between">
      <formula>90.01</formula>
      <formula>100</formula>
    </cfRule>
    <cfRule type="cellIs" dxfId="10643" priority="43" operator="between">
      <formula>80.01</formula>
      <formula>90</formula>
    </cfRule>
    <cfRule type="cellIs" dxfId="10642" priority="44" operator="between">
      <formula>70.01</formula>
      <formula>80</formula>
    </cfRule>
    <cfRule type="cellIs" dxfId="10641" priority="45" operator="lessThanOrEqual">
      <formula>70</formula>
    </cfRule>
  </conditionalFormatting>
  <conditionalFormatting sqref="BE42:BE43">
    <cfRule type="cellIs" dxfId="10640" priority="36" operator="greaterThan">
      <formula>100</formula>
    </cfRule>
    <cfRule type="cellIs" dxfId="10639" priority="37" operator="between">
      <formula>90.01</formula>
      <formula>100</formula>
    </cfRule>
    <cfRule type="cellIs" dxfId="10638" priority="38" operator="between">
      <formula>80.01</formula>
      <formula>90</formula>
    </cfRule>
    <cfRule type="cellIs" dxfId="10637" priority="39" operator="between">
      <formula>70.01</formula>
      <formula>80</formula>
    </cfRule>
    <cfRule type="cellIs" dxfId="10636" priority="40" operator="lessThanOrEqual">
      <formula>70</formula>
    </cfRule>
  </conditionalFormatting>
  <conditionalFormatting sqref="BH42:BH43">
    <cfRule type="cellIs" dxfId="10635" priority="31" operator="greaterThan">
      <formula>100</formula>
    </cfRule>
    <cfRule type="cellIs" dxfId="10634" priority="32" operator="between">
      <formula>90.01</formula>
      <formula>100</formula>
    </cfRule>
    <cfRule type="cellIs" dxfId="10633" priority="33" operator="between">
      <formula>80.01</formula>
      <formula>90</formula>
    </cfRule>
    <cfRule type="cellIs" dxfId="10632" priority="34" operator="between">
      <formula>70.01</formula>
      <formula>80</formula>
    </cfRule>
    <cfRule type="cellIs" dxfId="10631" priority="35" operator="lessThanOrEqual">
      <formula>70</formula>
    </cfRule>
  </conditionalFormatting>
  <conditionalFormatting sqref="R37:R38">
    <cfRule type="cellIs" dxfId="10630" priority="26" operator="greaterThan">
      <formula>100</formula>
    </cfRule>
    <cfRule type="cellIs" dxfId="10629" priority="27" operator="between">
      <formula>90.01</formula>
      <formula>100</formula>
    </cfRule>
    <cfRule type="cellIs" dxfId="10628" priority="28" operator="between">
      <formula>80.01</formula>
      <formula>90</formula>
    </cfRule>
    <cfRule type="cellIs" dxfId="10627" priority="29" operator="between">
      <formula>70.01</formula>
      <formula>80</formula>
    </cfRule>
    <cfRule type="cellIs" dxfId="10626" priority="30" operator="lessThanOrEqual">
      <formula>70</formula>
    </cfRule>
  </conditionalFormatting>
  <conditionalFormatting sqref="X37:X38">
    <cfRule type="cellIs" dxfId="10625" priority="21" operator="greaterThan">
      <formula>100</formula>
    </cfRule>
    <cfRule type="cellIs" dxfId="10624" priority="22" operator="between">
      <formula>90.01</formula>
      <formula>100</formula>
    </cfRule>
    <cfRule type="cellIs" dxfId="10623" priority="23" operator="between">
      <formula>80.01</formula>
      <formula>90</formula>
    </cfRule>
    <cfRule type="cellIs" dxfId="10622" priority="24" operator="between">
      <formula>70.01</formula>
      <formula>80</formula>
    </cfRule>
    <cfRule type="cellIs" dxfId="10621" priority="25" operator="lessThanOrEqual">
      <formula>70</formula>
    </cfRule>
  </conditionalFormatting>
  <conditionalFormatting sqref="AD37:AD38">
    <cfRule type="cellIs" dxfId="10620" priority="16" operator="greaterThan">
      <formula>100</formula>
    </cfRule>
    <cfRule type="cellIs" dxfId="10619" priority="17" operator="between">
      <formula>90.01</formula>
      <formula>100</formula>
    </cfRule>
    <cfRule type="cellIs" dxfId="10618" priority="18" operator="between">
      <formula>80.01</formula>
      <formula>90</formula>
    </cfRule>
    <cfRule type="cellIs" dxfId="10617" priority="19" operator="between">
      <formula>70.01</formula>
      <formula>80</formula>
    </cfRule>
    <cfRule type="cellIs" dxfId="10616" priority="20" operator="lessThanOrEqual">
      <formula>70</formula>
    </cfRule>
  </conditionalFormatting>
  <conditionalFormatting sqref="AP37:AP38">
    <cfRule type="cellIs" dxfId="10615" priority="6" operator="greaterThan">
      <formula>100</formula>
    </cfRule>
    <cfRule type="cellIs" dxfId="10614" priority="7" operator="between">
      <formula>90.01</formula>
      <formula>100</formula>
    </cfRule>
    <cfRule type="cellIs" dxfId="10613" priority="8" operator="between">
      <formula>80.01</formula>
      <formula>90</formula>
    </cfRule>
    <cfRule type="cellIs" dxfId="10612" priority="9" operator="between">
      <formula>70.01</formula>
      <formula>80</formula>
    </cfRule>
    <cfRule type="cellIs" dxfId="10611" priority="10" operator="lessThanOrEqual">
      <formula>70</formula>
    </cfRule>
  </conditionalFormatting>
  <conditionalFormatting sqref="AV37:AV38">
    <cfRule type="cellIs" dxfId="10610" priority="1" operator="greaterThan">
      <formula>100</formula>
    </cfRule>
    <cfRule type="cellIs" dxfId="10609" priority="2" operator="between">
      <formula>90.01</formula>
      <formula>100</formula>
    </cfRule>
    <cfRule type="cellIs" dxfId="10608" priority="3" operator="between">
      <formula>80.01</formula>
      <formula>90</formula>
    </cfRule>
    <cfRule type="cellIs" dxfId="10607" priority="4" operator="between">
      <formula>70.01</formula>
      <formula>80</formula>
    </cfRule>
    <cfRule type="cellIs" dxfId="10606" priority="5" operator="lessThanOrEqual">
      <formula>70</formula>
    </cfRule>
  </conditionalFormatting>
  <hyperlinks>
    <hyperlink ref="AP3" location="JFK!A1" tooltip="JFK Matrix" display="JFK!A1" xr:uid="{00000000-0004-0000-0600-000000000000}"/>
    <hyperlink ref="AD3" location="LHR!A1" tooltip="LHR Matrix" display="LHR!A1" xr:uid="{00000000-0004-0000-0600-000001000000}"/>
    <hyperlink ref="X3" location="BKK!A1" tooltip="BKK Matrix" display="BKK Matrix" xr:uid="{00000000-0004-0000-0600-000002000000}"/>
    <hyperlink ref="R3" location="DEL!A1" tooltip="DEL Matrix" display="DEL!A1" xr:uid="{00000000-0004-0000-0600-000003000000}"/>
    <hyperlink ref="A42:A43" location="OAS!A1" tooltip="Overall Summary" display="OVERALL SUMMARY" xr:uid="{00000000-0004-0000-0600-000004000000}"/>
    <hyperlink ref="AJ3" location="LHR!A1" tooltip="LHR Matrix" display="LHR!A1" xr:uid="{00000000-0004-0000-0600-000005000000}"/>
    <hyperlink ref="AV3" location="JFK!A1" tooltip="JFK Matrix" display="JFK!A1" xr:uid="{00000000-0004-0000-0600-000006000000}"/>
  </hyperlinks>
  <pageMargins left="0.7" right="0.7" top="0.75" bottom="0.75" header="0.3" footer="0.3"/>
  <pageSetup scale="44" orientation="portrait" horizontalDpi="4294967293"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pageSetUpPr fitToPage="1"/>
  </sheetPr>
  <dimension ref="A1:CO198"/>
  <sheetViews>
    <sheetView showGridLines="0" view="pageBreakPreview" zoomScale="85" zoomScaleNormal="85" zoomScaleSheetLayoutView="85" workbookViewId="0"/>
  </sheetViews>
  <sheetFormatPr baseColWidth="10" defaultColWidth="2.6640625" defaultRowHeight="15" customHeight="1"/>
  <cols>
    <col min="1" max="1" width="3.1640625" style="242" bestFit="1" customWidth="1"/>
    <col min="2" max="7" width="2.6640625" style="52"/>
    <col min="8" max="8" width="3.1640625" style="52" bestFit="1" customWidth="1"/>
    <col min="9" max="9" width="2.6640625" style="52"/>
    <col min="10" max="10" width="2.6640625" style="52" customWidth="1"/>
    <col min="11" max="14" width="2.6640625" style="52"/>
    <col min="15" max="15" width="2.6640625" style="242"/>
    <col min="16" max="22" width="2.6640625" style="52"/>
    <col min="23" max="23" width="2.6640625" style="242"/>
    <col min="24" max="27" width="2.6640625" style="52"/>
    <col min="28" max="29" width="2.6640625" style="52" customWidth="1"/>
    <col min="30" max="31" width="2.6640625" style="52"/>
    <col min="32" max="32" width="2.6640625" style="242"/>
    <col min="33" max="35" width="2.6640625" style="52"/>
    <col min="36" max="36" width="2.6640625" style="52" customWidth="1"/>
    <col min="37" max="40" width="2.6640625" style="52"/>
    <col min="41" max="41" width="2.6640625" style="242"/>
    <col min="42" max="43" width="2.6640625" style="52"/>
    <col min="44" max="44" width="2.6640625" style="52" customWidth="1"/>
    <col min="45" max="51" width="2.6640625" style="52"/>
    <col min="52" max="52" width="2.6640625" style="52" customWidth="1"/>
    <col min="53" max="59" width="2.6640625" style="52"/>
    <col min="60" max="60" width="2.6640625" style="52" customWidth="1"/>
    <col min="61" max="16384" width="2.6640625" style="52"/>
  </cols>
  <sheetData>
    <row r="1" spans="1:93" ht="15" customHeight="1">
      <c r="A1" s="284"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84" t="str">
        <f>"Abinitio No : "&amp;Group</f>
        <v xml:space="preserve">Abinitio No : </v>
      </c>
      <c r="AB1" s="259"/>
      <c r="AC1" s="259"/>
      <c r="AD1" s="259"/>
      <c r="AE1" s="259"/>
      <c r="AF1" s="259"/>
      <c r="AG1" s="259"/>
      <c r="AH1" s="259"/>
      <c r="AI1" s="259"/>
      <c r="AJ1" s="259"/>
      <c r="AK1" s="259"/>
      <c r="AL1" s="259"/>
      <c r="AM1" s="259"/>
      <c r="AN1" s="259"/>
      <c r="AO1" s="259"/>
      <c r="AP1" s="259"/>
      <c r="AQ1" s="259"/>
      <c r="AR1" s="284"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259"/>
      <c r="BL1" s="259"/>
    </row>
    <row r="2" spans="1:93" ht="15" customHeight="1">
      <c r="A2" s="284"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424</v>
      </c>
      <c r="AS2" s="259"/>
      <c r="AT2" s="259"/>
      <c r="AU2" s="259"/>
      <c r="AV2" s="259"/>
      <c r="AW2" s="259"/>
      <c r="AX2" s="284" t="str">
        <f>"Group : "&amp;Rotation</f>
        <v xml:space="preserve">Group : </v>
      </c>
      <c r="AY2" s="259"/>
      <c r="AZ2" s="259"/>
      <c r="BA2" s="259"/>
      <c r="BB2" s="259"/>
      <c r="BC2" s="259"/>
      <c r="BD2" s="259"/>
      <c r="BE2" s="259"/>
      <c r="BF2" s="259"/>
      <c r="BG2" s="259"/>
      <c r="BH2" s="259"/>
      <c r="BI2" s="259"/>
      <c r="BJ2" s="259"/>
      <c r="BK2" s="259"/>
      <c r="BL2" s="259"/>
    </row>
    <row r="3" spans="1:93" s="242" customFormat="1" ht="15" customHeight="1">
      <c r="A3" s="1227" t="s">
        <v>453</v>
      </c>
      <c r="B3" s="1228"/>
      <c r="C3" s="1228"/>
      <c r="D3" s="1229"/>
      <c r="E3" s="1219" t="str">
        <f>M9</f>
        <v>1. Children's Headsets
&amp; Toys/Baby Kits</v>
      </c>
      <c r="F3" s="1220"/>
      <c r="G3" s="1221"/>
      <c r="H3" s="1225"/>
      <c r="I3" s="1219" t="str">
        <f>W9</f>
        <v>2. Landing Cards</v>
      </c>
      <c r="J3" s="1220"/>
      <c r="K3" s="1221"/>
      <c r="L3" s="1225"/>
      <c r="M3" s="1233"/>
      <c r="N3" s="1217"/>
      <c r="O3" s="1217"/>
      <c r="P3" s="1215">
        <v>0</v>
      </c>
      <c r="Q3" s="1217"/>
      <c r="R3" s="1217"/>
      <c r="S3" s="1217"/>
      <c r="T3" s="1215">
        <v>0</v>
      </c>
      <c r="U3" s="1217"/>
      <c r="V3" s="1217"/>
      <c r="W3" s="1217"/>
      <c r="X3" s="1215">
        <v>0</v>
      </c>
      <c r="Y3" s="1217"/>
      <c r="Z3" s="1217"/>
      <c r="AA3" s="1217"/>
      <c r="AB3" s="1215">
        <v>0</v>
      </c>
      <c r="AC3" s="1217"/>
      <c r="AD3" s="1217"/>
      <c r="AE3" s="1217"/>
      <c r="AF3" s="1215">
        <v>0</v>
      </c>
      <c r="AG3" s="304"/>
      <c r="AH3" s="251"/>
      <c r="AK3" s="251"/>
      <c r="AL3" s="251"/>
      <c r="AM3" s="251"/>
      <c r="AN3" s="251"/>
      <c r="AO3" s="251"/>
      <c r="AP3" s="251"/>
      <c r="AQ3" s="251"/>
      <c r="AR3" s="251"/>
      <c r="AS3" s="251"/>
      <c r="AT3" s="251"/>
      <c r="AU3" s="251"/>
      <c r="AV3" s="251"/>
      <c r="AW3" s="251"/>
      <c r="AX3" s="251"/>
    </row>
    <row r="4" spans="1:93" s="242" customFormat="1" ht="15" customHeight="1">
      <c r="A4" s="1230"/>
      <c r="B4" s="1231"/>
      <c r="C4" s="1231"/>
      <c r="D4" s="1232"/>
      <c r="E4" s="1222"/>
      <c r="F4" s="1223"/>
      <c r="G4" s="1224"/>
      <c r="H4" s="1226"/>
      <c r="I4" s="1222"/>
      <c r="J4" s="1223"/>
      <c r="K4" s="1224"/>
      <c r="L4" s="1226"/>
      <c r="M4" s="1234"/>
      <c r="N4" s="1218"/>
      <c r="O4" s="1218"/>
      <c r="P4" s="1216"/>
      <c r="Q4" s="1218"/>
      <c r="R4" s="1218"/>
      <c r="S4" s="1218"/>
      <c r="T4" s="1216"/>
      <c r="U4" s="1218"/>
      <c r="V4" s="1218"/>
      <c r="W4" s="1218"/>
      <c r="X4" s="1216"/>
      <c r="Y4" s="1218"/>
      <c r="Z4" s="1218"/>
      <c r="AA4" s="1218"/>
      <c r="AB4" s="1216"/>
      <c r="AC4" s="1218"/>
      <c r="AD4" s="1218"/>
      <c r="AE4" s="1218"/>
      <c r="AF4" s="1216"/>
      <c r="AG4" s="304"/>
      <c r="AH4" s="251"/>
      <c r="AK4" s="251"/>
      <c r="AL4" s="251"/>
      <c r="AM4" s="251"/>
      <c r="AN4" s="251"/>
      <c r="AO4" s="251"/>
      <c r="AP4" s="251"/>
      <c r="AQ4" s="251"/>
      <c r="AR4" s="251"/>
      <c r="AS4" s="251"/>
      <c r="AT4" s="251"/>
      <c r="AU4" s="251"/>
      <c r="AV4" s="251"/>
      <c r="AW4" s="251"/>
      <c r="AX4" s="251"/>
    </row>
    <row r="5" spans="1:93" ht="15" customHeight="1">
      <c r="A5" s="1219" t="str">
        <f>O48</f>
        <v>1. Champagne</v>
      </c>
      <c r="B5" s="1220"/>
      <c r="C5" s="1221"/>
      <c r="D5" s="1225"/>
      <c r="E5" s="1219" t="str">
        <f>W48</f>
        <v>2. Wine</v>
      </c>
      <c r="F5" s="1220"/>
      <c r="G5" s="1221"/>
      <c r="H5" s="1225"/>
      <c r="I5" s="1219" t="str">
        <f>AE48</f>
        <v>3. Liqueur</v>
      </c>
      <c r="J5" s="1220"/>
      <c r="K5" s="1221"/>
      <c r="L5" s="1225"/>
      <c r="M5" s="1219" t="str">
        <f>AM48</f>
        <v>4. Shandy</v>
      </c>
      <c r="N5" s="1220"/>
      <c r="O5" s="1221"/>
      <c r="P5" s="1225"/>
      <c r="Q5" s="1219" t="str">
        <f>AU48</f>
        <v>5. Hot Beverage - Tea</v>
      </c>
      <c r="R5" s="1220"/>
      <c r="S5" s="1221"/>
      <c r="T5" s="1225"/>
      <c r="U5" s="1219" t="str">
        <f>BC48</f>
        <v>6. Beer</v>
      </c>
      <c r="V5" s="1220"/>
      <c r="W5" s="1221"/>
      <c r="X5" s="1225"/>
      <c r="Y5" s="1219" t="str">
        <f>O93</f>
        <v>7. White Wine Spritzer</v>
      </c>
      <c r="Z5" s="1220"/>
      <c r="AA5" s="1221"/>
      <c r="AB5" s="1225"/>
      <c r="AC5" s="1219" t="str">
        <f>W93</f>
        <v>8. Screwdriver</v>
      </c>
      <c r="AD5" s="1220"/>
      <c r="AE5" s="1221"/>
      <c r="AF5" s="1225"/>
      <c r="AG5" s="1219" t="str">
        <f>AE93</f>
        <v>9. Gin &amp; Orange Juice</v>
      </c>
      <c r="AH5" s="1220"/>
      <c r="AI5" s="1221"/>
      <c r="AJ5" s="1225"/>
      <c r="AK5" s="1219" t="str">
        <f>AM93</f>
        <v>10. Rum &amp; Coke</v>
      </c>
      <c r="AL5" s="1220"/>
      <c r="AM5" s="1221"/>
      <c r="AN5" s="1225"/>
      <c r="AO5" s="1219" t="str">
        <f>AU93</f>
        <v>11. Gin &amp; Tonic</v>
      </c>
      <c r="AP5" s="1220"/>
      <c r="AQ5" s="1221"/>
      <c r="AR5" s="1225"/>
      <c r="AS5" s="1219" t="str">
        <f>BC93</f>
        <v>12. Whiskey &amp; Coke</v>
      </c>
      <c r="AT5" s="1220"/>
      <c r="AU5" s="1221"/>
      <c r="AV5" s="1225"/>
      <c r="AW5" s="1219" t="str">
        <f>O144</f>
        <v>13. Bloody Mary</v>
      </c>
      <c r="AX5" s="1220"/>
      <c r="AY5" s="1221"/>
      <c r="AZ5" s="1225"/>
      <c r="BC5" s="1219" t="str">
        <f>CustomerProfiles</f>
        <v>Customers Profiles</v>
      </c>
      <c r="BD5" s="1220"/>
      <c r="BE5" s="1221"/>
      <c r="BF5" s="1219" t="str">
        <f>CustomerScenariors</f>
        <v>Customer Scenariors</v>
      </c>
      <c r="BG5" s="1220" t="str">
        <f>CustomerScenariors</f>
        <v>Customer Scenariors</v>
      </c>
      <c r="BH5" s="1221"/>
    </row>
    <row r="6" spans="1:93"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C6" s="1222"/>
      <c r="BD6" s="1223"/>
      <c r="BE6" s="1224"/>
      <c r="BF6" s="1222"/>
      <c r="BG6" s="1223"/>
      <c r="BH6" s="1224"/>
    </row>
    <row r="7" spans="1:93"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c r="BS7" s="300"/>
    </row>
    <row r="8" spans="1:93" ht="15" customHeigh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c r="BS8" s="300"/>
    </row>
    <row r="9" spans="1:93" ht="15" customHeight="1">
      <c r="A9" s="1172"/>
      <c r="B9" s="1173" t="s">
        <v>608</v>
      </c>
      <c r="C9" s="1173"/>
      <c r="D9" s="1173"/>
      <c r="E9" s="1173"/>
      <c r="F9" s="1173"/>
      <c r="G9" s="1173"/>
      <c r="H9" s="1173"/>
      <c r="I9" s="1174">
        <v>1</v>
      </c>
      <c r="J9" s="1174">
        <v>2</v>
      </c>
      <c r="K9" s="255"/>
      <c r="L9" s="1239"/>
      <c r="M9" s="1240" t="s">
        <v>662</v>
      </c>
      <c r="N9" s="1240"/>
      <c r="O9" s="1240"/>
      <c r="P9" s="1240"/>
      <c r="Q9" s="1240"/>
      <c r="R9" s="1240"/>
      <c r="S9" s="1240"/>
      <c r="T9" s="1249"/>
      <c r="U9" s="1250"/>
      <c r="V9" s="1251"/>
      <c r="W9" s="1252" t="s">
        <v>638</v>
      </c>
      <c r="X9" s="1252"/>
      <c r="Y9" s="1252"/>
      <c r="Z9" s="1252"/>
      <c r="AA9" s="1252"/>
      <c r="AB9" s="1252"/>
      <c r="AC9" s="1253"/>
      <c r="AD9" s="1256"/>
      <c r="AE9" s="256"/>
      <c r="AF9" s="256"/>
      <c r="AO9" s="52"/>
      <c r="BJ9" s="1182" t="s">
        <v>263</v>
      </c>
      <c r="BK9" s="1183"/>
      <c r="BL9" s="1183"/>
      <c r="BM9" s="1183"/>
      <c r="BN9" s="1183"/>
      <c r="BO9" s="1184"/>
      <c r="BP9" s="255"/>
      <c r="BQ9" s="255"/>
      <c r="BR9" s="255"/>
      <c r="BW9" s="242"/>
      <c r="CF9" s="242"/>
    </row>
    <row r="10" spans="1:93" ht="15" customHeight="1">
      <c r="A10" s="1172"/>
      <c r="B10" s="1173"/>
      <c r="C10" s="1173"/>
      <c r="D10" s="1173"/>
      <c r="E10" s="1173"/>
      <c r="F10" s="1173"/>
      <c r="G10" s="1173"/>
      <c r="H10" s="1173"/>
      <c r="I10" s="1174"/>
      <c r="J10" s="1174"/>
      <c r="K10" s="255"/>
      <c r="L10" s="1239"/>
      <c r="M10" s="1240"/>
      <c r="N10" s="1240"/>
      <c r="O10" s="1240"/>
      <c r="P10" s="1240"/>
      <c r="Q10" s="1240"/>
      <c r="R10" s="1240"/>
      <c r="S10" s="1240"/>
      <c r="T10" s="1249" t="s">
        <v>312</v>
      </c>
      <c r="U10" s="1250"/>
      <c r="V10" s="1251"/>
      <c r="W10" s="1254"/>
      <c r="X10" s="1254"/>
      <c r="Y10" s="1254"/>
      <c r="Z10" s="1254"/>
      <c r="AA10" s="1254"/>
      <c r="AB10" s="1254"/>
      <c r="AC10" s="1255"/>
      <c r="AD10" s="1257"/>
      <c r="AE10" s="256"/>
      <c r="AF10" s="256"/>
      <c r="AO10" s="52"/>
      <c r="BJ10" s="1185"/>
      <c r="BK10" s="1186"/>
      <c r="BL10" s="1186"/>
      <c r="BM10" s="1186"/>
      <c r="BN10" s="1186"/>
      <c r="BO10" s="1187"/>
      <c r="BP10" s="255"/>
      <c r="BQ10" s="255"/>
      <c r="BR10" s="255"/>
      <c r="BW10" s="242"/>
      <c r="CF10" s="242"/>
    </row>
    <row r="11" spans="1:93" ht="15" customHeight="1">
      <c r="A11" s="1208">
        <v>1.1000000000000001</v>
      </c>
      <c r="B11" s="1235" t="s">
        <v>313</v>
      </c>
      <c r="C11" s="1235"/>
      <c r="D11" s="1235"/>
      <c r="E11" s="1235"/>
      <c r="F11" s="1235"/>
      <c r="G11" s="1235"/>
      <c r="H11" s="1235"/>
      <c r="I11" s="1170" t="str">
        <f>IF(ISBLANK(H$3),"",1)</f>
        <v/>
      </c>
      <c r="J11" s="1170" t="str">
        <f>IF(ISBLANK(L$3),"",1)</f>
        <v/>
      </c>
      <c r="K11" s="255"/>
      <c r="L11" s="1236">
        <v>1.5</v>
      </c>
      <c r="M11" s="1235" t="s">
        <v>314</v>
      </c>
      <c r="N11" s="1235"/>
      <c r="O11" s="1235"/>
      <c r="P11" s="1235"/>
      <c r="Q11" s="1235"/>
      <c r="R11" s="1235"/>
      <c r="S11" s="1235"/>
      <c r="T11" s="1170" t="str">
        <f>IF(ISBLANK(H$3),"",1)</f>
        <v/>
      </c>
      <c r="U11" s="1241"/>
      <c r="V11" s="1236">
        <v>4.4000000000000004</v>
      </c>
      <c r="W11" s="1242" t="s">
        <v>628</v>
      </c>
      <c r="X11" s="1243"/>
      <c r="Y11" s="1243"/>
      <c r="Z11" s="1243"/>
      <c r="AA11" s="1243"/>
      <c r="AB11" s="1243"/>
      <c r="AC11" s="1244"/>
      <c r="AD11" s="1248" t="str">
        <f>IF(ISBLANK(L$3),"",1)</f>
        <v/>
      </c>
      <c r="AE11" s="256"/>
      <c r="AF11" s="256"/>
      <c r="AO11" s="52"/>
      <c r="BJ11" s="1188"/>
      <c r="BK11" s="1189"/>
      <c r="BL11" s="1189"/>
      <c r="BM11" s="1189"/>
      <c r="BN11" s="1189"/>
      <c r="BO11" s="1190"/>
      <c r="BP11" s="255"/>
      <c r="BQ11" s="255"/>
      <c r="BR11" s="255"/>
      <c r="BW11" s="242"/>
      <c r="CF11" s="242"/>
    </row>
    <row r="12" spans="1:93" ht="15" customHeight="1">
      <c r="A12" s="1208"/>
      <c r="B12" s="1235"/>
      <c r="C12" s="1235"/>
      <c r="D12" s="1235"/>
      <c r="E12" s="1235"/>
      <c r="F12" s="1235"/>
      <c r="G12" s="1235"/>
      <c r="H12" s="1235"/>
      <c r="I12" s="1170"/>
      <c r="J12" s="1170"/>
      <c r="K12" s="255"/>
      <c r="L12" s="1236"/>
      <c r="M12" s="1235"/>
      <c r="N12" s="1235"/>
      <c r="O12" s="1235"/>
      <c r="P12" s="1235"/>
      <c r="Q12" s="1235"/>
      <c r="R12" s="1235"/>
      <c r="S12" s="1235"/>
      <c r="T12" s="1170"/>
      <c r="U12" s="1241"/>
      <c r="V12" s="1236"/>
      <c r="W12" s="1245"/>
      <c r="X12" s="1246"/>
      <c r="Y12" s="1246"/>
      <c r="Z12" s="1246"/>
      <c r="AA12" s="1246"/>
      <c r="AB12" s="1246"/>
      <c r="AC12" s="1247"/>
      <c r="AD12" s="1206"/>
      <c r="AE12" s="256"/>
      <c r="AF12" s="256"/>
      <c r="AO12" s="52"/>
      <c r="BJ12" s="1188"/>
      <c r="BK12" s="1189"/>
      <c r="BL12" s="1189"/>
      <c r="BM12" s="1189"/>
      <c r="BN12" s="1189"/>
      <c r="BO12" s="1190"/>
      <c r="BP12" s="255"/>
      <c r="BQ12" s="255"/>
      <c r="BR12" s="255"/>
      <c r="BW12" s="242"/>
      <c r="CF12" s="242"/>
    </row>
    <row r="13" spans="1:93" ht="15" customHeight="1">
      <c r="A13" s="1208"/>
      <c r="B13" s="1235"/>
      <c r="C13" s="1235"/>
      <c r="D13" s="1235"/>
      <c r="E13" s="1235"/>
      <c r="F13" s="1235"/>
      <c r="G13" s="1235"/>
      <c r="H13" s="1235"/>
      <c r="I13" s="1170"/>
      <c r="J13" s="1170"/>
      <c r="K13" s="255"/>
      <c r="L13" s="1236"/>
      <c r="M13" s="1235"/>
      <c r="N13" s="1235"/>
      <c r="O13" s="1235"/>
      <c r="P13" s="1235"/>
      <c r="Q13" s="1235"/>
      <c r="R13" s="1235"/>
      <c r="S13" s="1235"/>
      <c r="T13" s="1170"/>
      <c r="U13" s="1241"/>
      <c r="V13" s="1236"/>
      <c r="W13" s="1245"/>
      <c r="X13" s="1246"/>
      <c r="Y13" s="1246"/>
      <c r="Z13" s="1246"/>
      <c r="AA13" s="1246"/>
      <c r="AB13" s="1246"/>
      <c r="AC13" s="1247"/>
      <c r="AD13" s="1207"/>
      <c r="AE13" s="256"/>
      <c r="AF13" s="256"/>
      <c r="AO13" s="52"/>
      <c r="BJ13" s="1188"/>
      <c r="BK13" s="1189"/>
      <c r="BL13" s="1189"/>
      <c r="BM13" s="1189"/>
      <c r="BN13" s="1189"/>
      <c r="BO13" s="1190"/>
      <c r="BP13" s="255"/>
      <c r="BQ13" s="255"/>
      <c r="BR13" s="255"/>
      <c r="BW13" s="242"/>
      <c r="CF13" s="242"/>
    </row>
    <row r="14" spans="1:93" ht="15" customHeight="1">
      <c r="A14" s="1208">
        <v>1.1000000000000001</v>
      </c>
      <c r="B14" s="1235" t="s">
        <v>316</v>
      </c>
      <c r="C14" s="1235"/>
      <c r="D14" s="1235"/>
      <c r="E14" s="1235"/>
      <c r="F14" s="1235"/>
      <c r="G14" s="1235"/>
      <c r="H14" s="1235"/>
      <c r="I14" s="1170" t="str">
        <f t="shared" ref="I14" si="0">IF(ISBLANK(H$3),"",1)</f>
        <v/>
      </c>
      <c r="J14" s="1170" t="str">
        <f>IF(ISBLANK(L$3),"",1)</f>
        <v/>
      </c>
      <c r="K14" s="255"/>
      <c r="L14" s="1258">
        <v>4.4000000000000004</v>
      </c>
      <c r="M14" s="1235" t="s">
        <v>317</v>
      </c>
      <c r="N14" s="1235"/>
      <c r="O14" s="1235"/>
      <c r="P14" s="1235"/>
      <c r="Q14" s="1235"/>
      <c r="R14" s="1235"/>
      <c r="S14" s="1235"/>
      <c r="T14" s="1170" t="str">
        <f>IF(ISBLANK(H$3),"",1)</f>
        <v/>
      </c>
      <c r="U14" s="1241"/>
      <c r="V14" s="1258">
        <v>4.4000000000000004</v>
      </c>
      <c r="W14" s="1242" t="s">
        <v>318</v>
      </c>
      <c r="X14" s="1243"/>
      <c r="Y14" s="1243"/>
      <c r="Z14" s="1243"/>
      <c r="AA14" s="1243"/>
      <c r="AB14" s="1243"/>
      <c r="AC14" s="1244" t="s">
        <v>696</v>
      </c>
      <c r="AD14" s="1248" t="str">
        <f>IF(ISBLANK(L$3),"",1)</f>
        <v/>
      </c>
      <c r="AE14" s="256"/>
      <c r="AF14" s="256"/>
      <c r="AO14" s="52"/>
      <c r="BJ14" s="1188"/>
      <c r="BK14" s="1189"/>
      <c r="BL14" s="1189"/>
      <c r="BM14" s="1189"/>
      <c r="BN14" s="1189"/>
      <c r="BO14" s="1190"/>
      <c r="BP14" s="255"/>
      <c r="BQ14" s="255"/>
      <c r="BR14" s="255"/>
      <c r="BW14" s="242"/>
      <c r="CF14" s="242"/>
      <c r="CO14" s="242"/>
    </row>
    <row r="15" spans="1:93" ht="15" customHeight="1">
      <c r="A15" s="1208"/>
      <c r="B15" s="1235"/>
      <c r="C15" s="1235"/>
      <c r="D15" s="1235"/>
      <c r="E15" s="1235"/>
      <c r="F15" s="1235"/>
      <c r="G15" s="1235"/>
      <c r="H15" s="1235"/>
      <c r="I15" s="1170"/>
      <c r="J15" s="1170"/>
      <c r="K15" s="255"/>
      <c r="L15" s="1258"/>
      <c r="M15" s="1235"/>
      <c r="N15" s="1235"/>
      <c r="O15" s="1235"/>
      <c r="P15" s="1235"/>
      <c r="Q15" s="1235"/>
      <c r="R15" s="1235"/>
      <c r="S15" s="1235"/>
      <c r="T15" s="1170"/>
      <c r="U15" s="1241"/>
      <c r="V15" s="1258"/>
      <c r="W15" s="1245"/>
      <c r="X15" s="1246"/>
      <c r="Y15" s="1246"/>
      <c r="Z15" s="1246"/>
      <c r="AA15" s="1246"/>
      <c r="AB15" s="1246"/>
      <c r="AC15" s="1247"/>
      <c r="AD15" s="1206"/>
      <c r="AE15" s="256"/>
      <c r="AF15" s="256"/>
      <c r="AO15" s="52"/>
      <c r="BJ15" s="1188"/>
      <c r="BK15" s="1189"/>
      <c r="BL15" s="1189"/>
      <c r="BM15" s="1189"/>
      <c r="BN15" s="1189"/>
      <c r="BO15" s="1190"/>
      <c r="BP15" s="255"/>
      <c r="BQ15" s="255"/>
      <c r="BR15" s="255"/>
      <c r="BW15" s="242"/>
      <c r="CF15" s="242"/>
      <c r="CO15" s="242"/>
    </row>
    <row r="16" spans="1:93" ht="15" customHeight="1">
      <c r="A16" s="1208"/>
      <c r="B16" s="1235"/>
      <c r="C16" s="1235"/>
      <c r="D16" s="1235"/>
      <c r="E16" s="1235"/>
      <c r="F16" s="1235"/>
      <c r="G16" s="1235"/>
      <c r="H16" s="1235"/>
      <c r="I16" s="1170"/>
      <c r="J16" s="1170"/>
      <c r="K16" s="255"/>
      <c r="L16" s="1258"/>
      <c r="M16" s="1235"/>
      <c r="N16" s="1235"/>
      <c r="O16" s="1235"/>
      <c r="P16" s="1235"/>
      <c r="Q16" s="1235"/>
      <c r="R16" s="1235"/>
      <c r="S16" s="1235"/>
      <c r="T16" s="1170"/>
      <c r="U16" s="1241"/>
      <c r="V16" s="1258"/>
      <c r="W16" s="1245"/>
      <c r="X16" s="1246"/>
      <c r="Y16" s="1246"/>
      <c r="Z16" s="1246"/>
      <c r="AA16" s="1246"/>
      <c r="AB16" s="1246"/>
      <c r="AC16" s="1247"/>
      <c r="AD16" s="1207"/>
      <c r="AE16" s="256"/>
      <c r="AF16" s="256"/>
      <c r="AO16" s="52"/>
      <c r="BJ16" s="1188"/>
      <c r="BK16" s="1189"/>
      <c r="BL16" s="1189"/>
      <c r="BM16" s="1189"/>
      <c r="BN16" s="1189"/>
      <c r="BO16" s="1190"/>
      <c r="BP16" s="255"/>
      <c r="BQ16" s="255"/>
      <c r="BR16" s="255"/>
      <c r="BW16" s="242"/>
      <c r="CF16" s="242"/>
      <c r="CO16" s="242"/>
    </row>
    <row r="17" spans="1:93" ht="15" customHeight="1">
      <c r="A17" s="1194">
        <v>2.4</v>
      </c>
      <c r="B17" s="1235" t="s">
        <v>320</v>
      </c>
      <c r="C17" s="1235"/>
      <c r="D17" s="1235"/>
      <c r="E17" s="1235"/>
      <c r="F17" s="1235"/>
      <c r="G17" s="1235"/>
      <c r="H17" s="1235"/>
      <c r="I17" s="1170" t="str">
        <f t="shared" ref="I17" si="1">IF(ISBLANK(H$3),"",1)</f>
        <v/>
      </c>
      <c r="J17" s="1170" t="str">
        <f>IF(ISBLANK(L$3),"",1)</f>
        <v/>
      </c>
      <c r="K17" s="255"/>
      <c r="L17" s="1258">
        <v>4.4000000000000004</v>
      </c>
      <c r="M17" s="1235" t="s">
        <v>319</v>
      </c>
      <c r="N17" s="1235"/>
      <c r="O17" s="1235"/>
      <c r="P17" s="1235"/>
      <c r="Q17" s="1235"/>
      <c r="R17" s="1235"/>
      <c r="S17" s="1235"/>
      <c r="T17" s="1170" t="str">
        <f>IF(ISBLANK(H$3),"",1)</f>
        <v/>
      </c>
      <c r="U17" s="1241"/>
      <c r="V17" s="1258">
        <v>4.4000000000000004</v>
      </c>
      <c r="W17" s="1242" t="s">
        <v>321</v>
      </c>
      <c r="X17" s="1243"/>
      <c r="Y17" s="1243"/>
      <c r="Z17" s="1243"/>
      <c r="AA17" s="1243"/>
      <c r="AB17" s="1243"/>
      <c r="AC17" s="1244" t="s">
        <v>696</v>
      </c>
      <c r="AD17" s="1248" t="str">
        <f>IF(ISBLANK(L$3),"",1)</f>
        <v/>
      </c>
      <c r="AE17" s="256"/>
      <c r="AF17" s="256"/>
      <c r="AO17" s="52"/>
      <c r="BJ17" s="1188"/>
      <c r="BK17" s="1189"/>
      <c r="BL17" s="1189"/>
      <c r="BM17" s="1189"/>
      <c r="BN17" s="1189"/>
      <c r="BO17" s="1190"/>
      <c r="BP17" s="255"/>
      <c r="BQ17" s="255"/>
      <c r="BR17" s="255"/>
      <c r="BW17" s="242"/>
      <c r="CF17" s="242"/>
      <c r="CO17" s="242"/>
    </row>
    <row r="18" spans="1:93" ht="15" customHeight="1">
      <c r="A18" s="1194"/>
      <c r="B18" s="1235"/>
      <c r="C18" s="1235"/>
      <c r="D18" s="1235"/>
      <c r="E18" s="1235"/>
      <c r="F18" s="1235"/>
      <c r="G18" s="1235"/>
      <c r="H18" s="1235"/>
      <c r="I18" s="1170"/>
      <c r="J18" s="1170"/>
      <c r="K18" s="255"/>
      <c r="L18" s="1258"/>
      <c r="M18" s="1235"/>
      <c r="N18" s="1235"/>
      <c r="O18" s="1235"/>
      <c r="P18" s="1235"/>
      <c r="Q18" s="1235"/>
      <c r="R18" s="1235"/>
      <c r="S18" s="1235"/>
      <c r="T18" s="1170"/>
      <c r="U18" s="1241"/>
      <c r="V18" s="1258"/>
      <c r="W18" s="1245"/>
      <c r="X18" s="1246"/>
      <c r="Y18" s="1246"/>
      <c r="Z18" s="1246"/>
      <c r="AA18" s="1246"/>
      <c r="AB18" s="1246"/>
      <c r="AC18" s="1247"/>
      <c r="AD18" s="1206"/>
      <c r="AE18" s="256"/>
      <c r="AF18" s="256"/>
      <c r="AO18" s="52"/>
      <c r="BJ18" s="1188"/>
      <c r="BK18" s="1189"/>
      <c r="BL18" s="1189"/>
      <c r="BM18" s="1189"/>
      <c r="BN18" s="1189"/>
      <c r="BO18" s="1190"/>
      <c r="BP18" s="255"/>
      <c r="BQ18" s="255"/>
      <c r="BR18" s="255"/>
      <c r="BW18" s="242"/>
      <c r="CF18" s="242"/>
      <c r="CO18" s="242"/>
    </row>
    <row r="19" spans="1:93" ht="15" customHeight="1">
      <c r="A19" s="1194"/>
      <c r="B19" s="1235"/>
      <c r="C19" s="1235"/>
      <c r="D19" s="1235"/>
      <c r="E19" s="1235"/>
      <c r="F19" s="1235"/>
      <c r="G19" s="1235"/>
      <c r="H19" s="1235"/>
      <c r="I19" s="1170"/>
      <c r="J19" s="1170"/>
      <c r="K19" s="255"/>
      <c r="L19" s="1258"/>
      <c r="M19" s="1235"/>
      <c r="N19" s="1235"/>
      <c r="O19" s="1235"/>
      <c r="P19" s="1235"/>
      <c r="Q19" s="1235"/>
      <c r="R19" s="1235"/>
      <c r="S19" s="1235"/>
      <c r="T19" s="1170"/>
      <c r="U19" s="1241"/>
      <c r="V19" s="1258"/>
      <c r="W19" s="1245"/>
      <c r="X19" s="1246"/>
      <c r="Y19" s="1246"/>
      <c r="Z19" s="1246"/>
      <c r="AA19" s="1246"/>
      <c r="AB19" s="1246"/>
      <c r="AC19" s="1247"/>
      <c r="AD19" s="1207"/>
      <c r="AE19" s="256"/>
      <c r="AF19" s="256"/>
      <c r="AO19" s="52"/>
      <c r="BJ19" s="1188"/>
      <c r="BK19" s="1189"/>
      <c r="BL19" s="1189"/>
      <c r="BM19" s="1189"/>
      <c r="BN19" s="1189"/>
      <c r="BO19" s="1190"/>
      <c r="BP19" s="255"/>
      <c r="BQ19" s="255"/>
      <c r="BR19" s="255"/>
      <c r="BW19" s="242"/>
      <c r="CF19" s="242"/>
      <c r="CO19" s="242"/>
    </row>
    <row r="20" spans="1:93" ht="15" customHeight="1">
      <c r="A20" s="1208">
        <v>1.1000000000000001</v>
      </c>
      <c r="B20" s="1235" t="s">
        <v>322</v>
      </c>
      <c r="C20" s="1235"/>
      <c r="D20" s="1235"/>
      <c r="E20" s="1235"/>
      <c r="F20" s="1235"/>
      <c r="G20" s="1235"/>
      <c r="H20" s="1235"/>
      <c r="I20" s="1170" t="str">
        <f t="shared" ref="I20" si="2">IF(ISBLANK(H$3),"",1)</f>
        <v/>
      </c>
      <c r="J20" s="1170" t="str">
        <f>IF(ISBLANK(L$3),"",1)</f>
        <v/>
      </c>
      <c r="K20" s="255"/>
      <c r="L20" s="1258">
        <v>4.4000000000000004</v>
      </c>
      <c r="M20" s="1235" t="s">
        <v>822</v>
      </c>
      <c r="N20" s="1235"/>
      <c r="O20" s="1235"/>
      <c r="P20" s="1235"/>
      <c r="Q20" s="1235"/>
      <c r="R20" s="1235"/>
      <c r="S20" s="1235"/>
      <c r="T20" s="1170" t="str">
        <f>IF(ISBLANK(H$3),"",1)</f>
        <v/>
      </c>
      <c r="U20" s="1241"/>
      <c r="V20" s="1258">
        <v>4.4000000000000004</v>
      </c>
      <c r="W20" s="1242" t="s">
        <v>821</v>
      </c>
      <c r="X20" s="1243"/>
      <c r="Y20" s="1243"/>
      <c r="Z20" s="1243"/>
      <c r="AA20" s="1243"/>
      <c r="AB20" s="1243"/>
      <c r="AC20" s="1244" t="s">
        <v>696</v>
      </c>
      <c r="AD20" s="1248" t="str">
        <f>IF(ISBLANK(L$3),"",1)</f>
        <v/>
      </c>
      <c r="AE20" s="256"/>
      <c r="AF20" s="256"/>
      <c r="AO20" s="52"/>
      <c r="BJ20" s="1188"/>
      <c r="BK20" s="1189"/>
      <c r="BL20" s="1189"/>
      <c r="BM20" s="1189"/>
      <c r="BN20" s="1189"/>
      <c r="BO20" s="1190"/>
      <c r="BP20" s="255"/>
      <c r="BQ20" s="255"/>
      <c r="BR20" s="255"/>
      <c r="BW20" s="242"/>
      <c r="CF20" s="242"/>
      <c r="CO20" s="242"/>
    </row>
    <row r="21" spans="1:93" ht="15" customHeight="1">
      <c r="A21" s="1208"/>
      <c r="B21" s="1235"/>
      <c r="C21" s="1235"/>
      <c r="D21" s="1235"/>
      <c r="E21" s="1235"/>
      <c r="F21" s="1235"/>
      <c r="G21" s="1235"/>
      <c r="H21" s="1235"/>
      <c r="I21" s="1170"/>
      <c r="J21" s="1170"/>
      <c r="K21" s="255"/>
      <c r="L21" s="1258"/>
      <c r="M21" s="1235"/>
      <c r="N21" s="1235"/>
      <c r="O21" s="1235"/>
      <c r="P21" s="1235"/>
      <c r="Q21" s="1235"/>
      <c r="R21" s="1235"/>
      <c r="S21" s="1235"/>
      <c r="T21" s="1170"/>
      <c r="U21" s="1241"/>
      <c r="V21" s="1258"/>
      <c r="W21" s="1245"/>
      <c r="X21" s="1246"/>
      <c r="Y21" s="1246"/>
      <c r="Z21" s="1246"/>
      <c r="AA21" s="1246"/>
      <c r="AB21" s="1246"/>
      <c r="AC21" s="1247"/>
      <c r="AD21" s="1206"/>
      <c r="AE21" s="256"/>
      <c r="AF21" s="256"/>
      <c r="AO21" s="52"/>
      <c r="BJ21" s="1188"/>
      <c r="BK21" s="1189"/>
      <c r="BL21" s="1189"/>
      <c r="BM21" s="1189"/>
      <c r="BN21" s="1189"/>
      <c r="BO21" s="1190"/>
      <c r="BP21" s="255"/>
      <c r="BQ21" s="255"/>
      <c r="BR21" s="255"/>
      <c r="BW21" s="242"/>
      <c r="CF21" s="242"/>
      <c r="CO21" s="242"/>
    </row>
    <row r="22" spans="1:93" ht="15" customHeight="1">
      <c r="A22" s="1208"/>
      <c r="B22" s="1235"/>
      <c r="C22" s="1235"/>
      <c r="D22" s="1235"/>
      <c r="E22" s="1235"/>
      <c r="F22" s="1235"/>
      <c r="G22" s="1235"/>
      <c r="H22" s="1235"/>
      <c r="I22" s="1170"/>
      <c r="J22" s="1170"/>
      <c r="K22" s="255"/>
      <c r="L22" s="1258"/>
      <c r="M22" s="1235"/>
      <c r="N22" s="1235"/>
      <c r="O22" s="1235"/>
      <c r="P22" s="1235"/>
      <c r="Q22" s="1235"/>
      <c r="R22" s="1235"/>
      <c r="S22" s="1235"/>
      <c r="T22" s="1170"/>
      <c r="U22" s="1241"/>
      <c r="V22" s="1258"/>
      <c r="W22" s="1245"/>
      <c r="X22" s="1246"/>
      <c r="Y22" s="1246"/>
      <c r="Z22" s="1246"/>
      <c r="AA22" s="1246"/>
      <c r="AB22" s="1246"/>
      <c r="AC22" s="1247"/>
      <c r="AD22" s="1207"/>
      <c r="AE22" s="256"/>
      <c r="AF22" s="256"/>
      <c r="AO22" s="52"/>
      <c r="BJ22" s="1188"/>
      <c r="BK22" s="1189"/>
      <c r="BL22" s="1189"/>
      <c r="BM22" s="1189"/>
      <c r="BN22" s="1189"/>
      <c r="BO22" s="1190"/>
      <c r="BP22" s="255"/>
      <c r="BQ22" s="255"/>
      <c r="BR22" s="255"/>
      <c r="BW22" s="242"/>
      <c r="CF22" s="242"/>
      <c r="CO22" s="242"/>
    </row>
    <row r="23" spans="1:93" ht="15" customHeight="1">
      <c r="A23" s="1194">
        <v>2.1</v>
      </c>
      <c r="B23" s="1235" t="s">
        <v>325</v>
      </c>
      <c r="C23" s="1235"/>
      <c r="D23" s="1235"/>
      <c r="E23" s="1235"/>
      <c r="F23" s="1235"/>
      <c r="G23" s="1235"/>
      <c r="H23" s="1235"/>
      <c r="I23" s="1170" t="str">
        <f t="shared" ref="I23" si="3">IF(ISBLANK(H$3),"",1)</f>
        <v/>
      </c>
      <c r="J23" s="1170" t="str">
        <f>IF(ISBLANK(L$3),"",1)</f>
        <v/>
      </c>
      <c r="K23" s="255"/>
      <c r="L23" s="1258">
        <v>4.3</v>
      </c>
      <c r="M23" s="1259" t="s">
        <v>326</v>
      </c>
      <c r="N23" s="1235" t="s">
        <v>327</v>
      </c>
      <c r="O23" s="1235"/>
      <c r="P23" s="1235"/>
      <c r="Q23" s="1235"/>
      <c r="R23" s="1235"/>
      <c r="S23" s="1235"/>
      <c r="T23" s="1170" t="str">
        <f>IF(ISBLANK(H$3),"",1)</f>
        <v/>
      </c>
      <c r="U23" s="1241"/>
      <c r="V23" s="1258">
        <v>4.4000000000000004</v>
      </c>
      <c r="W23" s="1242" t="s">
        <v>328</v>
      </c>
      <c r="X23" s="1243"/>
      <c r="Y23" s="1243"/>
      <c r="Z23" s="1243"/>
      <c r="AA23" s="1243"/>
      <c r="AB23" s="1243"/>
      <c r="AC23" s="1244" t="s">
        <v>696</v>
      </c>
      <c r="AD23" s="1248" t="str">
        <f>IF(ISBLANK(L$3),"",1)</f>
        <v/>
      </c>
      <c r="AE23" s="256"/>
      <c r="AF23" s="256"/>
      <c r="AO23" s="52"/>
      <c r="BJ23" s="1188"/>
      <c r="BK23" s="1189"/>
      <c r="BL23" s="1189"/>
      <c r="BM23" s="1189"/>
      <c r="BN23" s="1189"/>
      <c r="BO23" s="1190"/>
      <c r="BP23" s="255"/>
      <c r="BQ23" s="255"/>
      <c r="BR23" s="255"/>
      <c r="BW23" s="242"/>
      <c r="CF23" s="242"/>
      <c r="CO23" s="242"/>
    </row>
    <row r="24" spans="1:93" ht="15" customHeight="1">
      <c r="A24" s="1194"/>
      <c r="B24" s="1235"/>
      <c r="C24" s="1235"/>
      <c r="D24" s="1235"/>
      <c r="E24" s="1235"/>
      <c r="F24" s="1235"/>
      <c r="G24" s="1235"/>
      <c r="H24" s="1235"/>
      <c r="I24" s="1170"/>
      <c r="J24" s="1170"/>
      <c r="K24" s="255"/>
      <c r="L24" s="1258"/>
      <c r="M24" s="1259"/>
      <c r="N24" s="1235"/>
      <c r="O24" s="1235"/>
      <c r="P24" s="1235"/>
      <c r="Q24" s="1235"/>
      <c r="R24" s="1235"/>
      <c r="S24" s="1235"/>
      <c r="T24" s="1170"/>
      <c r="U24" s="1241"/>
      <c r="V24" s="1258"/>
      <c r="W24" s="1245"/>
      <c r="X24" s="1246"/>
      <c r="Y24" s="1246"/>
      <c r="Z24" s="1246"/>
      <c r="AA24" s="1246"/>
      <c r="AB24" s="1246"/>
      <c r="AC24" s="1247"/>
      <c r="AD24" s="1206"/>
      <c r="AE24" s="256"/>
      <c r="AF24" s="256"/>
      <c r="AO24" s="52"/>
      <c r="BJ24" s="1188"/>
      <c r="BK24" s="1189"/>
      <c r="BL24" s="1189"/>
      <c r="BM24" s="1189"/>
      <c r="BN24" s="1189"/>
      <c r="BO24" s="1190"/>
      <c r="BP24" s="255"/>
      <c r="BQ24" s="255"/>
      <c r="BR24" s="255"/>
      <c r="BW24" s="242"/>
      <c r="CF24" s="242"/>
      <c r="CO24" s="242"/>
    </row>
    <row r="25" spans="1:93" ht="15" customHeight="1">
      <c r="A25" s="1194"/>
      <c r="B25" s="1235"/>
      <c r="C25" s="1235"/>
      <c r="D25" s="1235"/>
      <c r="E25" s="1235"/>
      <c r="F25" s="1235"/>
      <c r="G25" s="1235"/>
      <c r="H25" s="1235"/>
      <c r="I25" s="1170"/>
      <c r="J25" s="1170"/>
      <c r="K25" s="255"/>
      <c r="L25" s="1258"/>
      <c r="M25" s="1259"/>
      <c r="N25" s="1235"/>
      <c r="O25" s="1235"/>
      <c r="P25" s="1235"/>
      <c r="Q25" s="1235"/>
      <c r="R25" s="1235"/>
      <c r="S25" s="1235"/>
      <c r="T25" s="1170"/>
      <c r="U25" s="1241"/>
      <c r="V25" s="1258"/>
      <c r="W25" s="1245"/>
      <c r="X25" s="1246"/>
      <c r="Y25" s="1246"/>
      <c r="Z25" s="1246"/>
      <c r="AA25" s="1246"/>
      <c r="AB25" s="1246"/>
      <c r="AC25" s="1247"/>
      <c r="AD25" s="1207"/>
      <c r="AE25" s="256"/>
      <c r="AF25" s="256"/>
      <c r="AO25" s="52"/>
      <c r="BJ25" s="1188"/>
      <c r="BK25" s="1189"/>
      <c r="BL25" s="1189"/>
      <c r="BM25" s="1189"/>
      <c r="BN25" s="1189"/>
      <c r="BO25" s="1190"/>
      <c r="BP25" s="255"/>
      <c r="BQ25" s="255"/>
      <c r="BR25" s="255"/>
      <c r="BW25" s="242"/>
      <c r="CF25" s="242"/>
      <c r="CO25" s="242"/>
    </row>
    <row r="26" spans="1:93" ht="15" customHeight="1">
      <c r="A26" s="1208">
        <v>1.1000000000000001</v>
      </c>
      <c r="B26" s="1235" t="s">
        <v>330</v>
      </c>
      <c r="C26" s="1235"/>
      <c r="D26" s="1235"/>
      <c r="E26" s="1235"/>
      <c r="F26" s="1235"/>
      <c r="G26" s="1235"/>
      <c r="H26" s="1235"/>
      <c r="I26" s="1170" t="str">
        <f t="shared" ref="I26" si="4">IF(ISBLANK(H$3),"",1)</f>
        <v/>
      </c>
      <c r="J26" s="1170" t="str">
        <f>IF(ISBLANK(L$3),"",1)</f>
        <v/>
      </c>
      <c r="K26" s="255"/>
      <c r="L26" s="1236">
        <v>1.5</v>
      </c>
      <c r="M26" s="1259" t="s">
        <v>332</v>
      </c>
      <c r="N26" s="1235" t="s">
        <v>333</v>
      </c>
      <c r="O26" s="1235"/>
      <c r="P26" s="1235"/>
      <c r="Q26" s="1235"/>
      <c r="R26" s="1235"/>
      <c r="S26" s="1235"/>
      <c r="T26" s="1170" t="str">
        <f>IF(ISBLANK(H$3),"",1)</f>
        <v/>
      </c>
      <c r="U26" s="1241"/>
      <c r="V26" s="1236">
        <v>4.4000000000000004</v>
      </c>
      <c r="W26" s="1242" t="s">
        <v>329</v>
      </c>
      <c r="X26" s="1243"/>
      <c r="Y26" s="1243"/>
      <c r="Z26" s="1243"/>
      <c r="AA26" s="1243"/>
      <c r="AB26" s="1243"/>
      <c r="AC26" s="1244" t="s">
        <v>696</v>
      </c>
      <c r="AD26" s="1248" t="str">
        <f>IF(ISBLANK(L$3),"",1)</f>
        <v/>
      </c>
      <c r="AE26" s="256"/>
      <c r="AF26" s="256"/>
      <c r="AO26" s="52"/>
      <c r="BJ26" s="1188"/>
      <c r="BK26" s="1189"/>
      <c r="BL26" s="1189"/>
      <c r="BM26" s="1189"/>
      <c r="BN26" s="1189"/>
      <c r="BO26" s="1190"/>
      <c r="BP26" s="255"/>
      <c r="BQ26" s="255"/>
      <c r="BR26" s="255"/>
      <c r="BW26" s="242"/>
      <c r="CF26" s="242"/>
      <c r="CO26" s="242"/>
    </row>
    <row r="27" spans="1:93" ht="15" customHeight="1">
      <c r="A27" s="1208"/>
      <c r="B27" s="1235"/>
      <c r="C27" s="1235"/>
      <c r="D27" s="1235"/>
      <c r="E27" s="1235"/>
      <c r="F27" s="1235"/>
      <c r="G27" s="1235"/>
      <c r="H27" s="1235"/>
      <c r="I27" s="1170"/>
      <c r="J27" s="1170"/>
      <c r="K27" s="255"/>
      <c r="L27" s="1236"/>
      <c r="M27" s="1259"/>
      <c r="N27" s="1235"/>
      <c r="O27" s="1235"/>
      <c r="P27" s="1235"/>
      <c r="Q27" s="1235"/>
      <c r="R27" s="1235"/>
      <c r="S27" s="1235"/>
      <c r="T27" s="1170"/>
      <c r="U27" s="1241"/>
      <c r="V27" s="1236"/>
      <c r="W27" s="1245"/>
      <c r="X27" s="1246"/>
      <c r="Y27" s="1246"/>
      <c r="Z27" s="1246"/>
      <c r="AA27" s="1246"/>
      <c r="AB27" s="1246"/>
      <c r="AC27" s="1247"/>
      <c r="AD27" s="1206"/>
      <c r="AE27" s="256"/>
      <c r="AF27" s="256"/>
      <c r="AO27" s="52"/>
      <c r="BJ27" s="1188"/>
      <c r="BK27" s="1189"/>
      <c r="BL27" s="1189"/>
      <c r="BM27" s="1189"/>
      <c r="BN27" s="1189"/>
      <c r="BO27" s="1190"/>
      <c r="BP27" s="255"/>
      <c r="BQ27" s="255"/>
      <c r="BR27" s="255"/>
      <c r="BW27" s="242"/>
      <c r="CF27" s="242"/>
      <c r="CO27" s="242"/>
    </row>
    <row r="28" spans="1:93" ht="15" customHeight="1">
      <c r="A28" s="1208"/>
      <c r="B28" s="1235"/>
      <c r="C28" s="1235"/>
      <c r="D28" s="1235"/>
      <c r="E28" s="1235"/>
      <c r="F28" s="1235"/>
      <c r="G28" s="1235"/>
      <c r="H28" s="1235"/>
      <c r="I28" s="1170"/>
      <c r="J28" s="1170"/>
      <c r="K28" s="255"/>
      <c r="L28" s="1236"/>
      <c r="M28" s="1259"/>
      <c r="N28" s="1235"/>
      <c r="O28" s="1235"/>
      <c r="P28" s="1235"/>
      <c r="Q28" s="1235"/>
      <c r="R28" s="1235"/>
      <c r="S28" s="1235"/>
      <c r="T28" s="1170"/>
      <c r="U28" s="1241"/>
      <c r="V28" s="1236"/>
      <c r="W28" s="1245"/>
      <c r="X28" s="1246"/>
      <c r="Y28" s="1246"/>
      <c r="Z28" s="1246"/>
      <c r="AA28" s="1246"/>
      <c r="AB28" s="1246"/>
      <c r="AC28" s="1247"/>
      <c r="AD28" s="1207"/>
      <c r="AE28" s="256"/>
      <c r="AF28" s="256"/>
      <c r="AO28" s="52"/>
      <c r="BJ28" s="1188"/>
      <c r="BK28" s="1189"/>
      <c r="BL28" s="1189"/>
      <c r="BM28" s="1189"/>
      <c r="BN28" s="1189"/>
      <c r="BO28" s="1190"/>
      <c r="BP28" s="255"/>
      <c r="BQ28" s="255"/>
      <c r="BR28" s="255"/>
      <c r="BW28" s="242"/>
      <c r="CF28" s="242"/>
      <c r="CO28" s="242"/>
    </row>
    <row r="29" spans="1:93" ht="15" customHeight="1">
      <c r="A29" s="1208">
        <v>1.5</v>
      </c>
      <c r="B29" s="1235" t="s">
        <v>336</v>
      </c>
      <c r="C29" s="1235"/>
      <c r="D29" s="1235"/>
      <c r="E29" s="1235"/>
      <c r="F29" s="1235"/>
      <c r="G29" s="1235"/>
      <c r="H29" s="1235"/>
      <c r="I29" s="1170" t="str">
        <f t="shared" ref="I29" si="5">IF(ISBLANK(H$3),"",1)</f>
        <v/>
      </c>
      <c r="J29" s="1170" t="str">
        <f>IF(ISBLANK(L$3),"",1)</f>
        <v/>
      </c>
      <c r="K29" s="255"/>
      <c r="L29" s="1258">
        <v>4.3</v>
      </c>
      <c r="M29" s="1235" t="s">
        <v>331</v>
      </c>
      <c r="N29" s="1235"/>
      <c r="O29" s="1235"/>
      <c r="P29" s="1235"/>
      <c r="Q29" s="1235"/>
      <c r="R29" s="1235"/>
      <c r="S29" s="1235"/>
      <c r="T29" s="1170" t="str">
        <f>IF(ISBLANK(H$3),"",1)</f>
        <v/>
      </c>
      <c r="U29" s="1241"/>
      <c r="V29" s="1258">
        <v>2.4</v>
      </c>
      <c r="W29" s="1242" t="s">
        <v>334</v>
      </c>
      <c r="X29" s="1243"/>
      <c r="Y29" s="1243"/>
      <c r="Z29" s="1243"/>
      <c r="AA29" s="1243"/>
      <c r="AB29" s="1243"/>
      <c r="AC29" s="1244" t="s">
        <v>696</v>
      </c>
      <c r="AD29" s="1248" t="str">
        <f>IF(ISBLANK(L$3),"",1)</f>
        <v/>
      </c>
      <c r="AE29" s="256"/>
      <c r="AF29" s="256"/>
      <c r="AO29" s="52"/>
      <c r="BJ29" s="1188"/>
      <c r="BK29" s="1189"/>
      <c r="BL29" s="1189"/>
      <c r="BM29" s="1189"/>
      <c r="BN29" s="1189"/>
      <c r="BO29" s="1190"/>
      <c r="BP29" s="255"/>
      <c r="BQ29" s="255"/>
      <c r="BR29" s="255"/>
    </row>
    <row r="30" spans="1:93" ht="15" customHeight="1">
      <c r="A30" s="1208"/>
      <c r="B30" s="1235"/>
      <c r="C30" s="1235"/>
      <c r="D30" s="1235"/>
      <c r="E30" s="1235"/>
      <c r="F30" s="1235"/>
      <c r="G30" s="1235"/>
      <c r="H30" s="1235"/>
      <c r="I30" s="1170"/>
      <c r="J30" s="1170"/>
      <c r="K30" s="255"/>
      <c r="L30" s="1258"/>
      <c r="M30" s="1235"/>
      <c r="N30" s="1235"/>
      <c r="O30" s="1235"/>
      <c r="P30" s="1235"/>
      <c r="Q30" s="1235"/>
      <c r="R30" s="1235"/>
      <c r="S30" s="1235"/>
      <c r="T30" s="1170"/>
      <c r="U30" s="1241"/>
      <c r="V30" s="1258"/>
      <c r="W30" s="1245"/>
      <c r="X30" s="1246"/>
      <c r="Y30" s="1246"/>
      <c r="Z30" s="1246"/>
      <c r="AA30" s="1246"/>
      <c r="AB30" s="1246"/>
      <c r="AC30" s="1247"/>
      <c r="AD30" s="1206"/>
      <c r="AE30" s="256"/>
      <c r="AF30" s="256"/>
      <c r="AO30" s="52"/>
      <c r="BJ30" s="1188"/>
      <c r="BK30" s="1189"/>
      <c r="BL30" s="1189"/>
      <c r="BM30" s="1189"/>
      <c r="BN30" s="1189"/>
      <c r="BO30" s="1190"/>
      <c r="BP30" s="255"/>
      <c r="BQ30" s="255"/>
      <c r="BR30" s="255"/>
    </row>
    <row r="31" spans="1:93" ht="15" customHeight="1">
      <c r="A31" s="1208"/>
      <c r="B31" s="1235"/>
      <c r="C31" s="1235"/>
      <c r="D31" s="1235"/>
      <c r="E31" s="1235"/>
      <c r="F31" s="1235"/>
      <c r="G31" s="1235"/>
      <c r="H31" s="1235"/>
      <c r="I31" s="1170"/>
      <c r="J31" s="1170"/>
      <c r="K31" s="255"/>
      <c r="L31" s="1258"/>
      <c r="M31" s="1235"/>
      <c r="N31" s="1235"/>
      <c r="O31" s="1235"/>
      <c r="P31" s="1235"/>
      <c r="Q31" s="1235"/>
      <c r="R31" s="1235"/>
      <c r="S31" s="1235"/>
      <c r="T31" s="1170"/>
      <c r="U31" s="1241"/>
      <c r="V31" s="1258"/>
      <c r="W31" s="1245"/>
      <c r="X31" s="1246"/>
      <c r="Y31" s="1246"/>
      <c r="Z31" s="1246"/>
      <c r="AA31" s="1246"/>
      <c r="AB31" s="1246"/>
      <c r="AC31" s="1247"/>
      <c r="AD31" s="1207"/>
      <c r="AE31" s="256"/>
      <c r="AF31" s="256"/>
      <c r="AO31" s="52"/>
      <c r="BJ31" s="1188"/>
      <c r="BK31" s="1189"/>
      <c r="BL31" s="1189"/>
      <c r="BM31" s="1189"/>
      <c r="BN31" s="1189"/>
      <c r="BO31" s="1190"/>
      <c r="BP31" s="255"/>
      <c r="BQ31" s="255"/>
      <c r="BR31" s="255"/>
    </row>
    <row r="32" spans="1:93" ht="15" customHeight="1">
      <c r="A32" s="1260" t="s">
        <v>637</v>
      </c>
      <c r="B32" s="1260"/>
      <c r="C32" s="1260"/>
      <c r="D32" s="1260"/>
      <c r="E32" s="1260"/>
      <c r="F32" s="1261"/>
      <c r="G32" s="294">
        <v>1.1000000000000001</v>
      </c>
      <c r="H32" s="311">
        <f>COUNTIF($A$11:$A$31,G32)</f>
        <v>4</v>
      </c>
      <c r="I32" s="240" t="str">
        <f>IF($H$3=1,SUMIF($A$11:$A$31,G32,$I$11:$I$31),"")</f>
        <v/>
      </c>
      <c r="J32" s="240" t="str">
        <f>IF($L$3=1,SUMIF($A$11:$A$31,G32,$J$11:$J$31),"")</f>
        <v/>
      </c>
      <c r="K32" s="255"/>
      <c r="L32" s="1262" t="s">
        <v>637</v>
      </c>
      <c r="M32" s="1262"/>
      <c r="N32" s="1262"/>
      <c r="O32" s="1262"/>
      <c r="P32" s="1262"/>
      <c r="Q32" s="1263"/>
      <c r="R32" s="294">
        <v>1.5</v>
      </c>
      <c r="S32" s="311">
        <f>COUNTIF($L$11:$L$31,R32)</f>
        <v>2</v>
      </c>
      <c r="T32" s="245" t="str">
        <f>IF($H$3=1,SUMIF($L$11:$L$31,R32,$T$11:$T$31),"")</f>
        <v/>
      </c>
      <c r="U32" s="301"/>
      <c r="V32" s="1236">
        <v>2.4</v>
      </c>
      <c r="W32" s="1242" t="s">
        <v>337</v>
      </c>
      <c r="X32" s="1243"/>
      <c r="Y32" s="1243"/>
      <c r="Z32" s="1243"/>
      <c r="AA32" s="1243"/>
      <c r="AB32" s="1243"/>
      <c r="AC32" s="1244" t="s">
        <v>696</v>
      </c>
      <c r="AD32" s="1248" t="str">
        <f>IF(ISBLANK(L$3),"",1)</f>
        <v/>
      </c>
      <c r="AE32" s="256"/>
      <c r="AF32" s="256"/>
      <c r="AO32" s="52"/>
      <c r="BJ32" s="1188"/>
      <c r="BK32" s="1189"/>
      <c r="BL32" s="1189"/>
      <c r="BM32" s="1189"/>
      <c r="BN32" s="1189"/>
      <c r="BO32" s="1190"/>
      <c r="BP32" s="255"/>
      <c r="BQ32" s="255"/>
      <c r="BR32" s="255"/>
    </row>
    <row r="33" spans="1:71" ht="15" customHeight="1">
      <c r="A33" s="52"/>
      <c r="B33" s="248"/>
      <c r="C33" s="248"/>
      <c r="D33" s="248"/>
      <c r="E33" s="248"/>
      <c r="F33" s="299"/>
      <c r="G33" s="273">
        <v>1.5</v>
      </c>
      <c r="H33" s="311">
        <f t="shared" ref="H33:H35" si="6">COUNTIF($A$11:$A$31,G33)</f>
        <v>1</v>
      </c>
      <c r="I33" s="240" t="str">
        <f t="shared" ref="I33:I35" si="7">IF($H$3=1,SUMIF($A$11:$A$31,G33,$I$11:$I$31),"")</f>
        <v/>
      </c>
      <c r="J33" s="240" t="str">
        <f t="shared" ref="J33:J35" si="8">IF($L$3=1,SUMIF($A$11:$A$31,G33,$J$11:$J$31),"")</f>
        <v/>
      </c>
      <c r="K33" s="255"/>
      <c r="L33" s="248"/>
      <c r="M33" s="248"/>
      <c r="N33" s="248"/>
      <c r="O33" s="248"/>
      <c r="P33" s="248"/>
      <c r="R33" s="274">
        <v>4.3</v>
      </c>
      <c r="S33" s="311">
        <f t="shared" ref="S33:S34" si="9">COUNTIF($L$11:$L$31,R33)</f>
        <v>2</v>
      </c>
      <c r="T33" s="240" t="str">
        <f t="shared" ref="T33:T34" si="10">IF($H$3=1,SUMIF($L$11:$L$31,R33,$T$11:$T$31),"")</f>
        <v/>
      </c>
      <c r="U33" s="301"/>
      <c r="V33" s="1236"/>
      <c r="W33" s="1245"/>
      <c r="X33" s="1246"/>
      <c r="Y33" s="1246"/>
      <c r="Z33" s="1246"/>
      <c r="AA33" s="1246"/>
      <c r="AB33" s="1246"/>
      <c r="AC33" s="1247"/>
      <c r="AD33" s="1206"/>
      <c r="AE33" s="256"/>
      <c r="AF33" s="256"/>
      <c r="AO33" s="52"/>
      <c r="BJ33" s="1188"/>
      <c r="BK33" s="1189"/>
      <c r="BL33" s="1189"/>
      <c r="BM33" s="1189"/>
      <c r="BN33" s="1189"/>
      <c r="BO33" s="1190"/>
      <c r="BP33" s="255"/>
      <c r="BQ33" s="255"/>
      <c r="BR33" s="255"/>
    </row>
    <row r="34" spans="1:71" ht="15" customHeight="1">
      <c r="A34" s="255"/>
      <c r="B34" s="255"/>
      <c r="C34" s="255"/>
      <c r="D34" s="255"/>
      <c r="E34" s="255"/>
      <c r="G34" s="272">
        <v>2.1</v>
      </c>
      <c r="H34" s="311">
        <f t="shared" si="6"/>
        <v>1</v>
      </c>
      <c r="I34" s="240" t="str">
        <f t="shared" si="7"/>
        <v/>
      </c>
      <c r="J34" s="240" t="str">
        <f t="shared" si="8"/>
        <v/>
      </c>
      <c r="K34" s="255"/>
      <c r="L34" s="255"/>
      <c r="M34" s="255"/>
      <c r="N34" s="255"/>
      <c r="O34" s="255"/>
      <c r="P34" s="255"/>
      <c r="R34" s="274">
        <v>4.4000000000000004</v>
      </c>
      <c r="S34" s="311">
        <f t="shared" si="9"/>
        <v>3</v>
      </c>
      <c r="T34" s="240" t="str">
        <f t="shared" si="10"/>
        <v/>
      </c>
      <c r="U34" s="255"/>
      <c r="V34" s="1236"/>
      <c r="W34" s="1245"/>
      <c r="X34" s="1246"/>
      <c r="Y34" s="1246"/>
      <c r="Z34" s="1246"/>
      <c r="AA34" s="1246"/>
      <c r="AB34" s="1246"/>
      <c r="AC34" s="1247"/>
      <c r="AD34" s="1207"/>
      <c r="AE34" s="256"/>
      <c r="AF34" s="256"/>
      <c r="AO34" s="52"/>
      <c r="BJ34" s="1188"/>
      <c r="BK34" s="1189"/>
      <c r="BL34" s="1189"/>
      <c r="BM34" s="1189"/>
      <c r="BN34" s="1189"/>
      <c r="BO34" s="1190"/>
      <c r="BP34" s="255"/>
      <c r="BQ34" s="255"/>
      <c r="BR34" s="255"/>
    </row>
    <row r="35" spans="1:71" ht="15" customHeight="1">
      <c r="A35" s="255"/>
      <c r="B35" s="255"/>
      <c r="C35" s="255"/>
      <c r="D35" s="255"/>
      <c r="E35" s="255"/>
      <c r="G35" s="272">
        <v>2.4</v>
      </c>
      <c r="H35" s="311">
        <f t="shared" si="6"/>
        <v>1</v>
      </c>
      <c r="I35" s="240" t="str">
        <f t="shared" si="7"/>
        <v/>
      </c>
      <c r="J35" s="240" t="str">
        <f t="shared" si="8"/>
        <v/>
      </c>
      <c r="K35" s="255"/>
      <c r="L35" s="255"/>
      <c r="M35" s="255"/>
      <c r="N35" s="255"/>
      <c r="O35" s="255"/>
      <c r="P35" s="255"/>
      <c r="Q35" s="255"/>
      <c r="R35" s="255"/>
      <c r="S35" s="255"/>
      <c r="T35" s="255"/>
      <c r="U35" s="255"/>
      <c r="V35" s="1258">
        <v>1.5</v>
      </c>
      <c r="W35" s="1242" t="s">
        <v>331</v>
      </c>
      <c r="X35" s="1243"/>
      <c r="Y35" s="1243"/>
      <c r="Z35" s="1243"/>
      <c r="AA35" s="1243"/>
      <c r="AB35" s="1243"/>
      <c r="AC35" s="1244" t="s">
        <v>696</v>
      </c>
      <c r="AD35" s="1248" t="str">
        <f>IF(ISBLANK(L$3),"",1)</f>
        <v/>
      </c>
      <c r="AE35" s="256"/>
      <c r="AF35" s="256"/>
      <c r="AO35" s="52"/>
      <c r="BJ35" s="1188"/>
      <c r="BK35" s="1189"/>
      <c r="BL35" s="1189"/>
      <c r="BM35" s="1189"/>
      <c r="BN35" s="1189"/>
      <c r="BO35" s="1190"/>
      <c r="BP35" s="255"/>
      <c r="BQ35" s="255"/>
      <c r="BR35" s="255"/>
    </row>
    <row r="36" spans="1:71" ht="15" customHeight="1">
      <c r="A36" s="255"/>
      <c r="B36" s="255"/>
      <c r="C36" s="255"/>
      <c r="D36" s="255"/>
      <c r="E36" s="255"/>
      <c r="F36" s="255"/>
      <c r="G36" s="255"/>
      <c r="H36" s="255"/>
      <c r="I36" s="255"/>
      <c r="J36" s="255"/>
      <c r="K36" s="255"/>
      <c r="L36" s="255"/>
      <c r="M36" s="255"/>
      <c r="N36" s="255"/>
      <c r="O36" s="255"/>
      <c r="P36" s="255"/>
      <c r="Q36" s="255"/>
      <c r="R36" s="255"/>
      <c r="S36" s="255"/>
      <c r="T36" s="255"/>
      <c r="U36" s="255"/>
      <c r="V36" s="1258"/>
      <c r="W36" s="1245"/>
      <c r="X36" s="1246"/>
      <c r="Y36" s="1246"/>
      <c r="Z36" s="1246"/>
      <c r="AA36" s="1246"/>
      <c r="AB36" s="1246"/>
      <c r="AC36" s="1247"/>
      <c r="AD36" s="1206"/>
      <c r="AE36" s="256"/>
      <c r="AF36" s="256"/>
      <c r="AO36" s="52"/>
      <c r="BJ36" s="1188"/>
      <c r="BK36" s="1189"/>
      <c r="BL36" s="1189"/>
      <c r="BM36" s="1189"/>
      <c r="BN36" s="1189"/>
      <c r="BO36" s="1190"/>
      <c r="BP36" s="255"/>
      <c r="BQ36" s="255"/>
      <c r="BR36" s="255"/>
    </row>
    <row r="37" spans="1:71" ht="15" customHeight="1">
      <c r="A37" s="1209"/>
      <c r="B37" s="1210" t="s">
        <v>609</v>
      </c>
      <c r="C37" s="1211"/>
      <c r="D37" s="1211"/>
      <c r="E37" s="1211"/>
      <c r="F37" s="1211"/>
      <c r="G37" s="1211"/>
      <c r="H37" s="1272"/>
      <c r="I37" s="1174">
        <v>1</v>
      </c>
      <c r="J37" s="1174">
        <v>2</v>
      </c>
      <c r="K37" s="1"/>
      <c r="L37" s="255"/>
      <c r="M37" s="255"/>
      <c r="N37" s="255"/>
      <c r="O37" s="255"/>
      <c r="P37" s="255"/>
      <c r="Q37" s="255"/>
      <c r="R37" s="255"/>
      <c r="S37" s="255"/>
      <c r="T37" s="255"/>
      <c r="U37" s="255"/>
      <c r="V37" s="1258"/>
      <c r="W37" s="1245"/>
      <c r="X37" s="1246"/>
      <c r="Y37" s="1246"/>
      <c r="Z37" s="1246"/>
      <c r="AA37" s="1246"/>
      <c r="AB37" s="1246"/>
      <c r="AC37" s="1247"/>
      <c r="AD37" s="1207"/>
      <c r="AE37" s="256"/>
      <c r="AF37" s="256"/>
      <c r="AO37" s="52"/>
      <c r="BJ37" s="1188"/>
      <c r="BK37" s="1189"/>
      <c r="BL37" s="1189"/>
      <c r="BM37" s="1189"/>
      <c r="BN37" s="1189"/>
      <c r="BO37" s="1190"/>
      <c r="BP37" s="256"/>
      <c r="BQ37" s="256"/>
      <c r="BR37" s="256"/>
    </row>
    <row r="38" spans="1:71" ht="15" customHeight="1">
      <c r="A38" s="1209"/>
      <c r="B38" s="1212"/>
      <c r="C38" s="1213"/>
      <c r="D38" s="1213"/>
      <c r="E38" s="1213"/>
      <c r="F38" s="1213"/>
      <c r="G38" s="1213"/>
      <c r="H38" s="1273"/>
      <c r="I38" s="1174"/>
      <c r="J38" s="1174"/>
      <c r="K38" s="1"/>
      <c r="L38" s="255"/>
      <c r="M38" s="255"/>
      <c r="N38" s="255"/>
      <c r="O38" s="255"/>
      <c r="P38" s="255"/>
      <c r="Q38" s="255"/>
      <c r="R38" s="255"/>
      <c r="S38" s="255"/>
      <c r="T38" s="255"/>
      <c r="U38" s="256"/>
      <c r="V38" s="1262" t="s">
        <v>637</v>
      </c>
      <c r="W38" s="1262"/>
      <c r="X38" s="1262"/>
      <c r="Y38" s="1262"/>
      <c r="Z38" s="1262"/>
      <c r="AA38" s="1263"/>
      <c r="AB38" s="294">
        <v>1.5</v>
      </c>
      <c r="AC38" s="311">
        <f>COUNTIF($V$11:$V$40,AB38)</f>
        <v>1</v>
      </c>
      <c r="AD38" s="240" t="str">
        <f>IF($L$3=1,SUMIF($V$11:$V$37,AB38,$AD$11:$AD$37),"")</f>
        <v/>
      </c>
      <c r="AE38" s="256"/>
      <c r="AF38" s="256"/>
      <c r="AO38" s="52"/>
      <c r="BJ38" s="1188"/>
      <c r="BK38" s="1189"/>
      <c r="BL38" s="1189"/>
      <c r="BM38" s="1189"/>
      <c r="BN38" s="1189"/>
      <c r="BO38" s="1190"/>
      <c r="BP38" s="255"/>
      <c r="BQ38" s="256"/>
      <c r="BR38" s="255"/>
    </row>
    <row r="39" spans="1:71" ht="15" customHeight="1">
      <c r="A39" s="1264">
        <v>3.1</v>
      </c>
      <c r="B39" s="1161" t="s">
        <v>338</v>
      </c>
      <c r="C39" s="1162"/>
      <c r="D39" s="1162"/>
      <c r="E39" s="1162"/>
      <c r="F39" s="1162"/>
      <c r="G39" s="1162"/>
      <c r="H39" s="1265"/>
      <c r="I39" s="1268" t="str">
        <f t="shared" ref="I39" si="11">IF(ISBLANK(H$3),"",1)</f>
        <v/>
      </c>
      <c r="J39" s="1268" t="str">
        <f>IF(ISBLANK(L$3),"",1)</f>
        <v/>
      </c>
      <c r="K39" s="1"/>
      <c r="L39" s="255"/>
      <c r="M39" s="255"/>
      <c r="N39" s="255"/>
      <c r="O39" s="255"/>
      <c r="P39" s="255"/>
      <c r="Q39" s="255"/>
      <c r="R39" s="255"/>
      <c r="S39" s="255"/>
      <c r="T39" s="255"/>
      <c r="U39" s="256"/>
      <c r="V39" s="253"/>
      <c r="W39" s="244"/>
      <c r="X39" s="244"/>
      <c r="Y39" s="244"/>
      <c r="AB39" s="272">
        <v>2.4</v>
      </c>
      <c r="AC39" s="311">
        <f>COUNTIF($V$11:$V$40,AB39)</f>
        <v>2</v>
      </c>
      <c r="AD39" s="240" t="str">
        <f t="shared" ref="AD39:AD40" si="12">IF($L$3=1,SUMIF($V$11:$V$37,AB39,$AD$11:$AD$37),"")</f>
        <v/>
      </c>
      <c r="AE39" s="256"/>
      <c r="AF39" s="256"/>
      <c r="AO39" s="52"/>
      <c r="BJ39" s="1191"/>
      <c r="BK39" s="1192"/>
      <c r="BL39" s="1192"/>
      <c r="BM39" s="1192"/>
      <c r="BN39" s="1192"/>
      <c r="BO39" s="1193"/>
      <c r="BP39" s="255"/>
      <c r="BQ39" s="256"/>
      <c r="BR39" s="255"/>
    </row>
    <row r="40" spans="1:71" ht="15" customHeight="1">
      <c r="A40" s="1264"/>
      <c r="B40" s="1163"/>
      <c r="C40" s="1164"/>
      <c r="D40" s="1164"/>
      <c r="E40" s="1164"/>
      <c r="F40" s="1164"/>
      <c r="G40" s="1164"/>
      <c r="H40" s="1266"/>
      <c r="I40" s="1269"/>
      <c r="J40" s="1269"/>
      <c r="K40" s="1"/>
      <c r="L40" s="255"/>
      <c r="M40" s="255"/>
      <c r="N40" s="255"/>
      <c r="O40" s="255"/>
      <c r="P40" s="255"/>
      <c r="Q40" s="255"/>
      <c r="R40" s="255"/>
      <c r="S40" s="255"/>
      <c r="T40" s="255"/>
      <c r="U40" s="256"/>
      <c r="V40" s="253"/>
      <c r="W40" s="244"/>
      <c r="X40" s="244"/>
      <c r="Y40" s="244"/>
      <c r="AB40" s="274">
        <v>4.4000000000000004</v>
      </c>
      <c r="AC40" s="311">
        <f>COUNTIF($V$11:$V$40,AB40)</f>
        <v>6</v>
      </c>
      <c r="AD40" s="240" t="str">
        <f t="shared" si="12"/>
        <v/>
      </c>
      <c r="AE40" s="256"/>
      <c r="AF40" s="256"/>
      <c r="AO40" s="52"/>
      <c r="BO40" s="255"/>
      <c r="BP40" s="255"/>
      <c r="BQ40" s="256"/>
      <c r="BR40" s="255"/>
    </row>
    <row r="41" spans="1:71" ht="15" customHeight="1">
      <c r="A41" s="1264"/>
      <c r="B41" s="1165"/>
      <c r="C41" s="1166"/>
      <c r="D41" s="1166"/>
      <c r="E41" s="1166"/>
      <c r="F41" s="1166"/>
      <c r="G41" s="1166"/>
      <c r="H41" s="1267"/>
      <c r="I41" s="1270"/>
      <c r="J41" s="1270"/>
      <c r="K41" s="1"/>
      <c r="L41" s="256"/>
      <c r="M41" s="256"/>
      <c r="N41" s="256"/>
      <c r="O41" s="256"/>
      <c r="P41" s="256"/>
      <c r="Q41" s="256"/>
      <c r="R41" s="256"/>
      <c r="S41" s="256"/>
      <c r="T41" s="256"/>
      <c r="U41" s="255"/>
      <c r="AE41" s="255"/>
      <c r="AF41" s="256"/>
      <c r="AG41" s="256"/>
      <c r="AO41" s="52"/>
      <c r="BP41" s="255"/>
      <c r="BQ41" s="255"/>
      <c r="BR41" s="255"/>
      <c r="BS41" s="256"/>
    </row>
    <row r="42" spans="1:71" ht="15" customHeight="1">
      <c r="A42" s="1260" t="s">
        <v>637</v>
      </c>
      <c r="B42" s="1260"/>
      <c r="C42" s="1260"/>
      <c r="D42" s="1260"/>
      <c r="E42" s="1260"/>
      <c r="F42" s="1271"/>
      <c r="G42" s="239">
        <v>3.1</v>
      </c>
      <c r="H42" s="311">
        <f>COUNTIF(A39,G42)</f>
        <v>1</v>
      </c>
      <c r="I42" s="240" t="str">
        <f>IF($H$3=1,SUMIF($A$39,G42,$I$39),"")</f>
        <v/>
      </c>
      <c r="J42" s="240" t="str">
        <f>IF(L3=1,SUMIF($A$39,G42,$J$39),"")</f>
        <v/>
      </c>
      <c r="K42" s="1"/>
      <c r="L42" s="256"/>
      <c r="M42" s="256"/>
      <c r="N42" s="256"/>
      <c r="O42" s="256"/>
      <c r="P42" s="256"/>
      <c r="Q42" s="256"/>
      <c r="R42" s="256"/>
      <c r="S42" s="256"/>
      <c r="T42" s="256"/>
      <c r="U42" s="256"/>
      <c r="AE42" s="255"/>
      <c r="AF42" s="256"/>
      <c r="AG42" s="256"/>
      <c r="AO42" s="52"/>
      <c r="BP42" s="255"/>
      <c r="BQ42" s="255"/>
      <c r="BR42" s="255"/>
      <c r="BS42" s="256"/>
    </row>
    <row r="43" spans="1:71" ht="15" customHeight="1">
      <c r="A43" s="255"/>
      <c r="B43" s="255"/>
      <c r="C43" s="255"/>
      <c r="D43" s="255"/>
      <c r="E43" s="255"/>
      <c r="F43" s="255"/>
      <c r="G43" s="255"/>
      <c r="H43" s="255"/>
      <c r="I43" s="255"/>
      <c r="J43" s="255"/>
      <c r="K43" s="255"/>
      <c r="L43" s="255"/>
      <c r="M43" s="255"/>
      <c r="N43" s="255"/>
      <c r="O43" s="255"/>
      <c r="P43" s="255"/>
      <c r="Q43" s="255"/>
      <c r="R43" s="255"/>
      <c r="S43" s="255"/>
      <c r="T43" s="255"/>
      <c r="U43" s="256"/>
      <c r="AE43" s="255"/>
      <c r="AF43" s="255"/>
      <c r="AG43" s="255"/>
      <c r="AO43" s="52"/>
      <c r="BP43" s="255"/>
      <c r="BQ43" s="255"/>
      <c r="BR43" s="255"/>
      <c r="BS43" s="256"/>
    </row>
    <row r="44" spans="1:71" ht="15" customHeight="1">
      <c r="A44" s="255"/>
      <c r="B44" s="255"/>
      <c r="C44" s="255"/>
      <c r="D44" s="255"/>
      <c r="E44" s="255"/>
      <c r="F44" s="255"/>
      <c r="G44" s="255"/>
      <c r="H44" s="255"/>
      <c r="I44" s="255"/>
      <c r="J44" s="255"/>
      <c r="K44" s="255"/>
      <c r="L44" s="255"/>
      <c r="M44" s="255"/>
      <c r="N44" s="255"/>
      <c r="O44" s="255"/>
      <c r="P44" s="255"/>
      <c r="Q44" s="255"/>
      <c r="R44" s="255"/>
      <c r="S44" s="255"/>
      <c r="T44" s="255"/>
      <c r="U44" s="255"/>
      <c r="V44" s="253"/>
      <c r="W44" s="244"/>
      <c r="X44" s="244"/>
      <c r="Y44" s="244"/>
      <c r="AE44" s="255"/>
      <c r="AF44" s="255"/>
      <c r="AG44" s="255"/>
      <c r="AO44" s="52"/>
      <c r="BP44" s="255"/>
      <c r="BQ44" s="255"/>
      <c r="BR44" s="255"/>
      <c r="BS44" s="256"/>
    </row>
    <row r="45" spans="1:71" ht="15" customHeight="1">
      <c r="A45" s="255"/>
      <c r="B45" s="255"/>
      <c r="C45" s="255"/>
      <c r="D45" s="255"/>
      <c r="E45" s="255"/>
      <c r="F45" s="255"/>
      <c r="G45" s="255"/>
      <c r="H45" s="255"/>
      <c r="I45" s="255"/>
      <c r="J45" s="255"/>
      <c r="K45" s="255"/>
      <c r="L45" s="255"/>
      <c r="M45" s="255"/>
      <c r="N45" s="255"/>
      <c r="O45" s="255"/>
      <c r="P45" s="255"/>
      <c r="Q45" s="255"/>
      <c r="R45" s="255"/>
      <c r="S45" s="255"/>
      <c r="T45" s="255"/>
      <c r="U45" s="255"/>
      <c r="V45" s="253"/>
      <c r="W45" s="244"/>
      <c r="X45" s="244"/>
      <c r="Y45" s="244"/>
      <c r="AE45" s="255"/>
      <c r="AF45" s="255"/>
      <c r="AG45" s="255"/>
      <c r="AO45" s="52"/>
      <c r="BP45" s="255"/>
      <c r="BQ45" s="255"/>
      <c r="BR45" s="255"/>
      <c r="BS45" s="256"/>
    </row>
    <row r="46" spans="1:71" ht="15" customHeight="1">
      <c r="A46" s="1171" t="s">
        <v>17</v>
      </c>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row>
    <row r="47" spans="1:71" ht="15" customHeight="1">
      <c r="A47" s="1274"/>
      <c r="B47" s="1274"/>
      <c r="C47" s="1274"/>
      <c r="D47" s="1274"/>
      <c r="E47" s="1274"/>
      <c r="F47" s="1274"/>
      <c r="G47" s="1274"/>
      <c r="H47" s="1274"/>
      <c r="I47" s="1274"/>
      <c r="J47" s="1274"/>
      <c r="K47" s="1274"/>
      <c r="L47" s="1274"/>
      <c r="M47" s="1274"/>
      <c r="N47" s="1274"/>
      <c r="O47" s="1274"/>
      <c r="P47" s="1274"/>
      <c r="Q47" s="1274"/>
      <c r="R47" s="1274"/>
      <c r="S47" s="1274"/>
      <c r="T47" s="1274"/>
      <c r="U47" s="1274"/>
      <c r="V47" s="1274"/>
      <c r="W47" s="1274"/>
      <c r="X47" s="1274"/>
      <c r="Y47" s="1274"/>
      <c r="Z47" s="1274"/>
      <c r="AA47" s="1274"/>
      <c r="AB47" s="1274"/>
      <c r="AC47" s="1274"/>
      <c r="AD47" s="1274"/>
      <c r="AE47" s="1274"/>
      <c r="AF47" s="1274"/>
      <c r="AG47" s="1274"/>
      <c r="AH47" s="1274"/>
      <c r="AI47" s="1274"/>
      <c r="AJ47" s="1274"/>
      <c r="AK47" s="1274"/>
      <c r="AL47" s="1274"/>
      <c r="AM47" s="1274"/>
      <c r="AN47" s="1274"/>
      <c r="AO47" s="1274"/>
      <c r="AP47" s="1274"/>
      <c r="AQ47" s="1274"/>
      <c r="AR47" s="1274"/>
      <c r="AS47" s="1274"/>
      <c r="AT47" s="1274"/>
      <c r="AU47" s="1274"/>
      <c r="AV47" s="1274"/>
      <c r="AW47" s="1274"/>
      <c r="AX47" s="1274"/>
      <c r="AY47" s="1274"/>
      <c r="AZ47" s="1274"/>
      <c r="BA47" s="1274"/>
      <c r="BB47" s="1274"/>
      <c r="BC47" s="1274"/>
      <c r="BD47" s="1274"/>
      <c r="BE47" s="1274"/>
      <c r="BF47" s="1274"/>
      <c r="BG47" s="1274"/>
      <c r="BH47" s="1274"/>
      <c r="BI47" s="1274"/>
      <c r="BJ47" s="1275"/>
      <c r="BK47" s="1275"/>
      <c r="BL47" s="1275"/>
      <c r="BM47" s="1275"/>
    </row>
    <row r="48" spans="1:71" ht="15" customHeight="1">
      <c r="A48" s="1172"/>
      <c r="B48" s="1173" t="s">
        <v>608</v>
      </c>
      <c r="C48" s="1173"/>
      <c r="D48" s="1173"/>
      <c r="E48" s="1173"/>
      <c r="F48" s="1173"/>
      <c r="G48" s="1173"/>
      <c r="H48" s="1174">
        <v>1</v>
      </c>
      <c r="I48" s="1174">
        <v>2</v>
      </c>
      <c r="J48" s="1174">
        <v>3</v>
      </c>
      <c r="K48" s="1174">
        <v>4</v>
      </c>
      <c r="L48" s="1174">
        <v>5</v>
      </c>
      <c r="M48" s="1174">
        <v>6</v>
      </c>
      <c r="N48" s="1277"/>
      <c r="O48" s="1280" t="s">
        <v>432</v>
      </c>
      <c r="P48" s="1280"/>
      <c r="Q48" s="1280"/>
      <c r="R48" s="1280"/>
      <c r="S48" s="1280"/>
      <c r="T48" s="1280"/>
      <c r="U48" s="1280"/>
      <c r="V48" s="1281"/>
      <c r="W48" s="1282" t="s">
        <v>433</v>
      </c>
      <c r="X48" s="1282"/>
      <c r="Y48" s="1282"/>
      <c r="Z48" s="1282"/>
      <c r="AA48" s="1282"/>
      <c r="AB48" s="1282"/>
      <c r="AC48" s="1282"/>
      <c r="AD48" s="1283"/>
      <c r="AE48" s="1284" t="s">
        <v>434</v>
      </c>
      <c r="AF48" s="1284"/>
      <c r="AG48" s="1284"/>
      <c r="AH48" s="1284"/>
      <c r="AI48" s="1284"/>
      <c r="AJ48" s="1284"/>
      <c r="AK48" s="1284"/>
      <c r="AL48" s="1285"/>
      <c r="AM48" s="1286" t="s">
        <v>435</v>
      </c>
      <c r="AN48" s="1286"/>
      <c r="AO48" s="1286"/>
      <c r="AP48" s="1286"/>
      <c r="AQ48" s="1286"/>
      <c r="AR48" s="1286"/>
      <c r="AS48" s="1286"/>
      <c r="AT48" s="1287"/>
      <c r="AU48" s="1288" t="s">
        <v>436</v>
      </c>
      <c r="AV48" s="1288"/>
      <c r="AW48" s="1288"/>
      <c r="AX48" s="1288"/>
      <c r="AY48" s="1288"/>
      <c r="AZ48" s="1288"/>
      <c r="BA48" s="1288"/>
      <c r="BB48" s="1278"/>
      <c r="BC48" s="1279" t="s">
        <v>437</v>
      </c>
      <c r="BD48" s="1279"/>
      <c r="BE48" s="1279"/>
      <c r="BF48" s="1279"/>
      <c r="BG48" s="1279"/>
      <c r="BH48" s="1279"/>
      <c r="BI48" s="1279"/>
      <c r="BJ48" s="1182" t="s">
        <v>263</v>
      </c>
      <c r="BK48" s="1183"/>
      <c r="BL48" s="1183"/>
      <c r="BM48" s="1183"/>
      <c r="BN48" s="1183"/>
      <c r="BO48" s="1184"/>
    </row>
    <row r="49" spans="1:67" ht="15" customHeight="1">
      <c r="A49" s="1172"/>
      <c r="B49" s="1173"/>
      <c r="C49" s="1173"/>
      <c r="D49" s="1173"/>
      <c r="E49" s="1173"/>
      <c r="F49" s="1173"/>
      <c r="G49" s="1173"/>
      <c r="H49" s="1174"/>
      <c r="I49" s="1174"/>
      <c r="J49" s="1174"/>
      <c r="K49" s="1174"/>
      <c r="L49" s="1174"/>
      <c r="M49" s="1174"/>
      <c r="N49" s="1277"/>
      <c r="O49" s="1280"/>
      <c r="P49" s="1280"/>
      <c r="Q49" s="1280"/>
      <c r="R49" s="1280"/>
      <c r="S49" s="1280"/>
      <c r="T49" s="1280"/>
      <c r="U49" s="1280"/>
      <c r="V49" s="1281"/>
      <c r="W49" s="1282"/>
      <c r="X49" s="1282"/>
      <c r="Y49" s="1282"/>
      <c r="Z49" s="1282"/>
      <c r="AA49" s="1282"/>
      <c r="AB49" s="1282"/>
      <c r="AC49" s="1282"/>
      <c r="AD49" s="1283"/>
      <c r="AE49" s="1284"/>
      <c r="AF49" s="1284"/>
      <c r="AG49" s="1284"/>
      <c r="AH49" s="1284"/>
      <c r="AI49" s="1284"/>
      <c r="AJ49" s="1284"/>
      <c r="AK49" s="1284"/>
      <c r="AL49" s="1285"/>
      <c r="AM49" s="1286"/>
      <c r="AN49" s="1286"/>
      <c r="AO49" s="1286"/>
      <c r="AP49" s="1286"/>
      <c r="AQ49" s="1286"/>
      <c r="AR49" s="1286"/>
      <c r="AS49" s="1286"/>
      <c r="AT49" s="1287"/>
      <c r="AU49" s="1288"/>
      <c r="AV49" s="1288"/>
      <c r="AW49" s="1288"/>
      <c r="AX49" s="1288"/>
      <c r="AY49" s="1288"/>
      <c r="AZ49" s="1288"/>
      <c r="BA49" s="1288"/>
      <c r="BB49" s="1278"/>
      <c r="BC49" s="1279"/>
      <c r="BD49" s="1279"/>
      <c r="BE49" s="1279"/>
      <c r="BF49" s="1279"/>
      <c r="BG49" s="1279"/>
      <c r="BH49" s="1279"/>
      <c r="BI49" s="1279"/>
      <c r="BJ49" s="1185"/>
      <c r="BK49" s="1186"/>
      <c r="BL49" s="1186"/>
      <c r="BM49" s="1186"/>
      <c r="BN49" s="1186"/>
      <c r="BO49" s="1187"/>
    </row>
    <row r="50" spans="1:67" ht="15" customHeight="1">
      <c r="A50" s="1208">
        <v>1.1000000000000001</v>
      </c>
      <c r="B50" s="1214" t="s">
        <v>316</v>
      </c>
      <c r="C50" s="1214"/>
      <c r="D50" s="1214"/>
      <c r="E50" s="1214"/>
      <c r="F50" s="1214"/>
      <c r="G50" s="1214"/>
      <c r="H50" s="1170" t="str">
        <f>IF(ISBLANK(D$5),"",1)</f>
        <v/>
      </c>
      <c r="I50" s="1170" t="str">
        <f>IF(ISBLANK(H$5),"",1)</f>
        <v/>
      </c>
      <c r="J50" s="1170" t="str">
        <f>IF(ISBLANK(L$5),"",1)</f>
        <v/>
      </c>
      <c r="K50" s="1170" t="str">
        <f>IF(ISBLANK(P$5),"",1)</f>
        <v/>
      </c>
      <c r="L50" s="1170" t="str">
        <f>IF(ISBLANK(T$5),"",1)</f>
        <v/>
      </c>
      <c r="M50" s="1170" t="str">
        <f>IF(ISBLANK(X$5),"",1)</f>
        <v/>
      </c>
      <c r="N50" s="1258">
        <v>4.3</v>
      </c>
      <c r="O50" s="1195" t="s">
        <v>629</v>
      </c>
      <c r="P50" s="1195"/>
      <c r="Q50" s="1195"/>
      <c r="R50" s="1195"/>
      <c r="S50" s="1195"/>
      <c r="T50" s="1195"/>
      <c r="U50" s="1170" t="str">
        <f>IF(ISBLANK(D$5),"",1)</f>
        <v/>
      </c>
      <c r="V50" s="1258">
        <v>4.3</v>
      </c>
      <c r="W50" s="1276" t="s">
        <v>404</v>
      </c>
      <c r="X50" s="1276"/>
      <c r="Y50" s="1276"/>
      <c r="Z50" s="1276"/>
      <c r="AA50" s="1276"/>
      <c r="AB50" s="1276"/>
      <c r="AC50" s="1170" t="str">
        <f>IF(ISBLANK(H$5),"",1)</f>
        <v/>
      </c>
      <c r="AD50" s="1258">
        <v>4.3</v>
      </c>
      <c r="AE50" s="1276" t="s">
        <v>387</v>
      </c>
      <c r="AF50" s="1276"/>
      <c r="AG50" s="1276"/>
      <c r="AH50" s="1276"/>
      <c r="AI50" s="1276"/>
      <c r="AJ50" s="1276"/>
      <c r="AK50" s="1170" t="str">
        <f>IF(ISBLANK(L$5),"",1)</f>
        <v/>
      </c>
      <c r="AL50" s="1258">
        <v>4.3</v>
      </c>
      <c r="AM50" s="1276" t="s">
        <v>387</v>
      </c>
      <c r="AN50" s="1276"/>
      <c r="AO50" s="1276"/>
      <c r="AP50" s="1276"/>
      <c r="AQ50" s="1276"/>
      <c r="AR50" s="1276"/>
      <c r="AS50" s="1170" t="str">
        <f>IF(ISBLANK(P$5),"",1)</f>
        <v/>
      </c>
      <c r="AT50" s="1258">
        <v>4.3</v>
      </c>
      <c r="AU50" s="1276" t="s">
        <v>409</v>
      </c>
      <c r="AV50" s="1276"/>
      <c r="AW50" s="1276"/>
      <c r="AX50" s="1276"/>
      <c r="AY50" s="1276"/>
      <c r="AZ50" s="1276"/>
      <c r="BA50" s="1170" t="str">
        <f>IF(ISBLANK(T$5),"",1)</f>
        <v/>
      </c>
      <c r="BB50" s="1258">
        <v>4.3</v>
      </c>
      <c r="BC50" s="1276" t="s">
        <v>387</v>
      </c>
      <c r="BD50" s="1276"/>
      <c r="BE50" s="1276"/>
      <c r="BF50" s="1276"/>
      <c r="BG50" s="1276"/>
      <c r="BH50" s="1276"/>
      <c r="BI50" s="1170" t="str">
        <f>IF(ISBLANK(X$5),"",1)</f>
        <v/>
      </c>
      <c r="BJ50" s="1188"/>
      <c r="BK50" s="1189"/>
      <c r="BL50" s="1189"/>
      <c r="BM50" s="1189"/>
      <c r="BN50" s="1189"/>
      <c r="BO50" s="1190"/>
    </row>
    <row r="51" spans="1:67" ht="15" customHeight="1">
      <c r="A51" s="1208"/>
      <c r="B51" s="1214"/>
      <c r="C51" s="1214"/>
      <c r="D51" s="1214"/>
      <c r="E51" s="1214"/>
      <c r="F51" s="1214"/>
      <c r="G51" s="1214"/>
      <c r="H51" s="1170"/>
      <c r="I51" s="1170"/>
      <c r="J51" s="1170"/>
      <c r="K51" s="1170"/>
      <c r="L51" s="1170"/>
      <c r="M51" s="1170"/>
      <c r="N51" s="1258"/>
      <c r="O51" s="1195"/>
      <c r="P51" s="1195"/>
      <c r="Q51" s="1195"/>
      <c r="R51" s="1195"/>
      <c r="S51" s="1195"/>
      <c r="T51" s="1195"/>
      <c r="U51" s="1170"/>
      <c r="V51" s="1258"/>
      <c r="W51" s="1276"/>
      <c r="X51" s="1276"/>
      <c r="Y51" s="1276"/>
      <c r="Z51" s="1276"/>
      <c r="AA51" s="1276"/>
      <c r="AB51" s="1276"/>
      <c r="AC51" s="1170"/>
      <c r="AD51" s="1258"/>
      <c r="AE51" s="1276"/>
      <c r="AF51" s="1276"/>
      <c r="AG51" s="1276"/>
      <c r="AH51" s="1276"/>
      <c r="AI51" s="1276"/>
      <c r="AJ51" s="1276"/>
      <c r="AK51" s="1170"/>
      <c r="AL51" s="1258"/>
      <c r="AM51" s="1276"/>
      <c r="AN51" s="1276"/>
      <c r="AO51" s="1276"/>
      <c r="AP51" s="1276"/>
      <c r="AQ51" s="1276"/>
      <c r="AR51" s="1276"/>
      <c r="AS51" s="1170"/>
      <c r="AT51" s="1258"/>
      <c r="AU51" s="1276"/>
      <c r="AV51" s="1276"/>
      <c r="AW51" s="1276"/>
      <c r="AX51" s="1276"/>
      <c r="AY51" s="1276"/>
      <c r="AZ51" s="1276"/>
      <c r="BA51" s="1170"/>
      <c r="BB51" s="1258"/>
      <c r="BC51" s="1276"/>
      <c r="BD51" s="1276"/>
      <c r="BE51" s="1276"/>
      <c r="BF51" s="1276"/>
      <c r="BG51" s="1276"/>
      <c r="BH51" s="1276"/>
      <c r="BI51" s="1170"/>
      <c r="BJ51" s="1188"/>
      <c r="BK51" s="1189"/>
      <c r="BL51" s="1189"/>
      <c r="BM51" s="1189"/>
      <c r="BN51" s="1189"/>
      <c r="BO51" s="1190"/>
    </row>
    <row r="52" spans="1:67" ht="15" customHeight="1">
      <c r="A52" s="1208"/>
      <c r="B52" s="1214"/>
      <c r="C52" s="1214"/>
      <c r="D52" s="1214"/>
      <c r="E52" s="1214"/>
      <c r="F52" s="1214"/>
      <c r="G52" s="1214"/>
      <c r="H52" s="1170"/>
      <c r="I52" s="1170"/>
      <c r="J52" s="1170"/>
      <c r="K52" s="1170"/>
      <c r="L52" s="1170"/>
      <c r="M52" s="1170"/>
      <c r="N52" s="1258"/>
      <c r="O52" s="1195"/>
      <c r="P52" s="1195"/>
      <c r="Q52" s="1195"/>
      <c r="R52" s="1195"/>
      <c r="S52" s="1195"/>
      <c r="T52" s="1195"/>
      <c r="U52" s="1170"/>
      <c r="V52" s="1258"/>
      <c r="W52" s="1276"/>
      <c r="X52" s="1276"/>
      <c r="Y52" s="1276"/>
      <c r="Z52" s="1276"/>
      <c r="AA52" s="1276"/>
      <c r="AB52" s="1276"/>
      <c r="AC52" s="1170"/>
      <c r="AD52" s="1258"/>
      <c r="AE52" s="1276"/>
      <c r="AF52" s="1276"/>
      <c r="AG52" s="1276"/>
      <c r="AH52" s="1276"/>
      <c r="AI52" s="1276"/>
      <c r="AJ52" s="1276"/>
      <c r="AK52" s="1170"/>
      <c r="AL52" s="1258"/>
      <c r="AM52" s="1276"/>
      <c r="AN52" s="1276"/>
      <c r="AO52" s="1276"/>
      <c r="AP52" s="1276"/>
      <c r="AQ52" s="1276"/>
      <c r="AR52" s="1276"/>
      <c r="AS52" s="1170"/>
      <c r="AT52" s="1258"/>
      <c r="AU52" s="1276"/>
      <c r="AV52" s="1276"/>
      <c r="AW52" s="1276"/>
      <c r="AX52" s="1276"/>
      <c r="AY52" s="1276"/>
      <c r="AZ52" s="1276"/>
      <c r="BA52" s="1170"/>
      <c r="BB52" s="1258"/>
      <c r="BC52" s="1276"/>
      <c r="BD52" s="1276"/>
      <c r="BE52" s="1276"/>
      <c r="BF52" s="1276"/>
      <c r="BG52" s="1276"/>
      <c r="BH52" s="1276"/>
      <c r="BI52" s="1170"/>
      <c r="BJ52" s="1188"/>
      <c r="BK52" s="1189"/>
      <c r="BL52" s="1189"/>
      <c r="BM52" s="1189"/>
      <c r="BN52" s="1189"/>
      <c r="BO52" s="1190"/>
    </row>
    <row r="53" spans="1:67" ht="15" customHeight="1">
      <c r="A53" s="1194">
        <v>2.4</v>
      </c>
      <c r="B53" s="1214" t="s">
        <v>320</v>
      </c>
      <c r="C53" s="1214"/>
      <c r="D53" s="1214"/>
      <c r="E53" s="1214"/>
      <c r="F53" s="1214"/>
      <c r="G53" s="1214"/>
      <c r="H53" s="1170" t="str">
        <f>IF(ISBLANK(D$5),"",1)</f>
        <v/>
      </c>
      <c r="I53" s="1170" t="str">
        <f>IF(ISBLANK(H$5),"",1)</f>
        <v/>
      </c>
      <c r="J53" s="1170" t="str">
        <f>IF(ISBLANK(L$5),"",1)</f>
        <v/>
      </c>
      <c r="K53" s="1170" t="str">
        <f t="shared" ref="K53" si="13">IF(ISBLANK(P$5),"",1)</f>
        <v/>
      </c>
      <c r="L53" s="1170" t="str">
        <f>IF(ISBLANK(T$5),"",1)</f>
        <v/>
      </c>
      <c r="M53" s="1170" t="str">
        <f>IF(ISBLANK(X$5),"",1)</f>
        <v/>
      </c>
      <c r="N53" s="1194">
        <v>2.4</v>
      </c>
      <c r="O53" s="1276" t="s">
        <v>399</v>
      </c>
      <c r="P53" s="1276"/>
      <c r="Q53" s="1276"/>
      <c r="R53" s="1276"/>
      <c r="S53" s="1276"/>
      <c r="T53" s="1276"/>
      <c r="U53" s="1170" t="str">
        <f t="shared" ref="U53" si="14">IF(ISBLANK(D$5),"",1)</f>
        <v/>
      </c>
      <c r="V53" s="1194">
        <v>2.4</v>
      </c>
      <c r="W53" s="1276" t="s">
        <v>405</v>
      </c>
      <c r="X53" s="1276"/>
      <c r="Y53" s="1276"/>
      <c r="Z53" s="1276"/>
      <c r="AA53" s="1276"/>
      <c r="AB53" s="1276"/>
      <c r="AC53" s="1170" t="str">
        <f>IF(ISBLANK(H$5),"",1)</f>
        <v/>
      </c>
      <c r="AD53" s="1258">
        <v>4.3</v>
      </c>
      <c r="AE53" s="1276" t="s">
        <v>388</v>
      </c>
      <c r="AF53" s="1276"/>
      <c r="AG53" s="1276"/>
      <c r="AH53" s="1276"/>
      <c r="AI53" s="1276"/>
      <c r="AJ53" s="1276"/>
      <c r="AK53" s="1170" t="str">
        <f>IF(ISBLANK(L$5),"",1)</f>
        <v/>
      </c>
      <c r="AL53" s="1258">
        <v>4.3</v>
      </c>
      <c r="AM53" s="1276" t="s">
        <v>388</v>
      </c>
      <c r="AN53" s="1276"/>
      <c r="AO53" s="1276"/>
      <c r="AP53" s="1276"/>
      <c r="AQ53" s="1276"/>
      <c r="AR53" s="1276"/>
      <c r="AS53" s="1170" t="str">
        <f>IF(ISBLANK(P$5),"",1)</f>
        <v/>
      </c>
      <c r="AT53" s="1194">
        <v>2.2000000000000002</v>
      </c>
      <c r="AU53" s="1289" t="s">
        <v>639</v>
      </c>
      <c r="AV53" s="1289"/>
      <c r="AW53" s="1289"/>
      <c r="AX53" s="1289"/>
      <c r="AY53" s="1289"/>
      <c r="AZ53" s="1289"/>
      <c r="BA53" s="1170" t="str">
        <f>IF(ISBLANK(T$5),"",1)</f>
        <v/>
      </c>
      <c r="BB53" s="1258">
        <v>4.4000000000000004</v>
      </c>
      <c r="BC53" s="1276" t="s">
        <v>388</v>
      </c>
      <c r="BD53" s="1276"/>
      <c r="BE53" s="1276"/>
      <c r="BF53" s="1276"/>
      <c r="BG53" s="1276"/>
      <c r="BH53" s="1276"/>
      <c r="BI53" s="1170" t="str">
        <f>IF(ISBLANK(X$5),"",1)</f>
        <v/>
      </c>
      <c r="BJ53" s="1188"/>
      <c r="BK53" s="1189"/>
      <c r="BL53" s="1189"/>
      <c r="BM53" s="1189"/>
      <c r="BN53" s="1189"/>
      <c r="BO53" s="1190"/>
    </row>
    <row r="54" spans="1:67" ht="15" customHeight="1">
      <c r="A54" s="1194"/>
      <c r="B54" s="1214"/>
      <c r="C54" s="1214"/>
      <c r="D54" s="1214"/>
      <c r="E54" s="1214"/>
      <c r="F54" s="1214"/>
      <c r="G54" s="1214"/>
      <c r="H54" s="1170"/>
      <c r="I54" s="1170"/>
      <c r="J54" s="1170"/>
      <c r="K54" s="1170"/>
      <c r="L54" s="1170"/>
      <c r="M54" s="1170"/>
      <c r="N54" s="1194"/>
      <c r="O54" s="1276"/>
      <c r="P54" s="1276"/>
      <c r="Q54" s="1276"/>
      <c r="R54" s="1276"/>
      <c r="S54" s="1276"/>
      <c r="T54" s="1276"/>
      <c r="U54" s="1170"/>
      <c r="V54" s="1194"/>
      <c r="W54" s="1276"/>
      <c r="X54" s="1276"/>
      <c r="Y54" s="1276"/>
      <c r="Z54" s="1276"/>
      <c r="AA54" s="1276"/>
      <c r="AB54" s="1276"/>
      <c r="AC54" s="1170"/>
      <c r="AD54" s="1258"/>
      <c r="AE54" s="1276" t="s">
        <v>389</v>
      </c>
      <c r="AF54" s="1276"/>
      <c r="AG54" s="1276"/>
      <c r="AH54" s="1276"/>
      <c r="AI54" s="1276"/>
      <c r="AJ54" s="1276"/>
      <c r="AK54" s="1170"/>
      <c r="AL54" s="1258"/>
      <c r="AM54" s="1276"/>
      <c r="AN54" s="1276"/>
      <c r="AO54" s="1276"/>
      <c r="AP54" s="1276"/>
      <c r="AQ54" s="1276"/>
      <c r="AR54" s="1276"/>
      <c r="AS54" s="1170"/>
      <c r="AT54" s="1194"/>
      <c r="AU54" s="1289"/>
      <c r="AV54" s="1289"/>
      <c r="AW54" s="1289"/>
      <c r="AX54" s="1289"/>
      <c r="AY54" s="1289"/>
      <c r="AZ54" s="1289"/>
      <c r="BA54" s="1170"/>
      <c r="BB54" s="1258"/>
      <c r="BC54" s="1276"/>
      <c r="BD54" s="1276"/>
      <c r="BE54" s="1276"/>
      <c r="BF54" s="1276"/>
      <c r="BG54" s="1276"/>
      <c r="BH54" s="1276"/>
      <c r="BI54" s="1170"/>
      <c r="BJ54" s="1188"/>
      <c r="BK54" s="1189"/>
      <c r="BL54" s="1189"/>
      <c r="BM54" s="1189"/>
      <c r="BN54" s="1189"/>
      <c r="BO54" s="1190"/>
    </row>
    <row r="55" spans="1:67" ht="15" customHeight="1">
      <c r="A55" s="1194"/>
      <c r="B55" s="1214"/>
      <c r="C55" s="1214"/>
      <c r="D55" s="1214"/>
      <c r="E55" s="1214"/>
      <c r="F55" s="1214"/>
      <c r="G55" s="1214"/>
      <c r="H55" s="1170"/>
      <c r="I55" s="1170"/>
      <c r="J55" s="1170"/>
      <c r="K55" s="1170"/>
      <c r="L55" s="1170"/>
      <c r="M55" s="1170"/>
      <c r="N55" s="1194"/>
      <c r="O55" s="1276"/>
      <c r="P55" s="1276"/>
      <c r="Q55" s="1276"/>
      <c r="R55" s="1276"/>
      <c r="S55" s="1276"/>
      <c r="T55" s="1276"/>
      <c r="U55" s="1170"/>
      <c r="V55" s="1194"/>
      <c r="W55" s="1276"/>
      <c r="X55" s="1276"/>
      <c r="Y55" s="1276"/>
      <c r="Z55" s="1276"/>
      <c r="AA55" s="1276"/>
      <c r="AB55" s="1276"/>
      <c r="AC55" s="1170"/>
      <c r="AD55" s="1258"/>
      <c r="AE55" s="1276"/>
      <c r="AF55" s="1276"/>
      <c r="AG55" s="1276"/>
      <c r="AH55" s="1276"/>
      <c r="AI55" s="1276"/>
      <c r="AJ55" s="1276"/>
      <c r="AK55" s="1170"/>
      <c r="AL55" s="1258"/>
      <c r="AM55" s="1276"/>
      <c r="AN55" s="1276"/>
      <c r="AO55" s="1276"/>
      <c r="AP55" s="1276"/>
      <c r="AQ55" s="1276"/>
      <c r="AR55" s="1276"/>
      <c r="AS55" s="1170"/>
      <c r="AT55" s="1194"/>
      <c r="AU55" s="1289"/>
      <c r="AV55" s="1289"/>
      <c r="AW55" s="1289"/>
      <c r="AX55" s="1289"/>
      <c r="AY55" s="1289"/>
      <c r="AZ55" s="1289"/>
      <c r="BA55" s="1170"/>
      <c r="BB55" s="1258"/>
      <c r="BC55" s="1276"/>
      <c r="BD55" s="1276"/>
      <c r="BE55" s="1276"/>
      <c r="BF55" s="1276"/>
      <c r="BG55" s="1276"/>
      <c r="BH55" s="1276"/>
      <c r="BI55" s="1170"/>
      <c r="BJ55" s="1188"/>
      <c r="BK55" s="1189"/>
      <c r="BL55" s="1189"/>
      <c r="BM55" s="1189"/>
      <c r="BN55" s="1189"/>
      <c r="BO55" s="1190"/>
    </row>
    <row r="56" spans="1:67" ht="15" customHeight="1">
      <c r="A56" s="1208">
        <v>1.1000000000000001</v>
      </c>
      <c r="B56" s="1214" t="s">
        <v>322</v>
      </c>
      <c r="C56" s="1214"/>
      <c r="D56" s="1214"/>
      <c r="E56" s="1214"/>
      <c r="F56" s="1214"/>
      <c r="G56" s="1214"/>
      <c r="H56" s="1170" t="str">
        <f>IF(ISBLANK(D$5),"",1)</f>
        <v/>
      </c>
      <c r="I56" s="1170" t="str">
        <f>IF(ISBLANK(H$5),"",1)</f>
        <v/>
      </c>
      <c r="J56" s="1170" t="str">
        <f>IF(ISBLANK(L$5),"",1)</f>
        <v/>
      </c>
      <c r="K56" s="1170" t="str">
        <f t="shared" ref="K56" si="15">IF(ISBLANK(P$5),"",1)</f>
        <v/>
      </c>
      <c r="L56" s="1170" t="str">
        <f>IF(ISBLANK(T$5),"",1)</f>
        <v/>
      </c>
      <c r="M56" s="1170" t="str">
        <f>IF(ISBLANK(X$5),"",1)</f>
        <v/>
      </c>
      <c r="N56" s="1258">
        <v>4.3</v>
      </c>
      <c r="O56" s="1276" t="s">
        <v>388</v>
      </c>
      <c r="P56" s="1276"/>
      <c r="Q56" s="1276"/>
      <c r="R56" s="1276"/>
      <c r="S56" s="1276"/>
      <c r="T56" s="1276"/>
      <c r="U56" s="1170" t="str">
        <f t="shared" ref="U56" si="16">IF(ISBLANK(D$5),"",1)</f>
        <v/>
      </c>
      <c r="V56" s="1258">
        <v>4.3</v>
      </c>
      <c r="W56" s="1276" t="s">
        <v>406</v>
      </c>
      <c r="X56" s="1276"/>
      <c r="Y56" s="1276"/>
      <c r="Z56" s="1276"/>
      <c r="AA56" s="1276"/>
      <c r="AB56" s="1276"/>
      <c r="AC56" s="1170" t="str">
        <f>IF(ISBLANK(H$5),"",1)</f>
        <v/>
      </c>
      <c r="AD56" s="1258">
        <v>4.3</v>
      </c>
      <c r="AE56" s="1276" t="s">
        <v>423</v>
      </c>
      <c r="AF56" s="1276"/>
      <c r="AG56" s="1276"/>
      <c r="AH56" s="1276"/>
      <c r="AI56" s="1276"/>
      <c r="AJ56" s="1276"/>
      <c r="AK56" s="1170" t="str">
        <f>IF(ISBLANK(L$5),"",1)</f>
        <v/>
      </c>
      <c r="AL56" s="1258">
        <v>4.3</v>
      </c>
      <c r="AM56" s="1276" t="s">
        <v>390</v>
      </c>
      <c r="AN56" s="1276"/>
      <c r="AO56" s="1276"/>
      <c r="AP56" s="1276"/>
      <c r="AQ56" s="1276"/>
      <c r="AR56" s="1276"/>
      <c r="AS56" s="1170" t="str">
        <f>IF(ISBLANK(P$5),"",1)</f>
        <v/>
      </c>
      <c r="AT56" s="1258">
        <v>4.4000000000000004</v>
      </c>
      <c r="AU56" s="1276" t="s">
        <v>410</v>
      </c>
      <c r="AV56" s="1276"/>
      <c r="AW56" s="1276"/>
      <c r="AX56" s="1276"/>
      <c r="AY56" s="1276"/>
      <c r="AZ56" s="1276"/>
      <c r="BA56" s="1170" t="str">
        <f>IF(ISBLANK(T$5),"",1)</f>
        <v/>
      </c>
      <c r="BB56" s="1258">
        <v>4.4000000000000004</v>
      </c>
      <c r="BC56" s="1276" t="s">
        <v>408</v>
      </c>
      <c r="BD56" s="1276"/>
      <c r="BE56" s="1276"/>
      <c r="BF56" s="1276"/>
      <c r="BG56" s="1276"/>
      <c r="BH56" s="1276"/>
      <c r="BI56" s="1170" t="str">
        <f>IF(ISBLANK(X$5),"",1)</f>
        <v/>
      </c>
      <c r="BJ56" s="1188"/>
      <c r="BK56" s="1189"/>
      <c r="BL56" s="1189"/>
      <c r="BM56" s="1189"/>
      <c r="BN56" s="1189"/>
      <c r="BO56" s="1190"/>
    </row>
    <row r="57" spans="1:67" ht="15" customHeight="1">
      <c r="A57" s="1208"/>
      <c r="B57" s="1214"/>
      <c r="C57" s="1214"/>
      <c r="D57" s="1214"/>
      <c r="E57" s="1214"/>
      <c r="F57" s="1214"/>
      <c r="G57" s="1214"/>
      <c r="H57" s="1170"/>
      <c r="I57" s="1170"/>
      <c r="J57" s="1170"/>
      <c r="K57" s="1170"/>
      <c r="L57" s="1170"/>
      <c r="M57" s="1170"/>
      <c r="N57" s="1258"/>
      <c r="O57" s="1276"/>
      <c r="P57" s="1276"/>
      <c r="Q57" s="1276"/>
      <c r="R57" s="1276"/>
      <c r="S57" s="1276"/>
      <c r="T57" s="1276"/>
      <c r="U57" s="1170"/>
      <c r="V57" s="1258"/>
      <c r="W57" s="1276"/>
      <c r="X57" s="1276"/>
      <c r="Y57" s="1276"/>
      <c r="Z57" s="1276"/>
      <c r="AA57" s="1276"/>
      <c r="AB57" s="1276"/>
      <c r="AC57" s="1170"/>
      <c r="AD57" s="1258"/>
      <c r="AE57" s="1276" t="s">
        <v>389</v>
      </c>
      <c r="AF57" s="1276"/>
      <c r="AG57" s="1276"/>
      <c r="AH57" s="1276"/>
      <c r="AI57" s="1276"/>
      <c r="AJ57" s="1276"/>
      <c r="AK57" s="1170"/>
      <c r="AL57" s="1258"/>
      <c r="AM57" s="1276"/>
      <c r="AN57" s="1276"/>
      <c r="AO57" s="1276"/>
      <c r="AP57" s="1276"/>
      <c r="AQ57" s="1276"/>
      <c r="AR57" s="1276"/>
      <c r="AS57" s="1170"/>
      <c r="AT57" s="1258"/>
      <c r="AU57" s="1276"/>
      <c r="AV57" s="1276"/>
      <c r="AW57" s="1276"/>
      <c r="AX57" s="1276"/>
      <c r="AY57" s="1276"/>
      <c r="AZ57" s="1276"/>
      <c r="BA57" s="1170"/>
      <c r="BB57" s="1258"/>
      <c r="BC57" s="1276"/>
      <c r="BD57" s="1276"/>
      <c r="BE57" s="1276"/>
      <c r="BF57" s="1276"/>
      <c r="BG57" s="1276"/>
      <c r="BH57" s="1276"/>
      <c r="BI57" s="1170"/>
      <c r="BJ57" s="1188"/>
      <c r="BK57" s="1189"/>
      <c r="BL57" s="1189"/>
      <c r="BM57" s="1189"/>
      <c r="BN57" s="1189"/>
      <c r="BO57" s="1190"/>
    </row>
    <row r="58" spans="1:67" ht="15" customHeight="1">
      <c r="A58" s="1208"/>
      <c r="B58" s="1214"/>
      <c r="C58" s="1214"/>
      <c r="D58" s="1214"/>
      <c r="E58" s="1214"/>
      <c r="F58" s="1214"/>
      <c r="G58" s="1214"/>
      <c r="H58" s="1170"/>
      <c r="I58" s="1170"/>
      <c r="J58" s="1170"/>
      <c r="K58" s="1170"/>
      <c r="L58" s="1170"/>
      <c r="M58" s="1170"/>
      <c r="N58" s="1258"/>
      <c r="O58" s="1276"/>
      <c r="P58" s="1276"/>
      <c r="Q58" s="1276"/>
      <c r="R58" s="1276"/>
      <c r="S58" s="1276"/>
      <c r="T58" s="1276"/>
      <c r="U58" s="1170"/>
      <c r="V58" s="1258"/>
      <c r="W58" s="1276"/>
      <c r="X58" s="1276"/>
      <c r="Y58" s="1276"/>
      <c r="Z58" s="1276"/>
      <c r="AA58" s="1276"/>
      <c r="AB58" s="1276"/>
      <c r="AC58" s="1170"/>
      <c r="AD58" s="1258"/>
      <c r="AE58" s="1276"/>
      <c r="AF58" s="1276"/>
      <c r="AG58" s="1276"/>
      <c r="AH58" s="1276"/>
      <c r="AI58" s="1276"/>
      <c r="AJ58" s="1276"/>
      <c r="AK58" s="1170"/>
      <c r="AL58" s="1258"/>
      <c r="AM58" s="1276"/>
      <c r="AN58" s="1276"/>
      <c r="AO58" s="1276"/>
      <c r="AP58" s="1276"/>
      <c r="AQ58" s="1276"/>
      <c r="AR58" s="1276"/>
      <c r="AS58" s="1170"/>
      <c r="AT58" s="1258"/>
      <c r="AU58" s="1276"/>
      <c r="AV58" s="1276"/>
      <c r="AW58" s="1276"/>
      <c r="AX58" s="1276"/>
      <c r="AY58" s="1276"/>
      <c r="AZ58" s="1276"/>
      <c r="BA58" s="1170"/>
      <c r="BB58" s="1258"/>
      <c r="BC58" s="1276"/>
      <c r="BD58" s="1276"/>
      <c r="BE58" s="1276"/>
      <c r="BF58" s="1276"/>
      <c r="BG58" s="1276"/>
      <c r="BH58" s="1276"/>
      <c r="BI58" s="1170"/>
      <c r="BJ58" s="1188"/>
      <c r="BK58" s="1189"/>
      <c r="BL58" s="1189"/>
      <c r="BM58" s="1189"/>
      <c r="BN58" s="1189"/>
      <c r="BO58" s="1190"/>
    </row>
    <row r="59" spans="1:67" ht="15" customHeight="1">
      <c r="A59" s="1194">
        <v>2.1</v>
      </c>
      <c r="B59" s="1214" t="s">
        <v>325</v>
      </c>
      <c r="C59" s="1214"/>
      <c r="D59" s="1214"/>
      <c r="E59" s="1214"/>
      <c r="F59" s="1214"/>
      <c r="G59" s="1214"/>
      <c r="H59" s="1170" t="str">
        <f>IF(ISBLANK(D$5),"",1)</f>
        <v/>
      </c>
      <c r="I59" s="1170" t="str">
        <f>IF(ISBLANK(H$5),"",1)</f>
        <v/>
      </c>
      <c r="J59" s="1170" t="str">
        <f>IF(ISBLANK(L$5),"",1)</f>
        <v/>
      </c>
      <c r="K59" s="1170" t="str">
        <f t="shared" ref="K59" si="17">IF(ISBLANK(P$5),"",1)</f>
        <v/>
      </c>
      <c r="L59" s="1170" t="str">
        <f>IF(ISBLANK(T$5),"",1)</f>
        <v/>
      </c>
      <c r="M59" s="1170" t="str">
        <f>IF(ISBLANK(X$5),"",1)</f>
        <v/>
      </c>
      <c r="N59" s="1258">
        <v>4.4000000000000004</v>
      </c>
      <c r="O59" s="1276" t="s">
        <v>400</v>
      </c>
      <c r="P59" s="1276"/>
      <c r="Q59" s="1276"/>
      <c r="R59" s="1276"/>
      <c r="S59" s="1276"/>
      <c r="T59" s="1276"/>
      <c r="U59" s="1170" t="str">
        <f t="shared" ref="U59" si="18">IF(ISBLANK(D$5),"",1)</f>
        <v/>
      </c>
      <c r="V59" s="1258">
        <v>4.3</v>
      </c>
      <c r="W59" s="1276" t="s">
        <v>388</v>
      </c>
      <c r="X59" s="1276"/>
      <c r="Y59" s="1276"/>
      <c r="Z59" s="1276"/>
      <c r="AA59" s="1276"/>
      <c r="AB59" s="1276"/>
      <c r="AC59" s="1170" t="str">
        <f>IF(ISBLANK(H$5),"",1)</f>
        <v/>
      </c>
      <c r="AD59" s="1258">
        <v>4.4000000000000004</v>
      </c>
      <c r="AE59" s="1276" t="s">
        <v>407</v>
      </c>
      <c r="AF59" s="1276"/>
      <c r="AG59" s="1276"/>
      <c r="AH59" s="1276"/>
      <c r="AI59" s="1276"/>
      <c r="AJ59" s="1276"/>
      <c r="AK59" s="1170" t="str">
        <f>IF(ISBLANK(L$5),"",1)</f>
        <v/>
      </c>
      <c r="AL59" s="1258">
        <v>4.4000000000000004</v>
      </c>
      <c r="AM59" s="1276" t="s">
        <v>391</v>
      </c>
      <c r="AN59" s="1276"/>
      <c r="AO59" s="1276"/>
      <c r="AP59" s="1276"/>
      <c r="AQ59" s="1276"/>
      <c r="AR59" s="1276"/>
      <c r="AS59" s="1170" t="str">
        <f>IF(ISBLANK(P$5),"",1)</f>
        <v/>
      </c>
      <c r="AT59" s="1258">
        <v>4.4000000000000004</v>
      </c>
      <c r="AU59" s="1276" t="s">
        <v>411</v>
      </c>
      <c r="AV59" s="1276"/>
      <c r="AW59" s="1276"/>
      <c r="AX59" s="1276"/>
      <c r="AY59" s="1276"/>
      <c r="AZ59" s="1276"/>
      <c r="BA59" s="1170" t="str">
        <f>IF(ISBLANK(T$5),"",1)</f>
        <v/>
      </c>
      <c r="BB59" s="1258">
        <v>4.4000000000000004</v>
      </c>
      <c r="BC59" s="1276" t="s">
        <v>393</v>
      </c>
      <c r="BD59" s="1276"/>
      <c r="BE59" s="1276"/>
      <c r="BF59" s="1276"/>
      <c r="BG59" s="1276"/>
      <c r="BH59" s="1276"/>
      <c r="BI59" s="1170" t="str">
        <f>IF(ISBLANK(X$5),"",1)</f>
        <v/>
      </c>
      <c r="BJ59" s="1188"/>
      <c r="BK59" s="1189"/>
      <c r="BL59" s="1189"/>
      <c r="BM59" s="1189"/>
      <c r="BN59" s="1189"/>
      <c r="BO59" s="1190"/>
    </row>
    <row r="60" spans="1:67" ht="15" customHeight="1">
      <c r="A60" s="1194"/>
      <c r="B60" s="1214"/>
      <c r="C60" s="1214"/>
      <c r="D60" s="1214"/>
      <c r="E60" s="1214"/>
      <c r="F60" s="1214"/>
      <c r="G60" s="1214"/>
      <c r="H60" s="1170"/>
      <c r="I60" s="1170"/>
      <c r="J60" s="1170"/>
      <c r="K60" s="1170"/>
      <c r="L60" s="1170"/>
      <c r="M60" s="1170"/>
      <c r="N60" s="1258"/>
      <c r="O60" s="1276"/>
      <c r="P60" s="1276"/>
      <c r="Q60" s="1276"/>
      <c r="R60" s="1276"/>
      <c r="S60" s="1276"/>
      <c r="T60" s="1276"/>
      <c r="U60" s="1170"/>
      <c r="V60" s="1258"/>
      <c r="W60" s="1276"/>
      <c r="X60" s="1276"/>
      <c r="Y60" s="1276"/>
      <c r="Z60" s="1276"/>
      <c r="AA60" s="1276"/>
      <c r="AB60" s="1276"/>
      <c r="AC60" s="1170"/>
      <c r="AD60" s="1258"/>
      <c r="AE60" s="1276" t="s">
        <v>368</v>
      </c>
      <c r="AF60" s="1276"/>
      <c r="AG60" s="1276"/>
      <c r="AH60" s="1276"/>
      <c r="AI60" s="1276"/>
      <c r="AJ60" s="1276"/>
      <c r="AK60" s="1170"/>
      <c r="AL60" s="1258"/>
      <c r="AM60" s="1276"/>
      <c r="AN60" s="1276"/>
      <c r="AO60" s="1276"/>
      <c r="AP60" s="1276"/>
      <c r="AQ60" s="1276"/>
      <c r="AR60" s="1276"/>
      <c r="AS60" s="1170"/>
      <c r="AT60" s="1258"/>
      <c r="AU60" s="1276"/>
      <c r="AV60" s="1276"/>
      <c r="AW60" s="1276"/>
      <c r="AX60" s="1276"/>
      <c r="AY60" s="1276"/>
      <c r="AZ60" s="1276"/>
      <c r="BA60" s="1170"/>
      <c r="BB60" s="1258"/>
      <c r="BC60" s="1276"/>
      <c r="BD60" s="1276"/>
      <c r="BE60" s="1276"/>
      <c r="BF60" s="1276"/>
      <c r="BG60" s="1276"/>
      <c r="BH60" s="1276"/>
      <c r="BI60" s="1170"/>
      <c r="BJ60" s="1188"/>
      <c r="BK60" s="1189"/>
      <c r="BL60" s="1189"/>
      <c r="BM60" s="1189"/>
      <c r="BN60" s="1189"/>
      <c r="BO60" s="1190"/>
    </row>
    <row r="61" spans="1:67" ht="15" customHeight="1">
      <c r="A61" s="1194"/>
      <c r="B61" s="1214"/>
      <c r="C61" s="1214"/>
      <c r="D61" s="1214"/>
      <c r="E61" s="1214"/>
      <c r="F61" s="1214"/>
      <c r="G61" s="1214"/>
      <c r="H61" s="1170"/>
      <c r="I61" s="1170"/>
      <c r="J61" s="1170"/>
      <c r="K61" s="1170"/>
      <c r="L61" s="1170"/>
      <c r="M61" s="1170"/>
      <c r="N61" s="1258"/>
      <c r="O61" s="1276"/>
      <c r="P61" s="1276"/>
      <c r="Q61" s="1276"/>
      <c r="R61" s="1276"/>
      <c r="S61" s="1276"/>
      <c r="T61" s="1276"/>
      <c r="U61" s="1170"/>
      <c r="V61" s="1258"/>
      <c r="W61" s="1276"/>
      <c r="X61" s="1276"/>
      <c r="Y61" s="1276"/>
      <c r="Z61" s="1276"/>
      <c r="AA61" s="1276"/>
      <c r="AB61" s="1276"/>
      <c r="AC61" s="1170"/>
      <c r="AD61" s="1258"/>
      <c r="AE61" s="1276" t="s">
        <v>392</v>
      </c>
      <c r="AF61" s="1276"/>
      <c r="AG61" s="1276"/>
      <c r="AH61" s="1276"/>
      <c r="AI61" s="1276"/>
      <c r="AJ61" s="1276"/>
      <c r="AK61" s="1170"/>
      <c r="AL61" s="1258"/>
      <c r="AM61" s="1276"/>
      <c r="AN61" s="1276"/>
      <c r="AO61" s="1276"/>
      <c r="AP61" s="1276"/>
      <c r="AQ61" s="1276"/>
      <c r="AR61" s="1276"/>
      <c r="AS61" s="1170"/>
      <c r="AT61" s="1258"/>
      <c r="AU61" s="1276"/>
      <c r="AV61" s="1276"/>
      <c r="AW61" s="1276"/>
      <c r="AX61" s="1276"/>
      <c r="AY61" s="1276"/>
      <c r="AZ61" s="1276"/>
      <c r="BA61" s="1170"/>
      <c r="BB61" s="1258"/>
      <c r="BC61" s="1276"/>
      <c r="BD61" s="1276"/>
      <c r="BE61" s="1276"/>
      <c r="BF61" s="1276"/>
      <c r="BG61" s="1276"/>
      <c r="BH61" s="1276"/>
      <c r="BI61" s="1170"/>
      <c r="BJ61" s="1188"/>
      <c r="BK61" s="1189"/>
      <c r="BL61" s="1189"/>
      <c r="BM61" s="1189"/>
      <c r="BN61" s="1189"/>
      <c r="BO61" s="1190"/>
    </row>
    <row r="62" spans="1:67" ht="15" customHeight="1">
      <c r="A62" s="1208">
        <v>1.1000000000000001</v>
      </c>
      <c r="B62" s="1214" t="s">
        <v>330</v>
      </c>
      <c r="C62" s="1214"/>
      <c r="D62" s="1214"/>
      <c r="E62" s="1214"/>
      <c r="F62" s="1214"/>
      <c r="G62" s="1214"/>
      <c r="H62" s="1170" t="str">
        <f>IF(ISBLANK(D$5),"",1)</f>
        <v/>
      </c>
      <c r="I62" s="1170" t="str">
        <f>IF(ISBLANK(H$5),"",1)</f>
        <v/>
      </c>
      <c r="J62" s="1170" t="str">
        <f>IF(ISBLANK(L$5),"",1)</f>
        <v/>
      </c>
      <c r="K62" s="1170" t="str">
        <f t="shared" ref="K62" si="19">IF(ISBLANK(P$5),"",1)</f>
        <v/>
      </c>
      <c r="L62" s="1170" t="str">
        <f>IF(ISBLANK(T$5),"",1)</f>
        <v/>
      </c>
      <c r="M62" s="1170" t="str">
        <f>IF(ISBLANK(X$5),"",1)</f>
        <v/>
      </c>
      <c r="N62" s="1258">
        <v>4.4000000000000004</v>
      </c>
      <c r="O62" s="1276" t="s">
        <v>401</v>
      </c>
      <c r="P62" s="1276"/>
      <c r="Q62" s="1276"/>
      <c r="R62" s="1276"/>
      <c r="S62" s="1276"/>
      <c r="T62" s="1276"/>
      <c r="U62" s="1170" t="str">
        <f t="shared" ref="U62" si="20">IF(ISBLANK(D$5),"",1)</f>
        <v/>
      </c>
      <c r="V62" s="1258">
        <v>4.4000000000000004</v>
      </c>
      <c r="W62" s="1276" t="s">
        <v>407</v>
      </c>
      <c r="X62" s="1276"/>
      <c r="Y62" s="1276"/>
      <c r="Z62" s="1276"/>
      <c r="AA62" s="1276"/>
      <c r="AB62" s="1276"/>
      <c r="AC62" s="1170" t="str">
        <f>IF(ISBLANK(H$5),"",1)</f>
        <v/>
      </c>
      <c r="AD62" s="1194">
        <v>2.2000000000000002</v>
      </c>
      <c r="AE62" s="1195" t="s">
        <v>632</v>
      </c>
      <c r="AF62" s="1195"/>
      <c r="AG62" s="1195"/>
      <c r="AH62" s="1195"/>
      <c r="AI62" s="1195"/>
      <c r="AJ62" s="1195"/>
      <c r="AK62" s="1170" t="str">
        <f>IF(ISBLANK(L$5),"",1)</f>
        <v/>
      </c>
      <c r="AL62" s="1258">
        <v>4.4000000000000004</v>
      </c>
      <c r="AM62" s="1276" t="s">
        <v>393</v>
      </c>
      <c r="AN62" s="1276"/>
      <c r="AO62" s="1276"/>
      <c r="AP62" s="1276"/>
      <c r="AQ62" s="1276"/>
      <c r="AR62" s="1276"/>
      <c r="AS62" s="1170" t="str">
        <f>IF(ISBLANK(P$5),"",1)</f>
        <v/>
      </c>
      <c r="AT62" s="1258">
        <v>4.4000000000000004</v>
      </c>
      <c r="AU62" s="1276" t="s">
        <v>412</v>
      </c>
      <c r="AV62" s="1276"/>
      <c r="AW62" s="1276"/>
      <c r="AX62" s="1276"/>
      <c r="AY62" s="1276"/>
      <c r="AZ62" s="1276"/>
      <c r="BA62" s="1170" t="str">
        <f>IF(ISBLANK(T$5),"",1)</f>
        <v/>
      </c>
      <c r="BB62" s="1194">
        <v>2.4</v>
      </c>
      <c r="BC62" s="1276" t="s">
        <v>359</v>
      </c>
      <c r="BD62" s="1276"/>
      <c r="BE62" s="1276"/>
      <c r="BF62" s="1276"/>
      <c r="BG62" s="1276"/>
      <c r="BH62" s="1276"/>
      <c r="BI62" s="1170" t="str">
        <f>IF(ISBLANK(X$5),"",1)</f>
        <v/>
      </c>
      <c r="BJ62" s="1188"/>
      <c r="BK62" s="1189"/>
      <c r="BL62" s="1189"/>
      <c r="BM62" s="1189"/>
      <c r="BN62" s="1189"/>
      <c r="BO62" s="1190"/>
    </row>
    <row r="63" spans="1:67" ht="15" customHeight="1">
      <c r="A63" s="1208"/>
      <c r="B63" s="1214"/>
      <c r="C63" s="1214"/>
      <c r="D63" s="1214"/>
      <c r="E63" s="1214"/>
      <c r="F63" s="1214"/>
      <c r="G63" s="1214"/>
      <c r="H63" s="1170"/>
      <c r="I63" s="1170"/>
      <c r="J63" s="1170"/>
      <c r="K63" s="1170"/>
      <c r="L63" s="1170"/>
      <c r="M63" s="1170"/>
      <c r="N63" s="1258"/>
      <c r="O63" s="1276"/>
      <c r="P63" s="1276"/>
      <c r="Q63" s="1276"/>
      <c r="R63" s="1276"/>
      <c r="S63" s="1276"/>
      <c r="T63" s="1276"/>
      <c r="U63" s="1170"/>
      <c r="V63" s="1258"/>
      <c r="W63" s="1276"/>
      <c r="X63" s="1276"/>
      <c r="Y63" s="1276"/>
      <c r="Z63" s="1276"/>
      <c r="AA63" s="1276"/>
      <c r="AB63" s="1276"/>
      <c r="AC63" s="1170"/>
      <c r="AD63" s="1194"/>
      <c r="AE63" s="1195" t="s">
        <v>368</v>
      </c>
      <c r="AF63" s="1195"/>
      <c r="AG63" s="1195"/>
      <c r="AH63" s="1195"/>
      <c r="AI63" s="1195"/>
      <c r="AJ63" s="1195"/>
      <c r="AK63" s="1170"/>
      <c r="AL63" s="1258"/>
      <c r="AM63" s="1276"/>
      <c r="AN63" s="1276"/>
      <c r="AO63" s="1276"/>
      <c r="AP63" s="1276"/>
      <c r="AQ63" s="1276"/>
      <c r="AR63" s="1276"/>
      <c r="AS63" s="1170"/>
      <c r="AT63" s="1258"/>
      <c r="AU63" s="1276"/>
      <c r="AV63" s="1276"/>
      <c r="AW63" s="1276"/>
      <c r="AX63" s="1276"/>
      <c r="AY63" s="1276"/>
      <c r="AZ63" s="1276"/>
      <c r="BA63" s="1170"/>
      <c r="BB63" s="1194"/>
      <c r="BC63" s="1276"/>
      <c r="BD63" s="1276"/>
      <c r="BE63" s="1276"/>
      <c r="BF63" s="1276"/>
      <c r="BG63" s="1276"/>
      <c r="BH63" s="1276"/>
      <c r="BI63" s="1170"/>
      <c r="BJ63" s="1188"/>
      <c r="BK63" s="1189"/>
      <c r="BL63" s="1189"/>
      <c r="BM63" s="1189"/>
      <c r="BN63" s="1189"/>
      <c r="BO63" s="1190"/>
    </row>
    <row r="64" spans="1:67" ht="15" customHeight="1">
      <c r="A64" s="1208"/>
      <c r="B64" s="1214"/>
      <c r="C64" s="1214"/>
      <c r="D64" s="1214"/>
      <c r="E64" s="1214"/>
      <c r="F64" s="1214"/>
      <c r="G64" s="1214"/>
      <c r="H64" s="1170"/>
      <c r="I64" s="1170"/>
      <c r="J64" s="1170"/>
      <c r="K64" s="1170"/>
      <c r="L64" s="1170"/>
      <c r="M64" s="1170"/>
      <c r="N64" s="1258"/>
      <c r="O64" s="1276"/>
      <c r="P64" s="1276"/>
      <c r="Q64" s="1276"/>
      <c r="R64" s="1276"/>
      <c r="S64" s="1276"/>
      <c r="T64" s="1276"/>
      <c r="U64" s="1170"/>
      <c r="V64" s="1258"/>
      <c r="W64" s="1276"/>
      <c r="X64" s="1276"/>
      <c r="Y64" s="1276"/>
      <c r="Z64" s="1276"/>
      <c r="AA64" s="1276"/>
      <c r="AB64" s="1276"/>
      <c r="AC64" s="1170"/>
      <c r="AD64" s="1194"/>
      <c r="AE64" s="1195" t="s">
        <v>416</v>
      </c>
      <c r="AF64" s="1195"/>
      <c r="AG64" s="1195"/>
      <c r="AH64" s="1195"/>
      <c r="AI64" s="1195"/>
      <c r="AJ64" s="1195"/>
      <c r="AK64" s="1170"/>
      <c r="AL64" s="1258"/>
      <c r="AM64" s="1276"/>
      <c r="AN64" s="1276"/>
      <c r="AO64" s="1276"/>
      <c r="AP64" s="1276"/>
      <c r="AQ64" s="1276"/>
      <c r="AR64" s="1276"/>
      <c r="AS64" s="1170"/>
      <c r="AT64" s="1258"/>
      <c r="AU64" s="1276"/>
      <c r="AV64" s="1276"/>
      <c r="AW64" s="1276"/>
      <c r="AX64" s="1276"/>
      <c r="AY64" s="1276"/>
      <c r="AZ64" s="1276"/>
      <c r="BA64" s="1170"/>
      <c r="BB64" s="1194"/>
      <c r="BC64" s="1276"/>
      <c r="BD64" s="1276"/>
      <c r="BE64" s="1276"/>
      <c r="BF64" s="1276"/>
      <c r="BG64" s="1276"/>
      <c r="BH64" s="1276"/>
      <c r="BI64" s="1170"/>
      <c r="BJ64" s="1188"/>
      <c r="BK64" s="1189"/>
      <c r="BL64" s="1189"/>
      <c r="BM64" s="1189"/>
      <c r="BN64" s="1189"/>
      <c r="BO64" s="1190"/>
    </row>
    <row r="65" spans="1:67" ht="15" customHeight="1">
      <c r="A65" s="1208">
        <v>1.5</v>
      </c>
      <c r="B65" s="1214" t="s">
        <v>336</v>
      </c>
      <c r="C65" s="1214"/>
      <c r="D65" s="1214"/>
      <c r="E65" s="1214"/>
      <c r="F65" s="1214"/>
      <c r="G65" s="1214"/>
      <c r="H65" s="1170" t="str">
        <f>IF(ISBLANK(D$5),"",1)</f>
        <v/>
      </c>
      <c r="I65" s="1170" t="str">
        <f>IF(ISBLANK(H$5),"",1)</f>
        <v/>
      </c>
      <c r="J65" s="1170" t="str">
        <f>IF(ISBLANK(L$5),"",1)</f>
        <v/>
      </c>
      <c r="K65" s="1170" t="str">
        <f t="shared" ref="K65" si="21">IF(ISBLANK(P$5),"",1)</f>
        <v/>
      </c>
      <c r="L65" s="1170" t="str">
        <f>IF(ISBLANK(T$5),"",1)</f>
        <v/>
      </c>
      <c r="M65" s="1170" t="str">
        <f>IF(ISBLANK(X$5),"",1)</f>
        <v/>
      </c>
      <c r="N65" s="1194">
        <v>2.2000000000000002</v>
      </c>
      <c r="O65" s="1276" t="s">
        <v>402</v>
      </c>
      <c r="P65" s="1276"/>
      <c r="Q65" s="1276"/>
      <c r="R65" s="1276"/>
      <c r="S65" s="1276"/>
      <c r="T65" s="1276"/>
      <c r="U65" s="1170" t="str">
        <f t="shared" ref="U65" si="22">IF(ISBLANK(D$5),"",1)</f>
        <v/>
      </c>
      <c r="V65" s="1258">
        <v>4.4000000000000004</v>
      </c>
      <c r="W65" s="1276" t="s">
        <v>393</v>
      </c>
      <c r="X65" s="1276"/>
      <c r="Y65" s="1276"/>
      <c r="Z65" s="1276"/>
      <c r="AA65" s="1276"/>
      <c r="AB65" s="1276"/>
      <c r="AC65" s="1170" t="str">
        <f>IF(ISBLANK(H$5),"",1)</f>
        <v/>
      </c>
      <c r="AD65" s="1258">
        <v>4.4000000000000004</v>
      </c>
      <c r="AE65" s="1276" t="s">
        <v>393</v>
      </c>
      <c r="AF65" s="1276"/>
      <c r="AG65" s="1276"/>
      <c r="AH65" s="1276"/>
      <c r="AI65" s="1276"/>
      <c r="AJ65" s="1276"/>
      <c r="AK65" s="1170" t="str">
        <f>IF(ISBLANK(L$5),"",1)</f>
        <v/>
      </c>
      <c r="AL65" s="1194">
        <v>2.4</v>
      </c>
      <c r="AM65" s="1276" t="s">
        <v>359</v>
      </c>
      <c r="AN65" s="1276"/>
      <c r="AO65" s="1276"/>
      <c r="AP65" s="1276"/>
      <c r="AQ65" s="1276"/>
      <c r="AR65" s="1276"/>
      <c r="AS65" s="1170" t="str">
        <f>IF(ISBLANK(P$5),"",1)</f>
        <v/>
      </c>
      <c r="AT65" s="1258">
        <v>4.4000000000000004</v>
      </c>
      <c r="AU65" s="1276" t="s">
        <v>413</v>
      </c>
      <c r="AV65" s="1276"/>
      <c r="AW65" s="1276"/>
      <c r="AX65" s="1276"/>
      <c r="AY65" s="1276"/>
      <c r="AZ65" s="1276"/>
      <c r="BA65" s="1170" t="str">
        <f>IF(ISBLANK(T$5),"",1)</f>
        <v/>
      </c>
      <c r="BB65" s="1258">
        <v>4.3</v>
      </c>
      <c r="BC65" s="1276" t="s">
        <v>395</v>
      </c>
      <c r="BD65" s="1276"/>
      <c r="BE65" s="1276"/>
      <c r="BF65" s="1276"/>
      <c r="BG65" s="1276"/>
      <c r="BH65" s="1276"/>
      <c r="BI65" s="1170" t="str">
        <f>IF(ISBLANK(X$5),"",1)</f>
        <v/>
      </c>
      <c r="BJ65" s="1188"/>
      <c r="BK65" s="1189"/>
      <c r="BL65" s="1189"/>
      <c r="BM65" s="1189"/>
      <c r="BN65" s="1189"/>
      <c r="BO65" s="1190"/>
    </row>
    <row r="66" spans="1:67" ht="15" customHeight="1">
      <c r="A66" s="1208"/>
      <c r="B66" s="1214"/>
      <c r="C66" s="1214"/>
      <c r="D66" s="1214"/>
      <c r="E66" s="1214"/>
      <c r="F66" s="1214"/>
      <c r="G66" s="1214"/>
      <c r="H66" s="1170"/>
      <c r="I66" s="1170"/>
      <c r="J66" s="1170"/>
      <c r="K66" s="1170"/>
      <c r="L66" s="1170"/>
      <c r="M66" s="1170"/>
      <c r="N66" s="1194"/>
      <c r="O66" s="1276"/>
      <c r="P66" s="1276"/>
      <c r="Q66" s="1276"/>
      <c r="R66" s="1276"/>
      <c r="S66" s="1276"/>
      <c r="T66" s="1276"/>
      <c r="U66" s="1170"/>
      <c r="V66" s="1258"/>
      <c r="W66" s="1276"/>
      <c r="X66" s="1276"/>
      <c r="Y66" s="1276"/>
      <c r="Z66" s="1276"/>
      <c r="AA66" s="1276"/>
      <c r="AB66" s="1276"/>
      <c r="AC66" s="1170"/>
      <c r="AD66" s="1258"/>
      <c r="AE66" s="1276"/>
      <c r="AF66" s="1276"/>
      <c r="AG66" s="1276"/>
      <c r="AH66" s="1276"/>
      <c r="AI66" s="1276"/>
      <c r="AJ66" s="1276"/>
      <c r="AK66" s="1170"/>
      <c r="AL66" s="1194"/>
      <c r="AM66" s="1276"/>
      <c r="AN66" s="1276"/>
      <c r="AO66" s="1276"/>
      <c r="AP66" s="1276"/>
      <c r="AQ66" s="1276"/>
      <c r="AR66" s="1276"/>
      <c r="AS66" s="1170"/>
      <c r="AT66" s="1258"/>
      <c r="AU66" s="1276"/>
      <c r="AV66" s="1276"/>
      <c r="AW66" s="1276"/>
      <c r="AX66" s="1276"/>
      <c r="AY66" s="1276"/>
      <c r="AZ66" s="1276"/>
      <c r="BA66" s="1170"/>
      <c r="BB66" s="1258"/>
      <c r="BC66" s="1276"/>
      <c r="BD66" s="1276"/>
      <c r="BE66" s="1276"/>
      <c r="BF66" s="1276"/>
      <c r="BG66" s="1276"/>
      <c r="BH66" s="1276"/>
      <c r="BI66" s="1170"/>
      <c r="BJ66" s="1188"/>
      <c r="BK66" s="1189"/>
      <c r="BL66" s="1189"/>
      <c r="BM66" s="1189"/>
      <c r="BN66" s="1189"/>
      <c r="BO66" s="1190"/>
    </row>
    <row r="67" spans="1:67" ht="15" customHeight="1">
      <c r="A67" s="1208"/>
      <c r="B67" s="1214"/>
      <c r="C67" s="1214"/>
      <c r="D67" s="1214"/>
      <c r="E67" s="1214"/>
      <c r="F67" s="1214"/>
      <c r="G67" s="1214"/>
      <c r="H67" s="1170"/>
      <c r="I67" s="1170"/>
      <c r="J67" s="1170"/>
      <c r="K67" s="1170"/>
      <c r="L67" s="1170"/>
      <c r="M67" s="1170"/>
      <c r="N67" s="1194"/>
      <c r="O67" s="1276"/>
      <c r="P67" s="1276"/>
      <c r="Q67" s="1276"/>
      <c r="R67" s="1276"/>
      <c r="S67" s="1276"/>
      <c r="T67" s="1276"/>
      <c r="U67" s="1170"/>
      <c r="V67" s="1258"/>
      <c r="W67" s="1276"/>
      <c r="X67" s="1276"/>
      <c r="Y67" s="1276"/>
      <c r="Z67" s="1276"/>
      <c r="AA67" s="1276"/>
      <c r="AB67" s="1276"/>
      <c r="AC67" s="1170"/>
      <c r="AD67" s="1258"/>
      <c r="AE67" s="1276" t="s">
        <v>394</v>
      </c>
      <c r="AF67" s="1276"/>
      <c r="AG67" s="1276"/>
      <c r="AH67" s="1276"/>
      <c r="AI67" s="1276"/>
      <c r="AJ67" s="1276"/>
      <c r="AK67" s="1170"/>
      <c r="AL67" s="1194"/>
      <c r="AM67" s="1276"/>
      <c r="AN67" s="1276"/>
      <c r="AO67" s="1276"/>
      <c r="AP67" s="1276"/>
      <c r="AQ67" s="1276"/>
      <c r="AR67" s="1276"/>
      <c r="AS67" s="1170"/>
      <c r="AT67" s="1258"/>
      <c r="AU67" s="1276"/>
      <c r="AV67" s="1276"/>
      <c r="AW67" s="1276"/>
      <c r="AX67" s="1276"/>
      <c r="AY67" s="1276"/>
      <c r="AZ67" s="1276"/>
      <c r="BA67" s="1170"/>
      <c r="BB67" s="1258"/>
      <c r="BC67" s="1276"/>
      <c r="BD67" s="1276"/>
      <c r="BE67" s="1276"/>
      <c r="BF67" s="1276"/>
      <c r="BG67" s="1276"/>
      <c r="BH67" s="1276"/>
      <c r="BI67" s="1170"/>
      <c r="BJ67" s="1188"/>
      <c r="BK67" s="1189"/>
      <c r="BL67" s="1189"/>
      <c r="BM67" s="1189"/>
      <c r="BN67" s="1189"/>
      <c r="BO67" s="1190"/>
    </row>
    <row r="68" spans="1:67" ht="15" customHeight="1">
      <c r="A68" s="1194">
        <v>2.1</v>
      </c>
      <c r="B68" s="1214" t="s">
        <v>386</v>
      </c>
      <c r="C68" s="1214"/>
      <c r="D68" s="1214"/>
      <c r="E68" s="1214"/>
      <c r="F68" s="1214"/>
      <c r="G68" s="1214"/>
      <c r="H68" s="1170" t="str">
        <f>IF(ISBLANK(D$5),"",1)</f>
        <v/>
      </c>
      <c r="I68" s="1170" t="str">
        <f>IF(ISBLANK(H$5),"",1)</f>
        <v/>
      </c>
      <c r="J68" s="1170" t="str">
        <f>IF(ISBLANK(L$5),"",1)</f>
        <v/>
      </c>
      <c r="K68" s="1170" t="str">
        <f t="shared" ref="K68" si="23">IF(ISBLANK(P$5),"",1)</f>
        <v/>
      </c>
      <c r="L68" s="1170" t="str">
        <f>IF(ISBLANK(T$5),"",1)</f>
        <v/>
      </c>
      <c r="M68" s="1170" t="str">
        <f>IF(ISBLANK(X$5),"",1)</f>
        <v/>
      </c>
      <c r="N68" s="1194">
        <v>2.2000000000000002</v>
      </c>
      <c r="O68" s="1276" t="s">
        <v>403</v>
      </c>
      <c r="P68" s="1276"/>
      <c r="Q68" s="1276"/>
      <c r="R68" s="1276"/>
      <c r="S68" s="1276"/>
      <c r="T68" s="1276"/>
      <c r="U68" s="1170" t="str">
        <f t="shared" ref="U68" si="24">IF(ISBLANK(D$5),"",1)</f>
        <v/>
      </c>
      <c r="V68" s="1194">
        <v>2.4</v>
      </c>
      <c r="W68" s="1276" t="s">
        <v>359</v>
      </c>
      <c r="X68" s="1276"/>
      <c r="Y68" s="1276"/>
      <c r="Z68" s="1276"/>
      <c r="AA68" s="1276"/>
      <c r="AB68" s="1276"/>
      <c r="AC68" s="1170" t="str">
        <f>IF(ISBLANK(H$5),"",1)</f>
        <v/>
      </c>
      <c r="AD68" s="1194">
        <v>2.4</v>
      </c>
      <c r="AE68" s="1276" t="s">
        <v>359</v>
      </c>
      <c r="AF68" s="1276"/>
      <c r="AG68" s="1276"/>
      <c r="AH68" s="1276"/>
      <c r="AI68" s="1276"/>
      <c r="AJ68" s="1276"/>
      <c r="AK68" s="1170" t="str">
        <f>IF(ISBLANK(L$5),"",1)</f>
        <v/>
      </c>
      <c r="AL68" s="1258">
        <v>4.4000000000000004</v>
      </c>
      <c r="AM68" s="1276" t="s">
        <v>395</v>
      </c>
      <c r="AN68" s="1276"/>
      <c r="AO68" s="1276"/>
      <c r="AP68" s="1276"/>
      <c r="AQ68" s="1276"/>
      <c r="AR68" s="1276"/>
      <c r="AS68" s="1170" t="str">
        <f>IF(ISBLANK(P$5),"",1)</f>
        <v/>
      </c>
      <c r="AT68" s="1258">
        <v>4.4000000000000004</v>
      </c>
      <c r="AU68" s="1276" t="s">
        <v>414</v>
      </c>
      <c r="AV68" s="1276"/>
      <c r="AW68" s="1276"/>
      <c r="AX68" s="1276"/>
      <c r="AY68" s="1276"/>
      <c r="AZ68" s="1276"/>
      <c r="BA68" s="1170" t="str">
        <f>IF(ISBLANK(T$5),"",1)</f>
        <v/>
      </c>
      <c r="BB68" s="1194">
        <v>2.4</v>
      </c>
      <c r="BC68" s="1276" t="s">
        <v>363</v>
      </c>
      <c r="BD68" s="1276"/>
      <c r="BE68" s="1276"/>
      <c r="BF68" s="1276"/>
      <c r="BG68" s="1276"/>
      <c r="BH68" s="1276"/>
      <c r="BI68" s="1170" t="str">
        <f>IF(ISBLANK(X$5),"",1)</f>
        <v/>
      </c>
      <c r="BJ68" s="1188"/>
      <c r="BK68" s="1189"/>
      <c r="BL68" s="1189"/>
      <c r="BM68" s="1189"/>
      <c r="BN68" s="1189"/>
      <c r="BO68" s="1190"/>
    </row>
    <row r="69" spans="1:67" ht="15" customHeight="1">
      <c r="A69" s="1194"/>
      <c r="B69" s="1214"/>
      <c r="C69" s="1214"/>
      <c r="D69" s="1214"/>
      <c r="E69" s="1214"/>
      <c r="F69" s="1214"/>
      <c r="G69" s="1214"/>
      <c r="H69" s="1170"/>
      <c r="I69" s="1170"/>
      <c r="J69" s="1170"/>
      <c r="K69" s="1170"/>
      <c r="L69" s="1170"/>
      <c r="M69" s="1170"/>
      <c r="N69" s="1194"/>
      <c r="O69" s="1276"/>
      <c r="P69" s="1276"/>
      <c r="Q69" s="1276"/>
      <c r="R69" s="1276"/>
      <c r="S69" s="1276"/>
      <c r="T69" s="1276"/>
      <c r="U69" s="1170"/>
      <c r="V69" s="1194"/>
      <c r="W69" s="1276"/>
      <c r="X69" s="1276"/>
      <c r="Y69" s="1276"/>
      <c r="Z69" s="1276"/>
      <c r="AA69" s="1276"/>
      <c r="AB69" s="1276"/>
      <c r="AC69" s="1170"/>
      <c r="AD69" s="1194"/>
      <c r="AE69" s="1276" t="s">
        <v>370</v>
      </c>
      <c r="AF69" s="1276"/>
      <c r="AG69" s="1276"/>
      <c r="AH69" s="1276"/>
      <c r="AI69" s="1276"/>
      <c r="AJ69" s="1276"/>
      <c r="AK69" s="1170"/>
      <c r="AL69" s="1258"/>
      <c r="AM69" s="1276"/>
      <c r="AN69" s="1276"/>
      <c r="AO69" s="1276"/>
      <c r="AP69" s="1276"/>
      <c r="AQ69" s="1276"/>
      <c r="AR69" s="1276"/>
      <c r="AS69" s="1170"/>
      <c r="AT69" s="1258"/>
      <c r="AU69" s="1276"/>
      <c r="AV69" s="1276"/>
      <c r="AW69" s="1276"/>
      <c r="AX69" s="1276"/>
      <c r="AY69" s="1276"/>
      <c r="AZ69" s="1276"/>
      <c r="BA69" s="1170"/>
      <c r="BB69" s="1194"/>
      <c r="BC69" s="1276"/>
      <c r="BD69" s="1276"/>
      <c r="BE69" s="1276"/>
      <c r="BF69" s="1276"/>
      <c r="BG69" s="1276"/>
      <c r="BH69" s="1276"/>
      <c r="BI69" s="1170"/>
      <c r="BJ69" s="1188"/>
      <c r="BK69" s="1189"/>
      <c r="BL69" s="1189"/>
      <c r="BM69" s="1189"/>
      <c r="BN69" s="1189"/>
      <c r="BO69" s="1190"/>
    </row>
    <row r="70" spans="1:67" ht="15" customHeight="1">
      <c r="A70" s="1194"/>
      <c r="B70" s="1214"/>
      <c r="C70" s="1214"/>
      <c r="D70" s="1214"/>
      <c r="E70" s="1214"/>
      <c r="F70" s="1214"/>
      <c r="G70" s="1214"/>
      <c r="H70" s="1170"/>
      <c r="I70" s="1170"/>
      <c r="J70" s="1170"/>
      <c r="K70" s="1170"/>
      <c r="L70" s="1170"/>
      <c r="M70" s="1170"/>
      <c r="N70" s="1194"/>
      <c r="O70" s="1276"/>
      <c r="P70" s="1276"/>
      <c r="Q70" s="1276"/>
      <c r="R70" s="1276"/>
      <c r="S70" s="1276"/>
      <c r="T70" s="1276"/>
      <c r="U70" s="1170"/>
      <c r="V70" s="1194"/>
      <c r="W70" s="1276"/>
      <c r="X70" s="1276"/>
      <c r="Y70" s="1276"/>
      <c r="Z70" s="1276"/>
      <c r="AA70" s="1276"/>
      <c r="AB70" s="1276"/>
      <c r="AC70" s="1170"/>
      <c r="AD70" s="1194"/>
      <c r="AE70" s="1276" t="s">
        <v>384</v>
      </c>
      <c r="AF70" s="1276"/>
      <c r="AG70" s="1276"/>
      <c r="AH70" s="1276"/>
      <c r="AI70" s="1276"/>
      <c r="AJ70" s="1276"/>
      <c r="AK70" s="1170"/>
      <c r="AL70" s="1258"/>
      <c r="AM70" s="1276"/>
      <c r="AN70" s="1276"/>
      <c r="AO70" s="1276"/>
      <c r="AP70" s="1276"/>
      <c r="AQ70" s="1276"/>
      <c r="AR70" s="1276"/>
      <c r="AS70" s="1170"/>
      <c r="AT70" s="1258"/>
      <c r="AU70" s="1276"/>
      <c r="AV70" s="1276"/>
      <c r="AW70" s="1276"/>
      <c r="AX70" s="1276"/>
      <c r="AY70" s="1276"/>
      <c r="AZ70" s="1276"/>
      <c r="BA70" s="1170"/>
      <c r="BB70" s="1194"/>
      <c r="BC70" s="1276"/>
      <c r="BD70" s="1276"/>
      <c r="BE70" s="1276"/>
      <c r="BF70" s="1276"/>
      <c r="BG70" s="1276"/>
      <c r="BH70" s="1276"/>
      <c r="BI70" s="1170"/>
      <c r="BJ70" s="1188"/>
      <c r="BK70" s="1189"/>
      <c r="BL70" s="1189"/>
      <c r="BM70" s="1189"/>
      <c r="BN70" s="1189"/>
      <c r="BO70" s="1190"/>
    </row>
    <row r="71" spans="1:67" ht="15" customHeight="1">
      <c r="A71" s="248"/>
      <c r="B71" s="248"/>
      <c r="C71" s="248"/>
      <c r="D71" s="248"/>
      <c r="F71" s="291">
        <v>1.1000000000000001</v>
      </c>
      <c r="G71" s="311">
        <f>COUNTIF($A$50:$A$70,F71)</f>
        <v>3</v>
      </c>
      <c r="H71" s="245" t="str">
        <f>IF($D$5=1,SUMIF($A$50:$A$70,F71,$H$50:$H$70),"")</f>
        <v/>
      </c>
      <c r="I71" s="245" t="str">
        <f>IF($H$5=1,SUMIF($A$50:$A$70,F71,$I$50:$I$70),"")</f>
        <v/>
      </c>
      <c r="J71" s="245" t="str">
        <f>IF($L$5=1,SUMIF($A$50:$A$70,F71,$J$50:$J$70),"")</f>
        <v/>
      </c>
      <c r="K71" s="245" t="str">
        <f>IF($P$5=1,SUMIF($A$50:$A$70,F71,$K$50:$K$70),"")</f>
        <v/>
      </c>
      <c r="L71" s="245" t="str">
        <f>IF($T$5=1,SUMIF($A$50:$A$70,F71,$L$50:$L$70),"")</f>
        <v/>
      </c>
      <c r="M71" s="245" t="str">
        <f>IF($X$5=1,SUMIF($A$50:$A$70,F71,$M$50:$M$70),"")</f>
        <v/>
      </c>
      <c r="N71" s="1290">
        <v>2.4</v>
      </c>
      <c r="O71" s="1163" t="s">
        <v>359</v>
      </c>
      <c r="P71" s="1164"/>
      <c r="Q71" s="1164"/>
      <c r="R71" s="1164"/>
      <c r="S71" s="1164"/>
      <c r="T71" s="1201"/>
      <c r="U71" s="1206" t="str">
        <f t="shared" ref="U71" si="25">IF(ISBLANK(D$5),"",1)</f>
        <v/>
      </c>
      <c r="V71" s="1293">
        <v>4.4000000000000004</v>
      </c>
      <c r="W71" s="1163" t="s">
        <v>395</v>
      </c>
      <c r="X71" s="1164"/>
      <c r="Y71" s="1164"/>
      <c r="Z71" s="1164"/>
      <c r="AA71" s="1164"/>
      <c r="AB71" s="1201"/>
      <c r="AC71" s="1206" t="str">
        <f>IF(ISBLANK(H$5),"",1)</f>
        <v/>
      </c>
      <c r="AD71" s="1293">
        <v>4.4000000000000004</v>
      </c>
      <c r="AE71" s="1200" t="s">
        <v>395</v>
      </c>
      <c r="AF71" s="1164"/>
      <c r="AG71" s="1164"/>
      <c r="AH71" s="1164"/>
      <c r="AI71" s="1164"/>
      <c r="AJ71" s="1266"/>
      <c r="AK71" s="1206" t="str">
        <f>IF(ISBLANK(L$5),"",1)</f>
        <v/>
      </c>
      <c r="AL71" s="1290">
        <v>2.4</v>
      </c>
      <c r="AM71" s="1200" t="s">
        <v>363</v>
      </c>
      <c r="AN71" s="1164"/>
      <c r="AO71" s="1164"/>
      <c r="AP71" s="1164"/>
      <c r="AQ71" s="1164"/>
      <c r="AR71" s="1266"/>
      <c r="AS71" s="1206" t="str">
        <f>IF(ISBLANK(P$5),"",1)</f>
        <v/>
      </c>
      <c r="AT71" s="1293">
        <v>4.4000000000000004</v>
      </c>
      <c r="AU71" s="1200" t="s">
        <v>383</v>
      </c>
      <c r="AV71" s="1164"/>
      <c r="AW71" s="1164"/>
      <c r="AX71" s="1164"/>
      <c r="AY71" s="1164"/>
      <c r="AZ71" s="1266"/>
      <c r="BA71" s="1206" t="str">
        <f>IF(ISBLANK(T$5),"",1)</f>
        <v/>
      </c>
      <c r="BB71" s="1313">
        <v>1.5</v>
      </c>
      <c r="BC71" s="1295" t="s">
        <v>373</v>
      </c>
      <c r="BD71" s="1296"/>
      <c r="BE71" s="1296"/>
      <c r="BF71" s="1296"/>
      <c r="BG71" s="1296"/>
      <c r="BH71" s="1297"/>
      <c r="BI71" s="1206" t="str">
        <f>IF(ISBLANK(X$5),"",1)</f>
        <v/>
      </c>
      <c r="BJ71" s="1188"/>
      <c r="BK71" s="1189"/>
      <c r="BL71" s="1189"/>
      <c r="BM71" s="1189"/>
      <c r="BN71" s="1189"/>
      <c r="BO71" s="1190"/>
    </row>
    <row r="72" spans="1:67" ht="15" customHeight="1">
      <c r="A72" s="248"/>
      <c r="F72" s="290">
        <v>1.5</v>
      </c>
      <c r="G72" s="311">
        <f>COUNTIF($A$50:$A$70,F72)</f>
        <v>1</v>
      </c>
      <c r="H72" s="240" t="str">
        <f>IF($D$5=1,SUMIF($A$50:$A$70,F72,$H$50:$H$70),"")</f>
        <v/>
      </c>
      <c r="I72" s="240" t="str">
        <f>IF($H$5=1,SUMIF($A$50:$A$70,F72,$I$50:$I$70),"")</f>
        <v/>
      </c>
      <c r="J72" s="240" t="str">
        <f>IF($L$5=1,SUMIF($A$50:$A$70,F72,$J$50:$J$70),"")</f>
        <v/>
      </c>
      <c r="K72" s="240" t="str">
        <f>IF($P$5=1,SUMIF($A$50:$A$70,F72,$K$50:$K$70),"")</f>
        <v/>
      </c>
      <c r="L72" s="240" t="str">
        <f>IF($T$5=1,SUMIF($A$50:$A$70,F72,$L$50:$L$70),"")</f>
        <v/>
      </c>
      <c r="M72" s="240" t="str">
        <f>IF($X$5=1,SUMIF($A$50:$A$70,F72,$M$50:$M$70),"")</f>
        <v/>
      </c>
      <c r="N72" s="1290"/>
      <c r="O72" s="1163"/>
      <c r="P72" s="1164"/>
      <c r="Q72" s="1164"/>
      <c r="R72" s="1164"/>
      <c r="S72" s="1164"/>
      <c r="T72" s="1201"/>
      <c r="U72" s="1206"/>
      <c r="V72" s="1293"/>
      <c r="W72" s="1163"/>
      <c r="X72" s="1164"/>
      <c r="Y72" s="1164"/>
      <c r="Z72" s="1164"/>
      <c r="AA72" s="1164"/>
      <c r="AB72" s="1201"/>
      <c r="AC72" s="1206"/>
      <c r="AD72" s="1293"/>
      <c r="AE72" s="1200" t="s">
        <v>370</v>
      </c>
      <c r="AF72" s="1164"/>
      <c r="AG72" s="1164"/>
      <c r="AH72" s="1164"/>
      <c r="AI72" s="1164"/>
      <c r="AJ72" s="1266"/>
      <c r="AK72" s="1206"/>
      <c r="AL72" s="1290"/>
      <c r="AM72" s="1200"/>
      <c r="AN72" s="1164"/>
      <c r="AO72" s="1164"/>
      <c r="AP72" s="1164"/>
      <c r="AQ72" s="1164"/>
      <c r="AR72" s="1266"/>
      <c r="AS72" s="1206"/>
      <c r="AT72" s="1293"/>
      <c r="AU72" s="1200"/>
      <c r="AV72" s="1164"/>
      <c r="AW72" s="1164"/>
      <c r="AX72" s="1164"/>
      <c r="AY72" s="1164"/>
      <c r="AZ72" s="1266"/>
      <c r="BA72" s="1206"/>
      <c r="BB72" s="1313"/>
      <c r="BC72" s="1295"/>
      <c r="BD72" s="1296"/>
      <c r="BE72" s="1296"/>
      <c r="BF72" s="1296"/>
      <c r="BG72" s="1296"/>
      <c r="BH72" s="1297"/>
      <c r="BI72" s="1206"/>
      <c r="BJ72" s="1188"/>
      <c r="BK72" s="1189"/>
      <c r="BL72" s="1189"/>
      <c r="BM72" s="1189"/>
      <c r="BN72" s="1189"/>
      <c r="BO72" s="1190"/>
    </row>
    <row r="73" spans="1:67" ht="15" customHeight="1">
      <c r="A73" s="243"/>
      <c r="F73" s="286">
        <v>2.1</v>
      </c>
      <c r="G73" s="311">
        <f>COUNTIF($A$50:$A$70,F73)</f>
        <v>2</v>
      </c>
      <c r="H73" s="240" t="str">
        <f>IF($D$5=1,SUMIF($A$50:$A$70,F73,$H$50:$H$70),"")</f>
        <v/>
      </c>
      <c r="I73" s="240" t="str">
        <f>IF($H$5=1,SUMIF($A$50:$A$70,F73,$I$50:$I$70),"")</f>
        <v/>
      </c>
      <c r="J73" s="240" t="str">
        <f>IF($L$5=1,SUMIF($A$50:$A$70,F73,$J$50:$J$70),"")</f>
        <v/>
      </c>
      <c r="K73" s="240" t="str">
        <f>IF($P$5=1,SUMIF($A$50:$A$70,F73,$K$50:$K$70),"")</f>
        <v/>
      </c>
      <c r="L73" s="240" t="str">
        <f>IF($T$5=1,SUMIF($A$50:$A$70,F73,$L$50:$L$70),"")</f>
        <v/>
      </c>
      <c r="M73" s="240" t="str">
        <f>IF($X$5=1,SUMIF($A$50:$A$70,F73,$M$50:$M$70),"")</f>
        <v/>
      </c>
      <c r="N73" s="1291"/>
      <c r="O73" s="1165"/>
      <c r="P73" s="1166"/>
      <c r="Q73" s="1166"/>
      <c r="R73" s="1166"/>
      <c r="S73" s="1166"/>
      <c r="T73" s="1292"/>
      <c r="U73" s="1207"/>
      <c r="V73" s="1294"/>
      <c r="W73" s="1165"/>
      <c r="X73" s="1166"/>
      <c r="Y73" s="1166"/>
      <c r="Z73" s="1166"/>
      <c r="AA73" s="1166"/>
      <c r="AB73" s="1292"/>
      <c r="AC73" s="1207"/>
      <c r="AD73" s="1294"/>
      <c r="AE73" s="1202" t="s">
        <v>396</v>
      </c>
      <c r="AF73" s="1203"/>
      <c r="AG73" s="1203"/>
      <c r="AH73" s="1203"/>
      <c r="AI73" s="1203"/>
      <c r="AJ73" s="1305"/>
      <c r="AK73" s="1207"/>
      <c r="AL73" s="1291"/>
      <c r="AM73" s="1202"/>
      <c r="AN73" s="1203"/>
      <c r="AO73" s="1203"/>
      <c r="AP73" s="1203"/>
      <c r="AQ73" s="1203"/>
      <c r="AR73" s="1305"/>
      <c r="AS73" s="1207"/>
      <c r="AT73" s="1306"/>
      <c r="AU73" s="1202"/>
      <c r="AV73" s="1203"/>
      <c r="AW73" s="1203"/>
      <c r="AX73" s="1203"/>
      <c r="AY73" s="1203"/>
      <c r="AZ73" s="1305"/>
      <c r="BA73" s="1207"/>
      <c r="BB73" s="1314"/>
      <c r="BC73" s="1298"/>
      <c r="BD73" s="1299"/>
      <c r="BE73" s="1299"/>
      <c r="BF73" s="1299"/>
      <c r="BG73" s="1299"/>
      <c r="BH73" s="1300"/>
      <c r="BI73" s="1207"/>
      <c r="BJ73" s="1188"/>
      <c r="BK73" s="1189"/>
      <c r="BL73" s="1189"/>
      <c r="BM73" s="1189"/>
      <c r="BN73" s="1189"/>
      <c r="BO73" s="1190"/>
    </row>
    <row r="74" spans="1:67" ht="15" customHeight="1">
      <c r="A74" s="243"/>
      <c r="B74" s="243"/>
      <c r="C74" s="243"/>
      <c r="D74" s="243"/>
      <c r="F74" s="285">
        <v>2.4</v>
      </c>
      <c r="G74" s="311">
        <f>COUNTIF($A$50:$A$70,F74)</f>
        <v>1</v>
      </c>
      <c r="H74" s="240" t="str">
        <f>IF($D$5=1,SUMIF($A$50:$A$70,F74,$H$50:$H$70),"")</f>
        <v/>
      </c>
      <c r="I74" s="240" t="str">
        <f>IF($H$5=1,SUMIF($A$50:$A$70,F74,$I$50:$I$70),"")</f>
        <v/>
      </c>
      <c r="J74" s="240" t="str">
        <f>IF($L$5=1,SUMIF($A$50:$A$70,F74,$J$50:$J$70),"")</f>
        <v/>
      </c>
      <c r="K74" s="240" t="str">
        <f>IF($P$5=1,SUMIF($A$50:$A$70,F74,$K$50:$K$70),"")</f>
        <v/>
      </c>
      <c r="L74" s="240" t="str">
        <f>IF($T$5=1,SUMIF($A$50:$A$70,F74,$L$50:$L$70),"")</f>
        <v/>
      </c>
      <c r="M74" s="240" t="str">
        <f>IF($X$5=1,SUMIF($A$50:$A$70,F74,$M$50:$M$70),"")</f>
        <v/>
      </c>
      <c r="N74" s="1301">
        <v>4.4000000000000004</v>
      </c>
      <c r="O74" s="1161" t="s">
        <v>395</v>
      </c>
      <c r="P74" s="1162"/>
      <c r="Q74" s="1162"/>
      <c r="R74" s="1162"/>
      <c r="S74" s="1162"/>
      <c r="T74" s="1199"/>
      <c r="U74" s="1205" t="str">
        <f t="shared" ref="U74" si="26">IF(ISBLANK(D$5),"",1)</f>
        <v/>
      </c>
      <c r="V74" s="1304">
        <v>2.4</v>
      </c>
      <c r="W74" s="1161" t="s">
        <v>363</v>
      </c>
      <c r="X74" s="1162"/>
      <c r="Y74" s="1162"/>
      <c r="Z74" s="1162"/>
      <c r="AA74" s="1162"/>
      <c r="AB74" s="1199"/>
      <c r="AC74" s="1205" t="str">
        <f>IF(ISBLANK(H$5),"",1)</f>
        <v/>
      </c>
      <c r="AD74" s="1304">
        <v>2.4</v>
      </c>
      <c r="AE74" s="1198" t="s">
        <v>363</v>
      </c>
      <c r="AF74" s="1162"/>
      <c r="AG74" s="1162"/>
      <c r="AH74" s="1162"/>
      <c r="AI74" s="1162"/>
      <c r="AJ74" s="1265"/>
      <c r="AK74" s="1205" t="str">
        <f>IF(ISBLANK(L$5),"",1)</f>
        <v/>
      </c>
      <c r="AL74" s="1307">
        <v>1.5</v>
      </c>
      <c r="AM74" s="1310" t="s">
        <v>373</v>
      </c>
      <c r="AN74" s="1311"/>
      <c r="AO74" s="1311"/>
      <c r="AP74" s="1311"/>
      <c r="AQ74" s="1311"/>
      <c r="AR74" s="1312"/>
      <c r="AS74" s="1205" t="str">
        <f>IF(ISBLANK(P$5),"",1)</f>
        <v/>
      </c>
      <c r="AT74" s="1307">
        <v>1.5</v>
      </c>
      <c r="AU74" s="1310" t="s">
        <v>373</v>
      </c>
      <c r="AV74" s="1311"/>
      <c r="AW74" s="1311"/>
      <c r="AX74" s="1311"/>
      <c r="AY74" s="1311"/>
      <c r="AZ74" s="1312"/>
      <c r="BA74" s="1205" t="str">
        <f>IF(ISBLANK(T$5),"",1)</f>
        <v/>
      </c>
      <c r="BB74" s="1322">
        <v>4.4000000000000004</v>
      </c>
      <c r="BC74" s="1198" t="s">
        <v>397</v>
      </c>
      <c r="BD74" s="1162"/>
      <c r="BE74" s="1162"/>
      <c r="BF74" s="1162"/>
      <c r="BG74" s="1162"/>
      <c r="BH74" s="1265"/>
      <c r="BI74" s="1205" t="str">
        <f>IF(ISBLANK(X$5),"",1)</f>
        <v/>
      </c>
      <c r="BJ74" s="1188"/>
      <c r="BK74" s="1189"/>
      <c r="BL74" s="1189"/>
      <c r="BM74" s="1189"/>
      <c r="BN74" s="1189"/>
      <c r="BO74" s="1190"/>
    </row>
    <row r="75" spans="1:67" ht="15" customHeight="1">
      <c r="A75" s="243"/>
      <c r="B75" s="243"/>
      <c r="C75" s="243"/>
      <c r="D75" s="243"/>
      <c r="E75" s="243"/>
      <c r="F75" s="243"/>
      <c r="G75" s="243"/>
      <c r="N75" s="1302"/>
      <c r="O75" s="1163"/>
      <c r="P75" s="1164"/>
      <c r="Q75" s="1164"/>
      <c r="R75" s="1164"/>
      <c r="S75" s="1164"/>
      <c r="T75" s="1201"/>
      <c r="U75" s="1206"/>
      <c r="V75" s="1290"/>
      <c r="W75" s="1163"/>
      <c r="X75" s="1164"/>
      <c r="Y75" s="1164"/>
      <c r="Z75" s="1164"/>
      <c r="AA75" s="1164"/>
      <c r="AB75" s="1201"/>
      <c r="AC75" s="1206"/>
      <c r="AD75" s="1290"/>
      <c r="AE75" s="1200"/>
      <c r="AF75" s="1164"/>
      <c r="AG75" s="1164"/>
      <c r="AH75" s="1164"/>
      <c r="AI75" s="1164"/>
      <c r="AJ75" s="1266"/>
      <c r="AK75" s="1206"/>
      <c r="AL75" s="1308"/>
      <c r="AM75" s="1295"/>
      <c r="AN75" s="1296"/>
      <c r="AO75" s="1296"/>
      <c r="AP75" s="1296"/>
      <c r="AQ75" s="1296"/>
      <c r="AR75" s="1297"/>
      <c r="AS75" s="1206"/>
      <c r="AT75" s="1308"/>
      <c r="AU75" s="1295"/>
      <c r="AV75" s="1296"/>
      <c r="AW75" s="1296"/>
      <c r="AX75" s="1296"/>
      <c r="AY75" s="1296"/>
      <c r="AZ75" s="1297"/>
      <c r="BA75" s="1206"/>
      <c r="BB75" s="1293"/>
      <c r="BC75" s="1200"/>
      <c r="BD75" s="1164"/>
      <c r="BE75" s="1164"/>
      <c r="BF75" s="1164"/>
      <c r="BG75" s="1164"/>
      <c r="BH75" s="1266"/>
      <c r="BI75" s="1206"/>
      <c r="BJ75" s="1188"/>
      <c r="BK75" s="1189"/>
      <c r="BL75" s="1189"/>
      <c r="BM75" s="1189"/>
      <c r="BN75" s="1189"/>
      <c r="BO75" s="1190"/>
    </row>
    <row r="76" spans="1:67" ht="15" customHeight="1">
      <c r="A76" s="1209"/>
      <c r="B76" s="1210" t="s">
        <v>609</v>
      </c>
      <c r="C76" s="1211"/>
      <c r="D76" s="1211"/>
      <c r="E76" s="1211"/>
      <c r="F76" s="1211"/>
      <c r="G76" s="1211"/>
      <c r="H76" s="1174">
        <v>1</v>
      </c>
      <c r="I76" s="1174">
        <v>2</v>
      </c>
      <c r="J76" s="1174">
        <v>3</v>
      </c>
      <c r="K76" s="1174">
        <v>4</v>
      </c>
      <c r="L76" s="1174">
        <v>5</v>
      </c>
      <c r="M76" s="1174">
        <v>6</v>
      </c>
      <c r="N76" s="1303"/>
      <c r="O76" s="1165"/>
      <c r="P76" s="1166"/>
      <c r="Q76" s="1166"/>
      <c r="R76" s="1166"/>
      <c r="S76" s="1166"/>
      <c r="T76" s="1292"/>
      <c r="U76" s="1207"/>
      <c r="V76" s="1291"/>
      <c r="W76" s="1165"/>
      <c r="X76" s="1166"/>
      <c r="Y76" s="1166"/>
      <c r="Z76" s="1166"/>
      <c r="AA76" s="1166"/>
      <c r="AB76" s="1292"/>
      <c r="AC76" s="1207"/>
      <c r="AD76" s="1291"/>
      <c r="AE76" s="1202"/>
      <c r="AF76" s="1203"/>
      <c r="AG76" s="1203"/>
      <c r="AH76" s="1203"/>
      <c r="AI76" s="1203"/>
      <c r="AJ76" s="1305"/>
      <c r="AK76" s="1207"/>
      <c r="AL76" s="1309"/>
      <c r="AM76" s="1298"/>
      <c r="AN76" s="1299"/>
      <c r="AO76" s="1299"/>
      <c r="AP76" s="1299"/>
      <c r="AQ76" s="1299"/>
      <c r="AR76" s="1300"/>
      <c r="AS76" s="1207"/>
      <c r="AT76" s="1309"/>
      <c r="AU76" s="1298"/>
      <c r="AV76" s="1299"/>
      <c r="AW76" s="1299"/>
      <c r="AX76" s="1299"/>
      <c r="AY76" s="1299"/>
      <c r="AZ76" s="1300"/>
      <c r="BA76" s="1207"/>
      <c r="BB76" s="1306"/>
      <c r="BC76" s="1202"/>
      <c r="BD76" s="1203"/>
      <c r="BE76" s="1203"/>
      <c r="BF76" s="1203"/>
      <c r="BG76" s="1203"/>
      <c r="BH76" s="1305"/>
      <c r="BI76" s="1207"/>
      <c r="BJ76" s="1188"/>
      <c r="BK76" s="1189"/>
      <c r="BL76" s="1189"/>
      <c r="BM76" s="1189"/>
      <c r="BN76" s="1189"/>
      <c r="BO76" s="1190"/>
    </row>
    <row r="77" spans="1:67" ht="15" customHeight="1">
      <c r="A77" s="1209"/>
      <c r="B77" s="1212"/>
      <c r="C77" s="1213"/>
      <c r="D77" s="1213"/>
      <c r="E77" s="1213"/>
      <c r="F77" s="1213"/>
      <c r="G77" s="1213"/>
      <c r="H77" s="1174"/>
      <c r="I77" s="1174"/>
      <c r="J77" s="1174"/>
      <c r="K77" s="1174"/>
      <c r="L77" s="1174"/>
      <c r="M77" s="1174"/>
      <c r="N77" s="1304">
        <v>2.4</v>
      </c>
      <c r="O77" s="1161" t="s">
        <v>363</v>
      </c>
      <c r="P77" s="1162"/>
      <c r="Q77" s="1162"/>
      <c r="R77" s="1162"/>
      <c r="S77" s="1162"/>
      <c r="T77" s="1199"/>
      <c r="U77" s="1205" t="str">
        <f t="shared" ref="U77" si="27">IF(ISBLANK(D$5),"",1)</f>
        <v/>
      </c>
      <c r="V77" s="1307">
        <v>1.5</v>
      </c>
      <c r="W77" s="1315" t="s">
        <v>373</v>
      </c>
      <c r="X77" s="1311"/>
      <c r="Y77" s="1311"/>
      <c r="Z77" s="1311"/>
      <c r="AA77" s="1311"/>
      <c r="AB77" s="1316"/>
      <c r="AC77" s="1205" t="str">
        <f>IF(ISBLANK(H$5),"",1)</f>
        <v/>
      </c>
      <c r="AD77" s="1307">
        <v>1.5</v>
      </c>
      <c r="AE77" s="1310" t="s">
        <v>373</v>
      </c>
      <c r="AF77" s="1311"/>
      <c r="AG77" s="1311"/>
      <c r="AH77" s="1311"/>
      <c r="AI77" s="1311"/>
      <c r="AJ77" s="1312"/>
      <c r="AK77" s="1205" t="str">
        <f>IF(ISBLANK(L$5),"",1)</f>
        <v/>
      </c>
      <c r="AL77" s="1322">
        <v>4.4000000000000004</v>
      </c>
      <c r="AM77" s="1198" t="s">
        <v>397</v>
      </c>
      <c r="AN77" s="1162"/>
      <c r="AO77" s="1162"/>
      <c r="AP77" s="1162"/>
      <c r="AQ77" s="1162"/>
      <c r="AR77" s="1265"/>
      <c r="AS77" s="1205" t="str">
        <f>IF(ISBLANK(P$5),"",1)</f>
        <v/>
      </c>
      <c r="AT77" s="1322">
        <v>4.4000000000000004</v>
      </c>
      <c r="AU77" s="1198" t="s">
        <v>425</v>
      </c>
      <c r="AV77" s="1162"/>
      <c r="AW77" s="1162"/>
      <c r="AX77" s="1162"/>
      <c r="AY77" s="1162"/>
      <c r="AZ77" s="1265"/>
      <c r="BA77" s="1205" t="str">
        <f>IF(ISBLANK(T$5),"",1)</f>
        <v/>
      </c>
      <c r="BB77" s="248"/>
      <c r="BG77" s="273">
        <v>1.5</v>
      </c>
      <c r="BH77" s="312">
        <f>COUNTIF($BB$50:$BB$76,BG77)</f>
        <v>1</v>
      </c>
      <c r="BI77" s="240" t="str">
        <f>IF($X$5=1,SUMIF($BB$50:$BB$76,BG77,$BI$50:$BI$76),"")</f>
        <v/>
      </c>
      <c r="BJ77" s="1188"/>
      <c r="BK77" s="1189"/>
      <c r="BL77" s="1189"/>
      <c r="BM77" s="1189"/>
      <c r="BN77" s="1189"/>
      <c r="BO77" s="1190"/>
    </row>
    <row r="78" spans="1:67" ht="15" customHeight="1">
      <c r="A78" s="1159">
        <v>3.1</v>
      </c>
      <c r="B78" s="1161" t="s">
        <v>366</v>
      </c>
      <c r="C78" s="1162"/>
      <c r="D78" s="1162"/>
      <c r="E78" s="1162"/>
      <c r="F78" s="1162"/>
      <c r="G78" s="1162"/>
      <c r="H78" s="1170" t="str">
        <f>IF(ISBLANK(D$5),"",1)</f>
        <v/>
      </c>
      <c r="I78" s="1170" t="str">
        <f>IF(ISBLANK(H$5),"",1)</f>
        <v/>
      </c>
      <c r="J78" s="1170" t="str">
        <f>IF(ISBLANK(L$5),"",1)</f>
        <v/>
      </c>
      <c r="K78" s="1170" t="str">
        <f t="shared" ref="K78" si="28">IF(ISBLANK(P$5),"",1)</f>
        <v/>
      </c>
      <c r="L78" s="1170" t="str">
        <f>IF(ISBLANK(T$5),"",1)</f>
        <v/>
      </c>
      <c r="M78" s="1170" t="str">
        <f>IF(ISBLANK(X$5),"",1)</f>
        <v/>
      </c>
      <c r="N78" s="1290"/>
      <c r="O78" s="1163"/>
      <c r="P78" s="1164"/>
      <c r="Q78" s="1164"/>
      <c r="R78" s="1164"/>
      <c r="S78" s="1164"/>
      <c r="T78" s="1201"/>
      <c r="U78" s="1206"/>
      <c r="V78" s="1308"/>
      <c r="W78" s="1317"/>
      <c r="X78" s="1296"/>
      <c r="Y78" s="1296"/>
      <c r="Z78" s="1296"/>
      <c r="AA78" s="1296"/>
      <c r="AB78" s="1318"/>
      <c r="AC78" s="1206"/>
      <c r="AD78" s="1308"/>
      <c r="AE78" s="1295"/>
      <c r="AF78" s="1296"/>
      <c r="AG78" s="1296"/>
      <c r="AH78" s="1296"/>
      <c r="AI78" s="1296"/>
      <c r="AJ78" s="1297"/>
      <c r="AK78" s="1206"/>
      <c r="AL78" s="1293"/>
      <c r="AM78" s="1200"/>
      <c r="AN78" s="1164"/>
      <c r="AO78" s="1164"/>
      <c r="AP78" s="1164"/>
      <c r="AQ78" s="1164"/>
      <c r="AR78" s="1266"/>
      <c r="AS78" s="1206"/>
      <c r="AT78" s="1293"/>
      <c r="AU78" s="1200"/>
      <c r="AV78" s="1164"/>
      <c r="AW78" s="1164"/>
      <c r="AX78" s="1164"/>
      <c r="AY78" s="1164"/>
      <c r="AZ78" s="1266"/>
      <c r="BA78" s="1206"/>
      <c r="BB78" s="248"/>
      <c r="BG78" s="271">
        <v>2.4</v>
      </c>
      <c r="BH78" s="312">
        <f>COUNTIF($BB$50:$BB$76,BG78)</f>
        <v>2</v>
      </c>
      <c r="BI78" s="240" t="str">
        <f>IF($X$5=1,SUMIF($BB$50:$BB$76,BG78,$BI$50:$BI$76),"")</f>
        <v/>
      </c>
      <c r="BJ78" s="1191"/>
      <c r="BK78" s="1192"/>
      <c r="BL78" s="1192"/>
      <c r="BM78" s="1192"/>
      <c r="BN78" s="1192"/>
      <c r="BO78" s="1193"/>
    </row>
    <row r="79" spans="1:67" ht="15" customHeight="1">
      <c r="A79" s="1159"/>
      <c r="B79" s="1163"/>
      <c r="C79" s="1164"/>
      <c r="D79" s="1164"/>
      <c r="E79" s="1164"/>
      <c r="F79" s="1164"/>
      <c r="G79" s="1164"/>
      <c r="H79" s="1170"/>
      <c r="I79" s="1170"/>
      <c r="J79" s="1170"/>
      <c r="K79" s="1170"/>
      <c r="L79" s="1170"/>
      <c r="M79" s="1170"/>
      <c r="N79" s="1291"/>
      <c r="O79" s="1165"/>
      <c r="P79" s="1166"/>
      <c r="Q79" s="1166"/>
      <c r="R79" s="1166"/>
      <c r="S79" s="1166"/>
      <c r="T79" s="1292"/>
      <c r="U79" s="1207"/>
      <c r="V79" s="1309"/>
      <c r="W79" s="1319"/>
      <c r="X79" s="1320"/>
      <c r="Y79" s="1320"/>
      <c r="Z79" s="1320"/>
      <c r="AA79" s="1320"/>
      <c r="AB79" s="1321"/>
      <c r="AC79" s="1207"/>
      <c r="AD79" s="1309"/>
      <c r="AE79" s="1298"/>
      <c r="AF79" s="1299"/>
      <c r="AG79" s="1299"/>
      <c r="AH79" s="1299"/>
      <c r="AI79" s="1299"/>
      <c r="AJ79" s="1300"/>
      <c r="AK79" s="1207"/>
      <c r="AL79" s="1306"/>
      <c r="AM79" s="1202"/>
      <c r="AN79" s="1203"/>
      <c r="AO79" s="1203"/>
      <c r="AP79" s="1203"/>
      <c r="AQ79" s="1203"/>
      <c r="AR79" s="1305"/>
      <c r="AS79" s="1207"/>
      <c r="AT79" s="1306"/>
      <c r="AU79" s="1202"/>
      <c r="AV79" s="1203"/>
      <c r="AW79" s="1203"/>
      <c r="AX79" s="1203"/>
      <c r="AY79" s="1203"/>
      <c r="AZ79" s="1305"/>
      <c r="BA79" s="1207"/>
      <c r="BB79" s="248"/>
      <c r="BG79" s="275">
        <v>4.3</v>
      </c>
      <c r="BH79" s="312">
        <f>COUNTIF($BB$50:$BB$76,BG79)</f>
        <v>2</v>
      </c>
      <c r="BI79" s="240" t="str">
        <f>IF($X$5=1,SUMIF($BB$50:$BB$76,BG79,$BI$50:$BI$76),"")</f>
        <v/>
      </c>
    </row>
    <row r="80" spans="1:67" ht="15" customHeight="1">
      <c r="A80" s="1160"/>
      <c r="B80" s="1165"/>
      <c r="C80" s="1166"/>
      <c r="D80" s="1166"/>
      <c r="E80" s="1166"/>
      <c r="F80" s="1166"/>
      <c r="G80" s="1166"/>
      <c r="H80" s="1170"/>
      <c r="I80" s="1170"/>
      <c r="J80" s="1170"/>
      <c r="K80" s="1170"/>
      <c r="L80" s="1170"/>
      <c r="M80" s="1170"/>
      <c r="N80" s="1307">
        <v>1.5</v>
      </c>
      <c r="O80" s="1315" t="s">
        <v>373</v>
      </c>
      <c r="P80" s="1311"/>
      <c r="Q80" s="1311"/>
      <c r="R80" s="1311"/>
      <c r="S80" s="1311"/>
      <c r="T80" s="1316"/>
      <c r="U80" s="1205" t="str">
        <f t="shared" ref="U80" si="29">IF(ISBLANK(D$5),"",1)</f>
        <v/>
      </c>
      <c r="V80" s="1322">
        <v>4.4000000000000004</v>
      </c>
      <c r="W80" s="1161" t="s">
        <v>397</v>
      </c>
      <c r="X80" s="1162"/>
      <c r="Y80" s="1162"/>
      <c r="Z80" s="1162"/>
      <c r="AA80" s="1162"/>
      <c r="AB80" s="1199"/>
      <c r="AC80" s="1205" t="str">
        <f>IF(ISBLANK(H$5),"",1)</f>
        <v/>
      </c>
      <c r="AD80" s="1322">
        <v>4.4000000000000004</v>
      </c>
      <c r="AE80" s="1198" t="s">
        <v>397</v>
      </c>
      <c r="AF80" s="1162"/>
      <c r="AG80" s="1162"/>
      <c r="AH80" s="1162"/>
      <c r="AI80" s="1162"/>
      <c r="AJ80" s="1265"/>
      <c r="AK80" s="1205" t="str">
        <f>IF(ISBLANK(L$5),"",1)</f>
        <v/>
      </c>
      <c r="AO80" s="247"/>
      <c r="AQ80" s="273">
        <v>1.5</v>
      </c>
      <c r="AR80" s="312">
        <f>COUNTIF($AL$50:$AL$79,AQ80)</f>
        <v>1</v>
      </c>
      <c r="AS80" s="240" t="str">
        <f>IF($P$5=1,SUMIF($AL$50:$AL$79,AQ80,$AS$50:$AS$79),"")</f>
        <v/>
      </c>
      <c r="AW80" s="247"/>
      <c r="AY80" s="273">
        <v>1.5</v>
      </c>
      <c r="AZ80" s="312">
        <f>COUNTIF($AT$50:$AT$79,AY80)</f>
        <v>1</v>
      </c>
      <c r="BA80" s="240" t="str">
        <f>IF($T$5=1,SUMIF($AT$50:$AT$79,AY80,$BA$50:$BA$79),"")</f>
        <v/>
      </c>
      <c r="BG80" s="276">
        <v>4.4000000000000004</v>
      </c>
      <c r="BH80" s="312">
        <f>COUNTIF($BB$50:$BB$76,BG80)</f>
        <v>4</v>
      </c>
      <c r="BI80" s="240" t="str">
        <f>IF($X$5=1,SUMIF($BB$50:$BB$76,BG80,$BI$50:$BI$76),"")</f>
        <v/>
      </c>
    </row>
    <row r="81" spans="1:67" ht="15" customHeight="1">
      <c r="A81" s="1168" t="s">
        <v>637</v>
      </c>
      <c r="B81" s="1168"/>
      <c r="C81" s="1168"/>
      <c r="D81" s="1168"/>
      <c r="E81" s="1169"/>
      <c r="F81" s="409">
        <v>3.1</v>
      </c>
      <c r="G81" s="311">
        <f>COUNTIF(A78,F81)</f>
        <v>1</v>
      </c>
      <c r="H81" s="240" t="str">
        <f>IF($D$5=1,SUMIF($A$78,$F$81,H78),"")</f>
        <v/>
      </c>
      <c r="I81" s="240" t="str">
        <f>IF($H$5=1,SUMIF($A$78,$F$81,I78),"")</f>
        <v/>
      </c>
      <c r="J81" s="240" t="str">
        <f>IF($L$5=1,SUMIF($A$78,$F$81,J78),"")</f>
        <v/>
      </c>
      <c r="K81" s="240" t="str">
        <f>IF($P$5=1,SUMIF($A$78,$F$81,K78),"")</f>
        <v/>
      </c>
      <c r="L81" s="240" t="str">
        <f>IF($T$5=1,SUMIF($A$78,$F$81,L78),"")</f>
        <v/>
      </c>
      <c r="M81" s="240" t="str">
        <f>IF($X$5=1,SUMIF($A$78,$F$81,M78),"")</f>
        <v/>
      </c>
      <c r="N81" s="1308"/>
      <c r="O81" s="1317"/>
      <c r="P81" s="1296"/>
      <c r="Q81" s="1296"/>
      <c r="R81" s="1296"/>
      <c r="S81" s="1296"/>
      <c r="T81" s="1318"/>
      <c r="U81" s="1206"/>
      <c r="V81" s="1293"/>
      <c r="W81" s="1163"/>
      <c r="X81" s="1164"/>
      <c r="Y81" s="1164"/>
      <c r="Z81" s="1164"/>
      <c r="AA81" s="1164"/>
      <c r="AB81" s="1201"/>
      <c r="AC81" s="1206"/>
      <c r="AD81" s="1293"/>
      <c r="AE81" s="1200"/>
      <c r="AF81" s="1164"/>
      <c r="AG81" s="1164"/>
      <c r="AH81" s="1164"/>
      <c r="AI81" s="1164"/>
      <c r="AJ81" s="1266"/>
      <c r="AK81" s="1206"/>
      <c r="AO81" s="248"/>
      <c r="AQ81" s="271">
        <v>2.4</v>
      </c>
      <c r="AR81" s="312">
        <f>COUNTIF($AL$50:$AL$79,AQ81)</f>
        <v>2</v>
      </c>
      <c r="AS81" s="240" t="str">
        <f>IF($P$5=1,SUMIF($AL$50:$AL$79,AQ81,$AS$50:$AS$79),"")</f>
        <v/>
      </c>
      <c r="AY81" s="271">
        <v>2.2000000000000002</v>
      </c>
      <c r="AZ81" s="312">
        <f t="shared" ref="AZ81" si="30">COUNTIF($AT$50:$AT$79,AY81)</f>
        <v>1</v>
      </c>
      <c r="BA81" s="240" t="str">
        <f>IF($T$5=1,SUMIF($AT$50:$AT$79,AY81,$BA$50:$BA$79),"")</f>
        <v/>
      </c>
    </row>
    <row r="82" spans="1:67" ht="15" customHeight="1">
      <c r="A82" s="243"/>
      <c r="B82" s="243"/>
      <c r="C82" s="243"/>
      <c r="D82" s="243"/>
      <c r="E82" s="243"/>
      <c r="F82" s="243"/>
      <c r="G82" s="243"/>
      <c r="N82" s="1309"/>
      <c r="O82" s="1319"/>
      <c r="P82" s="1320"/>
      <c r="Q82" s="1320"/>
      <c r="R82" s="1320"/>
      <c r="S82" s="1320"/>
      <c r="T82" s="1321"/>
      <c r="U82" s="1207"/>
      <c r="V82" s="1306"/>
      <c r="W82" s="1165"/>
      <c r="X82" s="1166"/>
      <c r="Y82" s="1166"/>
      <c r="Z82" s="1166"/>
      <c r="AA82" s="1166"/>
      <c r="AB82" s="1292"/>
      <c r="AC82" s="1207"/>
      <c r="AD82" s="1306"/>
      <c r="AE82" s="1202"/>
      <c r="AF82" s="1203"/>
      <c r="AG82" s="1203"/>
      <c r="AH82" s="1203"/>
      <c r="AI82" s="1203"/>
      <c r="AJ82" s="1305"/>
      <c r="AK82" s="1207"/>
      <c r="AO82" s="248"/>
      <c r="AQ82" s="275">
        <v>4.3</v>
      </c>
      <c r="AR82" s="312">
        <f>COUNTIF($AL$50:$AL$79,AQ82)</f>
        <v>3</v>
      </c>
      <c r="AS82" s="240" t="str">
        <f>IF($P$5=1,SUMIF($AL$50:$AL$79,AQ82,$AS$50:$AS$79),"")</f>
        <v/>
      </c>
      <c r="AY82" s="275">
        <v>4.3</v>
      </c>
      <c r="AZ82" s="312">
        <f>COUNTIF($AT$50:$AT$79,AY82)</f>
        <v>1</v>
      </c>
      <c r="BA82" s="240" t="str">
        <f>IF($T$5=1,SUMIF($AT$50:$AT$79,AY82,$BA$50:$BA$79),"")</f>
        <v/>
      </c>
    </row>
    <row r="83" spans="1:67" ht="15" customHeight="1">
      <c r="A83" s="243"/>
      <c r="B83" s="243"/>
      <c r="C83" s="243"/>
      <c r="D83" s="243"/>
      <c r="E83" s="243"/>
      <c r="F83" s="243"/>
      <c r="G83" s="243"/>
      <c r="N83" s="1301">
        <v>4.4000000000000004</v>
      </c>
      <c r="O83" s="1161" t="s">
        <v>397</v>
      </c>
      <c r="P83" s="1162"/>
      <c r="Q83" s="1162"/>
      <c r="R83" s="1162"/>
      <c r="S83" s="1162"/>
      <c r="T83" s="1199"/>
      <c r="U83" s="1205" t="str">
        <f t="shared" ref="U83" si="31">IF(ISBLANK(D$5),"",1)</f>
        <v/>
      </c>
      <c r="V83" s="247"/>
      <c r="W83" s="52"/>
      <c r="AA83" s="273">
        <v>1.5</v>
      </c>
      <c r="AB83" s="312">
        <f>COUNTIF($V$50:$V$82,AA83)</f>
        <v>1</v>
      </c>
      <c r="AC83" s="240" t="str">
        <f>IF($H$5=1,SUMIF($V$50:$V$82,AA83,$AC$50:$AC$82),"")</f>
        <v/>
      </c>
      <c r="AD83" s="247"/>
      <c r="AF83" s="52"/>
      <c r="AI83" s="273">
        <v>1.5</v>
      </c>
      <c r="AJ83" s="312">
        <f>COUNTIF($AD$50:$AD$82,AI83)</f>
        <v>1</v>
      </c>
      <c r="AK83" s="240" t="str">
        <f>IF(L$5=1,SUMIF($AD$50:$AD$82,AI83,$AK$50:$AK$82),"")</f>
        <v/>
      </c>
      <c r="AO83" s="52"/>
      <c r="AQ83" s="276">
        <v>4.4000000000000004</v>
      </c>
      <c r="AR83" s="312">
        <f>COUNTIF($AL$50:$AL$79,AQ83)</f>
        <v>4</v>
      </c>
      <c r="AS83" s="240" t="str">
        <f>IF($P$5=1,SUMIF($AL$50:$AL$79,AQ83,$AS$50:$AS$79),"")</f>
        <v/>
      </c>
      <c r="AY83" s="276">
        <v>4.4000000000000004</v>
      </c>
      <c r="AZ83" s="312">
        <f>COUNTIF($AT$50:$AT$79,AY83)</f>
        <v>7</v>
      </c>
      <c r="BA83" s="240" t="str">
        <f>IF($T$5=1,SUMIF($AT$50:$AT$79,AY83,$BA$50:$BA$79),"")</f>
        <v/>
      </c>
    </row>
    <row r="84" spans="1:67" ht="15" customHeight="1">
      <c r="N84" s="1302"/>
      <c r="O84" s="1163"/>
      <c r="P84" s="1164"/>
      <c r="Q84" s="1164"/>
      <c r="R84" s="1164"/>
      <c r="S84" s="1164"/>
      <c r="T84" s="1201"/>
      <c r="U84" s="1206"/>
      <c r="V84" s="248"/>
      <c r="W84" s="52"/>
      <c r="AA84" s="271">
        <v>2.4</v>
      </c>
      <c r="AB84" s="312">
        <f>COUNTIF($V$50:$V$82,AA84)</f>
        <v>3</v>
      </c>
      <c r="AC84" s="240" t="str">
        <f>IF($H$5=1,SUMIF($V$50:$V$82,AA84,$AC$50:$AC$82),"")</f>
        <v/>
      </c>
      <c r="AD84" s="248"/>
      <c r="AF84" s="52"/>
      <c r="AI84" s="271">
        <v>2.2000000000000002</v>
      </c>
      <c r="AJ84" s="312">
        <f t="shared" ref="AJ84:AJ87" si="32">COUNTIF($AD$50:$AD$82,AI84)</f>
        <v>1</v>
      </c>
      <c r="AK84" s="240" t="str">
        <f>IF(L$5=1,SUMIF($AD$50:$AD$82,AI84,$AK$50:$AK$82),"")</f>
        <v/>
      </c>
      <c r="AO84" s="52"/>
    </row>
    <row r="85" spans="1:67" ht="15" customHeight="1">
      <c r="N85" s="1303"/>
      <c r="O85" s="1165"/>
      <c r="P85" s="1166"/>
      <c r="Q85" s="1166"/>
      <c r="R85" s="1166"/>
      <c r="S85" s="1166"/>
      <c r="T85" s="1292"/>
      <c r="U85" s="1207"/>
      <c r="V85" s="248"/>
      <c r="W85" s="52"/>
      <c r="AA85" s="275">
        <v>4.3</v>
      </c>
      <c r="AB85" s="312">
        <f>COUNTIF($V$50:$V$82,AA85)</f>
        <v>3</v>
      </c>
      <c r="AC85" s="240" t="str">
        <f>IF($H$5=1,SUMIF($V$50:$V$82,AA85,$AC$50:$AC$82),"")</f>
        <v/>
      </c>
      <c r="AD85" s="248"/>
      <c r="AF85" s="52"/>
      <c r="AI85" s="271">
        <v>2.4</v>
      </c>
      <c r="AJ85" s="312">
        <f t="shared" si="32"/>
        <v>2</v>
      </c>
      <c r="AK85" s="240" t="str">
        <f>IF(L$5=1,SUMIF($AD$50:$AD$82,AI85,$AK$50:$AK$82),"")</f>
        <v/>
      </c>
      <c r="AO85" s="52"/>
    </row>
    <row r="86" spans="1:67" ht="15" customHeight="1">
      <c r="N86" s="242"/>
      <c r="O86" s="52"/>
      <c r="Q86" s="247"/>
      <c r="S86" s="273">
        <v>1.5</v>
      </c>
      <c r="T86" s="312">
        <f>COUNTIF($N$50:$N$85,S86)</f>
        <v>1</v>
      </c>
      <c r="U86" s="240" t="str">
        <f>IF($D$5=1,SUMIF($N$50:$N$85,S86,$U$50:$U$85),"")</f>
        <v/>
      </c>
      <c r="V86" s="242"/>
      <c r="W86" s="52"/>
      <c r="AA86" s="276">
        <v>4.4000000000000004</v>
      </c>
      <c r="AB86" s="312">
        <f>COUNTIF($V$50:$V$82,AA86)</f>
        <v>4</v>
      </c>
      <c r="AC86" s="240" t="str">
        <f>IF($H$5=1,SUMIF($V$50:$V$82,AA86,$AC$50:$AC$82),"")</f>
        <v/>
      </c>
      <c r="AE86" s="242"/>
      <c r="AF86" s="52"/>
      <c r="AI86" s="275">
        <v>4.3</v>
      </c>
      <c r="AJ86" s="312">
        <f t="shared" si="32"/>
        <v>3</v>
      </c>
      <c r="AK86" s="240" t="str">
        <f>IF(L$5=1,SUMIF($AD$50:$AD$82,AI86,$AK$50:$AK$82),"")</f>
        <v/>
      </c>
      <c r="AO86" s="52"/>
    </row>
    <row r="87" spans="1:67" ht="15" customHeight="1">
      <c r="N87" s="242"/>
      <c r="O87" s="52"/>
      <c r="Q87" s="248"/>
      <c r="S87" s="271">
        <v>2.2000000000000002</v>
      </c>
      <c r="T87" s="312">
        <f>COUNTIF($N$50:$N$85,S87)</f>
        <v>2</v>
      </c>
      <c r="U87" s="240" t="str">
        <f>IF($D$5=1,SUMIF($N$50:$N$85,S87,$U$50:$U$85),"")</f>
        <v/>
      </c>
      <c r="V87" s="242"/>
      <c r="W87" s="52"/>
      <c r="AE87" s="242"/>
      <c r="AF87" s="52"/>
      <c r="AI87" s="276">
        <v>4.4000000000000004</v>
      </c>
      <c r="AJ87" s="312">
        <f t="shared" si="32"/>
        <v>4</v>
      </c>
      <c r="AK87" s="240" t="str">
        <f>IF(L$5=1,SUMIF($AD$50:$AD$82,AI87,$AK$50:$AK$82),"")</f>
        <v/>
      </c>
      <c r="AO87" s="52"/>
    </row>
    <row r="88" spans="1:67" ht="15" customHeight="1">
      <c r="N88" s="242"/>
      <c r="O88" s="52"/>
      <c r="Q88" s="248"/>
      <c r="S88" s="271">
        <v>2.4</v>
      </c>
      <c r="T88" s="312">
        <f>COUNTIF($N$50:$N$85,S88)</f>
        <v>3</v>
      </c>
      <c r="U88" s="240" t="str">
        <f>IF($D$5=1,SUMIF($N$50:$N$85,S88,$U$50:$U$85),"")</f>
        <v/>
      </c>
      <c r="V88" s="242"/>
      <c r="W88" s="52"/>
      <c r="AE88" s="242"/>
      <c r="AF88" s="52"/>
      <c r="AO88" s="52"/>
    </row>
    <row r="89" spans="1:67" ht="15" customHeight="1">
      <c r="N89" s="242"/>
      <c r="O89" s="52"/>
      <c r="Q89" s="248"/>
      <c r="S89" s="275">
        <v>4.3</v>
      </c>
      <c r="T89" s="312">
        <f>COUNTIF($N$50:$N$85,S89)</f>
        <v>2</v>
      </c>
      <c r="U89" s="240" t="str">
        <f>IF($D$5=1,SUMIF($N$50:$N$85,S89,$U$50:$U$85),"")</f>
        <v/>
      </c>
      <c r="V89" s="242"/>
      <c r="W89" s="52"/>
      <c r="AE89" s="242"/>
      <c r="AF89" s="52"/>
      <c r="AO89" s="52"/>
    </row>
    <row r="90" spans="1:67" ht="15" customHeight="1">
      <c r="N90" s="242"/>
      <c r="O90" s="52"/>
      <c r="Q90" s="248"/>
      <c r="S90" s="276">
        <v>4.4000000000000004</v>
      </c>
      <c r="T90" s="312">
        <f>COUNTIF($N$50:$N$85,S90)</f>
        <v>4</v>
      </c>
      <c r="U90" s="240" t="str">
        <f>IF($D$5=1,SUMIF($N$50:$N$85,S90,$U$50:$U$85),"")</f>
        <v/>
      </c>
      <c r="V90" s="242"/>
      <c r="W90" s="52"/>
      <c r="AE90" s="242"/>
      <c r="AF90" s="52"/>
      <c r="AO90" s="52"/>
    </row>
    <row r="91" spans="1:67" ht="15" customHeight="1">
      <c r="A91" s="1171" t="s">
        <v>17</v>
      </c>
      <c r="B91" s="1171"/>
      <c r="C91" s="1171"/>
      <c r="D91" s="1171"/>
      <c r="E91" s="1171"/>
      <c r="F91" s="1171"/>
      <c r="G91" s="1171"/>
      <c r="H91" s="1171"/>
      <c r="I91" s="1171"/>
      <c r="J91" s="1171"/>
      <c r="K91" s="1171"/>
      <c r="L91" s="1171"/>
      <c r="M91" s="1171"/>
      <c r="N91" s="1171"/>
      <c r="O91" s="1171"/>
      <c r="P91" s="1171"/>
      <c r="Q91" s="1171"/>
      <c r="R91" s="1171"/>
      <c r="S91" s="1171"/>
      <c r="T91" s="1171"/>
      <c r="U91" s="1171"/>
      <c r="V91" s="1171"/>
      <c r="W91" s="1171"/>
      <c r="X91" s="1171"/>
      <c r="Y91" s="1171"/>
      <c r="Z91" s="1171"/>
      <c r="AA91" s="1171"/>
      <c r="AB91" s="1171"/>
      <c r="AC91" s="1171"/>
      <c r="AD91" s="1171"/>
      <c r="AE91" s="1171"/>
      <c r="AF91" s="1171"/>
      <c r="AG91" s="1171"/>
      <c r="AH91" s="1171"/>
      <c r="AI91" s="1171"/>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row>
    <row r="92" spans="1:67" ht="15" customHeight="1">
      <c r="A92" s="1274"/>
      <c r="B92" s="1274"/>
      <c r="C92" s="1274"/>
      <c r="D92" s="1274"/>
      <c r="E92" s="1274"/>
      <c r="F92" s="1274"/>
      <c r="G92" s="1274"/>
      <c r="H92" s="1274"/>
      <c r="I92" s="1274"/>
      <c r="J92" s="1274"/>
      <c r="K92" s="1274"/>
      <c r="L92" s="1274"/>
      <c r="M92" s="1274"/>
      <c r="N92" s="1274"/>
      <c r="O92" s="1274"/>
      <c r="P92" s="1274"/>
      <c r="Q92" s="1274"/>
      <c r="R92" s="1274"/>
      <c r="S92" s="1274"/>
      <c r="T92" s="1274"/>
      <c r="U92" s="1274"/>
      <c r="V92" s="1274"/>
      <c r="W92" s="1274"/>
      <c r="X92" s="1274"/>
      <c r="Y92" s="1274"/>
      <c r="Z92" s="1274"/>
      <c r="AA92" s="1274"/>
      <c r="AB92" s="1274"/>
      <c r="AC92" s="1274"/>
      <c r="AD92" s="1274"/>
      <c r="AE92" s="1274"/>
      <c r="AF92" s="1274"/>
      <c r="AG92" s="1274"/>
      <c r="AH92" s="1274"/>
      <c r="AI92" s="1274"/>
      <c r="AJ92" s="1274"/>
      <c r="AK92" s="1274"/>
      <c r="AL92" s="1274"/>
      <c r="AM92" s="1274"/>
      <c r="AN92" s="1274"/>
      <c r="AO92" s="1274"/>
      <c r="AP92" s="1274"/>
      <c r="AQ92" s="1274"/>
      <c r="AR92" s="1274"/>
      <c r="AS92" s="1274"/>
      <c r="AT92" s="1274"/>
      <c r="AU92" s="1274"/>
      <c r="AV92" s="1274"/>
      <c r="AW92" s="1274"/>
      <c r="AX92" s="1274"/>
      <c r="AY92" s="1274"/>
      <c r="AZ92" s="1274"/>
      <c r="BA92" s="1274"/>
      <c r="BB92" s="1274"/>
      <c r="BC92" s="1274"/>
      <c r="BD92" s="1274"/>
      <c r="BE92" s="1274"/>
      <c r="BF92" s="1274"/>
      <c r="BG92" s="1274"/>
      <c r="BH92" s="1274"/>
      <c r="BI92" s="1274"/>
      <c r="BJ92" s="1275"/>
      <c r="BK92" s="1275"/>
      <c r="BL92" s="1275"/>
      <c r="BM92" s="1275"/>
    </row>
    <row r="93" spans="1:67" ht="15" customHeight="1">
      <c r="A93" s="1172"/>
      <c r="B93" s="1173" t="s">
        <v>608</v>
      </c>
      <c r="C93" s="1173"/>
      <c r="D93" s="1173"/>
      <c r="E93" s="1173"/>
      <c r="F93" s="1173"/>
      <c r="G93" s="1173"/>
      <c r="H93" s="1174">
        <v>7</v>
      </c>
      <c r="I93" s="1174">
        <v>8</v>
      </c>
      <c r="J93" s="1174">
        <v>9</v>
      </c>
      <c r="K93" s="1174">
        <v>10</v>
      </c>
      <c r="L93" s="1174">
        <v>11</v>
      </c>
      <c r="M93" s="1174">
        <v>12</v>
      </c>
      <c r="N93" s="1331"/>
      <c r="O93" s="1332" t="s">
        <v>438</v>
      </c>
      <c r="P93" s="1332"/>
      <c r="Q93" s="1332"/>
      <c r="R93" s="1332"/>
      <c r="S93" s="1332"/>
      <c r="T93" s="1332"/>
      <c r="U93" s="1332"/>
      <c r="V93" s="1333"/>
      <c r="W93" s="1334" t="s">
        <v>439</v>
      </c>
      <c r="X93" s="1334"/>
      <c r="Y93" s="1334"/>
      <c r="Z93" s="1334"/>
      <c r="AA93" s="1334"/>
      <c r="AB93" s="1334"/>
      <c r="AC93" s="1334"/>
      <c r="AD93" s="1325"/>
      <c r="AE93" s="1326" t="s">
        <v>634</v>
      </c>
      <c r="AF93" s="1326"/>
      <c r="AG93" s="1326"/>
      <c r="AH93" s="1326"/>
      <c r="AI93" s="1326"/>
      <c r="AJ93" s="1326"/>
      <c r="AK93" s="1326"/>
      <c r="AL93" s="1327"/>
      <c r="AM93" s="1328" t="s">
        <v>440</v>
      </c>
      <c r="AN93" s="1328"/>
      <c r="AO93" s="1328"/>
      <c r="AP93" s="1328"/>
      <c r="AQ93" s="1328"/>
      <c r="AR93" s="1328"/>
      <c r="AS93" s="1328"/>
      <c r="AT93" s="1329"/>
      <c r="AU93" s="1330" t="s">
        <v>441</v>
      </c>
      <c r="AV93" s="1330"/>
      <c r="AW93" s="1330"/>
      <c r="AX93" s="1330"/>
      <c r="AY93" s="1330"/>
      <c r="AZ93" s="1330"/>
      <c r="BA93" s="1330"/>
      <c r="BB93" s="1323"/>
      <c r="BC93" s="1324" t="s">
        <v>442</v>
      </c>
      <c r="BD93" s="1324"/>
      <c r="BE93" s="1324"/>
      <c r="BF93" s="1324"/>
      <c r="BG93" s="1324"/>
      <c r="BH93" s="1324"/>
      <c r="BI93" s="1324"/>
      <c r="BJ93" s="1182" t="s">
        <v>263</v>
      </c>
      <c r="BK93" s="1183"/>
      <c r="BL93" s="1183"/>
      <c r="BM93" s="1183"/>
      <c r="BN93" s="1183"/>
      <c r="BO93" s="1184"/>
    </row>
    <row r="94" spans="1:67" ht="15" customHeight="1">
      <c r="A94" s="1172"/>
      <c r="B94" s="1173"/>
      <c r="C94" s="1173"/>
      <c r="D94" s="1173"/>
      <c r="E94" s="1173"/>
      <c r="F94" s="1173"/>
      <c r="G94" s="1173"/>
      <c r="H94" s="1174"/>
      <c r="I94" s="1174"/>
      <c r="J94" s="1174"/>
      <c r="K94" s="1174"/>
      <c r="L94" s="1174"/>
      <c r="M94" s="1174"/>
      <c r="N94" s="1331"/>
      <c r="O94" s="1332"/>
      <c r="P94" s="1332"/>
      <c r="Q94" s="1332"/>
      <c r="R94" s="1332"/>
      <c r="S94" s="1332"/>
      <c r="T94" s="1332"/>
      <c r="U94" s="1332"/>
      <c r="V94" s="1333"/>
      <c r="W94" s="1334"/>
      <c r="X94" s="1334"/>
      <c r="Y94" s="1334"/>
      <c r="Z94" s="1334"/>
      <c r="AA94" s="1334"/>
      <c r="AB94" s="1334"/>
      <c r="AC94" s="1334"/>
      <c r="AD94" s="1325"/>
      <c r="AE94" s="1326"/>
      <c r="AF94" s="1326"/>
      <c r="AG94" s="1326"/>
      <c r="AH94" s="1326"/>
      <c r="AI94" s="1326"/>
      <c r="AJ94" s="1326"/>
      <c r="AK94" s="1326"/>
      <c r="AL94" s="1327"/>
      <c r="AM94" s="1328"/>
      <c r="AN94" s="1328"/>
      <c r="AO94" s="1328"/>
      <c r="AP94" s="1328"/>
      <c r="AQ94" s="1328"/>
      <c r="AR94" s="1328"/>
      <c r="AS94" s="1328"/>
      <c r="AT94" s="1329"/>
      <c r="AU94" s="1330"/>
      <c r="AV94" s="1330"/>
      <c r="AW94" s="1330"/>
      <c r="AX94" s="1330"/>
      <c r="AY94" s="1330"/>
      <c r="AZ94" s="1330"/>
      <c r="BA94" s="1330"/>
      <c r="BB94" s="1323"/>
      <c r="BC94" s="1324"/>
      <c r="BD94" s="1324"/>
      <c r="BE94" s="1324"/>
      <c r="BF94" s="1324"/>
      <c r="BG94" s="1324"/>
      <c r="BH94" s="1324"/>
      <c r="BI94" s="1324"/>
      <c r="BJ94" s="1185"/>
      <c r="BK94" s="1186"/>
      <c r="BL94" s="1186"/>
      <c r="BM94" s="1186"/>
      <c r="BN94" s="1186"/>
      <c r="BO94" s="1187"/>
    </row>
    <row r="95" spans="1:67" ht="15" customHeight="1">
      <c r="A95" s="1208">
        <v>1.1000000000000001</v>
      </c>
      <c r="B95" s="1214" t="s">
        <v>316</v>
      </c>
      <c r="C95" s="1214"/>
      <c r="D95" s="1214"/>
      <c r="E95" s="1214"/>
      <c r="F95" s="1214"/>
      <c r="G95" s="1214"/>
      <c r="H95" s="1170" t="str">
        <f>IF(ISBLANK(AB$5),"",1)</f>
        <v/>
      </c>
      <c r="I95" s="1170" t="str">
        <f>IF(ISBLANK(AF$5),"",1)</f>
        <v/>
      </c>
      <c r="J95" s="1170" t="str">
        <f>IF(ISBLANK(AJ$5),"",1)</f>
        <v/>
      </c>
      <c r="K95" s="1170" t="str">
        <f>IF(ISBLANK(AN$5),"",1)</f>
        <v/>
      </c>
      <c r="L95" s="1170" t="str">
        <f>IF(ISBLANK(AR$5),"",1)</f>
        <v/>
      </c>
      <c r="M95" s="1170" t="str">
        <f>IF(ISBLANK(AV$5),"",1)</f>
        <v/>
      </c>
      <c r="N95" s="1258">
        <v>4.3</v>
      </c>
      <c r="O95" s="1276" t="s">
        <v>387</v>
      </c>
      <c r="P95" s="1276"/>
      <c r="Q95" s="1276"/>
      <c r="R95" s="1276"/>
      <c r="S95" s="1276"/>
      <c r="T95" s="1276"/>
      <c r="U95" s="1170" t="str">
        <f>IF(ISBLANK(AB$5),"",1)</f>
        <v/>
      </c>
      <c r="V95" s="1258">
        <v>4.3</v>
      </c>
      <c r="W95" s="1276" t="s">
        <v>398</v>
      </c>
      <c r="X95" s="1276"/>
      <c r="Y95" s="1276"/>
      <c r="Z95" s="1276"/>
      <c r="AA95" s="1276"/>
      <c r="AB95" s="1276"/>
      <c r="AC95" s="1170" t="str">
        <f>IF(ISBLANK(AF$5),"",1)</f>
        <v/>
      </c>
      <c r="AD95" s="1258">
        <v>4.3</v>
      </c>
      <c r="AE95" s="1276" t="s">
        <v>398</v>
      </c>
      <c r="AF95" s="1276"/>
      <c r="AG95" s="1276"/>
      <c r="AH95" s="1276"/>
      <c r="AI95" s="1276"/>
      <c r="AJ95" s="1276"/>
      <c r="AK95" s="1170" t="str">
        <f>IF(ISBLANK(AJ$5),"",1)</f>
        <v/>
      </c>
      <c r="AL95" s="1258">
        <v>4.3</v>
      </c>
      <c r="AM95" s="1276" t="s">
        <v>398</v>
      </c>
      <c r="AN95" s="1276"/>
      <c r="AO95" s="1276"/>
      <c r="AP95" s="1276"/>
      <c r="AQ95" s="1276"/>
      <c r="AR95" s="1276"/>
      <c r="AS95" s="1170" t="str">
        <f>IF(ISBLANK(AN$5),"",1)</f>
        <v/>
      </c>
      <c r="AT95" s="1258">
        <v>4.3</v>
      </c>
      <c r="AU95" s="1276" t="s">
        <v>398</v>
      </c>
      <c r="AV95" s="1276"/>
      <c r="AW95" s="1276"/>
      <c r="AX95" s="1276"/>
      <c r="AY95" s="1276"/>
      <c r="AZ95" s="1276"/>
      <c r="BA95" s="1170" t="str">
        <f>IF(ISBLANK(AR$5),"",1)</f>
        <v/>
      </c>
      <c r="BB95" s="1258">
        <v>4.3</v>
      </c>
      <c r="BC95" s="1276" t="s">
        <v>387</v>
      </c>
      <c r="BD95" s="1276"/>
      <c r="BE95" s="1276"/>
      <c r="BF95" s="1276"/>
      <c r="BG95" s="1276"/>
      <c r="BH95" s="1276"/>
      <c r="BI95" s="1170" t="str">
        <f>IF(ISBLANK(AV$5),"",1)</f>
        <v/>
      </c>
      <c r="BJ95" s="1188"/>
      <c r="BK95" s="1189"/>
      <c r="BL95" s="1189"/>
      <c r="BM95" s="1189"/>
      <c r="BN95" s="1189"/>
      <c r="BO95" s="1190"/>
    </row>
    <row r="96" spans="1:67" ht="15" customHeight="1">
      <c r="A96" s="1208"/>
      <c r="B96" s="1214"/>
      <c r="C96" s="1214"/>
      <c r="D96" s="1214"/>
      <c r="E96" s="1214"/>
      <c r="F96" s="1214"/>
      <c r="G96" s="1214"/>
      <c r="H96" s="1170"/>
      <c r="I96" s="1170"/>
      <c r="J96" s="1170"/>
      <c r="K96" s="1170"/>
      <c r="L96" s="1170"/>
      <c r="M96" s="1170"/>
      <c r="N96" s="1258"/>
      <c r="O96" s="1276"/>
      <c r="P96" s="1276"/>
      <c r="Q96" s="1276"/>
      <c r="R96" s="1276"/>
      <c r="S96" s="1276"/>
      <c r="T96" s="1276"/>
      <c r="U96" s="1170"/>
      <c r="V96" s="1258"/>
      <c r="W96" s="1276"/>
      <c r="X96" s="1276"/>
      <c r="Y96" s="1276"/>
      <c r="Z96" s="1276"/>
      <c r="AA96" s="1276"/>
      <c r="AB96" s="1276"/>
      <c r="AC96" s="1170"/>
      <c r="AD96" s="1258"/>
      <c r="AE96" s="1276"/>
      <c r="AF96" s="1276"/>
      <c r="AG96" s="1276"/>
      <c r="AH96" s="1276"/>
      <c r="AI96" s="1276"/>
      <c r="AJ96" s="1276"/>
      <c r="AK96" s="1170"/>
      <c r="AL96" s="1258"/>
      <c r="AM96" s="1276"/>
      <c r="AN96" s="1276"/>
      <c r="AO96" s="1276"/>
      <c r="AP96" s="1276"/>
      <c r="AQ96" s="1276"/>
      <c r="AR96" s="1276"/>
      <c r="AS96" s="1170"/>
      <c r="AT96" s="1258"/>
      <c r="AU96" s="1276"/>
      <c r="AV96" s="1276"/>
      <c r="AW96" s="1276"/>
      <c r="AX96" s="1276"/>
      <c r="AY96" s="1276"/>
      <c r="AZ96" s="1276"/>
      <c r="BA96" s="1170"/>
      <c r="BB96" s="1258"/>
      <c r="BC96" s="1276"/>
      <c r="BD96" s="1276"/>
      <c r="BE96" s="1276"/>
      <c r="BF96" s="1276"/>
      <c r="BG96" s="1276"/>
      <c r="BH96" s="1276"/>
      <c r="BI96" s="1170"/>
      <c r="BJ96" s="1188"/>
      <c r="BK96" s="1189"/>
      <c r="BL96" s="1189"/>
      <c r="BM96" s="1189"/>
      <c r="BN96" s="1189"/>
      <c r="BO96" s="1190"/>
    </row>
    <row r="97" spans="1:67" ht="15" customHeight="1">
      <c r="A97" s="1208"/>
      <c r="B97" s="1214"/>
      <c r="C97" s="1214"/>
      <c r="D97" s="1214"/>
      <c r="E97" s="1214"/>
      <c r="F97" s="1214"/>
      <c r="G97" s="1214"/>
      <c r="H97" s="1170"/>
      <c r="I97" s="1170"/>
      <c r="J97" s="1170"/>
      <c r="K97" s="1170"/>
      <c r="L97" s="1170"/>
      <c r="M97" s="1170"/>
      <c r="N97" s="1258"/>
      <c r="O97" s="1276"/>
      <c r="P97" s="1276"/>
      <c r="Q97" s="1276"/>
      <c r="R97" s="1276"/>
      <c r="S97" s="1276"/>
      <c r="T97" s="1276"/>
      <c r="U97" s="1170"/>
      <c r="V97" s="1258"/>
      <c r="W97" s="1276"/>
      <c r="X97" s="1276"/>
      <c r="Y97" s="1276"/>
      <c r="Z97" s="1276"/>
      <c r="AA97" s="1276"/>
      <c r="AB97" s="1276"/>
      <c r="AC97" s="1170"/>
      <c r="AD97" s="1258"/>
      <c r="AE97" s="1276"/>
      <c r="AF97" s="1276"/>
      <c r="AG97" s="1276"/>
      <c r="AH97" s="1276"/>
      <c r="AI97" s="1276"/>
      <c r="AJ97" s="1276"/>
      <c r="AK97" s="1170"/>
      <c r="AL97" s="1258"/>
      <c r="AM97" s="1276"/>
      <c r="AN97" s="1276"/>
      <c r="AO97" s="1276"/>
      <c r="AP97" s="1276"/>
      <c r="AQ97" s="1276"/>
      <c r="AR97" s="1276"/>
      <c r="AS97" s="1170"/>
      <c r="AT97" s="1258"/>
      <c r="AU97" s="1276"/>
      <c r="AV97" s="1276"/>
      <c r="AW97" s="1276"/>
      <c r="AX97" s="1276"/>
      <c r="AY97" s="1276"/>
      <c r="AZ97" s="1276"/>
      <c r="BA97" s="1170"/>
      <c r="BB97" s="1258"/>
      <c r="BC97" s="1276"/>
      <c r="BD97" s="1276"/>
      <c r="BE97" s="1276"/>
      <c r="BF97" s="1276"/>
      <c r="BG97" s="1276"/>
      <c r="BH97" s="1276"/>
      <c r="BI97" s="1170"/>
      <c r="BJ97" s="1188"/>
      <c r="BK97" s="1189"/>
      <c r="BL97" s="1189"/>
      <c r="BM97" s="1189"/>
      <c r="BN97" s="1189"/>
      <c r="BO97" s="1190"/>
    </row>
    <row r="98" spans="1:67" ht="15" customHeight="1">
      <c r="A98" s="1194">
        <v>2.4</v>
      </c>
      <c r="B98" s="1214" t="s">
        <v>320</v>
      </c>
      <c r="C98" s="1214"/>
      <c r="D98" s="1214"/>
      <c r="E98" s="1214"/>
      <c r="F98" s="1214"/>
      <c r="G98" s="1214"/>
      <c r="H98" s="1170" t="str">
        <f>IF(ISBLANK(AB$5),"",1)</f>
        <v/>
      </c>
      <c r="I98" s="1170" t="str">
        <f>IF(ISBLANK(AF$5),"",1)</f>
        <v/>
      </c>
      <c r="J98" s="1170" t="str">
        <f>IF(ISBLANK(AJ$5),"",1)</f>
        <v/>
      </c>
      <c r="K98" s="1170" t="str">
        <f>IF(ISBLANK(AN$5),"",1)</f>
        <v/>
      </c>
      <c r="L98" s="1170" t="str">
        <f>IF(ISBLANK(AR$5),"",1)</f>
        <v/>
      </c>
      <c r="M98" s="1170" t="str">
        <f>IF(ISBLANK(AV$5),"",1)</f>
        <v/>
      </c>
      <c r="N98" s="1194">
        <v>2.4</v>
      </c>
      <c r="O98" s="1276" t="s">
        <v>405</v>
      </c>
      <c r="P98" s="1276"/>
      <c r="Q98" s="1276"/>
      <c r="R98" s="1276"/>
      <c r="S98" s="1276"/>
      <c r="T98" s="1276"/>
      <c r="U98" s="1170" t="str">
        <f>IF(ISBLANK(AB$5),"",1)</f>
        <v/>
      </c>
      <c r="V98" s="1258">
        <v>4.3</v>
      </c>
      <c r="W98" s="1276" t="s">
        <v>388</v>
      </c>
      <c r="X98" s="1276"/>
      <c r="Y98" s="1276"/>
      <c r="Z98" s="1276"/>
      <c r="AA98" s="1276"/>
      <c r="AB98" s="1276"/>
      <c r="AC98" s="1170" t="str">
        <f>IF(ISBLANK(AF$5),"",1)</f>
        <v/>
      </c>
      <c r="AD98" s="1258">
        <v>4.3</v>
      </c>
      <c r="AE98" s="1276" t="s">
        <v>388</v>
      </c>
      <c r="AF98" s="1276"/>
      <c r="AG98" s="1276"/>
      <c r="AH98" s="1276"/>
      <c r="AI98" s="1276"/>
      <c r="AJ98" s="1276"/>
      <c r="AK98" s="1170" t="str">
        <f>IF(ISBLANK(AJ$5),"",1)</f>
        <v/>
      </c>
      <c r="AL98" s="1258">
        <v>4.3</v>
      </c>
      <c r="AM98" s="1276" t="s">
        <v>388</v>
      </c>
      <c r="AN98" s="1276"/>
      <c r="AO98" s="1276"/>
      <c r="AP98" s="1276"/>
      <c r="AQ98" s="1276"/>
      <c r="AR98" s="1276"/>
      <c r="AS98" s="1170" t="str">
        <f>IF(ISBLANK(AN$5),"",1)</f>
        <v/>
      </c>
      <c r="AT98" s="1258">
        <v>4.3</v>
      </c>
      <c r="AU98" s="1276" t="s">
        <v>388</v>
      </c>
      <c r="AV98" s="1276"/>
      <c r="AW98" s="1276"/>
      <c r="AX98" s="1276"/>
      <c r="AY98" s="1276"/>
      <c r="AZ98" s="1276"/>
      <c r="BA98" s="1170" t="str">
        <f>IF(ISBLANK(AR$5),"",1)</f>
        <v/>
      </c>
      <c r="BB98" s="1258">
        <v>4.3</v>
      </c>
      <c r="BC98" s="1276" t="s">
        <v>388</v>
      </c>
      <c r="BD98" s="1276"/>
      <c r="BE98" s="1276"/>
      <c r="BF98" s="1276"/>
      <c r="BG98" s="1276"/>
      <c r="BH98" s="1276"/>
      <c r="BI98" s="1170" t="str">
        <f>IF(ISBLANK(AV$5),"",1)</f>
        <v/>
      </c>
      <c r="BJ98" s="1188"/>
      <c r="BK98" s="1189"/>
      <c r="BL98" s="1189"/>
      <c r="BM98" s="1189"/>
      <c r="BN98" s="1189"/>
      <c r="BO98" s="1190"/>
    </row>
    <row r="99" spans="1:67" ht="15" customHeight="1">
      <c r="A99" s="1194"/>
      <c r="B99" s="1214"/>
      <c r="C99" s="1214"/>
      <c r="D99" s="1214"/>
      <c r="E99" s="1214"/>
      <c r="F99" s="1214"/>
      <c r="G99" s="1214"/>
      <c r="H99" s="1170"/>
      <c r="I99" s="1170"/>
      <c r="J99" s="1170"/>
      <c r="K99" s="1170"/>
      <c r="L99" s="1170"/>
      <c r="M99" s="1170"/>
      <c r="N99" s="1194"/>
      <c r="O99" s="1276"/>
      <c r="P99" s="1276"/>
      <c r="Q99" s="1276"/>
      <c r="R99" s="1276"/>
      <c r="S99" s="1276"/>
      <c r="T99" s="1276"/>
      <c r="U99" s="1170"/>
      <c r="V99" s="1258"/>
      <c r="W99" s="1276"/>
      <c r="X99" s="1276"/>
      <c r="Y99" s="1276"/>
      <c r="Z99" s="1276"/>
      <c r="AA99" s="1276"/>
      <c r="AB99" s="1276"/>
      <c r="AC99" s="1170"/>
      <c r="AD99" s="1258"/>
      <c r="AE99" s="1276"/>
      <c r="AF99" s="1276"/>
      <c r="AG99" s="1276"/>
      <c r="AH99" s="1276"/>
      <c r="AI99" s="1276"/>
      <c r="AJ99" s="1276"/>
      <c r="AK99" s="1170"/>
      <c r="AL99" s="1258"/>
      <c r="AM99" s="1276"/>
      <c r="AN99" s="1276"/>
      <c r="AO99" s="1276"/>
      <c r="AP99" s="1276"/>
      <c r="AQ99" s="1276"/>
      <c r="AR99" s="1276"/>
      <c r="AS99" s="1170"/>
      <c r="AT99" s="1258"/>
      <c r="AU99" s="1276"/>
      <c r="AV99" s="1276"/>
      <c r="AW99" s="1276"/>
      <c r="AX99" s="1276"/>
      <c r="AY99" s="1276"/>
      <c r="AZ99" s="1276"/>
      <c r="BA99" s="1170"/>
      <c r="BB99" s="1258"/>
      <c r="BC99" s="1276"/>
      <c r="BD99" s="1276"/>
      <c r="BE99" s="1276"/>
      <c r="BF99" s="1276"/>
      <c r="BG99" s="1276"/>
      <c r="BH99" s="1276"/>
      <c r="BI99" s="1170"/>
      <c r="BJ99" s="1188"/>
      <c r="BK99" s="1189"/>
      <c r="BL99" s="1189"/>
      <c r="BM99" s="1189"/>
      <c r="BN99" s="1189"/>
      <c r="BO99" s="1190"/>
    </row>
    <row r="100" spans="1:67" ht="15" customHeight="1">
      <c r="A100" s="1194"/>
      <c r="B100" s="1214"/>
      <c r="C100" s="1214"/>
      <c r="D100" s="1214"/>
      <c r="E100" s="1214"/>
      <c r="F100" s="1214"/>
      <c r="G100" s="1214"/>
      <c r="H100" s="1170"/>
      <c r="I100" s="1170"/>
      <c r="J100" s="1170"/>
      <c r="K100" s="1170"/>
      <c r="L100" s="1170"/>
      <c r="M100" s="1170"/>
      <c r="N100" s="1194"/>
      <c r="O100" s="1276"/>
      <c r="P100" s="1276"/>
      <c r="Q100" s="1276"/>
      <c r="R100" s="1276"/>
      <c r="S100" s="1276"/>
      <c r="T100" s="1276"/>
      <c r="U100" s="1170"/>
      <c r="V100" s="1258"/>
      <c r="W100" s="1276"/>
      <c r="X100" s="1276"/>
      <c r="Y100" s="1276"/>
      <c r="Z100" s="1276"/>
      <c r="AA100" s="1276"/>
      <c r="AB100" s="1276"/>
      <c r="AC100" s="1170"/>
      <c r="AD100" s="1258"/>
      <c r="AE100" s="1276"/>
      <c r="AF100" s="1276"/>
      <c r="AG100" s="1276"/>
      <c r="AH100" s="1276"/>
      <c r="AI100" s="1276"/>
      <c r="AJ100" s="1276"/>
      <c r="AK100" s="1170"/>
      <c r="AL100" s="1258"/>
      <c r="AM100" s="1276"/>
      <c r="AN100" s="1276"/>
      <c r="AO100" s="1276"/>
      <c r="AP100" s="1276"/>
      <c r="AQ100" s="1276"/>
      <c r="AR100" s="1276"/>
      <c r="AS100" s="1170"/>
      <c r="AT100" s="1258"/>
      <c r="AU100" s="1276"/>
      <c r="AV100" s="1276"/>
      <c r="AW100" s="1276"/>
      <c r="AX100" s="1276"/>
      <c r="AY100" s="1276"/>
      <c r="AZ100" s="1276"/>
      <c r="BA100" s="1170"/>
      <c r="BB100" s="1258"/>
      <c r="BC100" s="1276"/>
      <c r="BD100" s="1276"/>
      <c r="BE100" s="1276"/>
      <c r="BF100" s="1276"/>
      <c r="BG100" s="1276"/>
      <c r="BH100" s="1276"/>
      <c r="BI100" s="1170"/>
      <c r="BJ100" s="1188"/>
      <c r="BK100" s="1189"/>
      <c r="BL100" s="1189"/>
      <c r="BM100" s="1189"/>
      <c r="BN100" s="1189"/>
      <c r="BO100" s="1190"/>
    </row>
    <row r="101" spans="1:67" ht="15" customHeight="1">
      <c r="A101" s="1208">
        <v>1.1000000000000001</v>
      </c>
      <c r="B101" s="1214" t="s">
        <v>322</v>
      </c>
      <c r="C101" s="1214"/>
      <c r="D101" s="1214"/>
      <c r="E101" s="1214"/>
      <c r="F101" s="1214"/>
      <c r="G101" s="1214"/>
      <c r="H101" s="1170" t="str">
        <f>IF(ISBLANK(AB$5),"",1)</f>
        <v/>
      </c>
      <c r="I101" s="1170" t="str">
        <f>IF(ISBLANK(AF$5),"",1)</f>
        <v/>
      </c>
      <c r="J101" s="1170" t="str">
        <f>IF(ISBLANK(AJ$5),"",1)</f>
        <v/>
      </c>
      <c r="K101" s="1170" t="str">
        <f>IF(ISBLANK(AN$5),"",1)</f>
        <v/>
      </c>
      <c r="L101" s="1170" t="str">
        <f>IF(ISBLANK(AR$5),"",1)</f>
        <v/>
      </c>
      <c r="M101" s="1170" t="str">
        <f>IF(ISBLANK(AV$5),"",1)</f>
        <v/>
      </c>
      <c r="N101" s="1258">
        <v>4.3</v>
      </c>
      <c r="O101" s="1276" t="s">
        <v>406</v>
      </c>
      <c r="P101" s="1276"/>
      <c r="Q101" s="1276"/>
      <c r="R101" s="1276"/>
      <c r="S101" s="1276"/>
      <c r="T101" s="1276"/>
      <c r="U101" s="1170" t="str">
        <f t="shared" ref="U101" si="33">IF(ISBLANK(AB$5),"",1)</f>
        <v/>
      </c>
      <c r="V101" s="1258">
        <v>4.3</v>
      </c>
      <c r="W101" s="1276" t="s">
        <v>390</v>
      </c>
      <c r="X101" s="1276"/>
      <c r="Y101" s="1276"/>
      <c r="Z101" s="1276"/>
      <c r="AA101" s="1276"/>
      <c r="AB101" s="1276"/>
      <c r="AC101" s="1170" t="str">
        <f>IF(ISBLANK(AF$5),"",1)</f>
        <v/>
      </c>
      <c r="AD101" s="1258">
        <v>4.3</v>
      </c>
      <c r="AE101" s="1276" t="s">
        <v>390</v>
      </c>
      <c r="AF101" s="1276"/>
      <c r="AG101" s="1276"/>
      <c r="AH101" s="1276"/>
      <c r="AI101" s="1276"/>
      <c r="AJ101" s="1276"/>
      <c r="AK101" s="1170" t="str">
        <f>IF(ISBLANK(AJ$5),"",1)</f>
        <v/>
      </c>
      <c r="AL101" s="1258">
        <v>4.3</v>
      </c>
      <c r="AM101" s="1276" t="s">
        <v>390</v>
      </c>
      <c r="AN101" s="1276"/>
      <c r="AO101" s="1276"/>
      <c r="AP101" s="1276"/>
      <c r="AQ101" s="1276"/>
      <c r="AR101" s="1276"/>
      <c r="AS101" s="1170" t="str">
        <f>IF(ISBLANK(AN$5),"",1)</f>
        <v/>
      </c>
      <c r="AT101" s="1258">
        <v>4.3</v>
      </c>
      <c r="AU101" s="1276" t="s">
        <v>390</v>
      </c>
      <c r="AV101" s="1276"/>
      <c r="AW101" s="1276"/>
      <c r="AX101" s="1276"/>
      <c r="AY101" s="1276"/>
      <c r="AZ101" s="1276"/>
      <c r="BA101" s="1170" t="str">
        <f>IF(ISBLANK(AR$5),"",1)</f>
        <v/>
      </c>
      <c r="BB101" s="1258">
        <v>4.3</v>
      </c>
      <c r="BC101" s="1276" t="s">
        <v>390</v>
      </c>
      <c r="BD101" s="1276"/>
      <c r="BE101" s="1276"/>
      <c r="BF101" s="1276"/>
      <c r="BG101" s="1276"/>
      <c r="BH101" s="1276"/>
      <c r="BI101" s="1170" t="str">
        <f>IF(ISBLANK(AV$5),"",1)</f>
        <v/>
      </c>
      <c r="BJ101" s="1188"/>
      <c r="BK101" s="1189"/>
      <c r="BL101" s="1189"/>
      <c r="BM101" s="1189"/>
      <c r="BN101" s="1189"/>
      <c r="BO101" s="1190"/>
    </row>
    <row r="102" spans="1:67" ht="15" customHeight="1">
      <c r="A102" s="1208"/>
      <c r="B102" s="1214"/>
      <c r="C102" s="1214"/>
      <c r="D102" s="1214"/>
      <c r="E102" s="1214"/>
      <c r="F102" s="1214"/>
      <c r="G102" s="1214"/>
      <c r="H102" s="1170"/>
      <c r="I102" s="1170"/>
      <c r="J102" s="1170"/>
      <c r="K102" s="1170"/>
      <c r="L102" s="1170"/>
      <c r="M102" s="1170"/>
      <c r="N102" s="1258"/>
      <c r="O102" s="1276"/>
      <c r="P102" s="1276"/>
      <c r="Q102" s="1276"/>
      <c r="R102" s="1276"/>
      <c r="S102" s="1276"/>
      <c r="T102" s="1276"/>
      <c r="U102" s="1170"/>
      <c r="V102" s="1258"/>
      <c r="W102" s="1276"/>
      <c r="X102" s="1276"/>
      <c r="Y102" s="1276"/>
      <c r="Z102" s="1276"/>
      <c r="AA102" s="1276"/>
      <c r="AB102" s="1276"/>
      <c r="AC102" s="1170"/>
      <c r="AD102" s="1258"/>
      <c r="AE102" s="1276"/>
      <c r="AF102" s="1276"/>
      <c r="AG102" s="1276"/>
      <c r="AH102" s="1276"/>
      <c r="AI102" s="1276"/>
      <c r="AJ102" s="1276"/>
      <c r="AK102" s="1170"/>
      <c r="AL102" s="1258"/>
      <c r="AM102" s="1276"/>
      <c r="AN102" s="1276"/>
      <c r="AO102" s="1276"/>
      <c r="AP102" s="1276"/>
      <c r="AQ102" s="1276"/>
      <c r="AR102" s="1276"/>
      <c r="AS102" s="1170"/>
      <c r="AT102" s="1258"/>
      <c r="AU102" s="1276"/>
      <c r="AV102" s="1276"/>
      <c r="AW102" s="1276"/>
      <c r="AX102" s="1276"/>
      <c r="AY102" s="1276"/>
      <c r="AZ102" s="1276"/>
      <c r="BA102" s="1170"/>
      <c r="BB102" s="1258"/>
      <c r="BC102" s="1276"/>
      <c r="BD102" s="1276"/>
      <c r="BE102" s="1276"/>
      <c r="BF102" s="1276"/>
      <c r="BG102" s="1276"/>
      <c r="BH102" s="1276"/>
      <c r="BI102" s="1170"/>
      <c r="BJ102" s="1188"/>
      <c r="BK102" s="1189"/>
      <c r="BL102" s="1189"/>
      <c r="BM102" s="1189"/>
      <c r="BN102" s="1189"/>
      <c r="BO102" s="1190"/>
    </row>
    <row r="103" spans="1:67" ht="15" customHeight="1">
      <c r="A103" s="1208"/>
      <c r="B103" s="1214"/>
      <c r="C103" s="1214"/>
      <c r="D103" s="1214"/>
      <c r="E103" s="1214"/>
      <c r="F103" s="1214"/>
      <c r="G103" s="1214"/>
      <c r="H103" s="1170"/>
      <c r="I103" s="1170"/>
      <c r="J103" s="1170"/>
      <c r="K103" s="1170"/>
      <c r="L103" s="1170"/>
      <c r="M103" s="1170"/>
      <c r="N103" s="1258"/>
      <c r="O103" s="1276"/>
      <c r="P103" s="1276"/>
      <c r="Q103" s="1276"/>
      <c r="R103" s="1276"/>
      <c r="S103" s="1276"/>
      <c r="T103" s="1276"/>
      <c r="U103" s="1170"/>
      <c r="V103" s="1258"/>
      <c r="W103" s="1276"/>
      <c r="X103" s="1276"/>
      <c r="Y103" s="1276"/>
      <c r="Z103" s="1276"/>
      <c r="AA103" s="1276"/>
      <c r="AB103" s="1276"/>
      <c r="AC103" s="1170"/>
      <c r="AD103" s="1258"/>
      <c r="AE103" s="1276"/>
      <c r="AF103" s="1276"/>
      <c r="AG103" s="1276"/>
      <c r="AH103" s="1276"/>
      <c r="AI103" s="1276"/>
      <c r="AJ103" s="1276"/>
      <c r="AK103" s="1170"/>
      <c r="AL103" s="1258"/>
      <c r="AM103" s="1276"/>
      <c r="AN103" s="1276"/>
      <c r="AO103" s="1276"/>
      <c r="AP103" s="1276"/>
      <c r="AQ103" s="1276"/>
      <c r="AR103" s="1276"/>
      <c r="AS103" s="1170"/>
      <c r="AT103" s="1258"/>
      <c r="AU103" s="1276"/>
      <c r="AV103" s="1276"/>
      <c r="AW103" s="1276"/>
      <c r="AX103" s="1276"/>
      <c r="AY103" s="1276"/>
      <c r="AZ103" s="1276"/>
      <c r="BA103" s="1170"/>
      <c r="BB103" s="1258"/>
      <c r="BC103" s="1276"/>
      <c r="BD103" s="1276"/>
      <c r="BE103" s="1276"/>
      <c r="BF103" s="1276"/>
      <c r="BG103" s="1276"/>
      <c r="BH103" s="1276"/>
      <c r="BI103" s="1170"/>
      <c r="BJ103" s="1188"/>
      <c r="BK103" s="1189"/>
      <c r="BL103" s="1189"/>
      <c r="BM103" s="1189"/>
      <c r="BN103" s="1189"/>
      <c r="BO103" s="1190"/>
    </row>
    <row r="104" spans="1:67" ht="15" customHeight="1">
      <c r="A104" s="1194">
        <v>2.1</v>
      </c>
      <c r="B104" s="1214" t="s">
        <v>325</v>
      </c>
      <c r="C104" s="1214"/>
      <c r="D104" s="1214"/>
      <c r="E104" s="1214"/>
      <c r="F104" s="1214"/>
      <c r="G104" s="1214"/>
      <c r="H104" s="1170" t="str">
        <f>IF(ISBLANK(AB$5),"",1)</f>
        <v/>
      </c>
      <c r="I104" s="1170" t="str">
        <f>IF(ISBLANK(AF$5),"",1)</f>
        <v/>
      </c>
      <c r="J104" s="1170" t="str">
        <f>IF(ISBLANK(AJ$5),"",1)</f>
        <v/>
      </c>
      <c r="K104" s="1170" t="str">
        <f>IF(ISBLANK(AN$5),"",1)</f>
        <v/>
      </c>
      <c r="L104" s="1170" t="str">
        <f>IF(ISBLANK(AR$5),"",1)</f>
        <v/>
      </c>
      <c r="M104" s="1170" t="str">
        <f>IF(ISBLANK(AV$5),"",1)</f>
        <v/>
      </c>
      <c r="N104" s="1258">
        <v>4.3</v>
      </c>
      <c r="O104" s="1276" t="s">
        <v>388</v>
      </c>
      <c r="P104" s="1276"/>
      <c r="Q104" s="1276"/>
      <c r="R104" s="1276"/>
      <c r="S104" s="1276"/>
      <c r="T104" s="1276"/>
      <c r="U104" s="1170" t="str">
        <f t="shared" ref="U104" si="34">IF(ISBLANK(AB$5),"",1)</f>
        <v/>
      </c>
      <c r="V104" s="1258">
        <v>4.4000000000000004</v>
      </c>
      <c r="W104" s="1276" t="s">
        <v>407</v>
      </c>
      <c r="X104" s="1276"/>
      <c r="Y104" s="1276"/>
      <c r="Z104" s="1276"/>
      <c r="AA104" s="1276"/>
      <c r="AB104" s="1276"/>
      <c r="AC104" s="1170" t="str">
        <f>IF(ISBLANK(AF$5),"",1)</f>
        <v/>
      </c>
      <c r="AD104" s="1258">
        <v>4.4000000000000004</v>
      </c>
      <c r="AE104" s="1276" t="s">
        <v>407</v>
      </c>
      <c r="AF104" s="1276"/>
      <c r="AG104" s="1276"/>
      <c r="AH104" s="1276"/>
      <c r="AI104" s="1276"/>
      <c r="AJ104" s="1276"/>
      <c r="AK104" s="1170" t="str">
        <f>IF(ISBLANK(AJ$5),"",1)</f>
        <v/>
      </c>
      <c r="AL104" s="1258">
        <v>4.4000000000000004</v>
      </c>
      <c r="AM104" s="1276" t="s">
        <v>415</v>
      </c>
      <c r="AN104" s="1276"/>
      <c r="AO104" s="1276"/>
      <c r="AP104" s="1276"/>
      <c r="AQ104" s="1276"/>
      <c r="AR104" s="1276"/>
      <c r="AS104" s="1170" t="str">
        <f>IF(ISBLANK(AN$5),"",1)</f>
        <v/>
      </c>
      <c r="AT104" s="1258">
        <v>4.4000000000000004</v>
      </c>
      <c r="AU104" s="1276" t="s">
        <v>415</v>
      </c>
      <c r="AV104" s="1276"/>
      <c r="AW104" s="1276"/>
      <c r="AX104" s="1276"/>
      <c r="AY104" s="1276"/>
      <c r="AZ104" s="1276"/>
      <c r="BA104" s="1170" t="str">
        <f>IF(ISBLANK(AR$5),"",1)</f>
        <v/>
      </c>
      <c r="BB104" s="1258">
        <v>4.4000000000000004</v>
      </c>
      <c r="BC104" s="1276" t="s">
        <v>415</v>
      </c>
      <c r="BD104" s="1276"/>
      <c r="BE104" s="1276"/>
      <c r="BF104" s="1276"/>
      <c r="BG104" s="1276"/>
      <c r="BH104" s="1276"/>
      <c r="BI104" s="1170" t="str">
        <f>IF(ISBLANK(AV$5),"",1)</f>
        <v/>
      </c>
      <c r="BJ104" s="1188"/>
      <c r="BK104" s="1189"/>
      <c r="BL104" s="1189"/>
      <c r="BM104" s="1189"/>
      <c r="BN104" s="1189"/>
      <c r="BO104" s="1190"/>
    </row>
    <row r="105" spans="1:67" ht="15" customHeight="1">
      <c r="A105" s="1194"/>
      <c r="B105" s="1214"/>
      <c r="C105" s="1214"/>
      <c r="D105" s="1214"/>
      <c r="E105" s="1214"/>
      <c r="F105" s="1214"/>
      <c r="G105" s="1214"/>
      <c r="H105" s="1170"/>
      <c r="I105" s="1170"/>
      <c r="J105" s="1170"/>
      <c r="K105" s="1170"/>
      <c r="L105" s="1170"/>
      <c r="M105" s="1170"/>
      <c r="N105" s="1258"/>
      <c r="O105" s="1276"/>
      <c r="P105" s="1276"/>
      <c r="Q105" s="1276"/>
      <c r="R105" s="1276"/>
      <c r="S105" s="1276"/>
      <c r="T105" s="1276"/>
      <c r="U105" s="1170"/>
      <c r="V105" s="1258"/>
      <c r="W105" s="1276"/>
      <c r="X105" s="1276"/>
      <c r="Y105" s="1276"/>
      <c r="Z105" s="1276"/>
      <c r="AA105" s="1276"/>
      <c r="AB105" s="1276"/>
      <c r="AC105" s="1170"/>
      <c r="AD105" s="1258"/>
      <c r="AE105" s="1276"/>
      <c r="AF105" s="1276"/>
      <c r="AG105" s="1276"/>
      <c r="AH105" s="1276"/>
      <c r="AI105" s="1276"/>
      <c r="AJ105" s="1276"/>
      <c r="AK105" s="1170"/>
      <c r="AL105" s="1258"/>
      <c r="AM105" s="1276"/>
      <c r="AN105" s="1276"/>
      <c r="AO105" s="1276"/>
      <c r="AP105" s="1276"/>
      <c r="AQ105" s="1276"/>
      <c r="AR105" s="1276"/>
      <c r="AS105" s="1170"/>
      <c r="AT105" s="1258"/>
      <c r="AU105" s="1276"/>
      <c r="AV105" s="1276"/>
      <c r="AW105" s="1276"/>
      <c r="AX105" s="1276"/>
      <c r="AY105" s="1276"/>
      <c r="AZ105" s="1276"/>
      <c r="BA105" s="1170"/>
      <c r="BB105" s="1258"/>
      <c r="BC105" s="1276"/>
      <c r="BD105" s="1276"/>
      <c r="BE105" s="1276"/>
      <c r="BF105" s="1276"/>
      <c r="BG105" s="1276"/>
      <c r="BH105" s="1276"/>
      <c r="BI105" s="1170"/>
      <c r="BJ105" s="1188"/>
      <c r="BK105" s="1189"/>
      <c r="BL105" s="1189"/>
      <c r="BM105" s="1189"/>
      <c r="BN105" s="1189"/>
      <c r="BO105" s="1190"/>
    </row>
    <row r="106" spans="1:67" ht="15" customHeight="1">
      <c r="A106" s="1194"/>
      <c r="B106" s="1214"/>
      <c r="C106" s="1214"/>
      <c r="D106" s="1214"/>
      <c r="E106" s="1214"/>
      <c r="F106" s="1214"/>
      <c r="G106" s="1214"/>
      <c r="H106" s="1170"/>
      <c r="I106" s="1170"/>
      <c r="J106" s="1170"/>
      <c r="K106" s="1170"/>
      <c r="L106" s="1170"/>
      <c r="M106" s="1170"/>
      <c r="N106" s="1258"/>
      <c r="O106" s="1276"/>
      <c r="P106" s="1276"/>
      <c r="Q106" s="1276"/>
      <c r="R106" s="1276"/>
      <c r="S106" s="1276"/>
      <c r="T106" s="1276"/>
      <c r="U106" s="1170"/>
      <c r="V106" s="1258"/>
      <c r="W106" s="1276"/>
      <c r="X106" s="1276"/>
      <c r="Y106" s="1276"/>
      <c r="Z106" s="1276"/>
      <c r="AA106" s="1276"/>
      <c r="AB106" s="1276"/>
      <c r="AC106" s="1170"/>
      <c r="AD106" s="1258"/>
      <c r="AE106" s="1276"/>
      <c r="AF106" s="1276"/>
      <c r="AG106" s="1276"/>
      <c r="AH106" s="1276"/>
      <c r="AI106" s="1276"/>
      <c r="AJ106" s="1276"/>
      <c r="AK106" s="1170"/>
      <c r="AL106" s="1258"/>
      <c r="AM106" s="1276"/>
      <c r="AN106" s="1276"/>
      <c r="AO106" s="1276"/>
      <c r="AP106" s="1276"/>
      <c r="AQ106" s="1276"/>
      <c r="AR106" s="1276"/>
      <c r="AS106" s="1170"/>
      <c r="AT106" s="1258"/>
      <c r="AU106" s="1276"/>
      <c r="AV106" s="1276"/>
      <c r="AW106" s="1276"/>
      <c r="AX106" s="1276"/>
      <c r="AY106" s="1276"/>
      <c r="AZ106" s="1276"/>
      <c r="BA106" s="1170"/>
      <c r="BB106" s="1258"/>
      <c r="BC106" s="1276"/>
      <c r="BD106" s="1276"/>
      <c r="BE106" s="1276"/>
      <c r="BF106" s="1276"/>
      <c r="BG106" s="1276"/>
      <c r="BH106" s="1276"/>
      <c r="BI106" s="1170"/>
      <c r="BJ106" s="1188"/>
      <c r="BK106" s="1189"/>
      <c r="BL106" s="1189"/>
      <c r="BM106" s="1189"/>
      <c r="BN106" s="1189"/>
      <c r="BO106" s="1190"/>
    </row>
    <row r="107" spans="1:67" ht="15" customHeight="1">
      <c r="A107" s="1208">
        <v>1.1000000000000001</v>
      </c>
      <c r="B107" s="1214" t="s">
        <v>330</v>
      </c>
      <c r="C107" s="1214"/>
      <c r="D107" s="1214"/>
      <c r="E107" s="1214"/>
      <c r="F107" s="1214"/>
      <c r="G107" s="1214"/>
      <c r="H107" s="1170" t="str">
        <f>IF(ISBLANK(AB$5),"",1)</f>
        <v/>
      </c>
      <c r="I107" s="1170" t="str">
        <f>IF(ISBLANK(AF$5),"",1)</f>
        <v/>
      </c>
      <c r="J107" s="1170" t="str">
        <f>IF(ISBLANK(AJ$5),"",1)</f>
        <v/>
      </c>
      <c r="K107" s="1170" t="str">
        <f>IF(ISBLANK(AN$5),"",1)</f>
        <v/>
      </c>
      <c r="L107" s="1170" t="str">
        <f>IF(ISBLANK(AR$5),"",1)</f>
        <v/>
      </c>
      <c r="M107" s="1170" t="str">
        <f>IF(ISBLANK(AV$5),"",1)</f>
        <v/>
      </c>
      <c r="N107" s="1258">
        <v>4.3</v>
      </c>
      <c r="O107" s="1276" t="s">
        <v>390</v>
      </c>
      <c r="P107" s="1276"/>
      <c r="Q107" s="1276"/>
      <c r="R107" s="1276"/>
      <c r="S107" s="1276"/>
      <c r="T107" s="1276"/>
      <c r="U107" s="1170" t="str">
        <f>IF(ISBLANK(AB$5),"",1)</f>
        <v/>
      </c>
      <c r="V107" s="1194">
        <v>2.2000000000000002</v>
      </c>
      <c r="W107" s="1195" t="s">
        <v>632</v>
      </c>
      <c r="X107" s="1195"/>
      <c r="Y107" s="1195"/>
      <c r="Z107" s="1195"/>
      <c r="AA107" s="1195"/>
      <c r="AB107" s="1195"/>
      <c r="AC107" s="1170" t="str">
        <f>IF(ISBLANK(AF$5),"",1)</f>
        <v/>
      </c>
      <c r="AD107" s="1194">
        <v>2.2000000000000002</v>
      </c>
      <c r="AE107" s="1195" t="s">
        <v>632</v>
      </c>
      <c r="AF107" s="1195"/>
      <c r="AG107" s="1195"/>
      <c r="AH107" s="1195"/>
      <c r="AI107" s="1195"/>
      <c r="AJ107" s="1195"/>
      <c r="AK107" s="1170" t="str">
        <f>IF(ISBLANK(AJ$5),"",1)</f>
        <v/>
      </c>
      <c r="AL107" s="1194">
        <v>2.2000000000000002</v>
      </c>
      <c r="AM107" s="1195" t="s">
        <v>632</v>
      </c>
      <c r="AN107" s="1195"/>
      <c r="AO107" s="1195"/>
      <c r="AP107" s="1195"/>
      <c r="AQ107" s="1195"/>
      <c r="AR107" s="1195"/>
      <c r="AS107" s="1170" t="str">
        <f>IF(ISBLANK(AN$5),"",1)</f>
        <v/>
      </c>
      <c r="AT107" s="1194">
        <v>2.2000000000000002</v>
      </c>
      <c r="AU107" s="1195" t="s">
        <v>632</v>
      </c>
      <c r="AV107" s="1195"/>
      <c r="AW107" s="1195"/>
      <c r="AX107" s="1195"/>
      <c r="AY107" s="1195"/>
      <c r="AZ107" s="1195"/>
      <c r="BA107" s="1170" t="str">
        <f>IF(ISBLANK(AR$5),"",1)</f>
        <v/>
      </c>
      <c r="BB107" s="1194">
        <v>2.2000000000000002</v>
      </c>
      <c r="BC107" s="1195" t="s">
        <v>632</v>
      </c>
      <c r="BD107" s="1195"/>
      <c r="BE107" s="1195"/>
      <c r="BF107" s="1195"/>
      <c r="BG107" s="1195"/>
      <c r="BH107" s="1195"/>
      <c r="BI107" s="1170" t="str">
        <f>IF(ISBLANK(AV$5),"",1)</f>
        <v/>
      </c>
      <c r="BJ107" s="1188"/>
      <c r="BK107" s="1189"/>
      <c r="BL107" s="1189"/>
      <c r="BM107" s="1189"/>
      <c r="BN107" s="1189"/>
      <c r="BO107" s="1190"/>
    </row>
    <row r="108" spans="1:67" ht="15" customHeight="1">
      <c r="A108" s="1208"/>
      <c r="B108" s="1214"/>
      <c r="C108" s="1214"/>
      <c r="D108" s="1214"/>
      <c r="E108" s="1214"/>
      <c r="F108" s="1214"/>
      <c r="G108" s="1214"/>
      <c r="H108" s="1170"/>
      <c r="I108" s="1170"/>
      <c r="J108" s="1170"/>
      <c r="K108" s="1170"/>
      <c r="L108" s="1170"/>
      <c r="M108" s="1170"/>
      <c r="N108" s="1258"/>
      <c r="O108" s="1276"/>
      <c r="P108" s="1276"/>
      <c r="Q108" s="1276"/>
      <c r="R108" s="1276"/>
      <c r="S108" s="1276"/>
      <c r="T108" s="1276"/>
      <c r="U108" s="1170"/>
      <c r="V108" s="1194"/>
      <c r="W108" s="1195"/>
      <c r="X108" s="1195"/>
      <c r="Y108" s="1195"/>
      <c r="Z108" s="1195"/>
      <c r="AA108" s="1195"/>
      <c r="AB108" s="1195"/>
      <c r="AC108" s="1170"/>
      <c r="AD108" s="1194"/>
      <c r="AE108" s="1195"/>
      <c r="AF108" s="1195"/>
      <c r="AG108" s="1195"/>
      <c r="AH108" s="1195"/>
      <c r="AI108" s="1195"/>
      <c r="AJ108" s="1195"/>
      <c r="AK108" s="1170"/>
      <c r="AL108" s="1194"/>
      <c r="AM108" s="1195"/>
      <c r="AN108" s="1195"/>
      <c r="AO108" s="1195"/>
      <c r="AP108" s="1195"/>
      <c r="AQ108" s="1195"/>
      <c r="AR108" s="1195"/>
      <c r="AS108" s="1170"/>
      <c r="AT108" s="1194"/>
      <c r="AU108" s="1195"/>
      <c r="AV108" s="1195"/>
      <c r="AW108" s="1195"/>
      <c r="AX108" s="1195"/>
      <c r="AY108" s="1195"/>
      <c r="AZ108" s="1195"/>
      <c r="BA108" s="1170"/>
      <c r="BB108" s="1194"/>
      <c r="BC108" s="1195"/>
      <c r="BD108" s="1195"/>
      <c r="BE108" s="1195"/>
      <c r="BF108" s="1195"/>
      <c r="BG108" s="1195"/>
      <c r="BH108" s="1195"/>
      <c r="BI108" s="1170"/>
      <c r="BJ108" s="1188"/>
      <c r="BK108" s="1189"/>
      <c r="BL108" s="1189"/>
      <c r="BM108" s="1189"/>
      <c r="BN108" s="1189"/>
      <c r="BO108" s="1190"/>
    </row>
    <row r="109" spans="1:67" ht="15" customHeight="1">
      <c r="A109" s="1208"/>
      <c r="B109" s="1214"/>
      <c r="C109" s="1214"/>
      <c r="D109" s="1214"/>
      <c r="E109" s="1214"/>
      <c r="F109" s="1214"/>
      <c r="G109" s="1214"/>
      <c r="H109" s="1170"/>
      <c r="I109" s="1170"/>
      <c r="J109" s="1170"/>
      <c r="K109" s="1170"/>
      <c r="L109" s="1170"/>
      <c r="M109" s="1170"/>
      <c r="N109" s="1258"/>
      <c r="O109" s="1276"/>
      <c r="P109" s="1276"/>
      <c r="Q109" s="1276"/>
      <c r="R109" s="1276"/>
      <c r="S109" s="1276"/>
      <c r="T109" s="1276"/>
      <c r="U109" s="1170"/>
      <c r="V109" s="1194"/>
      <c r="W109" s="1195"/>
      <c r="X109" s="1195"/>
      <c r="Y109" s="1195"/>
      <c r="Z109" s="1195"/>
      <c r="AA109" s="1195"/>
      <c r="AB109" s="1195"/>
      <c r="AC109" s="1170"/>
      <c r="AD109" s="1194"/>
      <c r="AE109" s="1195"/>
      <c r="AF109" s="1195"/>
      <c r="AG109" s="1195"/>
      <c r="AH109" s="1195"/>
      <c r="AI109" s="1195"/>
      <c r="AJ109" s="1195"/>
      <c r="AK109" s="1170"/>
      <c r="AL109" s="1194"/>
      <c r="AM109" s="1195"/>
      <c r="AN109" s="1195"/>
      <c r="AO109" s="1195"/>
      <c r="AP109" s="1195"/>
      <c r="AQ109" s="1195"/>
      <c r="AR109" s="1195"/>
      <c r="AS109" s="1170"/>
      <c r="AT109" s="1194"/>
      <c r="AU109" s="1195"/>
      <c r="AV109" s="1195"/>
      <c r="AW109" s="1195"/>
      <c r="AX109" s="1195"/>
      <c r="AY109" s="1195"/>
      <c r="AZ109" s="1195"/>
      <c r="BA109" s="1170"/>
      <c r="BB109" s="1194"/>
      <c r="BC109" s="1195"/>
      <c r="BD109" s="1195"/>
      <c r="BE109" s="1195"/>
      <c r="BF109" s="1195"/>
      <c r="BG109" s="1195"/>
      <c r="BH109" s="1195"/>
      <c r="BI109" s="1170"/>
      <c r="BJ109" s="1188"/>
      <c r="BK109" s="1189"/>
      <c r="BL109" s="1189"/>
      <c r="BM109" s="1189"/>
      <c r="BN109" s="1189"/>
      <c r="BO109" s="1190"/>
    </row>
    <row r="110" spans="1:67" ht="15" customHeight="1">
      <c r="A110" s="1208">
        <v>1.5</v>
      </c>
      <c r="B110" s="1214" t="s">
        <v>336</v>
      </c>
      <c r="C110" s="1214"/>
      <c r="D110" s="1214"/>
      <c r="E110" s="1214"/>
      <c r="F110" s="1214"/>
      <c r="G110" s="1214"/>
      <c r="H110" s="1170" t="str">
        <f>IF(ISBLANK(AB$5),"",1)</f>
        <v/>
      </c>
      <c r="I110" s="1170" t="str">
        <f>IF(ISBLANK(AF$5),"",1)</f>
        <v/>
      </c>
      <c r="J110" s="1170" t="str">
        <f>IF(ISBLANK(AJ$5),"",1)</f>
        <v/>
      </c>
      <c r="K110" s="1170" t="str">
        <f>IF(ISBLANK(AN$5),"",1)</f>
        <v/>
      </c>
      <c r="L110" s="1170" t="str">
        <f>IF(ISBLANK(AR$5),"",1)</f>
        <v/>
      </c>
      <c r="M110" s="1170" t="str">
        <f>IF(ISBLANK(AV$5),"",1)</f>
        <v/>
      </c>
      <c r="N110" s="1258">
        <v>4.4000000000000004</v>
      </c>
      <c r="O110" s="1276" t="s">
        <v>415</v>
      </c>
      <c r="P110" s="1276"/>
      <c r="Q110" s="1276"/>
      <c r="R110" s="1276"/>
      <c r="S110" s="1276"/>
      <c r="T110" s="1276"/>
      <c r="U110" s="1170" t="str">
        <f>IF(ISBLANK(AB$5),"",1)</f>
        <v/>
      </c>
      <c r="V110" s="1258">
        <v>4.4000000000000004</v>
      </c>
      <c r="W110" s="1276" t="s">
        <v>418</v>
      </c>
      <c r="X110" s="1276"/>
      <c r="Y110" s="1276"/>
      <c r="Z110" s="1276"/>
      <c r="AA110" s="1276"/>
      <c r="AB110" s="1276"/>
      <c r="AC110" s="1170" t="str">
        <f>IF(ISBLANK(AF$5),"",1)</f>
        <v/>
      </c>
      <c r="AD110" s="1258">
        <v>4.3</v>
      </c>
      <c r="AE110" s="1276" t="s">
        <v>418</v>
      </c>
      <c r="AF110" s="1276"/>
      <c r="AG110" s="1276"/>
      <c r="AH110" s="1276"/>
      <c r="AI110" s="1276"/>
      <c r="AJ110" s="1276"/>
      <c r="AK110" s="1170" t="str">
        <f>IF(ISBLANK(AJ$5),"",1)</f>
        <v/>
      </c>
      <c r="AL110" s="1194">
        <v>2.2000000000000002</v>
      </c>
      <c r="AM110" s="1276" t="s">
        <v>633</v>
      </c>
      <c r="AN110" s="1276"/>
      <c r="AO110" s="1276"/>
      <c r="AP110" s="1276"/>
      <c r="AQ110" s="1276"/>
      <c r="AR110" s="1276"/>
      <c r="AS110" s="1170" t="str">
        <f>IF(ISBLANK(AN$5),"",1)</f>
        <v/>
      </c>
      <c r="AT110" s="1194">
        <v>2.2000000000000002</v>
      </c>
      <c r="AU110" s="1276" t="s">
        <v>633</v>
      </c>
      <c r="AV110" s="1276"/>
      <c r="AW110" s="1276"/>
      <c r="AX110" s="1276"/>
      <c r="AY110" s="1276"/>
      <c r="AZ110" s="1276"/>
      <c r="BA110" s="1170" t="str">
        <f>IF(ISBLANK(AR$5),"",1)</f>
        <v/>
      </c>
      <c r="BB110" s="1258">
        <v>4.4000000000000004</v>
      </c>
      <c r="BC110" s="1276" t="s">
        <v>393</v>
      </c>
      <c r="BD110" s="1276"/>
      <c r="BE110" s="1276"/>
      <c r="BF110" s="1276"/>
      <c r="BG110" s="1276"/>
      <c r="BH110" s="1276"/>
      <c r="BI110" s="1170" t="str">
        <f>IF(ISBLANK(AV$5),"",1)</f>
        <v/>
      </c>
      <c r="BJ110" s="1188"/>
      <c r="BK110" s="1189"/>
      <c r="BL110" s="1189"/>
      <c r="BM110" s="1189"/>
      <c r="BN110" s="1189"/>
      <c r="BO110" s="1190"/>
    </row>
    <row r="111" spans="1:67" ht="15" customHeight="1">
      <c r="A111" s="1208"/>
      <c r="B111" s="1214"/>
      <c r="C111" s="1214"/>
      <c r="D111" s="1214"/>
      <c r="E111" s="1214"/>
      <c r="F111" s="1214"/>
      <c r="G111" s="1214"/>
      <c r="H111" s="1170"/>
      <c r="I111" s="1170"/>
      <c r="J111" s="1170"/>
      <c r="K111" s="1170"/>
      <c r="L111" s="1170"/>
      <c r="M111" s="1170"/>
      <c r="N111" s="1258"/>
      <c r="O111" s="1276"/>
      <c r="P111" s="1276"/>
      <c r="Q111" s="1276"/>
      <c r="R111" s="1276"/>
      <c r="S111" s="1276"/>
      <c r="T111" s="1276"/>
      <c r="U111" s="1170"/>
      <c r="V111" s="1258"/>
      <c r="W111" s="1276"/>
      <c r="X111" s="1276"/>
      <c r="Y111" s="1276"/>
      <c r="Z111" s="1276"/>
      <c r="AA111" s="1276"/>
      <c r="AB111" s="1276"/>
      <c r="AC111" s="1170"/>
      <c r="AD111" s="1258"/>
      <c r="AE111" s="1276"/>
      <c r="AF111" s="1276"/>
      <c r="AG111" s="1276"/>
      <c r="AH111" s="1276"/>
      <c r="AI111" s="1276"/>
      <c r="AJ111" s="1276"/>
      <c r="AK111" s="1170"/>
      <c r="AL111" s="1194"/>
      <c r="AM111" s="1276"/>
      <c r="AN111" s="1276"/>
      <c r="AO111" s="1276"/>
      <c r="AP111" s="1276"/>
      <c r="AQ111" s="1276"/>
      <c r="AR111" s="1276"/>
      <c r="AS111" s="1170"/>
      <c r="AT111" s="1194"/>
      <c r="AU111" s="1276"/>
      <c r="AV111" s="1276"/>
      <c r="AW111" s="1276"/>
      <c r="AX111" s="1276"/>
      <c r="AY111" s="1276"/>
      <c r="AZ111" s="1276"/>
      <c r="BA111" s="1170"/>
      <c r="BB111" s="1258"/>
      <c r="BC111" s="1276"/>
      <c r="BD111" s="1276"/>
      <c r="BE111" s="1276"/>
      <c r="BF111" s="1276"/>
      <c r="BG111" s="1276"/>
      <c r="BH111" s="1276"/>
      <c r="BI111" s="1170"/>
      <c r="BJ111" s="1188"/>
      <c r="BK111" s="1189"/>
      <c r="BL111" s="1189"/>
      <c r="BM111" s="1189"/>
      <c r="BN111" s="1189"/>
      <c r="BO111" s="1190"/>
    </row>
    <row r="112" spans="1:67" ht="15" customHeight="1">
      <c r="A112" s="1208"/>
      <c r="B112" s="1214"/>
      <c r="C112" s="1214"/>
      <c r="D112" s="1214"/>
      <c r="E112" s="1214"/>
      <c r="F112" s="1214"/>
      <c r="G112" s="1214"/>
      <c r="H112" s="1170"/>
      <c r="I112" s="1170"/>
      <c r="J112" s="1170"/>
      <c r="K112" s="1170"/>
      <c r="L112" s="1170"/>
      <c r="M112" s="1170"/>
      <c r="N112" s="1258"/>
      <c r="O112" s="1276"/>
      <c r="P112" s="1276"/>
      <c r="Q112" s="1276"/>
      <c r="R112" s="1276"/>
      <c r="S112" s="1276"/>
      <c r="T112" s="1276"/>
      <c r="U112" s="1170"/>
      <c r="V112" s="1258"/>
      <c r="W112" s="1276"/>
      <c r="X112" s="1276"/>
      <c r="Y112" s="1276"/>
      <c r="Z112" s="1276"/>
      <c r="AA112" s="1276"/>
      <c r="AB112" s="1276"/>
      <c r="AC112" s="1170"/>
      <c r="AD112" s="1258"/>
      <c r="AE112" s="1276"/>
      <c r="AF112" s="1276"/>
      <c r="AG112" s="1276"/>
      <c r="AH112" s="1276"/>
      <c r="AI112" s="1276"/>
      <c r="AJ112" s="1276"/>
      <c r="AK112" s="1170"/>
      <c r="AL112" s="1194"/>
      <c r="AM112" s="1276"/>
      <c r="AN112" s="1276"/>
      <c r="AO112" s="1276"/>
      <c r="AP112" s="1276"/>
      <c r="AQ112" s="1276"/>
      <c r="AR112" s="1276"/>
      <c r="AS112" s="1170"/>
      <c r="AT112" s="1194"/>
      <c r="AU112" s="1276"/>
      <c r="AV112" s="1276"/>
      <c r="AW112" s="1276"/>
      <c r="AX112" s="1276"/>
      <c r="AY112" s="1276"/>
      <c r="AZ112" s="1276"/>
      <c r="BA112" s="1170"/>
      <c r="BB112" s="1258"/>
      <c r="BC112" s="1276"/>
      <c r="BD112" s="1276"/>
      <c r="BE112" s="1276"/>
      <c r="BF112" s="1276"/>
      <c r="BG112" s="1276"/>
      <c r="BH112" s="1276"/>
      <c r="BI112" s="1170"/>
      <c r="BJ112" s="1188"/>
      <c r="BK112" s="1189"/>
      <c r="BL112" s="1189"/>
      <c r="BM112" s="1189"/>
      <c r="BN112" s="1189"/>
      <c r="BO112" s="1190"/>
    </row>
    <row r="113" spans="1:67" ht="15" customHeight="1">
      <c r="A113" s="1194">
        <v>2.1</v>
      </c>
      <c r="B113" s="1214" t="s">
        <v>386</v>
      </c>
      <c r="C113" s="1214"/>
      <c r="D113" s="1214"/>
      <c r="E113" s="1214"/>
      <c r="F113" s="1214"/>
      <c r="G113" s="1214"/>
      <c r="H113" s="1170" t="str">
        <f>IF(ISBLANK(AB$5),"",1)</f>
        <v/>
      </c>
      <c r="I113" s="1170" t="str">
        <f>IF(ISBLANK(AF$5),"",1)</f>
        <v/>
      </c>
      <c r="J113" s="1170" t="str">
        <f>IF(ISBLANK(AJ$5),"",1)</f>
        <v/>
      </c>
      <c r="K113" s="1170" t="str">
        <f>IF(ISBLANK(AN$5),"",1)</f>
        <v/>
      </c>
      <c r="L113" s="1170" t="str">
        <f>IF(ISBLANK(AR$5),"",1)</f>
        <v/>
      </c>
      <c r="M113" s="1170" t="str">
        <f>IF(ISBLANK(AV$5),"",1)</f>
        <v/>
      </c>
      <c r="N113" s="1194">
        <v>2.2000000000000002</v>
      </c>
      <c r="O113" s="1195" t="s">
        <v>632</v>
      </c>
      <c r="P113" s="1195"/>
      <c r="Q113" s="1195"/>
      <c r="R113" s="1195"/>
      <c r="S113" s="1195"/>
      <c r="T113" s="1195"/>
      <c r="U113" s="1170" t="str">
        <f>IF(ISBLANK(AB$5),"",1)</f>
        <v/>
      </c>
      <c r="V113" s="1258">
        <v>4.4000000000000004</v>
      </c>
      <c r="W113" s="1276" t="s">
        <v>417</v>
      </c>
      <c r="X113" s="1276"/>
      <c r="Y113" s="1276"/>
      <c r="Z113" s="1276"/>
      <c r="AA113" s="1276"/>
      <c r="AB113" s="1276"/>
      <c r="AC113" s="1170" t="str">
        <f>IF(ISBLANK(AF$5),"",1)</f>
        <v/>
      </c>
      <c r="AD113" s="1258">
        <v>4.4000000000000004</v>
      </c>
      <c r="AE113" s="1276" t="s">
        <v>417</v>
      </c>
      <c r="AF113" s="1276"/>
      <c r="AG113" s="1276"/>
      <c r="AH113" s="1276"/>
      <c r="AI113" s="1276"/>
      <c r="AJ113" s="1276"/>
      <c r="AK113" s="1170" t="str">
        <f>IF(ISBLANK(AJ$5),"",1)</f>
        <v/>
      </c>
      <c r="AL113" s="1258">
        <v>4.4000000000000004</v>
      </c>
      <c r="AM113" s="1276" t="s">
        <v>393</v>
      </c>
      <c r="AN113" s="1276"/>
      <c r="AO113" s="1276"/>
      <c r="AP113" s="1276"/>
      <c r="AQ113" s="1276"/>
      <c r="AR113" s="1276"/>
      <c r="AS113" s="1170" t="str">
        <f>IF(ISBLANK(AN$5),"",1)</f>
        <v/>
      </c>
      <c r="AT113" s="1258">
        <v>4.3</v>
      </c>
      <c r="AU113" s="1276" t="s">
        <v>393</v>
      </c>
      <c r="AV113" s="1276"/>
      <c r="AW113" s="1276"/>
      <c r="AX113" s="1276"/>
      <c r="AY113" s="1276"/>
      <c r="AZ113" s="1276"/>
      <c r="BA113" s="1170" t="str">
        <f>IF(ISBLANK(AR$5),"",1)</f>
        <v/>
      </c>
      <c r="BB113" s="1258">
        <v>4.4000000000000004</v>
      </c>
      <c r="BC113" s="1276" t="s">
        <v>417</v>
      </c>
      <c r="BD113" s="1276"/>
      <c r="BE113" s="1276"/>
      <c r="BF113" s="1276"/>
      <c r="BG113" s="1276"/>
      <c r="BH113" s="1276"/>
      <c r="BI113" s="1170" t="str">
        <f>IF(ISBLANK(AV$5),"",1)</f>
        <v/>
      </c>
      <c r="BJ113" s="1188"/>
      <c r="BK113" s="1189"/>
      <c r="BL113" s="1189"/>
      <c r="BM113" s="1189"/>
      <c r="BN113" s="1189"/>
      <c r="BO113" s="1190"/>
    </row>
    <row r="114" spans="1:67" ht="15" customHeight="1">
      <c r="A114" s="1194"/>
      <c r="B114" s="1214"/>
      <c r="C114" s="1214"/>
      <c r="D114" s="1214"/>
      <c r="E114" s="1214"/>
      <c r="F114" s="1214"/>
      <c r="G114" s="1214"/>
      <c r="H114" s="1170"/>
      <c r="I114" s="1170"/>
      <c r="J114" s="1170"/>
      <c r="K114" s="1170"/>
      <c r="L114" s="1170"/>
      <c r="M114" s="1170"/>
      <c r="N114" s="1194"/>
      <c r="O114" s="1195"/>
      <c r="P114" s="1195"/>
      <c r="Q114" s="1195"/>
      <c r="R114" s="1195"/>
      <c r="S114" s="1195"/>
      <c r="T114" s="1195"/>
      <c r="U114" s="1170"/>
      <c r="V114" s="1258"/>
      <c r="W114" s="1276"/>
      <c r="X114" s="1276"/>
      <c r="Y114" s="1276"/>
      <c r="Z114" s="1276"/>
      <c r="AA114" s="1276"/>
      <c r="AB114" s="1276"/>
      <c r="AC114" s="1170"/>
      <c r="AD114" s="1258"/>
      <c r="AE114" s="1276"/>
      <c r="AF114" s="1276"/>
      <c r="AG114" s="1276"/>
      <c r="AH114" s="1276"/>
      <c r="AI114" s="1276"/>
      <c r="AJ114" s="1276"/>
      <c r="AK114" s="1170"/>
      <c r="AL114" s="1258"/>
      <c r="AM114" s="1276"/>
      <c r="AN114" s="1276"/>
      <c r="AO114" s="1276"/>
      <c r="AP114" s="1276"/>
      <c r="AQ114" s="1276"/>
      <c r="AR114" s="1276"/>
      <c r="AS114" s="1170"/>
      <c r="AT114" s="1258"/>
      <c r="AU114" s="1276"/>
      <c r="AV114" s="1276"/>
      <c r="AW114" s="1276"/>
      <c r="AX114" s="1276"/>
      <c r="AY114" s="1276"/>
      <c r="AZ114" s="1276"/>
      <c r="BA114" s="1170"/>
      <c r="BB114" s="1258"/>
      <c r="BC114" s="1276"/>
      <c r="BD114" s="1276"/>
      <c r="BE114" s="1276"/>
      <c r="BF114" s="1276"/>
      <c r="BG114" s="1276"/>
      <c r="BH114" s="1276"/>
      <c r="BI114" s="1170"/>
      <c r="BJ114" s="1188"/>
      <c r="BK114" s="1189"/>
      <c r="BL114" s="1189"/>
      <c r="BM114" s="1189"/>
      <c r="BN114" s="1189"/>
      <c r="BO114" s="1190"/>
    </row>
    <row r="115" spans="1:67" ht="15" customHeight="1">
      <c r="A115" s="1194"/>
      <c r="B115" s="1214"/>
      <c r="C115" s="1214"/>
      <c r="D115" s="1214"/>
      <c r="E115" s="1214"/>
      <c r="F115" s="1214"/>
      <c r="G115" s="1214"/>
      <c r="H115" s="1170"/>
      <c r="I115" s="1170"/>
      <c r="J115" s="1170"/>
      <c r="K115" s="1170"/>
      <c r="L115" s="1170"/>
      <c r="M115" s="1170"/>
      <c r="N115" s="1194"/>
      <c r="O115" s="1195"/>
      <c r="P115" s="1195"/>
      <c r="Q115" s="1195"/>
      <c r="R115" s="1195"/>
      <c r="S115" s="1195"/>
      <c r="T115" s="1195"/>
      <c r="U115" s="1170"/>
      <c r="V115" s="1258"/>
      <c r="W115" s="1276"/>
      <c r="X115" s="1276"/>
      <c r="Y115" s="1276"/>
      <c r="Z115" s="1276"/>
      <c r="AA115" s="1276"/>
      <c r="AB115" s="1276"/>
      <c r="AC115" s="1170"/>
      <c r="AD115" s="1258"/>
      <c r="AE115" s="1276"/>
      <c r="AF115" s="1276"/>
      <c r="AG115" s="1276"/>
      <c r="AH115" s="1276"/>
      <c r="AI115" s="1276"/>
      <c r="AJ115" s="1276"/>
      <c r="AK115" s="1170"/>
      <c r="AL115" s="1258"/>
      <c r="AM115" s="1276"/>
      <c r="AN115" s="1276"/>
      <c r="AO115" s="1276"/>
      <c r="AP115" s="1276"/>
      <c r="AQ115" s="1276"/>
      <c r="AR115" s="1276"/>
      <c r="AS115" s="1170"/>
      <c r="AT115" s="1258"/>
      <c r="AU115" s="1276"/>
      <c r="AV115" s="1276"/>
      <c r="AW115" s="1276"/>
      <c r="AX115" s="1276"/>
      <c r="AY115" s="1276"/>
      <c r="AZ115" s="1276"/>
      <c r="BA115" s="1170"/>
      <c r="BB115" s="1258"/>
      <c r="BC115" s="1276"/>
      <c r="BD115" s="1276"/>
      <c r="BE115" s="1276"/>
      <c r="BF115" s="1276"/>
      <c r="BG115" s="1276"/>
      <c r="BH115" s="1276"/>
      <c r="BI115" s="1170"/>
      <c r="BJ115" s="1188"/>
      <c r="BK115" s="1189"/>
      <c r="BL115" s="1189"/>
      <c r="BM115" s="1189"/>
      <c r="BN115" s="1189"/>
      <c r="BO115" s="1190"/>
    </row>
    <row r="116" spans="1:67" ht="15" customHeight="1">
      <c r="A116" s="248"/>
      <c r="B116" s="248"/>
      <c r="C116" s="248"/>
      <c r="D116" s="248"/>
      <c r="F116" s="291">
        <v>1.1000000000000001</v>
      </c>
      <c r="G116" s="311">
        <f>COUNTIF($A$95:$A$115,F116)</f>
        <v>3</v>
      </c>
      <c r="H116" s="245" t="str">
        <f>IF(AB$5=1,SUMIF($A$95:$A$115,F116,$H$95:$H$115),"")</f>
        <v/>
      </c>
      <c r="I116" s="245" t="str">
        <f>IF(AF$5=1,SUMIF($A$95:$A$115,F116,$I$95:$I$115),"")</f>
        <v/>
      </c>
      <c r="J116" s="245" t="str">
        <f>IF(AJ$5=1,SUMIF($A$95:$A$115,F116,$J$95:$J$115),"")</f>
        <v/>
      </c>
      <c r="K116" s="245" t="str">
        <f>IF(AN$5=1,SUMIF($A$95:$A$115,F116,$K$95:$K$115),"")</f>
        <v/>
      </c>
      <c r="L116" s="245" t="str">
        <f>IF(AR$5=1,SUMIF($A$95:$A$115,F116,$L$95:$L$115),"")</f>
        <v/>
      </c>
      <c r="M116" s="245" t="str">
        <f>IF(AV$5=1,SUMIF($A$95:$A$115,F116,$M$95:$M$115),"")</f>
        <v/>
      </c>
      <c r="N116" s="1303">
        <v>4.4000000000000004</v>
      </c>
      <c r="O116" s="1200" t="s">
        <v>393</v>
      </c>
      <c r="P116" s="1164"/>
      <c r="Q116" s="1164"/>
      <c r="R116" s="1164"/>
      <c r="S116" s="1164"/>
      <c r="T116" s="1201"/>
      <c r="U116" s="1206" t="str">
        <f>IF(ISBLANK(AB$5),"",1)</f>
        <v/>
      </c>
      <c r="V116" s="1303">
        <v>4.4000000000000004</v>
      </c>
      <c r="W116" s="1200" t="s">
        <v>419</v>
      </c>
      <c r="X116" s="1164"/>
      <c r="Y116" s="1164"/>
      <c r="Z116" s="1164"/>
      <c r="AA116" s="1164"/>
      <c r="AB116" s="1201"/>
      <c r="AC116" s="1206" t="str">
        <f>IF(ISBLANK(AF$5),"",1)</f>
        <v/>
      </c>
      <c r="AD116" s="1303">
        <v>4.4000000000000004</v>
      </c>
      <c r="AE116" s="1200" t="s">
        <v>419</v>
      </c>
      <c r="AF116" s="1164"/>
      <c r="AG116" s="1164"/>
      <c r="AH116" s="1164"/>
      <c r="AI116" s="1164"/>
      <c r="AJ116" s="1201"/>
      <c r="AK116" s="1206" t="str">
        <f>IF(ISBLANK(AJ$5),"",1)</f>
        <v/>
      </c>
      <c r="AL116" s="1303">
        <v>4.4000000000000004</v>
      </c>
      <c r="AM116" s="1200" t="s">
        <v>417</v>
      </c>
      <c r="AN116" s="1164"/>
      <c r="AO116" s="1164"/>
      <c r="AP116" s="1164"/>
      <c r="AQ116" s="1164"/>
      <c r="AR116" s="1201"/>
      <c r="AS116" s="1206" t="str">
        <f>IF(ISBLANK(AN$5),"",1)</f>
        <v/>
      </c>
      <c r="AT116" s="1293">
        <v>4.4000000000000004</v>
      </c>
      <c r="AU116" s="1200" t="s">
        <v>417</v>
      </c>
      <c r="AV116" s="1164"/>
      <c r="AW116" s="1164"/>
      <c r="AX116" s="1164"/>
      <c r="AY116" s="1164"/>
      <c r="AZ116" s="1201"/>
      <c r="BA116" s="1206" t="str">
        <f>IF(ISBLANK(AR$5),"",1)</f>
        <v/>
      </c>
      <c r="BB116" s="1290">
        <v>2.4</v>
      </c>
      <c r="BC116" s="1200" t="s">
        <v>359</v>
      </c>
      <c r="BD116" s="1164"/>
      <c r="BE116" s="1164"/>
      <c r="BF116" s="1164"/>
      <c r="BG116" s="1164"/>
      <c r="BH116" s="1201"/>
      <c r="BI116" s="1206" t="str">
        <f>IF(ISBLANK(AV$5),"",1)</f>
        <v/>
      </c>
      <c r="BJ116" s="1188"/>
      <c r="BK116" s="1189"/>
      <c r="BL116" s="1189"/>
      <c r="BM116" s="1189"/>
      <c r="BN116" s="1189"/>
      <c r="BO116" s="1190"/>
    </row>
    <row r="117" spans="1:67" ht="15" customHeight="1">
      <c r="A117" s="248"/>
      <c r="B117" s="248"/>
      <c r="C117" s="248"/>
      <c r="D117" s="248"/>
      <c r="F117" s="290">
        <v>1.5</v>
      </c>
      <c r="G117" s="311">
        <f>COUNTIF($A$95:$A$115,F117)</f>
        <v>1</v>
      </c>
      <c r="H117" s="240" t="str">
        <f>IF(AB$5=1,SUMIF($A$95:$A$115,F117,$H$95:$H$115),"")</f>
        <v/>
      </c>
      <c r="I117" s="240" t="str">
        <f>IF(AF$5=1,SUMIF($A$95:$A$115,F117,$I$95:$I$115),"")</f>
        <v/>
      </c>
      <c r="J117" s="240" t="str">
        <f>IF(AJ$5=1,SUMIF($A$95:$A$115,F117,$J$95:$J$115),"")</f>
        <v/>
      </c>
      <c r="K117" s="240" t="str">
        <f>IF(AN$5=1,SUMIF($A$95:$A$115,F117,$K$95:$K$115),"")</f>
        <v/>
      </c>
      <c r="L117" s="240" t="str">
        <f>IF(AR$5=1,SUMIF($A$95:$A$115,F117,$L$95:$L$115),"")</f>
        <v/>
      </c>
      <c r="M117" s="240" t="str">
        <f>IF(AV$5=1,SUMIF($A$95:$A$115,F117,$M$95:$M$115),"")</f>
        <v/>
      </c>
      <c r="N117" s="1258"/>
      <c r="O117" s="1200"/>
      <c r="P117" s="1164"/>
      <c r="Q117" s="1164"/>
      <c r="R117" s="1164"/>
      <c r="S117" s="1164"/>
      <c r="T117" s="1201"/>
      <c r="U117" s="1206"/>
      <c r="V117" s="1258"/>
      <c r="W117" s="1200"/>
      <c r="X117" s="1164"/>
      <c r="Y117" s="1164"/>
      <c r="Z117" s="1164"/>
      <c r="AA117" s="1164"/>
      <c r="AB117" s="1201"/>
      <c r="AC117" s="1206"/>
      <c r="AD117" s="1258"/>
      <c r="AE117" s="1200"/>
      <c r="AF117" s="1164"/>
      <c r="AG117" s="1164"/>
      <c r="AH117" s="1164"/>
      <c r="AI117" s="1164"/>
      <c r="AJ117" s="1201"/>
      <c r="AK117" s="1206"/>
      <c r="AL117" s="1258"/>
      <c r="AM117" s="1200"/>
      <c r="AN117" s="1164"/>
      <c r="AO117" s="1164"/>
      <c r="AP117" s="1164"/>
      <c r="AQ117" s="1164"/>
      <c r="AR117" s="1201"/>
      <c r="AS117" s="1206"/>
      <c r="AT117" s="1293"/>
      <c r="AU117" s="1200"/>
      <c r="AV117" s="1164"/>
      <c r="AW117" s="1164"/>
      <c r="AX117" s="1164"/>
      <c r="AY117" s="1164"/>
      <c r="AZ117" s="1201"/>
      <c r="BA117" s="1206"/>
      <c r="BB117" s="1290"/>
      <c r="BC117" s="1200"/>
      <c r="BD117" s="1164"/>
      <c r="BE117" s="1164"/>
      <c r="BF117" s="1164"/>
      <c r="BG117" s="1164"/>
      <c r="BH117" s="1201"/>
      <c r="BI117" s="1206"/>
      <c r="BJ117" s="1188"/>
      <c r="BK117" s="1189"/>
      <c r="BL117" s="1189"/>
      <c r="BM117" s="1189"/>
      <c r="BN117" s="1189"/>
      <c r="BO117" s="1190"/>
    </row>
    <row r="118" spans="1:67" ht="15" customHeight="1">
      <c r="F118" s="286">
        <v>2.1</v>
      </c>
      <c r="G118" s="311">
        <f>COUNTIF($A$95:$A$115,F118)</f>
        <v>2</v>
      </c>
      <c r="H118" s="240" t="str">
        <f>IF(AB$5=1,SUMIF($A$95:$A$115,F118,$H$95:$H$115),"")</f>
        <v/>
      </c>
      <c r="I118" s="240" t="str">
        <f>IF(AF$5=1,SUMIF($A$95:$A$115,F118,$I$95:$I$115),"")</f>
        <v/>
      </c>
      <c r="J118" s="240" t="str">
        <f>IF(AJ$5=1,SUMIF($A$95:$A$115,F118,$J$95:$J$115),"")</f>
        <v/>
      </c>
      <c r="K118" s="240" t="str">
        <f>IF(AN$5=1,SUMIF($A$95:$A$115,F118,$K$95:$K$115),"")</f>
        <v/>
      </c>
      <c r="L118" s="240" t="str">
        <f>IF(AR$5=1,SUMIF($A$95:$A$115,F118,$L$95:$L$115),"")</f>
        <v/>
      </c>
      <c r="M118" s="240" t="str">
        <f>IF(AV$5=1,SUMIF($A$95:$A$115,F118,$M$95:$M$115),"")</f>
        <v/>
      </c>
      <c r="N118" s="1258"/>
      <c r="O118" s="1202"/>
      <c r="P118" s="1203"/>
      <c r="Q118" s="1203"/>
      <c r="R118" s="1203"/>
      <c r="S118" s="1203"/>
      <c r="T118" s="1204"/>
      <c r="U118" s="1207"/>
      <c r="V118" s="1258"/>
      <c r="W118" s="1202"/>
      <c r="X118" s="1203"/>
      <c r="Y118" s="1203"/>
      <c r="Z118" s="1203"/>
      <c r="AA118" s="1203"/>
      <c r="AB118" s="1204"/>
      <c r="AC118" s="1207"/>
      <c r="AD118" s="1258"/>
      <c r="AE118" s="1202"/>
      <c r="AF118" s="1203"/>
      <c r="AG118" s="1203"/>
      <c r="AH118" s="1203"/>
      <c r="AI118" s="1203"/>
      <c r="AJ118" s="1204"/>
      <c r="AK118" s="1207"/>
      <c r="AL118" s="1258"/>
      <c r="AM118" s="1202"/>
      <c r="AN118" s="1203"/>
      <c r="AO118" s="1203"/>
      <c r="AP118" s="1203"/>
      <c r="AQ118" s="1203"/>
      <c r="AR118" s="1204"/>
      <c r="AS118" s="1207"/>
      <c r="AT118" s="1294"/>
      <c r="AU118" s="1202"/>
      <c r="AV118" s="1203"/>
      <c r="AW118" s="1203"/>
      <c r="AX118" s="1203"/>
      <c r="AY118" s="1203"/>
      <c r="AZ118" s="1204"/>
      <c r="BA118" s="1207"/>
      <c r="BB118" s="1291"/>
      <c r="BC118" s="1202"/>
      <c r="BD118" s="1203"/>
      <c r="BE118" s="1203"/>
      <c r="BF118" s="1203"/>
      <c r="BG118" s="1203"/>
      <c r="BH118" s="1204"/>
      <c r="BI118" s="1207"/>
      <c r="BJ118" s="1188"/>
      <c r="BK118" s="1189"/>
      <c r="BL118" s="1189"/>
      <c r="BM118" s="1189"/>
      <c r="BN118" s="1189"/>
      <c r="BO118" s="1190"/>
    </row>
    <row r="119" spans="1:67" ht="15" customHeight="1">
      <c r="F119" s="285">
        <v>2.4</v>
      </c>
      <c r="G119" s="311">
        <f>COUNTIF($A$95:$A$115,F119)</f>
        <v>1</v>
      </c>
      <c r="H119" s="240" t="str">
        <f>IF(AB$5=1,SUMIF($A$95:$A$115,F119,$H$95:$H$115),"")</f>
        <v/>
      </c>
      <c r="I119" s="240" t="str">
        <f>IF(AF$5=1,SUMIF($A$95:$A$115,F119,$I$95:$I$115),"")</f>
        <v/>
      </c>
      <c r="J119" s="240" t="str">
        <f>IF(AJ$5=1,SUMIF($A$95:$A$115,F119,$J$95:$J$115),"")</f>
        <v/>
      </c>
      <c r="K119" s="240" t="str">
        <f>IF(AN$5=1,SUMIF($A$95:$A$115,F119,$K$95:$K$115),"")</f>
        <v/>
      </c>
      <c r="L119" s="240" t="str">
        <f>IF(AR$5=1,SUMIF($A$95:$A$115,F119,$L$95:$L$115),"")</f>
        <v/>
      </c>
      <c r="M119" s="240" t="str">
        <f>IF(AV$5=1,SUMIF($A$95:$A$115,F119,$M$95:$M$115),"")</f>
        <v/>
      </c>
      <c r="N119" s="1258">
        <v>4.4000000000000004</v>
      </c>
      <c r="O119" s="1198" t="s">
        <v>417</v>
      </c>
      <c r="P119" s="1162"/>
      <c r="Q119" s="1162"/>
      <c r="R119" s="1162"/>
      <c r="S119" s="1162"/>
      <c r="T119" s="1199"/>
      <c r="U119" s="1205" t="str">
        <f t="shared" ref="U119" si="35">IF(ISBLANK(AB$5),"",1)</f>
        <v/>
      </c>
      <c r="V119" s="1258">
        <v>4.4000000000000004</v>
      </c>
      <c r="W119" s="1198" t="s">
        <v>420</v>
      </c>
      <c r="X119" s="1162"/>
      <c r="Y119" s="1162"/>
      <c r="Z119" s="1162"/>
      <c r="AA119" s="1162"/>
      <c r="AB119" s="1199"/>
      <c r="AC119" s="1205" t="str">
        <f>IF(ISBLANK(AF$5),"",1)</f>
        <v/>
      </c>
      <c r="AD119" s="1258">
        <v>4.4000000000000004</v>
      </c>
      <c r="AE119" s="1198" t="s">
        <v>420</v>
      </c>
      <c r="AF119" s="1162"/>
      <c r="AG119" s="1162"/>
      <c r="AH119" s="1162"/>
      <c r="AI119" s="1162"/>
      <c r="AJ119" s="1199"/>
      <c r="AK119" s="1205" t="str">
        <f>IF(ISBLANK(AJ$5),"",1)</f>
        <v/>
      </c>
      <c r="AL119" s="1304">
        <v>2.4</v>
      </c>
      <c r="AM119" s="1198" t="s">
        <v>359</v>
      </c>
      <c r="AN119" s="1162"/>
      <c r="AO119" s="1162"/>
      <c r="AP119" s="1162"/>
      <c r="AQ119" s="1162"/>
      <c r="AR119" s="1199"/>
      <c r="AS119" s="1205" t="str">
        <f>IF(ISBLANK(AN$5),"",1)</f>
        <v/>
      </c>
      <c r="AT119" s="1304">
        <v>2.4</v>
      </c>
      <c r="AU119" s="1198" t="s">
        <v>359</v>
      </c>
      <c r="AV119" s="1162"/>
      <c r="AW119" s="1162"/>
      <c r="AX119" s="1162"/>
      <c r="AY119" s="1162"/>
      <c r="AZ119" s="1199"/>
      <c r="BA119" s="1205" t="str">
        <f>IF(ISBLANK(AR$5),"",1)</f>
        <v/>
      </c>
      <c r="BB119" s="1258">
        <v>4.4000000000000004</v>
      </c>
      <c r="BC119" s="1198" t="s">
        <v>395</v>
      </c>
      <c r="BD119" s="1162"/>
      <c r="BE119" s="1162"/>
      <c r="BF119" s="1162"/>
      <c r="BG119" s="1162"/>
      <c r="BH119" s="1199"/>
      <c r="BI119" s="1205" t="str">
        <f>IF(ISBLANK(AV$5),"",1)</f>
        <v/>
      </c>
      <c r="BJ119" s="1188"/>
      <c r="BK119" s="1189"/>
      <c r="BL119" s="1189"/>
      <c r="BM119" s="1189"/>
      <c r="BN119" s="1189"/>
      <c r="BO119" s="1190"/>
    </row>
    <row r="120" spans="1:67" ht="15" customHeight="1">
      <c r="N120" s="1258"/>
      <c r="O120" s="1200"/>
      <c r="P120" s="1164"/>
      <c r="Q120" s="1164"/>
      <c r="R120" s="1164"/>
      <c r="S120" s="1164"/>
      <c r="T120" s="1201"/>
      <c r="U120" s="1206"/>
      <c r="V120" s="1258"/>
      <c r="W120" s="1200"/>
      <c r="X120" s="1164"/>
      <c r="Y120" s="1164"/>
      <c r="Z120" s="1164"/>
      <c r="AA120" s="1164"/>
      <c r="AB120" s="1201"/>
      <c r="AC120" s="1206"/>
      <c r="AD120" s="1258"/>
      <c r="AE120" s="1200"/>
      <c r="AF120" s="1164"/>
      <c r="AG120" s="1164"/>
      <c r="AH120" s="1164"/>
      <c r="AI120" s="1164"/>
      <c r="AJ120" s="1201"/>
      <c r="AK120" s="1206"/>
      <c r="AL120" s="1290"/>
      <c r="AM120" s="1200"/>
      <c r="AN120" s="1164"/>
      <c r="AO120" s="1164"/>
      <c r="AP120" s="1164"/>
      <c r="AQ120" s="1164"/>
      <c r="AR120" s="1201"/>
      <c r="AS120" s="1206"/>
      <c r="AT120" s="1290"/>
      <c r="AU120" s="1200"/>
      <c r="AV120" s="1164"/>
      <c r="AW120" s="1164"/>
      <c r="AX120" s="1164"/>
      <c r="AY120" s="1164"/>
      <c r="AZ120" s="1201"/>
      <c r="BA120" s="1206"/>
      <c r="BB120" s="1258"/>
      <c r="BC120" s="1200"/>
      <c r="BD120" s="1164"/>
      <c r="BE120" s="1164"/>
      <c r="BF120" s="1164"/>
      <c r="BG120" s="1164"/>
      <c r="BH120" s="1201"/>
      <c r="BI120" s="1206"/>
      <c r="BJ120" s="1188"/>
      <c r="BK120" s="1189"/>
      <c r="BL120" s="1189"/>
      <c r="BM120" s="1189"/>
      <c r="BN120" s="1189"/>
      <c r="BO120" s="1190"/>
    </row>
    <row r="121" spans="1:67" ht="15" customHeight="1">
      <c r="A121" s="1209"/>
      <c r="B121" s="1210" t="s">
        <v>609</v>
      </c>
      <c r="C121" s="1211"/>
      <c r="D121" s="1211"/>
      <c r="E121" s="1211"/>
      <c r="F121" s="1211"/>
      <c r="G121" s="1211"/>
      <c r="H121" s="1174">
        <v>7</v>
      </c>
      <c r="I121" s="1174">
        <v>8</v>
      </c>
      <c r="J121" s="1174">
        <v>9</v>
      </c>
      <c r="K121" s="1174">
        <v>10</v>
      </c>
      <c r="L121" s="1174">
        <v>11</v>
      </c>
      <c r="M121" s="1174">
        <v>12</v>
      </c>
      <c r="N121" s="1258"/>
      <c r="O121" s="1202"/>
      <c r="P121" s="1203"/>
      <c r="Q121" s="1203"/>
      <c r="R121" s="1203"/>
      <c r="S121" s="1203"/>
      <c r="T121" s="1204"/>
      <c r="U121" s="1207"/>
      <c r="V121" s="1258"/>
      <c r="W121" s="1202"/>
      <c r="X121" s="1203"/>
      <c r="Y121" s="1203"/>
      <c r="Z121" s="1203"/>
      <c r="AA121" s="1203"/>
      <c r="AB121" s="1204"/>
      <c r="AC121" s="1207"/>
      <c r="AD121" s="1258"/>
      <c r="AE121" s="1202"/>
      <c r="AF121" s="1203"/>
      <c r="AG121" s="1203"/>
      <c r="AH121" s="1203"/>
      <c r="AI121" s="1203"/>
      <c r="AJ121" s="1204"/>
      <c r="AK121" s="1207"/>
      <c r="AL121" s="1291"/>
      <c r="AM121" s="1202"/>
      <c r="AN121" s="1203"/>
      <c r="AO121" s="1203"/>
      <c r="AP121" s="1203"/>
      <c r="AQ121" s="1203"/>
      <c r="AR121" s="1204"/>
      <c r="AS121" s="1207"/>
      <c r="AT121" s="1291"/>
      <c r="AU121" s="1202"/>
      <c r="AV121" s="1203"/>
      <c r="AW121" s="1203"/>
      <c r="AX121" s="1203"/>
      <c r="AY121" s="1203"/>
      <c r="AZ121" s="1204"/>
      <c r="BA121" s="1207"/>
      <c r="BB121" s="1258"/>
      <c r="BC121" s="1202"/>
      <c r="BD121" s="1203"/>
      <c r="BE121" s="1203"/>
      <c r="BF121" s="1203"/>
      <c r="BG121" s="1203"/>
      <c r="BH121" s="1204"/>
      <c r="BI121" s="1207"/>
      <c r="BJ121" s="1188"/>
      <c r="BK121" s="1189"/>
      <c r="BL121" s="1189"/>
      <c r="BM121" s="1189"/>
      <c r="BN121" s="1189"/>
      <c r="BO121" s="1190"/>
    </row>
    <row r="122" spans="1:67" ht="15" customHeight="1">
      <c r="A122" s="1209"/>
      <c r="B122" s="1212"/>
      <c r="C122" s="1213"/>
      <c r="D122" s="1213"/>
      <c r="E122" s="1213"/>
      <c r="F122" s="1213"/>
      <c r="G122" s="1213"/>
      <c r="H122" s="1174"/>
      <c r="I122" s="1174"/>
      <c r="J122" s="1174"/>
      <c r="K122" s="1174"/>
      <c r="L122" s="1174"/>
      <c r="M122" s="1174"/>
      <c r="N122" s="1304">
        <v>2.4</v>
      </c>
      <c r="O122" s="1198" t="s">
        <v>359</v>
      </c>
      <c r="P122" s="1162"/>
      <c r="Q122" s="1162"/>
      <c r="R122" s="1162"/>
      <c r="S122" s="1162"/>
      <c r="T122" s="1199"/>
      <c r="U122" s="1205" t="str">
        <f t="shared" ref="U122" si="36">IF(ISBLANK(AB$5),"",1)</f>
        <v/>
      </c>
      <c r="V122" s="1304">
        <v>2.4</v>
      </c>
      <c r="W122" s="1198" t="s">
        <v>359</v>
      </c>
      <c r="X122" s="1162"/>
      <c r="Y122" s="1162"/>
      <c r="Z122" s="1162"/>
      <c r="AA122" s="1162"/>
      <c r="AB122" s="1199"/>
      <c r="AC122" s="1205" t="str">
        <f>IF(ISBLANK(AF$5),"",1)</f>
        <v/>
      </c>
      <c r="AD122" s="1304">
        <v>2.4</v>
      </c>
      <c r="AE122" s="1198" t="s">
        <v>359</v>
      </c>
      <c r="AF122" s="1162"/>
      <c r="AG122" s="1162"/>
      <c r="AH122" s="1162"/>
      <c r="AI122" s="1162"/>
      <c r="AJ122" s="1199"/>
      <c r="AK122" s="1205" t="str">
        <f>IF(ISBLANK(AJ$5),"",1)</f>
        <v/>
      </c>
      <c r="AL122" s="1258">
        <v>4.4000000000000004</v>
      </c>
      <c r="AM122" s="1198" t="s">
        <v>395</v>
      </c>
      <c r="AN122" s="1162"/>
      <c r="AO122" s="1162"/>
      <c r="AP122" s="1162"/>
      <c r="AQ122" s="1162"/>
      <c r="AR122" s="1199"/>
      <c r="AS122" s="1205" t="str">
        <f>IF(ISBLANK(AN$5),"",1)</f>
        <v/>
      </c>
      <c r="AT122" s="1258">
        <v>4.4000000000000004</v>
      </c>
      <c r="AU122" s="1198" t="s">
        <v>395</v>
      </c>
      <c r="AV122" s="1162"/>
      <c r="AW122" s="1162"/>
      <c r="AX122" s="1162"/>
      <c r="AY122" s="1162"/>
      <c r="AZ122" s="1199"/>
      <c r="BA122" s="1205" t="str">
        <f>IF(ISBLANK(AR$5),"",1)</f>
        <v/>
      </c>
      <c r="BB122" s="1304">
        <v>2.4</v>
      </c>
      <c r="BC122" s="1198" t="s">
        <v>363</v>
      </c>
      <c r="BD122" s="1162"/>
      <c r="BE122" s="1162"/>
      <c r="BF122" s="1162"/>
      <c r="BG122" s="1162"/>
      <c r="BH122" s="1199"/>
      <c r="BI122" s="1205" t="str">
        <f>IF(ISBLANK(AV$5),"",1)</f>
        <v/>
      </c>
      <c r="BJ122" s="1188"/>
      <c r="BK122" s="1189"/>
      <c r="BL122" s="1189"/>
      <c r="BM122" s="1189"/>
      <c r="BN122" s="1189"/>
      <c r="BO122" s="1190"/>
    </row>
    <row r="123" spans="1:67" ht="15" customHeight="1">
      <c r="A123" s="1159">
        <v>3.1</v>
      </c>
      <c r="B123" s="1161" t="s">
        <v>366</v>
      </c>
      <c r="C123" s="1162"/>
      <c r="D123" s="1162"/>
      <c r="E123" s="1162"/>
      <c r="F123" s="1162"/>
      <c r="G123" s="1162"/>
      <c r="H123" s="1170" t="str">
        <f>IF(ISBLANK(AB$5),"",1)</f>
        <v/>
      </c>
      <c r="I123" s="1170" t="str">
        <f>IF(ISBLANK(AF$5),"",1)</f>
        <v/>
      </c>
      <c r="J123" s="1170" t="str">
        <f>IF(ISBLANK(AJ$5),"",1)</f>
        <v/>
      </c>
      <c r="K123" s="1170" t="str">
        <f>IF(ISBLANK(AN$5),"",1)</f>
        <v/>
      </c>
      <c r="L123" s="1170" t="str">
        <f>IF(ISBLANK(AR$5),"",1)</f>
        <v/>
      </c>
      <c r="M123" s="1170" t="str">
        <f>IF(ISBLANK(AV$5),"",1)</f>
        <v/>
      </c>
      <c r="N123" s="1290"/>
      <c r="O123" s="1200"/>
      <c r="P123" s="1164"/>
      <c r="Q123" s="1164"/>
      <c r="R123" s="1164"/>
      <c r="S123" s="1164"/>
      <c r="T123" s="1201"/>
      <c r="U123" s="1206"/>
      <c r="V123" s="1290"/>
      <c r="W123" s="1200"/>
      <c r="X123" s="1164"/>
      <c r="Y123" s="1164"/>
      <c r="Z123" s="1164"/>
      <c r="AA123" s="1164"/>
      <c r="AB123" s="1201"/>
      <c r="AC123" s="1206"/>
      <c r="AD123" s="1290"/>
      <c r="AE123" s="1200"/>
      <c r="AF123" s="1164"/>
      <c r="AG123" s="1164"/>
      <c r="AH123" s="1164"/>
      <c r="AI123" s="1164"/>
      <c r="AJ123" s="1201"/>
      <c r="AK123" s="1206"/>
      <c r="AL123" s="1258"/>
      <c r="AM123" s="1200"/>
      <c r="AN123" s="1164"/>
      <c r="AO123" s="1164"/>
      <c r="AP123" s="1164"/>
      <c r="AQ123" s="1164"/>
      <c r="AR123" s="1201"/>
      <c r="AS123" s="1206"/>
      <c r="AT123" s="1258"/>
      <c r="AU123" s="1200"/>
      <c r="AV123" s="1164"/>
      <c r="AW123" s="1164"/>
      <c r="AX123" s="1164"/>
      <c r="AY123" s="1164"/>
      <c r="AZ123" s="1201"/>
      <c r="BA123" s="1206"/>
      <c r="BB123" s="1290"/>
      <c r="BC123" s="1200"/>
      <c r="BD123" s="1164"/>
      <c r="BE123" s="1164"/>
      <c r="BF123" s="1164"/>
      <c r="BG123" s="1164"/>
      <c r="BH123" s="1201"/>
      <c r="BI123" s="1206"/>
      <c r="BJ123" s="1191"/>
      <c r="BK123" s="1192"/>
      <c r="BL123" s="1192"/>
      <c r="BM123" s="1192"/>
      <c r="BN123" s="1192"/>
      <c r="BO123" s="1193"/>
    </row>
    <row r="124" spans="1:67" ht="15" customHeight="1">
      <c r="A124" s="1159"/>
      <c r="B124" s="1163"/>
      <c r="C124" s="1164"/>
      <c r="D124" s="1164"/>
      <c r="E124" s="1164"/>
      <c r="F124" s="1164"/>
      <c r="G124" s="1164"/>
      <c r="H124" s="1170"/>
      <c r="I124" s="1170"/>
      <c r="J124" s="1170"/>
      <c r="K124" s="1170"/>
      <c r="L124" s="1170"/>
      <c r="M124" s="1170"/>
      <c r="N124" s="1291"/>
      <c r="O124" s="1202"/>
      <c r="P124" s="1203"/>
      <c r="Q124" s="1203"/>
      <c r="R124" s="1203"/>
      <c r="S124" s="1203"/>
      <c r="T124" s="1204"/>
      <c r="U124" s="1207"/>
      <c r="V124" s="1291"/>
      <c r="W124" s="1202"/>
      <c r="X124" s="1203"/>
      <c r="Y124" s="1203"/>
      <c r="Z124" s="1203"/>
      <c r="AA124" s="1203"/>
      <c r="AB124" s="1204"/>
      <c r="AC124" s="1207"/>
      <c r="AD124" s="1291"/>
      <c r="AE124" s="1202"/>
      <c r="AF124" s="1203"/>
      <c r="AG124" s="1203"/>
      <c r="AH124" s="1203"/>
      <c r="AI124" s="1203"/>
      <c r="AJ124" s="1204"/>
      <c r="AK124" s="1207"/>
      <c r="AL124" s="1258"/>
      <c r="AM124" s="1202"/>
      <c r="AN124" s="1203"/>
      <c r="AO124" s="1203"/>
      <c r="AP124" s="1203"/>
      <c r="AQ124" s="1203"/>
      <c r="AR124" s="1204"/>
      <c r="AS124" s="1207"/>
      <c r="AT124" s="1258"/>
      <c r="AU124" s="1202"/>
      <c r="AV124" s="1203"/>
      <c r="AW124" s="1203"/>
      <c r="AX124" s="1203"/>
      <c r="AY124" s="1203"/>
      <c r="AZ124" s="1204"/>
      <c r="BA124" s="1207"/>
      <c r="BB124" s="1291"/>
      <c r="BC124" s="1202"/>
      <c r="BD124" s="1203"/>
      <c r="BE124" s="1203"/>
      <c r="BF124" s="1203"/>
      <c r="BG124" s="1203"/>
      <c r="BH124" s="1204"/>
      <c r="BI124" s="1207"/>
    </row>
    <row r="125" spans="1:67" ht="15" customHeight="1">
      <c r="A125" s="1160"/>
      <c r="B125" s="1165"/>
      <c r="C125" s="1166"/>
      <c r="D125" s="1166"/>
      <c r="E125" s="1166"/>
      <c r="F125" s="1166"/>
      <c r="G125" s="1166"/>
      <c r="H125" s="1170"/>
      <c r="I125" s="1170"/>
      <c r="J125" s="1170"/>
      <c r="K125" s="1170"/>
      <c r="L125" s="1170"/>
      <c r="M125" s="1170"/>
      <c r="N125" s="1258">
        <v>4.4000000000000004</v>
      </c>
      <c r="O125" s="1198" t="s">
        <v>395</v>
      </c>
      <c r="P125" s="1162"/>
      <c r="Q125" s="1162"/>
      <c r="R125" s="1162"/>
      <c r="S125" s="1162"/>
      <c r="T125" s="1199"/>
      <c r="U125" s="1205" t="str">
        <f>IF(ISBLANK(AB$5),"",1)</f>
        <v/>
      </c>
      <c r="V125" s="1258">
        <v>4.4000000000000004</v>
      </c>
      <c r="W125" s="1198" t="s">
        <v>395</v>
      </c>
      <c r="X125" s="1162"/>
      <c r="Y125" s="1162"/>
      <c r="Z125" s="1162"/>
      <c r="AA125" s="1162"/>
      <c r="AB125" s="1199"/>
      <c r="AC125" s="1205" t="str">
        <f>IF(ISBLANK(AF$5),"",1)</f>
        <v/>
      </c>
      <c r="AD125" s="1258">
        <v>4.4000000000000004</v>
      </c>
      <c r="AE125" s="1198" t="s">
        <v>395</v>
      </c>
      <c r="AF125" s="1162"/>
      <c r="AG125" s="1162"/>
      <c r="AH125" s="1162"/>
      <c r="AI125" s="1162"/>
      <c r="AJ125" s="1199"/>
      <c r="AK125" s="1205" t="str">
        <f>IF(ISBLANK(AJ$5),"",1)</f>
        <v/>
      </c>
      <c r="AL125" s="1304">
        <v>2.4</v>
      </c>
      <c r="AM125" s="1198" t="s">
        <v>363</v>
      </c>
      <c r="AN125" s="1162"/>
      <c r="AO125" s="1162"/>
      <c r="AP125" s="1162"/>
      <c r="AQ125" s="1162"/>
      <c r="AR125" s="1199"/>
      <c r="AS125" s="1205" t="str">
        <f>IF(ISBLANK(AN$5),"",1)</f>
        <v/>
      </c>
      <c r="AT125" s="1304">
        <v>2.4</v>
      </c>
      <c r="AU125" s="1198" t="s">
        <v>363</v>
      </c>
      <c r="AV125" s="1162"/>
      <c r="AW125" s="1162"/>
      <c r="AX125" s="1162"/>
      <c r="AY125" s="1162"/>
      <c r="AZ125" s="1199"/>
      <c r="BA125" s="1205" t="str">
        <f>IF(ISBLANK(AR$5),"",1)</f>
        <v/>
      </c>
      <c r="BB125" s="1307">
        <v>1.5</v>
      </c>
      <c r="BC125" s="1198" t="s">
        <v>373</v>
      </c>
      <c r="BD125" s="1162"/>
      <c r="BE125" s="1162"/>
      <c r="BF125" s="1162"/>
      <c r="BG125" s="1162"/>
      <c r="BH125" s="1199"/>
      <c r="BI125" s="1205" t="str">
        <f>IF(ISBLANK(AV$5),"",1)</f>
        <v/>
      </c>
    </row>
    <row r="126" spans="1:67" ht="15" customHeight="1">
      <c r="A126" s="1168" t="s">
        <v>637</v>
      </c>
      <c r="B126" s="1168"/>
      <c r="C126" s="1168"/>
      <c r="D126" s="1168"/>
      <c r="E126" s="1169"/>
      <c r="F126" s="409">
        <v>3.1</v>
      </c>
      <c r="G126" s="311">
        <f>COUNTIF(A123,F126)</f>
        <v>1</v>
      </c>
      <c r="H126" s="240" t="str">
        <f>IF($AB$5=1,SUMIF($A$123,$F$126,H123),"")</f>
        <v/>
      </c>
      <c r="I126" s="240" t="str">
        <f>IF($AF$5=1,SUMIF($A$123,$F$126,I123),"")</f>
        <v/>
      </c>
      <c r="J126" s="240" t="str">
        <f>IF($AJ$5=1,SUMIF($A$123,$F$126,J123),"")</f>
        <v/>
      </c>
      <c r="K126" s="240" t="str">
        <f>IF($AN$5=1,SUMIF($A$123,$F$126,K123),"")</f>
        <v/>
      </c>
      <c r="L126" s="240" t="str">
        <f>IF($AR$5=1,SUMIF($A$123,$F$126,L123),"")</f>
        <v/>
      </c>
      <c r="M126" s="240" t="str">
        <f>IF($AV$5=1,SUMIF($A$123,$F$126,M123),"")</f>
        <v/>
      </c>
      <c r="N126" s="1258"/>
      <c r="O126" s="1200"/>
      <c r="P126" s="1164"/>
      <c r="Q126" s="1164"/>
      <c r="R126" s="1164"/>
      <c r="S126" s="1164"/>
      <c r="T126" s="1201"/>
      <c r="U126" s="1206"/>
      <c r="V126" s="1258"/>
      <c r="W126" s="1200"/>
      <c r="X126" s="1164"/>
      <c r="Y126" s="1164"/>
      <c r="Z126" s="1164"/>
      <c r="AA126" s="1164"/>
      <c r="AB126" s="1201"/>
      <c r="AC126" s="1206"/>
      <c r="AD126" s="1258"/>
      <c r="AE126" s="1200"/>
      <c r="AF126" s="1164"/>
      <c r="AG126" s="1164"/>
      <c r="AH126" s="1164"/>
      <c r="AI126" s="1164"/>
      <c r="AJ126" s="1201"/>
      <c r="AK126" s="1206"/>
      <c r="AL126" s="1290"/>
      <c r="AM126" s="1200"/>
      <c r="AN126" s="1164"/>
      <c r="AO126" s="1164"/>
      <c r="AP126" s="1164"/>
      <c r="AQ126" s="1164"/>
      <c r="AR126" s="1201"/>
      <c r="AS126" s="1206"/>
      <c r="AT126" s="1290"/>
      <c r="AU126" s="1200"/>
      <c r="AV126" s="1164"/>
      <c r="AW126" s="1164"/>
      <c r="AX126" s="1164"/>
      <c r="AY126" s="1164"/>
      <c r="AZ126" s="1201"/>
      <c r="BA126" s="1206"/>
      <c r="BB126" s="1308"/>
      <c r="BC126" s="1200"/>
      <c r="BD126" s="1164"/>
      <c r="BE126" s="1164"/>
      <c r="BF126" s="1164"/>
      <c r="BG126" s="1164"/>
      <c r="BH126" s="1201"/>
      <c r="BI126" s="1206"/>
    </row>
    <row r="127" spans="1:67" ht="15" customHeight="1">
      <c r="N127" s="1258"/>
      <c r="O127" s="1202"/>
      <c r="P127" s="1203"/>
      <c r="Q127" s="1203"/>
      <c r="R127" s="1203"/>
      <c r="S127" s="1203"/>
      <c r="T127" s="1204"/>
      <c r="U127" s="1207"/>
      <c r="V127" s="1258"/>
      <c r="W127" s="1202"/>
      <c r="X127" s="1203"/>
      <c r="Y127" s="1203"/>
      <c r="Z127" s="1203"/>
      <c r="AA127" s="1203"/>
      <c r="AB127" s="1204"/>
      <c r="AC127" s="1207"/>
      <c r="AD127" s="1258"/>
      <c r="AE127" s="1202"/>
      <c r="AF127" s="1203"/>
      <c r="AG127" s="1203"/>
      <c r="AH127" s="1203"/>
      <c r="AI127" s="1203"/>
      <c r="AJ127" s="1204"/>
      <c r="AK127" s="1207"/>
      <c r="AL127" s="1291"/>
      <c r="AM127" s="1202"/>
      <c r="AN127" s="1203"/>
      <c r="AO127" s="1203"/>
      <c r="AP127" s="1203"/>
      <c r="AQ127" s="1203"/>
      <c r="AR127" s="1204"/>
      <c r="AS127" s="1207"/>
      <c r="AT127" s="1291"/>
      <c r="AU127" s="1202"/>
      <c r="AV127" s="1203"/>
      <c r="AW127" s="1203"/>
      <c r="AX127" s="1203"/>
      <c r="AY127" s="1203"/>
      <c r="AZ127" s="1204"/>
      <c r="BA127" s="1207"/>
      <c r="BB127" s="1309"/>
      <c r="BC127" s="1202"/>
      <c r="BD127" s="1203"/>
      <c r="BE127" s="1203"/>
      <c r="BF127" s="1203"/>
      <c r="BG127" s="1203"/>
      <c r="BH127" s="1204"/>
      <c r="BI127" s="1207"/>
    </row>
    <row r="128" spans="1:67" ht="15" customHeight="1">
      <c r="N128" s="1304">
        <v>2.4</v>
      </c>
      <c r="O128" s="1198" t="s">
        <v>363</v>
      </c>
      <c r="P128" s="1162"/>
      <c r="Q128" s="1162"/>
      <c r="R128" s="1162"/>
      <c r="S128" s="1162"/>
      <c r="T128" s="1199"/>
      <c r="U128" s="1205" t="str">
        <f>IF(ISBLANK(AB$5),"",1)</f>
        <v/>
      </c>
      <c r="V128" s="1304">
        <v>2.4</v>
      </c>
      <c r="W128" s="1198" t="s">
        <v>363</v>
      </c>
      <c r="X128" s="1162"/>
      <c r="Y128" s="1162"/>
      <c r="Z128" s="1162"/>
      <c r="AA128" s="1162"/>
      <c r="AB128" s="1199"/>
      <c r="AC128" s="1205" t="str">
        <f>IF(ISBLANK(AF$5),"",1)</f>
        <v/>
      </c>
      <c r="AD128" s="1304">
        <v>2.4</v>
      </c>
      <c r="AE128" s="1198" t="s">
        <v>363</v>
      </c>
      <c r="AF128" s="1162"/>
      <c r="AG128" s="1162"/>
      <c r="AH128" s="1162"/>
      <c r="AI128" s="1162"/>
      <c r="AJ128" s="1199"/>
      <c r="AK128" s="1205" t="str">
        <f>IF(ISBLANK(AJ$5),"",1)</f>
        <v/>
      </c>
      <c r="AL128" s="1307">
        <v>1.5</v>
      </c>
      <c r="AM128" s="1198" t="s">
        <v>373</v>
      </c>
      <c r="AN128" s="1162"/>
      <c r="AO128" s="1162"/>
      <c r="AP128" s="1162"/>
      <c r="AQ128" s="1162"/>
      <c r="AR128" s="1199"/>
      <c r="AS128" s="1205" t="str">
        <f>IF(ISBLANK(AN$5),"",1)</f>
        <v/>
      </c>
      <c r="AT128" s="1307">
        <v>1.5</v>
      </c>
      <c r="AU128" s="1198" t="s">
        <v>373</v>
      </c>
      <c r="AV128" s="1162"/>
      <c r="AW128" s="1162"/>
      <c r="AX128" s="1162"/>
      <c r="AY128" s="1162"/>
      <c r="AZ128" s="1199"/>
      <c r="BA128" s="1205" t="str">
        <f>IF(ISBLANK(AR$5),"",1)</f>
        <v/>
      </c>
      <c r="BB128" s="1258">
        <v>4.4000000000000004</v>
      </c>
      <c r="BC128" s="1198" t="s">
        <v>397</v>
      </c>
      <c r="BD128" s="1162"/>
      <c r="BE128" s="1162"/>
      <c r="BF128" s="1162"/>
      <c r="BG128" s="1162"/>
      <c r="BH128" s="1199"/>
      <c r="BI128" s="1205" t="str">
        <f>IF(ISBLANK(AV$5),"",1)</f>
        <v/>
      </c>
    </row>
    <row r="129" spans="1:67" ht="15" customHeight="1">
      <c r="N129" s="1290"/>
      <c r="O129" s="1200"/>
      <c r="P129" s="1164"/>
      <c r="Q129" s="1164"/>
      <c r="R129" s="1164"/>
      <c r="S129" s="1164"/>
      <c r="T129" s="1201"/>
      <c r="U129" s="1206"/>
      <c r="V129" s="1290"/>
      <c r="W129" s="1200"/>
      <c r="X129" s="1164"/>
      <c r="Y129" s="1164"/>
      <c r="Z129" s="1164"/>
      <c r="AA129" s="1164"/>
      <c r="AB129" s="1201"/>
      <c r="AC129" s="1206"/>
      <c r="AD129" s="1290"/>
      <c r="AE129" s="1200"/>
      <c r="AF129" s="1164"/>
      <c r="AG129" s="1164"/>
      <c r="AH129" s="1164"/>
      <c r="AI129" s="1164"/>
      <c r="AJ129" s="1201"/>
      <c r="AK129" s="1206"/>
      <c r="AL129" s="1308"/>
      <c r="AM129" s="1200"/>
      <c r="AN129" s="1164"/>
      <c r="AO129" s="1164"/>
      <c r="AP129" s="1164"/>
      <c r="AQ129" s="1164"/>
      <c r="AR129" s="1201"/>
      <c r="AS129" s="1206"/>
      <c r="AT129" s="1308"/>
      <c r="AU129" s="1200"/>
      <c r="AV129" s="1164"/>
      <c r="AW129" s="1164"/>
      <c r="AX129" s="1164"/>
      <c r="AY129" s="1164"/>
      <c r="AZ129" s="1201"/>
      <c r="BA129" s="1206"/>
      <c r="BB129" s="1258"/>
      <c r="BC129" s="1200"/>
      <c r="BD129" s="1164"/>
      <c r="BE129" s="1164"/>
      <c r="BF129" s="1164"/>
      <c r="BG129" s="1164"/>
      <c r="BH129" s="1201"/>
      <c r="BI129" s="1206"/>
    </row>
    <row r="130" spans="1:67" ht="15" customHeight="1">
      <c r="N130" s="1291"/>
      <c r="O130" s="1202"/>
      <c r="P130" s="1203"/>
      <c r="Q130" s="1203"/>
      <c r="R130" s="1203"/>
      <c r="S130" s="1203"/>
      <c r="T130" s="1204"/>
      <c r="U130" s="1207"/>
      <c r="V130" s="1291"/>
      <c r="W130" s="1202"/>
      <c r="X130" s="1203"/>
      <c r="Y130" s="1203"/>
      <c r="Z130" s="1203"/>
      <c r="AA130" s="1203"/>
      <c r="AB130" s="1204"/>
      <c r="AC130" s="1207"/>
      <c r="AD130" s="1291"/>
      <c r="AE130" s="1202"/>
      <c r="AF130" s="1203"/>
      <c r="AG130" s="1203"/>
      <c r="AH130" s="1203"/>
      <c r="AI130" s="1203"/>
      <c r="AJ130" s="1204"/>
      <c r="AK130" s="1207"/>
      <c r="AL130" s="1309"/>
      <c r="AM130" s="1202"/>
      <c r="AN130" s="1203"/>
      <c r="AO130" s="1203"/>
      <c r="AP130" s="1203"/>
      <c r="AQ130" s="1203"/>
      <c r="AR130" s="1204"/>
      <c r="AS130" s="1207"/>
      <c r="AT130" s="1309"/>
      <c r="AU130" s="1202"/>
      <c r="AV130" s="1203"/>
      <c r="AW130" s="1203"/>
      <c r="AX130" s="1203"/>
      <c r="AY130" s="1203"/>
      <c r="AZ130" s="1204"/>
      <c r="BA130" s="1207"/>
      <c r="BB130" s="1258"/>
      <c r="BC130" s="1202"/>
      <c r="BD130" s="1203"/>
      <c r="BE130" s="1203"/>
      <c r="BF130" s="1203"/>
      <c r="BG130" s="1203"/>
      <c r="BH130" s="1204"/>
      <c r="BI130" s="1207"/>
    </row>
    <row r="131" spans="1:67" ht="15" customHeight="1">
      <c r="N131" s="1307">
        <v>1.5</v>
      </c>
      <c r="O131" s="1198" t="s">
        <v>373</v>
      </c>
      <c r="P131" s="1162"/>
      <c r="Q131" s="1162"/>
      <c r="R131" s="1162"/>
      <c r="S131" s="1162"/>
      <c r="T131" s="1199"/>
      <c r="U131" s="1205" t="str">
        <f>IF(ISBLANK(AB$5),"",1)</f>
        <v/>
      </c>
      <c r="V131" s="1307">
        <v>1.5</v>
      </c>
      <c r="W131" s="1310" t="s">
        <v>373</v>
      </c>
      <c r="X131" s="1311"/>
      <c r="Y131" s="1311"/>
      <c r="Z131" s="1311"/>
      <c r="AA131" s="1311"/>
      <c r="AB131" s="1316"/>
      <c r="AC131" s="1205" t="str">
        <f>IF(ISBLANK(AF$5),"",1)</f>
        <v/>
      </c>
      <c r="AD131" s="1307">
        <v>1.5</v>
      </c>
      <c r="AE131" s="1198" t="s">
        <v>373</v>
      </c>
      <c r="AF131" s="1162"/>
      <c r="AG131" s="1162"/>
      <c r="AH131" s="1162"/>
      <c r="AI131" s="1162"/>
      <c r="AJ131" s="1199"/>
      <c r="AK131" s="1205" t="str">
        <f>IF(ISBLANK(AJ$5),"",1)</f>
        <v/>
      </c>
      <c r="AL131" s="1258">
        <v>4.4000000000000004</v>
      </c>
      <c r="AM131" s="1198" t="s">
        <v>397</v>
      </c>
      <c r="AN131" s="1162"/>
      <c r="AO131" s="1162"/>
      <c r="AP131" s="1162"/>
      <c r="AQ131" s="1162"/>
      <c r="AR131" s="1199"/>
      <c r="AS131" s="1205" t="str">
        <f>IF(ISBLANK(AN$5),"",1)</f>
        <v/>
      </c>
      <c r="AT131" s="1258">
        <v>4.4000000000000004</v>
      </c>
      <c r="AU131" s="1198" t="s">
        <v>397</v>
      </c>
      <c r="AV131" s="1162"/>
      <c r="AW131" s="1162"/>
      <c r="AX131" s="1162"/>
      <c r="AY131" s="1162"/>
      <c r="AZ131" s="1199"/>
      <c r="BA131" s="1205" t="str">
        <f>IF(ISBLANK(AR$5),"",1)</f>
        <v/>
      </c>
      <c r="BE131" s="247"/>
      <c r="BG131" s="273">
        <v>1.5</v>
      </c>
      <c r="BH131" s="312">
        <f>COUNTIF($BB$95:$BB$130,BG131)</f>
        <v>1</v>
      </c>
      <c r="BI131" s="240" t="str">
        <f>IF($AV$5=1,SUMIF($BB$95:$BB$130,BG131,$BI$95:$BI$130),"")</f>
        <v/>
      </c>
    </row>
    <row r="132" spans="1:67" ht="15" customHeight="1">
      <c r="N132" s="1308"/>
      <c r="O132" s="1200"/>
      <c r="P132" s="1164"/>
      <c r="Q132" s="1164"/>
      <c r="R132" s="1164"/>
      <c r="S132" s="1164"/>
      <c r="T132" s="1201"/>
      <c r="U132" s="1206"/>
      <c r="V132" s="1308"/>
      <c r="W132" s="1295"/>
      <c r="X132" s="1296"/>
      <c r="Y132" s="1296"/>
      <c r="Z132" s="1296"/>
      <c r="AA132" s="1296"/>
      <c r="AB132" s="1318"/>
      <c r="AC132" s="1206"/>
      <c r="AD132" s="1308"/>
      <c r="AE132" s="1200"/>
      <c r="AF132" s="1164"/>
      <c r="AG132" s="1164"/>
      <c r="AH132" s="1164"/>
      <c r="AI132" s="1164"/>
      <c r="AJ132" s="1201"/>
      <c r="AK132" s="1206"/>
      <c r="AL132" s="1258"/>
      <c r="AM132" s="1200"/>
      <c r="AN132" s="1164"/>
      <c r="AO132" s="1164"/>
      <c r="AP132" s="1164"/>
      <c r="AQ132" s="1164"/>
      <c r="AR132" s="1201"/>
      <c r="AS132" s="1206"/>
      <c r="AT132" s="1258"/>
      <c r="AU132" s="1200"/>
      <c r="AV132" s="1164"/>
      <c r="AW132" s="1164"/>
      <c r="AX132" s="1164"/>
      <c r="AY132" s="1164"/>
      <c r="AZ132" s="1201"/>
      <c r="BA132" s="1206"/>
      <c r="BE132" s="248"/>
      <c r="BG132" s="272">
        <v>2.2000000000000002</v>
      </c>
      <c r="BH132" s="312">
        <f t="shared" ref="BH132:BH135" si="37">COUNTIF($BB$95:$BB$130,BG132)</f>
        <v>1</v>
      </c>
      <c r="BI132" s="240" t="str">
        <f t="shared" ref="BI132:BI135" si="38">IF($AV$5=1,SUMIF($BB$95:$BB$130,BG132,$BI$95:$BI$130),"")</f>
        <v/>
      </c>
    </row>
    <row r="133" spans="1:67" ht="15" customHeight="1">
      <c r="N133" s="1309"/>
      <c r="O133" s="1202"/>
      <c r="P133" s="1203"/>
      <c r="Q133" s="1203"/>
      <c r="R133" s="1203"/>
      <c r="S133" s="1203"/>
      <c r="T133" s="1204"/>
      <c r="U133" s="1207"/>
      <c r="V133" s="1309"/>
      <c r="W133" s="1298"/>
      <c r="X133" s="1299"/>
      <c r="Y133" s="1299"/>
      <c r="Z133" s="1299"/>
      <c r="AA133" s="1299"/>
      <c r="AB133" s="1335"/>
      <c r="AC133" s="1207"/>
      <c r="AD133" s="1309"/>
      <c r="AE133" s="1202"/>
      <c r="AF133" s="1203"/>
      <c r="AG133" s="1203"/>
      <c r="AH133" s="1203"/>
      <c r="AI133" s="1203"/>
      <c r="AJ133" s="1204"/>
      <c r="AK133" s="1207"/>
      <c r="AL133" s="1258"/>
      <c r="AM133" s="1202"/>
      <c r="AN133" s="1203"/>
      <c r="AO133" s="1203"/>
      <c r="AP133" s="1203"/>
      <c r="AQ133" s="1203"/>
      <c r="AR133" s="1204"/>
      <c r="AS133" s="1207"/>
      <c r="AT133" s="1258"/>
      <c r="AU133" s="1202"/>
      <c r="AV133" s="1203"/>
      <c r="AW133" s="1203"/>
      <c r="AX133" s="1203"/>
      <c r="AY133" s="1203"/>
      <c r="AZ133" s="1204"/>
      <c r="BA133" s="1207"/>
      <c r="BE133" s="248"/>
      <c r="BG133" s="272">
        <v>2.4</v>
      </c>
      <c r="BH133" s="312">
        <f t="shared" si="37"/>
        <v>2</v>
      </c>
      <c r="BI133" s="240" t="str">
        <f t="shared" si="38"/>
        <v/>
      </c>
    </row>
    <row r="134" spans="1:67" ht="15" customHeight="1">
      <c r="N134" s="1258">
        <v>4.4000000000000004</v>
      </c>
      <c r="O134" s="1198" t="s">
        <v>397</v>
      </c>
      <c r="P134" s="1162"/>
      <c r="Q134" s="1162"/>
      <c r="R134" s="1162"/>
      <c r="S134" s="1162"/>
      <c r="T134" s="1199"/>
      <c r="U134" s="1205" t="str">
        <f>IF(ISBLANK(AB$5),"",1)</f>
        <v/>
      </c>
      <c r="V134" s="1258">
        <v>4.4000000000000004</v>
      </c>
      <c r="W134" s="1198" t="s">
        <v>397</v>
      </c>
      <c r="X134" s="1162"/>
      <c r="Y134" s="1162"/>
      <c r="Z134" s="1162"/>
      <c r="AA134" s="1162"/>
      <c r="AB134" s="1199"/>
      <c r="AC134" s="1205" t="str">
        <f>IF(ISBLANK(AF$5),"",1)</f>
        <v/>
      </c>
      <c r="AD134" s="1258">
        <v>4.4000000000000004</v>
      </c>
      <c r="AE134" s="1198" t="s">
        <v>397</v>
      </c>
      <c r="AF134" s="1162"/>
      <c r="AG134" s="1162"/>
      <c r="AH134" s="1162"/>
      <c r="AI134" s="1162"/>
      <c r="AJ134" s="1199"/>
      <c r="AK134" s="1205" t="str">
        <f>IF(ISBLANK(AJ$5),"",1)</f>
        <v/>
      </c>
      <c r="AO134" s="247"/>
      <c r="AQ134" s="273">
        <v>1.5</v>
      </c>
      <c r="AR134" s="312">
        <f>COUNTIF($AL$95:$AL$133,AQ134)</f>
        <v>1</v>
      </c>
      <c r="AS134" s="240" t="str">
        <f>IF($AN$5=1,SUMIF($AL$95:$AL$133,AQ134,$AS$95:$AS$133),"")</f>
        <v/>
      </c>
      <c r="AW134" s="247"/>
      <c r="AY134" s="273">
        <v>1.5</v>
      </c>
      <c r="AZ134" s="312">
        <f>COUNTIF($AT$95:$AT$133,AY134)</f>
        <v>1</v>
      </c>
      <c r="BA134" s="240" t="str">
        <f>IF($AR$5=1,SUMIF($AT$95:$AT$133,AY134,$BA$95:$BA$133),"")</f>
        <v/>
      </c>
      <c r="BG134" s="274">
        <v>4.3</v>
      </c>
      <c r="BH134" s="312">
        <f t="shared" si="37"/>
        <v>3</v>
      </c>
      <c r="BI134" s="240" t="str">
        <f t="shared" si="38"/>
        <v/>
      </c>
    </row>
    <row r="135" spans="1:67" ht="15" customHeight="1">
      <c r="N135" s="1258"/>
      <c r="O135" s="1200"/>
      <c r="P135" s="1164"/>
      <c r="Q135" s="1164"/>
      <c r="R135" s="1164"/>
      <c r="S135" s="1164"/>
      <c r="T135" s="1201"/>
      <c r="U135" s="1206"/>
      <c r="V135" s="1258"/>
      <c r="W135" s="1200"/>
      <c r="X135" s="1164"/>
      <c r="Y135" s="1164"/>
      <c r="Z135" s="1164"/>
      <c r="AA135" s="1164"/>
      <c r="AB135" s="1201"/>
      <c r="AC135" s="1206"/>
      <c r="AD135" s="1258"/>
      <c r="AE135" s="1200"/>
      <c r="AF135" s="1164"/>
      <c r="AG135" s="1164"/>
      <c r="AH135" s="1164"/>
      <c r="AI135" s="1164"/>
      <c r="AJ135" s="1201"/>
      <c r="AK135" s="1206"/>
      <c r="AO135" s="248"/>
      <c r="AQ135" s="272">
        <v>2.2000000000000002</v>
      </c>
      <c r="AR135" s="312">
        <f>COUNTIF($AL$95:$AL$133,AQ135)</f>
        <v>2</v>
      </c>
      <c r="AS135" s="240" t="str">
        <f>IF($AN$5=1,SUMIF($AL$95:$AL$133,AQ135,$AS$95:$AS$133),"")</f>
        <v/>
      </c>
      <c r="AW135" s="248"/>
      <c r="AY135" s="272">
        <v>2.2000000000000002</v>
      </c>
      <c r="AZ135" s="312">
        <f t="shared" ref="AZ135:AZ138" si="39">COUNTIF($AT$95:$AT$133,AY135)</f>
        <v>2</v>
      </c>
      <c r="BA135" s="240" t="str">
        <f>IF($AR$5=1,SUMIF($AT$95:$AT$133,AY135,$BA$95:$BA$133),"")</f>
        <v/>
      </c>
      <c r="BG135" s="274">
        <v>4.4000000000000004</v>
      </c>
      <c r="BH135" s="312">
        <f t="shared" si="37"/>
        <v>5</v>
      </c>
      <c r="BI135" s="240" t="str">
        <f t="shared" si="38"/>
        <v/>
      </c>
    </row>
    <row r="136" spans="1:67" ht="15" customHeight="1">
      <c r="N136" s="1258"/>
      <c r="O136" s="1202"/>
      <c r="P136" s="1203"/>
      <c r="Q136" s="1203"/>
      <c r="R136" s="1203"/>
      <c r="S136" s="1203"/>
      <c r="T136" s="1204"/>
      <c r="U136" s="1207"/>
      <c r="V136" s="1258"/>
      <c r="W136" s="1202"/>
      <c r="X136" s="1203"/>
      <c r="Y136" s="1203"/>
      <c r="Z136" s="1203"/>
      <c r="AA136" s="1203"/>
      <c r="AB136" s="1204"/>
      <c r="AC136" s="1207"/>
      <c r="AD136" s="1258"/>
      <c r="AE136" s="1202"/>
      <c r="AF136" s="1203"/>
      <c r="AG136" s="1203"/>
      <c r="AH136" s="1203"/>
      <c r="AI136" s="1203"/>
      <c r="AJ136" s="1204"/>
      <c r="AK136" s="1207"/>
      <c r="AO136" s="248"/>
      <c r="AQ136" s="272">
        <v>2.4</v>
      </c>
      <c r="AR136" s="312">
        <f>COUNTIF($AL$95:$AL$133,AQ136)</f>
        <v>2</v>
      </c>
      <c r="AS136" s="240" t="str">
        <f>IF($AN$5=1,SUMIF($AL$95:$AL$133,AQ136,$AS$95:$AS$133),"")</f>
        <v/>
      </c>
      <c r="AW136" s="248"/>
      <c r="AY136" s="272">
        <v>2.4</v>
      </c>
      <c r="AZ136" s="312">
        <f t="shared" si="39"/>
        <v>2</v>
      </c>
      <c r="BA136" s="240" t="str">
        <f>IF($AR$5=1,SUMIF($AT$95:$AT$133,AY136,$BA$95:$BA$133),"")</f>
        <v/>
      </c>
    </row>
    <row r="137" spans="1:67" ht="15" customHeight="1">
      <c r="N137" s="242"/>
      <c r="O137" s="52"/>
      <c r="Q137" s="247"/>
      <c r="S137" s="273">
        <v>1.5</v>
      </c>
      <c r="T137" s="312">
        <f>COUNTIF($N$95:$N$136,S137)</f>
        <v>1</v>
      </c>
      <c r="U137" s="240" t="str">
        <f>IF($AB$5=1,SUMIF($N$95:$N$136,S137,$U$95:$U$136),"")</f>
        <v/>
      </c>
      <c r="V137" s="247"/>
      <c r="W137" s="52"/>
      <c r="AA137" s="273">
        <v>1.5</v>
      </c>
      <c r="AB137" s="312">
        <f>COUNTIF($V$95:$V$136,AA137)</f>
        <v>1</v>
      </c>
      <c r="AC137" s="240" t="str">
        <f>IF($AF$5=1,SUMIF($V$95:$V$136,AA137,$AC$95:$AC$136),"")</f>
        <v/>
      </c>
      <c r="AD137" s="247"/>
      <c r="AE137" s="247"/>
      <c r="AF137" s="52"/>
      <c r="AI137" s="273">
        <v>1.5</v>
      </c>
      <c r="AJ137" s="312">
        <f>COUNTIF($AD$95:$AD$136,AI137)</f>
        <v>1</v>
      </c>
      <c r="AK137" s="240" t="str">
        <f>IF($AJ$5=1,SUMIF($AD$95:$AD$136,AI137,$AK$95:$AK$136),"")</f>
        <v/>
      </c>
      <c r="AQ137" s="274">
        <v>4.3</v>
      </c>
      <c r="AR137" s="312">
        <f>COUNTIF($AL$95:$AL$133,AQ137)</f>
        <v>3</v>
      </c>
      <c r="AS137" s="240" t="str">
        <f>IF($AN$5=1,SUMIF($AL$95:$AL$133,AQ137,$AS$95:$AS$133),"")</f>
        <v/>
      </c>
      <c r="AY137" s="274">
        <v>4.3</v>
      </c>
      <c r="AZ137" s="312">
        <f t="shared" si="39"/>
        <v>4</v>
      </c>
      <c r="BA137" s="240" t="str">
        <f>IF($AR$5=1,SUMIF($AT$95:$AT$133,AY137,$BA$95:$BA$133),"")</f>
        <v/>
      </c>
    </row>
    <row r="138" spans="1:67" ht="15" customHeight="1">
      <c r="N138" s="242"/>
      <c r="O138" s="52"/>
      <c r="Q138" s="248"/>
      <c r="S138" s="272">
        <v>2.2000000000000002</v>
      </c>
      <c r="T138" s="312">
        <f>COUNTIF($N$95:$N$136,S138)</f>
        <v>1</v>
      </c>
      <c r="U138" s="240" t="str">
        <f>IF($AB$5=1,SUMIF($N$95:$N$136,S138,$U$95:$U$136),"")</f>
        <v/>
      </c>
      <c r="V138" s="248"/>
      <c r="W138" s="52"/>
      <c r="AA138" s="272">
        <v>2.2000000000000002</v>
      </c>
      <c r="AB138" s="312">
        <f>COUNTIF($V$95:$V$136,AA138)</f>
        <v>1</v>
      </c>
      <c r="AC138" s="240" t="str">
        <f>IF($AF$5=1,SUMIF($V$95:$V$136,AA138,$AC$95:$AC$136),"")</f>
        <v/>
      </c>
      <c r="AD138" s="248"/>
      <c r="AE138" s="248"/>
      <c r="AF138" s="52"/>
      <c r="AI138" s="272">
        <v>2.2000000000000002</v>
      </c>
      <c r="AJ138" s="312">
        <f>COUNTIF($AD$95:$AD$136,AI138)</f>
        <v>1</v>
      </c>
      <c r="AK138" s="240" t="str">
        <f>IF($AJ$5=1,SUMIF($AD$95:$AD$136,AI138,$AK$95:$AK$136),"")</f>
        <v/>
      </c>
      <c r="AQ138" s="274">
        <v>4.4000000000000004</v>
      </c>
      <c r="AR138" s="312">
        <f>COUNTIF($AL$95:$AL$133,AQ138)</f>
        <v>5</v>
      </c>
      <c r="AS138" s="240" t="str">
        <f>IF($AN$5=1,SUMIF($AL$95:$AL$133,AQ138,$AS$95:$AS$133),"")</f>
        <v/>
      </c>
      <c r="AY138" s="274">
        <v>4.4000000000000004</v>
      </c>
      <c r="AZ138" s="312">
        <f t="shared" si="39"/>
        <v>4</v>
      </c>
      <c r="BA138" s="240" t="str">
        <f>IF($AR$5=1,SUMIF($AT$95:$AT$133,AY138,$BA$95:$BA$133),"")</f>
        <v/>
      </c>
    </row>
    <row r="139" spans="1:67" ht="15" customHeight="1">
      <c r="N139" s="242"/>
      <c r="O139" s="52"/>
      <c r="Q139" s="248"/>
      <c r="S139" s="272">
        <v>2.4</v>
      </c>
      <c r="T139" s="312">
        <f>COUNTIF($N$95:$N$136,S139)</f>
        <v>3</v>
      </c>
      <c r="U139" s="240" t="str">
        <f>IF($AB$5=1,SUMIF($N$95:$N$136,S139,$U$95:$U$136),"")</f>
        <v/>
      </c>
      <c r="V139" s="248"/>
      <c r="W139" s="52"/>
      <c r="AA139" s="272">
        <v>2.4</v>
      </c>
      <c r="AB139" s="312">
        <f>COUNTIF($V$95:$V$136,AA139)</f>
        <v>2</v>
      </c>
      <c r="AC139" s="240" t="str">
        <f>IF($AF$5=1,SUMIF($V$95:$V$136,AA139,$AC$95:$AC$136),"")</f>
        <v/>
      </c>
      <c r="AD139" s="248"/>
      <c r="AE139" s="248"/>
      <c r="AF139" s="52"/>
      <c r="AI139" s="272">
        <v>2.4</v>
      </c>
      <c r="AJ139" s="312">
        <f>COUNTIF($AD$95:$AD$136,AI139)</f>
        <v>2</v>
      </c>
      <c r="AK139" s="240" t="str">
        <f>IF($AJ$5=1,SUMIF($AD$95:$AD$136,AI139,$AK$95:$AK$136),"")</f>
        <v/>
      </c>
    </row>
    <row r="140" spans="1:67" ht="15" customHeight="1">
      <c r="N140" s="242"/>
      <c r="O140" s="52"/>
      <c r="Q140" s="248"/>
      <c r="S140" s="274">
        <v>4.3</v>
      </c>
      <c r="T140" s="312">
        <f>COUNTIF($N$95:$N$136,S140)</f>
        <v>4</v>
      </c>
      <c r="U140" s="240" t="str">
        <f>IF($AB$5=1,SUMIF($N$95:$N$136,S140,$U$95:$U$136),"")</f>
        <v/>
      </c>
      <c r="V140" s="248"/>
      <c r="W140" s="52"/>
      <c r="AA140" s="274">
        <v>4.3</v>
      </c>
      <c r="AB140" s="312">
        <f>COUNTIF($V$95:$V$136,AA140)</f>
        <v>3</v>
      </c>
      <c r="AC140" s="240" t="str">
        <f>IF($AF$5=1,SUMIF($V$95:$V$136,AA140,$AC$95:$AC$136),"")</f>
        <v/>
      </c>
      <c r="AD140" s="248"/>
      <c r="AE140" s="248"/>
      <c r="AF140" s="52"/>
      <c r="AI140" s="274">
        <v>4.3</v>
      </c>
      <c r="AJ140" s="312">
        <f>COUNTIF($AD$95:$AD$136,AI140)</f>
        <v>4</v>
      </c>
      <c r="AK140" s="240" t="str">
        <f>IF($AJ$5=1,SUMIF($AD$95:$AD$136,AI140,$AK$95:$AK$136),"")</f>
        <v/>
      </c>
    </row>
    <row r="141" spans="1:67" ht="15" customHeight="1">
      <c r="N141" s="242"/>
      <c r="O141" s="52"/>
      <c r="Q141" s="248"/>
      <c r="S141" s="274">
        <v>4.4000000000000004</v>
      </c>
      <c r="T141" s="312">
        <f>COUNTIF($N$95:$N$136,S141)</f>
        <v>5</v>
      </c>
      <c r="U141" s="240" t="str">
        <f>IF($AB$5=1,SUMIF($N$95:$N$136,S141,$U$95:$U$136),"")</f>
        <v/>
      </c>
      <c r="V141" s="248"/>
      <c r="W141" s="52"/>
      <c r="AA141" s="274">
        <v>4.4000000000000004</v>
      </c>
      <c r="AB141" s="312">
        <f>COUNTIF($V$95:$V$136,AA141)</f>
        <v>7</v>
      </c>
      <c r="AC141" s="240" t="str">
        <f>IF($AF$5=1,SUMIF($V$95:$V$136,AA141,$AC$95:$AC$136),"")</f>
        <v/>
      </c>
      <c r="AD141" s="248"/>
      <c r="AE141" s="248"/>
      <c r="AF141" s="52"/>
      <c r="AI141" s="274">
        <v>4.4000000000000004</v>
      </c>
      <c r="AJ141" s="312">
        <f>COUNTIF($AD$95:$AD$136,AI141)</f>
        <v>6</v>
      </c>
      <c r="AK141" s="240" t="str">
        <f>IF($AJ$5=1,SUMIF($AD$95:$AD$136,AI141,$AK$95:$AK$136),"")</f>
        <v/>
      </c>
    </row>
    <row r="142" spans="1:67" ht="15" customHeight="1">
      <c r="A142" s="1171" t="s">
        <v>17</v>
      </c>
      <c r="B142" s="1171"/>
      <c r="C142" s="1171"/>
      <c r="D142" s="1171"/>
      <c r="E142" s="1171"/>
      <c r="F142" s="1171"/>
      <c r="G142" s="1171"/>
      <c r="H142" s="1171"/>
      <c r="I142" s="1171"/>
      <c r="J142" s="1171"/>
      <c r="K142" s="1171"/>
      <c r="L142" s="1171"/>
      <c r="M142" s="1171"/>
      <c r="N142" s="1171"/>
      <c r="O142" s="1171"/>
      <c r="P142" s="1171"/>
      <c r="Q142" s="1171"/>
      <c r="R142" s="1171"/>
      <c r="S142" s="1171"/>
      <c r="T142" s="1171"/>
      <c r="U142" s="1171"/>
      <c r="V142" s="1171"/>
      <c r="W142" s="1171"/>
      <c r="X142" s="1171"/>
      <c r="Y142" s="1171"/>
      <c r="Z142" s="1171"/>
      <c r="AA142" s="1171"/>
      <c r="AB142" s="1171"/>
      <c r="AC142" s="1171"/>
      <c r="AD142" s="1171"/>
      <c r="AE142" s="1171"/>
      <c r="AF142" s="1171"/>
      <c r="AG142" s="1171"/>
      <c r="AH142" s="1171"/>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row>
    <row r="143" spans="1:67" ht="15" customHeight="1">
      <c r="A143" s="1171"/>
      <c r="B143" s="1171"/>
      <c r="C143" s="1171"/>
      <c r="D143" s="1171"/>
      <c r="E143" s="1171"/>
      <c r="F143" s="1171"/>
      <c r="G143" s="1171"/>
      <c r="H143" s="1171"/>
      <c r="I143" s="1171"/>
      <c r="J143" s="1171"/>
      <c r="K143" s="1171"/>
      <c r="L143" s="1171"/>
      <c r="M143" s="1171"/>
      <c r="N143" s="1171"/>
      <c r="O143" s="1171"/>
      <c r="P143" s="1171"/>
      <c r="Q143" s="1171"/>
      <c r="R143" s="1171"/>
      <c r="S143" s="1171"/>
      <c r="T143" s="1171"/>
      <c r="U143" s="1171"/>
      <c r="V143" s="1171"/>
      <c r="W143" s="1171"/>
      <c r="X143" s="1171"/>
      <c r="Y143" s="1171"/>
      <c r="Z143" s="1171"/>
      <c r="AA143" s="1171"/>
      <c r="AB143" s="1171"/>
      <c r="AC143" s="1171"/>
      <c r="AD143" s="117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row>
    <row r="144" spans="1:67" ht="15" customHeight="1">
      <c r="A144" s="1172"/>
      <c r="B144" s="1173" t="s">
        <v>608</v>
      </c>
      <c r="C144" s="1173"/>
      <c r="D144" s="1173"/>
      <c r="E144" s="1173"/>
      <c r="F144" s="1173"/>
      <c r="G144" s="1173"/>
      <c r="H144" s="1174">
        <v>13</v>
      </c>
      <c r="K144" s="242"/>
      <c r="N144" s="1175"/>
      <c r="O144" s="1176" t="s">
        <v>443</v>
      </c>
      <c r="P144" s="1177"/>
      <c r="Q144" s="1177"/>
      <c r="R144" s="1177"/>
      <c r="S144" s="1177"/>
      <c r="T144" s="1177"/>
      <c r="U144" s="1178"/>
      <c r="BJ144" s="1182" t="s">
        <v>263</v>
      </c>
      <c r="BK144" s="1183"/>
      <c r="BL144" s="1183"/>
      <c r="BM144" s="1183"/>
      <c r="BN144" s="1183"/>
      <c r="BO144" s="1184"/>
    </row>
    <row r="145" spans="1:67" ht="15" customHeight="1">
      <c r="A145" s="1172"/>
      <c r="B145" s="1173"/>
      <c r="C145" s="1173"/>
      <c r="D145" s="1173"/>
      <c r="E145" s="1173"/>
      <c r="F145" s="1173"/>
      <c r="G145" s="1173"/>
      <c r="H145" s="1174"/>
      <c r="K145" s="242"/>
      <c r="N145" s="1175"/>
      <c r="O145" s="1179"/>
      <c r="P145" s="1180"/>
      <c r="Q145" s="1180"/>
      <c r="R145" s="1180"/>
      <c r="S145" s="1180"/>
      <c r="T145" s="1180"/>
      <c r="U145" s="1181"/>
      <c r="BJ145" s="1185"/>
      <c r="BK145" s="1186"/>
      <c r="BL145" s="1186"/>
      <c r="BM145" s="1186"/>
      <c r="BN145" s="1186"/>
      <c r="BO145" s="1187"/>
    </row>
    <row r="146" spans="1:67" ht="15" customHeight="1">
      <c r="A146" s="1208">
        <v>1.1000000000000001</v>
      </c>
      <c r="B146" s="1195" t="s">
        <v>316</v>
      </c>
      <c r="C146" s="1195"/>
      <c r="D146" s="1195"/>
      <c r="E146" s="1195"/>
      <c r="F146" s="1195"/>
      <c r="G146" s="1195"/>
      <c r="H146" s="1170" t="str">
        <f>IF(ISBLANK(AZ$5),"",1)</f>
        <v/>
      </c>
      <c r="K146" s="242"/>
      <c r="N146" s="1196">
        <v>4.3</v>
      </c>
      <c r="O146" s="1198" t="s">
        <v>398</v>
      </c>
      <c r="P146" s="1162"/>
      <c r="Q146" s="1162"/>
      <c r="R146" s="1162"/>
      <c r="S146" s="1162"/>
      <c r="T146" s="1199"/>
      <c r="U146" s="1205" t="str">
        <f>IF(ISBLANK(AZ$5),"",1)</f>
        <v/>
      </c>
      <c r="BJ146" s="1188"/>
      <c r="BK146" s="1189"/>
      <c r="BL146" s="1189"/>
      <c r="BM146" s="1189"/>
      <c r="BN146" s="1189"/>
      <c r="BO146" s="1190"/>
    </row>
    <row r="147" spans="1:67" ht="15" customHeight="1">
      <c r="A147" s="1208"/>
      <c r="B147" s="1195"/>
      <c r="C147" s="1195"/>
      <c r="D147" s="1195"/>
      <c r="E147" s="1195"/>
      <c r="F147" s="1195"/>
      <c r="G147" s="1195"/>
      <c r="H147" s="1170"/>
      <c r="K147" s="242"/>
      <c r="N147" s="1197"/>
      <c r="O147" s="1200"/>
      <c r="P147" s="1164"/>
      <c r="Q147" s="1164"/>
      <c r="R147" s="1164"/>
      <c r="S147" s="1164"/>
      <c r="T147" s="1201"/>
      <c r="U147" s="1206"/>
      <c r="BJ147" s="1188"/>
      <c r="BK147" s="1189"/>
      <c r="BL147" s="1189"/>
      <c r="BM147" s="1189"/>
      <c r="BN147" s="1189"/>
      <c r="BO147" s="1190"/>
    </row>
    <row r="148" spans="1:67" ht="15" customHeight="1">
      <c r="A148" s="1208"/>
      <c r="B148" s="1195"/>
      <c r="C148" s="1195"/>
      <c r="D148" s="1195"/>
      <c r="E148" s="1195"/>
      <c r="F148" s="1195"/>
      <c r="G148" s="1195"/>
      <c r="H148" s="1170"/>
      <c r="K148" s="242"/>
      <c r="N148" s="1197"/>
      <c r="O148" s="1202"/>
      <c r="P148" s="1203"/>
      <c r="Q148" s="1203"/>
      <c r="R148" s="1203"/>
      <c r="S148" s="1203"/>
      <c r="T148" s="1204"/>
      <c r="U148" s="1207"/>
      <c r="BJ148" s="1188"/>
      <c r="BK148" s="1189"/>
      <c r="BL148" s="1189"/>
      <c r="BM148" s="1189"/>
      <c r="BN148" s="1189"/>
      <c r="BO148" s="1190"/>
    </row>
    <row r="149" spans="1:67" ht="15" customHeight="1">
      <c r="A149" s="1194">
        <v>2.4</v>
      </c>
      <c r="B149" s="1195" t="s">
        <v>320</v>
      </c>
      <c r="C149" s="1195"/>
      <c r="D149" s="1195"/>
      <c r="E149" s="1195"/>
      <c r="F149" s="1195"/>
      <c r="G149" s="1195"/>
      <c r="H149" s="1170" t="str">
        <f>IF(ISBLANK(AZ$5),"",1)</f>
        <v/>
      </c>
      <c r="K149" s="242"/>
      <c r="N149" s="1196">
        <v>4.3</v>
      </c>
      <c r="O149" s="1198" t="s">
        <v>388</v>
      </c>
      <c r="P149" s="1162"/>
      <c r="Q149" s="1162"/>
      <c r="R149" s="1162"/>
      <c r="S149" s="1162"/>
      <c r="T149" s="1199"/>
      <c r="U149" s="1205" t="str">
        <f>IF(ISBLANK(AZ$5),"",1)</f>
        <v/>
      </c>
      <c r="BJ149" s="1188"/>
      <c r="BK149" s="1189"/>
      <c r="BL149" s="1189"/>
      <c r="BM149" s="1189"/>
      <c r="BN149" s="1189"/>
      <c r="BO149" s="1190"/>
    </row>
    <row r="150" spans="1:67" ht="15" customHeight="1">
      <c r="A150" s="1194"/>
      <c r="B150" s="1195"/>
      <c r="C150" s="1195"/>
      <c r="D150" s="1195"/>
      <c r="E150" s="1195"/>
      <c r="F150" s="1195"/>
      <c r="G150" s="1195"/>
      <c r="H150" s="1170"/>
      <c r="K150" s="242"/>
      <c r="N150" s="1197"/>
      <c r="O150" s="1200"/>
      <c r="P150" s="1164"/>
      <c r="Q150" s="1164"/>
      <c r="R150" s="1164"/>
      <c r="S150" s="1164"/>
      <c r="T150" s="1201"/>
      <c r="U150" s="1206"/>
      <c r="BJ150" s="1188"/>
      <c r="BK150" s="1189"/>
      <c r="BL150" s="1189"/>
      <c r="BM150" s="1189"/>
      <c r="BN150" s="1189"/>
      <c r="BO150" s="1190"/>
    </row>
    <row r="151" spans="1:67" ht="15" customHeight="1">
      <c r="A151" s="1194"/>
      <c r="B151" s="1195"/>
      <c r="C151" s="1195"/>
      <c r="D151" s="1195"/>
      <c r="E151" s="1195"/>
      <c r="F151" s="1195"/>
      <c r="G151" s="1195"/>
      <c r="H151" s="1170"/>
      <c r="K151" s="242"/>
      <c r="N151" s="1197"/>
      <c r="O151" s="1202"/>
      <c r="P151" s="1203"/>
      <c r="Q151" s="1203"/>
      <c r="R151" s="1203"/>
      <c r="S151" s="1203"/>
      <c r="T151" s="1204"/>
      <c r="U151" s="1207"/>
      <c r="BJ151" s="1188"/>
      <c r="BK151" s="1189"/>
      <c r="BL151" s="1189"/>
      <c r="BM151" s="1189"/>
      <c r="BN151" s="1189"/>
      <c r="BO151" s="1190"/>
    </row>
    <row r="152" spans="1:67" ht="15" customHeight="1">
      <c r="A152" s="1208">
        <v>1.1000000000000001</v>
      </c>
      <c r="B152" s="1195" t="s">
        <v>322</v>
      </c>
      <c r="C152" s="1195"/>
      <c r="D152" s="1195"/>
      <c r="E152" s="1195"/>
      <c r="F152" s="1195"/>
      <c r="G152" s="1195"/>
      <c r="H152" s="1170" t="str">
        <f>IF(ISBLANK(AZ$5),"",1)</f>
        <v/>
      </c>
      <c r="K152" s="242"/>
      <c r="N152" s="1196">
        <v>4.3</v>
      </c>
      <c r="O152" s="1198" t="s">
        <v>390</v>
      </c>
      <c r="P152" s="1162"/>
      <c r="Q152" s="1162"/>
      <c r="R152" s="1162"/>
      <c r="S152" s="1162"/>
      <c r="T152" s="1199"/>
      <c r="U152" s="1205" t="str">
        <f>IF(ISBLANK(AZ$5),"",1)</f>
        <v/>
      </c>
      <c r="BJ152" s="1188"/>
      <c r="BK152" s="1189"/>
      <c r="BL152" s="1189"/>
      <c r="BM152" s="1189"/>
      <c r="BN152" s="1189"/>
      <c r="BO152" s="1190"/>
    </row>
    <row r="153" spans="1:67" ht="15" customHeight="1">
      <c r="A153" s="1208"/>
      <c r="B153" s="1195"/>
      <c r="C153" s="1195"/>
      <c r="D153" s="1195"/>
      <c r="E153" s="1195"/>
      <c r="F153" s="1195"/>
      <c r="G153" s="1195"/>
      <c r="H153" s="1170"/>
      <c r="K153" s="242"/>
      <c r="N153" s="1197"/>
      <c r="O153" s="1200"/>
      <c r="P153" s="1164"/>
      <c r="Q153" s="1164"/>
      <c r="R153" s="1164"/>
      <c r="S153" s="1164"/>
      <c r="T153" s="1201"/>
      <c r="U153" s="1206"/>
      <c r="BJ153" s="1188"/>
      <c r="BK153" s="1189"/>
      <c r="BL153" s="1189"/>
      <c r="BM153" s="1189"/>
      <c r="BN153" s="1189"/>
      <c r="BO153" s="1190"/>
    </row>
    <row r="154" spans="1:67" ht="15" customHeight="1">
      <c r="A154" s="1208"/>
      <c r="B154" s="1195"/>
      <c r="C154" s="1195"/>
      <c r="D154" s="1195"/>
      <c r="E154" s="1195"/>
      <c r="F154" s="1195"/>
      <c r="G154" s="1195"/>
      <c r="H154" s="1170"/>
      <c r="K154" s="242"/>
      <c r="N154" s="1197"/>
      <c r="O154" s="1202"/>
      <c r="P154" s="1203"/>
      <c r="Q154" s="1203"/>
      <c r="R154" s="1203"/>
      <c r="S154" s="1203"/>
      <c r="T154" s="1204"/>
      <c r="U154" s="1207"/>
      <c r="BJ154" s="1188"/>
      <c r="BK154" s="1189"/>
      <c r="BL154" s="1189"/>
      <c r="BM154" s="1189"/>
      <c r="BN154" s="1189"/>
      <c r="BO154" s="1190"/>
    </row>
    <row r="155" spans="1:67" ht="15" customHeight="1">
      <c r="A155" s="1194">
        <v>2.1</v>
      </c>
      <c r="B155" s="1195" t="s">
        <v>325</v>
      </c>
      <c r="C155" s="1195"/>
      <c r="D155" s="1195"/>
      <c r="E155" s="1195"/>
      <c r="F155" s="1195"/>
      <c r="G155" s="1195"/>
      <c r="H155" s="1170" t="str">
        <f>IF(ISBLANK(AZ$5),"",1)</f>
        <v/>
      </c>
      <c r="K155" s="242"/>
      <c r="N155" s="1196">
        <v>4.4000000000000004</v>
      </c>
      <c r="O155" s="1198" t="s">
        <v>407</v>
      </c>
      <c r="P155" s="1162"/>
      <c r="Q155" s="1162"/>
      <c r="R155" s="1162"/>
      <c r="S155" s="1162"/>
      <c r="T155" s="1199"/>
      <c r="U155" s="1205" t="str">
        <f>IF(ISBLANK(AZ$5),"",1)</f>
        <v/>
      </c>
      <c r="BJ155" s="1188"/>
      <c r="BK155" s="1189"/>
      <c r="BL155" s="1189"/>
      <c r="BM155" s="1189"/>
      <c r="BN155" s="1189"/>
      <c r="BO155" s="1190"/>
    </row>
    <row r="156" spans="1:67" ht="15" customHeight="1">
      <c r="A156" s="1194"/>
      <c r="B156" s="1195"/>
      <c r="C156" s="1195"/>
      <c r="D156" s="1195"/>
      <c r="E156" s="1195"/>
      <c r="F156" s="1195"/>
      <c r="G156" s="1195"/>
      <c r="H156" s="1170"/>
      <c r="K156" s="242"/>
      <c r="N156" s="1197"/>
      <c r="O156" s="1200"/>
      <c r="P156" s="1164"/>
      <c r="Q156" s="1164"/>
      <c r="R156" s="1164"/>
      <c r="S156" s="1164"/>
      <c r="T156" s="1201"/>
      <c r="U156" s="1206"/>
      <c r="BJ156" s="1188"/>
      <c r="BK156" s="1189"/>
      <c r="BL156" s="1189"/>
      <c r="BM156" s="1189"/>
      <c r="BN156" s="1189"/>
      <c r="BO156" s="1190"/>
    </row>
    <row r="157" spans="1:67" ht="15" customHeight="1">
      <c r="A157" s="1194"/>
      <c r="B157" s="1195"/>
      <c r="C157" s="1195"/>
      <c r="D157" s="1195"/>
      <c r="E157" s="1195"/>
      <c r="F157" s="1195"/>
      <c r="G157" s="1195"/>
      <c r="H157" s="1170"/>
      <c r="K157" s="242"/>
      <c r="N157" s="1197"/>
      <c r="O157" s="1202"/>
      <c r="P157" s="1203"/>
      <c r="Q157" s="1203"/>
      <c r="R157" s="1203"/>
      <c r="S157" s="1203"/>
      <c r="T157" s="1204"/>
      <c r="U157" s="1207"/>
      <c r="BJ157" s="1188"/>
      <c r="BK157" s="1189"/>
      <c r="BL157" s="1189"/>
      <c r="BM157" s="1189"/>
      <c r="BN157" s="1189"/>
      <c r="BO157" s="1190"/>
    </row>
    <row r="158" spans="1:67" ht="15" customHeight="1">
      <c r="A158" s="1208">
        <v>1.1000000000000001</v>
      </c>
      <c r="B158" s="1195" t="s">
        <v>330</v>
      </c>
      <c r="C158" s="1195"/>
      <c r="D158" s="1195"/>
      <c r="E158" s="1195"/>
      <c r="F158" s="1195"/>
      <c r="G158" s="1195"/>
      <c r="H158" s="1170" t="str">
        <f>IF(ISBLANK(AZ$5),"",1)</f>
        <v/>
      </c>
      <c r="K158" s="242"/>
      <c r="N158" s="1304">
        <v>2.2000000000000002</v>
      </c>
      <c r="O158" s="1198" t="s">
        <v>632</v>
      </c>
      <c r="P158" s="1162"/>
      <c r="Q158" s="1162"/>
      <c r="R158" s="1162"/>
      <c r="S158" s="1162"/>
      <c r="T158" s="1199"/>
      <c r="U158" s="1205" t="str">
        <f>IF(ISBLANK(AZ$5),"",1)</f>
        <v/>
      </c>
      <c r="BJ158" s="1188"/>
      <c r="BK158" s="1189"/>
      <c r="BL158" s="1189"/>
      <c r="BM158" s="1189"/>
      <c r="BN158" s="1189"/>
      <c r="BO158" s="1190"/>
    </row>
    <row r="159" spans="1:67" ht="15" customHeight="1">
      <c r="A159" s="1208"/>
      <c r="B159" s="1195"/>
      <c r="C159" s="1195"/>
      <c r="D159" s="1195"/>
      <c r="E159" s="1195"/>
      <c r="F159" s="1195"/>
      <c r="G159" s="1195"/>
      <c r="H159" s="1170"/>
      <c r="K159" s="242"/>
      <c r="N159" s="1290"/>
      <c r="O159" s="1200"/>
      <c r="P159" s="1164"/>
      <c r="Q159" s="1164"/>
      <c r="R159" s="1164"/>
      <c r="S159" s="1164"/>
      <c r="T159" s="1201"/>
      <c r="U159" s="1206"/>
      <c r="BJ159" s="1188"/>
      <c r="BK159" s="1189"/>
      <c r="BL159" s="1189"/>
      <c r="BM159" s="1189"/>
      <c r="BN159" s="1189"/>
      <c r="BO159" s="1190"/>
    </row>
    <row r="160" spans="1:67" ht="15" customHeight="1">
      <c r="A160" s="1208"/>
      <c r="B160" s="1195"/>
      <c r="C160" s="1195"/>
      <c r="D160" s="1195"/>
      <c r="E160" s="1195"/>
      <c r="F160" s="1195"/>
      <c r="G160" s="1195"/>
      <c r="H160" s="1170"/>
      <c r="K160" s="242"/>
      <c r="N160" s="1291"/>
      <c r="O160" s="1202"/>
      <c r="P160" s="1203"/>
      <c r="Q160" s="1203"/>
      <c r="R160" s="1203"/>
      <c r="S160" s="1203"/>
      <c r="T160" s="1204"/>
      <c r="U160" s="1207"/>
      <c r="BJ160" s="1188"/>
      <c r="BK160" s="1189"/>
      <c r="BL160" s="1189"/>
      <c r="BM160" s="1189"/>
      <c r="BN160" s="1189"/>
      <c r="BO160" s="1190"/>
    </row>
    <row r="161" spans="1:67" ht="15" customHeight="1">
      <c r="A161" s="1208">
        <v>1.5</v>
      </c>
      <c r="B161" s="1195" t="s">
        <v>336</v>
      </c>
      <c r="C161" s="1195"/>
      <c r="D161" s="1195"/>
      <c r="E161" s="1195"/>
      <c r="F161" s="1195"/>
      <c r="G161" s="1195"/>
      <c r="H161" s="1170" t="str">
        <f>IF(ISBLANK(AZ$5),"",1)</f>
        <v/>
      </c>
      <c r="K161" s="242"/>
      <c r="N161" s="1304">
        <v>2.2000000000000002</v>
      </c>
      <c r="O161" s="1198" t="s">
        <v>633</v>
      </c>
      <c r="P161" s="1162"/>
      <c r="Q161" s="1162"/>
      <c r="R161" s="1162"/>
      <c r="S161" s="1162"/>
      <c r="T161" s="1199"/>
      <c r="U161" s="1205" t="str">
        <f>IF(ISBLANK(AZ$5),"",1)</f>
        <v/>
      </c>
      <c r="BJ161" s="1188"/>
      <c r="BK161" s="1189"/>
      <c r="BL161" s="1189"/>
      <c r="BM161" s="1189"/>
      <c r="BN161" s="1189"/>
      <c r="BO161" s="1190"/>
    </row>
    <row r="162" spans="1:67" ht="15" customHeight="1">
      <c r="A162" s="1208"/>
      <c r="B162" s="1195"/>
      <c r="C162" s="1195"/>
      <c r="D162" s="1195"/>
      <c r="E162" s="1195"/>
      <c r="F162" s="1195"/>
      <c r="G162" s="1195"/>
      <c r="H162" s="1170"/>
      <c r="K162" s="242"/>
      <c r="N162" s="1290"/>
      <c r="O162" s="1200"/>
      <c r="P162" s="1164"/>
      <c r="Q162" s="1164"/>
      <c r="R162" s="1164"/>
      <c r="S162" s="1164"/>
      <c r="T162" s="1201"/>
      <c r="U162" s="1206"/>
      <c r="BJ162" s="1188"/>
      <c r="BK162" s="1189"/>
      <c r="BL162" s="1189"/>
      <c r="BM162" s="1189"/>
      <c r="BN162" s="1189"/>
      <c r="BO162" s="1190"/>
    </row>
    <row r="163" spans="1:67" ht="15" customHeight="1">
      <c r="A163" s="1208"/>
      <c r="B163" s="1195"/>
      <c r="C163" s="1195"/>
      <c r="D163" s="1195"/>
      <c r="E163" s="1195"/>
      <c r="F163" s="1195"/>
      <c r="G163" s="1195"/>
      <c r="H163" s="1170"/>
      <c r="K163" s="242"/>
      <c r="N163" s="1291"/>
      <c r="O163" s="1202"/>
      <c r="P163" s="1203"/>
      <c r="Q163" s="1203"/>
      <c r="R163" s="1203"/>
      <c r="S163" s="1203"/>
      <c r="T163" s="1204"/>
      <c r="U163" s="1207"/>
      <c r="BJ163" s="1188"/>
      <c r="BK163" s="1189"/>
      <c r="BL163" s="1189"/>
      <c r="BM163" s="1189"/>
      <c r="BN163" s="1189"/>
      <c r="BO163" s="1190"/>
    </row>
    <row r="164" spans="1:67" ht="15" customHeight="1">
      <c r="A164" s="1194">
        <v>2.1</v>
      </c>
      <c r="B164" s="1195" t="s">
        <v>386</v>
      </c>
      <c r="C164" s="1195"/>
      <c r="D164" s="1195"/>
      <c r="E164" s="1195"/>
      <c r="F164" s="1195"/>
      <c r="G164" s="1195"/>
      <c r="H164" s="1170" t="str">
        <f>IF(ISBLANK(AZ$5),"",1)</f>
        <v/>
      </c>
      <c r="K164" s="242"/>
      <c r="N164" s="1196">
        <v>4.3</v>
      </c>
      <c r="O164" s="1198" t="s">
        <v>421</v>
      </c>
      <c r="P164" s="1162"/>
      <c r="Q164" s="1162"/>
      <c r="R164" s="1162"/>
      <c r="S164" s="1162"/>
      <c r="T164" s="1199"/>
      <c r="U164" s="1205" t="str">
        <f>IF(ISBLANK(AZ$5),"",1)</f>
        <v/>
      </c>
      <c r="BJ164" s="1188"/>
      <c r="BK164" s="1189"/>
      <c r="BL164" s="1189"/>
      <c r="BM164" s="1189"/>
      <c r="BN164" s="1189"/>
      <c r="BO164" s="1190"/>
    </row>
    <row r="165" spans="1:67" ht="15" customHeight="1">
      <c r="A165" s="1194"/>
      <c r="B165" s="1195"/>
      <c r="C165" s="1195"/>
      <c r="D165" s="1195"/>
      <c r="E165" s="1195"/>
      <c r="F165" s="1195"/>
      <c r="G165" s="1195"/>
      <c r="H165" s="1170"/>
      <c r="K165" s="242"/>
      <c r="N165" s="1197"/>
      <c r="O165" s="1200"/>
      <c r="P165" s="1164"/>
      <c r="Q165" s="1164"/>
      <c r="R165" s="1164"/>
      <c r="S165" s="1164"/>
      <c r="T165" s="1201"/>
      <c r="U165" s="1206"/>
      <c r="BJ165" s="1188"/>
      <c r="BK165" s="1189"/>
      <c r="BL165" s="1189"/>
      <c r="BM165" s="1189"/>
      <c r="BN165" s="1189"/>
      <c r="BO165" s="1190"/>
    </row>
    <row r="166" spans="1:67" ht="15" customHeight="1">
      <c r="A166" s="1194"/>
      <c r="B166" s="1195"/>
      <c r="C166" s="1195"/>
      <c r="D166" s="1195"/>
      <c r="E166" s="1195"/>
      <c r="F166" s="1195"/>
      <c r="G166" s="1195"/>
      <c r="H166" s="1170"/>
      <c r="K166" s="242"/>
      <c r="N166" s="1197"/>
      <c r="O166" s="1202"/>
      <c r="P166" s="1203"/>
      <c r="Q166" s="1203"/>
      <c r="R166" s="1203"/>
      <c r="S166" s="1203"/>
      <c r="T166" s="1204"/>
      <c r="U166" s="1207"/>
      <c r="BJ166" s="1188"/>
      <c r="BK166" s="1189"/>
      <c r="BL166" s="1189"/>
      <c r="BM166" s="1189"/>
      <c r="BN166" s="1189"/>
      <c r="BO166" s="1190"/>
    </row>
    <row r="167" spans="1:67" ht="15" customHeight="1">
      <c r="A167" s="248"/>
      <c r="B167" s="248"/>
      <c r="F167" s="291">
        <v>1.1000000000000001</v>
      </c>
      <c r="G167" s="311">
        <f>COUNTIF($A$146:$A$166,F167)</f>
        <v>3</v>
      </c>
      <c r="H167" s="240" t="str">
        <f>IF(AZ$5=1,SUMIF($A$146:$A$166,F167,$H$146:$H$166),"")</f>
        <v/>
      </c>
      <c r="K167" s="242"/>
      <c r="N167" s="1196">
        <v>4.4000000000000004</v>
      </c>
      <c r="O167" s="1198" t="s">
        <v>418</v>
      </c>
      <c r="P167" s="1162"/>
      <c r="Q167" s="1162"/>
      <c r="R167" s="1162"/>
      <c r="S167" s="1162"/>
      <c r="T167" s="1199"/>
      <c r="U167" s="1205" t="str">
        <f>IF(ISBLANK(AZ$5),"",1)</f>
        <v/>
      </c>
      <c r="BJ167" s="1188"/>
      <c r="BK167" s="1189"/>
      <c r="BL167" s="1189"/>
      <c r="BM167" s="1189"/>
      <c r="BN167" s="1189"/>
      <c r="BO167" s="1190"/>
    </row>
    <row r="168" spans="1:67" ht="15" customHeight="1">
      <c r="A168" s="248"/>
      <c r="B168" s="248"/>
      <c r="F168" s="290">
        <v>1.5</v>
      </c>
      <c r="G168" s="311">
        <f>COUNTIF($A$146:$A$166,F168)</f>
        <v>1</v>
      </c>
      <c r="H168" s="240" t="str">
        <f>IF(AZ$5=1,SUMIF($A$146:$A$166,F168,$H$146:$H$166),"")</f>
        <v/>
      </c>
      <c r="K168" s="242"/>
      <c r="N168" s="1197"/>
      <c r="O168" s="1200"/>
      <c r="P168" s="1164"/>
      <c r="Q168" s="1164"/>
      <c r="R168" s="1164"/>
      <c r="S168" s="1164"/>
      <c r="T168" s="1201"/>
      <c r="U168" s="1206"/>
      <c r="BJ168" s="1188"/>
      <c r="BK168" s="1189"/>
      <c r="BL168" s="1189"/>
      <c r="BM168" s="1189"/>
      <c r="BN168" s="1189"/>
      <c r="BO168" s="1190"/>
    </row>
    <row r="169" spans="1:67" ht="15" customHeight="1">
      <c r="F169" s="286">
        <v>2.1</v>
      </c>
      <c r="G169" s="311">
        <f>COUNTIF($A$146:$A$166,F169)</f>
        <v>2</v>
      </c>
      <c r="H169" s="240" t="str">
        <f>IF(AZ$5=1,SUMIF($A$146:$A$166,F169,$H$146:$H$166),"")</f>
        <v/>
      </c>
      <c r="N169" s="1197"/>
      <c r="O169" s="1202"/>
      <c r="P169" s="1203"/>
      <c r="Q169" s="1203"/>
      <c r="R169" s="1203"/>
      <c r="S169" s="1203"/>
      <c r="T169" s="1204"/>
      <c r="U169" s="1207"/>
      <c r="BJ169" s="1188"/>
      <c r="BK169" s="1189"/>
      <c r="BL169" s="1189"/>
      <c r="BM169" s="1189"/>
      <c r="BN169" s="1189"/>
      <c r="BO169" s="1190"/>
    </row>
    <row r="170" spans="1:67" ht="15" customHeight="1">
      <c r="F170" s="285">
        <v>2.4</v>
      </c>
      <c r="G170" s="311">
        <f>COUNTIF($A$146:$A$166,F170)</f>
        <v>1</v>
      </c>
      <c r="H170" s="240" t="str">
        <f>IF(AZ$5=1,SUMIF($A$146:$A$166,F170,$H$146:$H$166),"")</f>
        <v/>
      </c>
      <c r="N170" s="1196">
        <v>4.4000000000000004</v>
      </c>
      <c r="O170" s="1198" t="s">
        <v>417</v>
      </c>
      <c r="P170" s="1162"/>
      <c r="Q170" s="1162"/>
      <c r="R170" s="1162"/>
      <c r="S170" s="1162"/>
      <c r="T170" s="1199"/>
      <c r="U170" s="1205" t="str">
        <f>IF(ISBLANK(AZ$5),"",1)</f>
        <v/>
      </c>
      <c r="BJ170" s="1188"/>
      <c r="BK170" s="1189"/>
      <c r="BL170" s="1189"/>
      <c r="BM170" s="1189"/>
      <c r="BN170" s="1189"/>
      <c r="BO170" s="1190"/>
    </row>
    <row r="171" spans="1:67" ht="15" customHeight="1">
      <c r="N171" s="1197"/>
      <c r="O171" s="1200"/>
      <c r="P171" s="1164"/>
      <c r="Q171" s="1164"/>
      <c r="R171" s="1164"/>
      <c r="S171" s="1164"/>
      <c r="T171" s="1201"/>
      <c r="U171" s="1206"/>
      <c r="BJ171" s="1188"/>
      <c r="BK171" s="1189"/>
      <c r="BL171" s="1189"/>
      <c r="BM171" s="1189"/>
      <c r="BN171" s="1189"/>
      <c r="BO171" s="1190"/>
    </row>
    <row r="172" spans="1:67" ht="15" customHeight="1">
      <c r="A172" s="1209"/>
      <c r="B172" s="1210" t="s">
        <v>609</v>
      </c>
      <c r="C172" s="1211"/>
      <c r="D172" s="1211"/>
      <c r="E172" s="1211"/>
      <c r="F172" s="1211"/>
      <c r="G172" s="1211"/>
      <c r="H172" s="1174">
        <v>13</v>
      </c>
      <c r="N172" s="1197"/>
      <c r="O172" s="1202"/>
      <c r="P172" s="1203"/>
      <c r="Q172" s="1203"/>
      <c r="R172" s="1203"/>
      <c r="S172" s="1203"/>
      <c r="T172" s="1204"/>
      <c r="U172" s="1207"/>
      <c r="BJ172" s="1188"/>
      <c r="BK172" s="1189"/>
      <c r="BL172" s="1189"/>
      <c r="BM172" s="1189"/>
      <c r="BN172" s="1189"/>
      <c r="BO172" s="1190"/>
    </row>
    <row r="173" spans="1:67" ht="15" customHeight="1">
      <c r="A173" s="1209"/>
      <c r="B173" s="1212"/>
      <c r="C173" s="1213"/>
      <c r="D173" s="1213"/>
      <c r="E173" s="1213"/>
      <c r="F173" s="1213"/>
      <c r="G173" s="1213"/>
      <c r="H173" s="1174"/>
      <c r="N173" s="1196">
        <v>4.4000000000000004</v>
      </c>
      <c r="O173" s="1198" t="s">
        <v>422</v>
      </c>
      <c r="P173" s="1162"/>
      <c r="Q173" s="1162"/>
      <c r="R173" s="1162"/>
      <c r="S173" s="1162"/>
      <c r="T173" s="1199"/>
      <c r="U173" s="1205" t="str">
        <f>IF(ISBLANK(AZ$5),"",1)</f>
        <v/>
      </c>
      <c r="BJ173" s="1188"/>
      <c r="BK173" s="1189"/>
      <c r="BL173" s="1189"/>
      <c r="BM173" s="1189"/>
      <c r="BN173" s="1189"/>
      <c r="BO173" s="1190"/>
    </row>
    <row r="174" spans="1:67" ht="15" customHeight="1">
      <c r="A174" s="1159">
        <v>3.1</v>
      </c>
      <c r="B174" s="1161" t="s">
        <v>366</v>
      </c>
      <c r="C174" s="1162"/>
      <c r="D174" s="1162"/>
      <c r="E174" s="1162"/>
      <c r="F174" s="1162"/>
      <c r="G174" s="1162"/>
      <c r="H174" s="1167" t="str">
        <f>IF(ISBLANK(AZ$5),"",1)</f>
        <v/>
      </c>
      <c r="N174" s="1197"/>
      <c r="O174" s="1200"/>
      <c r="P174" s="1164"/>
      <c r="Q174" s="1164"/>
      <c r="R174" s="1164"/>
      <c r="S174" s="1164"/>
      <c r="T174" s="1201"/>
      <c r="U174" s="1206"/>
      <c r="BJ174" s="1191"/>
      <c r="BK174" s="1192"/>
      <c r="BL174" s="1192"/>
      <c r="BM174" s="1192"/>
      <c r="BN174" s="1192"/>
      <c r="BO174" s="1193"/>
    </row>
    <row r="175" spans="1:67" ht="15" customHeight="1">
      <c r="A175" s="1159"/>
      <c r="B175" s="1163"/>
      <c r="C175" s="1164"/>
      <c r="D175" s="1164"/>
      <c r="E175" s="1164"/>
      <c r="F175" s="1164"/>
      <c r="G175" s="1164"/>
      <c r="H175" s="1167"/>
      <c r="N175" s="1197"/>
      <c r="O175" s="1202"/>
      <c r="P175" s="1203"/>
      <c r="Q175" s="1203"/>
      <c r="R175" s="1203"/>
      <c r="S175" s="1203"/>
      <c r="T175" s="1204"/>
      <c r="U175" s="1207"/>
    </row>
    <row r="176" spans="1:67" ht="15" customHeight="1">
      <c r="A176" s="1160"/>
      <c r="B176" s="1165"/>
      <c r="C176" s="1166"/>
      <c r="D176" s="1166"/>
      <c r="E176" s="1166"/>
      <c r="F176" s="1166"/>
      <c r="G176" s="1166"/>
      <c r="H176" s="1167"/>
      <c r="N176" s="1196">
        <v>4.4000000000000004</v>
      </c>
      <c r="O176" s="1198" t="s">
        <v>420</v>
      </c>
      <c r="P176" s="1162"/>
      <c r="Q176" s="1162"/>
      <c r="R176" s="1162"/>
      <c r="S176" s="1162"/>
      <c r="T176" s="1199"/>
      <c r="U176" s="1205" t="str">
        <f>IF(ISBLANK(AZ$5),"",1)</f>
        <v/>
      </c>
    </row>
    <row r="177" spans="1:21" ht="15" customHeight="1">
      <c r="A177" s="1168" t="s">
        <v>637</v>
      </c>
      <c r="B177" s="1168"/>
      <c r="C177" s="1168"/>
      <c r="D177" s="1168"/>
      <c r="E177" s="1169"/>
      <c r="F177" s="409">
        <v>3.1</v>
      </c>
      <c r="G177" s="311">
        <f>COUNTIF(A174,F177)</f>
        <v>1</v>
      </c>
      <c r="H177" s="240" t="str">
        <f>IF($AZ$5=1,SUMIF($A$174,$F$177,H174),"")</f>
        <v/>
      </c>
      <c r="N177" s="1197"/>
      <c r="O177" s="1200"/>
      <c r="P177" s="1164"/>
      <c r="Q177" s="1164"/>
      <c r="R177" s="1164"/>
      <c r="S177" s="1164"/>
      <c r="T177" s="1201"/>
      <c r="U177" s="1206"/>
    </row>
    <row r="178" spans="1:21" ht="15" customHeight="1">
      <c r="N178" s="1197"/>
      <c r="O178" s="1202"/>
      <c r="P178" s="1203"/>
      <c r="Q178" s="1203"/>
      <c r="R178" s="1203"/>
      <c r="S178" s="1203"/>
      <c r="T178" s="1204"/>
      <c r="U178" s="1207"/>
    </row>
    <row r="179" spans="1:21" ht="15" customHeight="1">
      <c r="N179" s="1304">
        <v>2.4</v>
      </c>
      <c r="O179" s="1198" t="s">
        <v>359</v>
      </c>
      <c r="P179" s="1162"/>
      <c r="Q179" s="1162"/>
      <c r="R179" s="1162"/>
      <c r="S179" s="1162"/>
      <c r="T179" s="1199"/>
      <c r="U179" s="1205" t="str">
        <f>IF(ISBLANK(AZ$5),"",1)</f>
        <v/>
      </c>
    </row>
    <row r="180" spans="1:21" ht="15" customHeight="1">
      <c r="N180" s="1290"/>
      <c r="O180" s="1200"/>
      <c r="P180" s="1164"/>
      <c r="Q180" s="1164"/>
      <c r="R180" s="1164"/>
      <c r="S180" s="1164"/>
      <c r="T180" s="1201"/>
      <c r="U180" s="1206"/>
    </row>
    <row r="181" spans="1:21" ht="15" customHeight="1">
      <c r="N181" s="1291"/>
      <c r="O181" s="1202"/>
      <c r="P181" s="1203"/>
      <c r="Q181" s="1203"/>
      <c r="R181" s="1203"/>
      <c r="S181" s="1203"/>
      <c r="T181" s="1204"/>
      <c r="U181" s="1207"/>
    </row>
    <row r="182" spans="1:21" ht="15" customHeight="1">
      <c r="N182" s="1196">
        <v>4.4000000000000004</v>
      </c>
      <c r="O182" s="1198" t="s">
        <v>395</v>
      </c>
      <c r="P182" s="1162"/>
      <c r="Q182" s="1162"/>
      <c r="R182" s="1162"/>
      <c r="S182" s="1162"/>
      <c r="T182" s="1199"/>
      <c r="U182" s="1205" t="str">
        <f>IF(ISBLANK(AZ$5),"",1)</f>
        <v/>
      </c>
    </row>
    <row r="183" spans="1:21" ht="15" customHeight="1">
      <c r="N183" s="1197"/>
      <c r="O183" s="1200"/>
      <c r="P183" s="1164"/>
      <c r="Q183" s="1164"/>
      <c r="R183" s="1164"/>
      <c r="S183" s="1164"/>
      <c r="T183" s="1201"/>
      <c r="U183" s="1206"/>
    </row>
    <row r="184" spans="1:21" ht="15" customHeight="1">
      <c r="N184" s="1197"/>
      <c r="O184" s="1202"/>
      <c r="P184" s="1203"/>
      <c r="Q184" s="1203"/>
      <c r="R184" s="1203"/>
      <c r="S184" s="1203"/>
      <c r="T184" s="1204"/>
      <c r="U184" s="1207"/>
    </row>
    <row r="185" spans="1:21" ht="15" customHeight="1">
      <c r="N185" s="1304">
        <v>2.4</v>
      </c>
      <c r="O185" s="1198" t="s">
        <v>363</v>
      </c>
      <c r="P185" s="1162"/>
      <c r="Q185" s="1162"/>
      <c r="R185" s="1162"/>
      <c r="S185" s="1162"/>
      <c r="T185" s="1199"/>
      <c r="U185" s="1205" t="str">
        <f>IF(ISBLANK(AZ$5),"",1)</f>
        <v/>
      </c>
    </row>
    <row r="186" spans="1:21" ht="15" customHeight="1">
      <c r="N186" s="1290"/>
      <c r="O186" s="1200"/>
      <c r="P186" s="1164"/>
      <c r="Q186" s="1164"/>
      <c r="R186" s="1164"/>
      <c r="S186" s="1164"/>
      <c r="T186" s="1201"/>
      <c r="U186" s="1206"/>
    </row>
    <row r="187" spans="1:21" ht="15" customHeight="1">
      <c r="N187" s="1291"/>
      <c r="O187" s="1202"/>
      <c r="P187" s="1203"/>
      <c r="Q187" s="1203"/>
      <c r="R187" s="1203"/>
      <c r="S187" s="1203"/>
      <c r="T187" s="1204"/>
      <c r="U187" s="1207"/>
    </row>
    <row r="188" spans="1:21" ht="15" customHeight="1">
      <c r="N188" s="1307">
        <v>1.5</v>
      </c>
      <c r="O188" s="1198" t="s">
        <v>373</v>
      </c>
      <c r="P188" s="1162"/>
      <c r="Q188" s="1162"/>
      <c r="R188" s="1162"/>
      <c r="S188" s="1162"/>
      <c r="T188" s="1199"/>
      <c r="U188" s="1205" t="str">
        <f>IF(ISBLANK(AZ$5),"",1)</f>
        <v/>
      </c>
    </row>
    <row r="189" spans="1:21" ht="15" customHeight="1">
      <c r="N189" s="1308"/>
      <c r="O189" s="1200"/>
      <c r="P189" s="1164"/>
      <c r="Q189" s="1164"/>
      <c r="R189" s="1164"/>
      <c r="S189" s="1164"/>
      <c r="T189" s="1201"/>
      <c r="U189" s="1206"/>
    </row>
    <row r="190" spans="1:21" ht="15" customHeight="1">
      <c r="N190" s="1309"/>
      <c r="O190" s="1202"/>
      <c r="P190" s="1203"/>
      <c r="Q190" s="1203"/>
      <c r="R190" s="1203"/>
      <c r="S190" s="1203"/>
      <c r="T190" s="1204"/>
      <c r="U190" s="1207"/>
    </row>
    <row r="191" spans="1:21" ht="15" customHeight="1">
      <c r="N191" s="1196">
        <v>4.4000000000000004</v>
      </c>
      <c r="O191" s="1198" t="s">
        <v>397</v>
      </c>
      <c r="P191" s="1162"/>
      <c r="Q191" s="1162"/>
      <c r="R191" s="1162"/>
      <c r="S191" s="1162"/>
      <c r="T191" s="1199"/>
      <c r="U191" s="1205" t="str">
        <f>IF(ISBLANK(AZ$5),"",1)</f>
        <v/>
      </c>
    </row>
    <row r="192" spans="1:21" ht="15" customHeight="1">
      <c r="N192" s="1197"/>
      <c r="O192" s="1200"/>
      <c r="P192" s="1164"/>
      <c r="Q192" s="1164"/>
      <c r="R192" s="1164"/>
      <c r="S192" s="1164"/>
      <c r="T192" s="1201"/>
      <c r="U192" s="1206"/>
    </row>
    <row r="193" spans="14:21" ht="15" customHeight="1">
      <c r="N193" s="1197"/>
      <c r="O193" s="1202"/>
      <c r="P193" s="1203"/>
      <c r="Q193" s="1203"/>
      <c r="R193" s="1203"/>
      <c r="S193" s="1203"/>
      <c r="T193" s="1204"/>
      <c r="U193" s="1207"/>
    </row>
    <row r="194" spans="14:21" ht="15" customHeight="1">
      <c r="N194" s="242"/>
      <c r="O194" s="52"/>
      <c r="S194" s="273">
        <v>1.5</v>
      </c>
      <c r="T194" s="312">
        <f>COUNTIF($N$146:$N$193,S194)</f>
        <v>1</v>
      </c>
      <c r="U194" s="240" t="str">
        <f>IF($AZ$5=1,SUMIF($N$146:$N$193,S194,$U$146:$U$193),"")</f>
        <v/>
      </c>
    </row>
    <row r="195" spans="14:21" ht="15" customHeight="1">
      <c r="N195" s="242"/>
      <c r="O195" s="52"/>
      <c r="S195" s="272">
        <v>2.2000000000000002</v>
      </c>
      <c r="T195" s="312">
        <f>COUNTIF($N$146:$N$193,S195)</f>
        <v>2</v>
      </c>
      <c r="U195" s="240" t="str">
        <f>IF($AZ$5=1,SUMIF($N$146:$N$193,S195,$U$146:$U$193),"")</f>
        <v/>
      </c>
    </row>
    <row r="196" spans="14:21" ht="15" customHeight="1">
      <c r="N196" s="242"/>
      <c r="O196" s="52"/>
      <c r="S196" s="272">
        <v>2.4</v>
      </c>
      <c r="T196" s="312">
        <f>COUNTIF($N$146:$N$193,S196)</f>
        <v>2</v>
      </c>
      <c r="U196" s="240" t="str">
        <f>IF($AZ$5=1,SUMIF($N$146:$N$193,S196,$U$146:$U$193),"")</f>
        <v/>
      </c>
    </row>
    <row r="197" spans="14:21" ht="15" customHeight="1">
      <c r="S197" s="274">
        <v>4.3</v>
      </c>
      <c r="T197" s="312">
        <f>COUNTIF($N$146:$N$193,S197)</f>
        <v>4</v>
      </c>
      <c r="U197" s="240" t="str">
        <f>IF($AZ$5=1,SUMIF($N$146:$N$193,S197,$U$146:$U$193),"")</f>
        <v/>
      </c>
    </row>
    <row r="198" spans="14:21" ht="15" customHeight="1">
      <c r="S198" s="274">
        <v>4.4000000000000004</v>
      </c>
      <c r="T198" s="312">
        <f>COUNTIF($N$146:$N$193,S198)</f>
        <v>7</v>
      </c>
      <c r="U198" s="240" t="str">
        <f>IF($AZ$5=1,SUMIF($N$146:$N$193,S198,$U$146:$U$193),"")</f>
        <v/>
      </c>
    </row>
  </sheetData>
  <sheetProtection sheet="1" objects="1" scenarios="1"/>
  <customSheetViews>
    <customSheetView guid="{B4419C5D-1877-4ABB-A46F-9E0AFFC75B59}" scale="85" showPageBreaks="1" showGridLines="0" fitToPage="1" state="hidden" view="pageBreakPreview">
      <pane ySplit="6" topLeftCell="A7" activePane="bottomLeft" state="frozen"/>
      <selection pane="bottomLeft" activeCell="AK28" sqref="AK28"/>
      <rowBreaks count="3" manualBreakCount="3">
        <brk id="45" max="16383" man="1"/>
        <brk id="90" max="16383" man="1"/>
        <brk id="141" max="16383" man="1"/>
      </rowBreaks>
      <pageMargins left="0.23622047244094491" right="0.23622047244094491" top="0" bottom="0" header="0" footer="0.31496062992125984"/>
      <printOptions horizontalCentered="1"/>
      <pageSetup paperSize="9" scale="76" fitToHeight="0" orientation="landscape" r:id="rId1"/>
    </customSheetView>
  </customSheetViews>
  <mergeCells count="859">
    <mergeCell ref="N191:N193"/>
    <mergeCell ref="O191:T193"/>
    <mergeCell ref="U191:U193"/>
    <mergeCell ref="BJ9:BO9"/>
    <mergeCell ref="BJ10:BO39"/>
    <mergeCell ref="N185:N187"/>
    <mergeCell ref="O185:T187"/>
    <mergeCell ref="U185:U187"/>
    <mergeCell ref="N188:N190"/>
    <mergeCell ref="O188:T190"/>
    <mergeCell ref="U188:U190"/>
    <mergeCell ref="N179:N181"/>
    <mergeCell ref="O179:T181"/>
    <mergeCell ref="U179:U181"/>
    <mergeCell ref="N182:N184"/>
    <mergeCell ref="O182:T184"/>
    <mergeCell ref="U182:U184"/>
    <mergeCell ref="N173:N175"/>
    <mergeCell ref="O173:T175"/>
    <mergeCell ref="U173:U175"/>
    <mergeCell ref="N176:N178"/>
    <mergeCell ref="O176:T178"/>
    <mergeCell ref="U176:U178"/>
    <mergeCell ref="N167:N169"/>
    <mergeCell ref="O167:T169"/>
    <mergeCell ref="U167:U169"/>
    <mergeCell ref="N170:N172"/>
    <mergeCell ref="O170:T172"/>
    <mergeCell ref="U170:U172"/>
    <mergeCell ref="A164:A166"/>
    <mergeCell ref="B164:G166"/>
    <mergeCell ref="H164:H166"/>
    <mergeCell ref="N164:N166"/>
    <mergeCell ref="O164:T166"/>
    <mergeCell ref="U164:U166"/>
    <mergeCell ref="A172:A173"/>
    <mergeCell ref="B172:G173"/>
    <mergeCell ref="H172:H173"/>
    <mergeCell ref="A161:A163"/>
    <mergeCell ref="B161:G163"/>
    <mergeCell ref="H161:H163"/>
    <mergeCell ref="N161:N163"/>
    <mergeCell ref="O161:T163"/>
    <mergeCell ref="U161:U163"/>
    <mergeCell ref="A158:A160"/>
    <mergeCell ref="B158:G160"/>
    <mergeCell ref="H158:H160"/>
    <mergeCell ref="N158:N160"/>
    <mergeCell ref="O158:T160"/>
    <mergeCell ref="U158:U160"/>
    <mergeCell ref="B146:G148"/>
    <mergeCell ref="H146:H148"/>
    <mergeCell ref="N146:N148"/>
    <mergeCell ref="O146:T148"/>
    <mergeCell ref="U146:U148"/>
    <mergeCell ref="A155:A157"/>
    <mergeCell ref="B155:G157"/>
    <mergeCell ref="H155:H157"/>
    <mergeCell ref="N155:N157"/>
    <mergeCell ref="O155:T157"/>
    <mergeCell ref="U155:U157"/>
    <mergeCell ref="A152:A154"/>
    <mergeCell ref="B152:G154"/>
    <mergeCell ref="H152:H154"/>
    <mergeCell ref="N152:N154"/>
    <mergeCell ref="O152:T154"/>
    <mergeCell ref="U152:U154"/>
    <mergeCell ref="AT131:AT133"/>
    <mergeCell ref="AU131:AZ133"/>
    <mergeCell ref="BA131:BA133"/>
    <mergeCell ref="N134:N136"/>
    <mergeCell ref="O134:T136"/>
    <mergeCell ref="U134:U136"/>
    <mergeCell ref="V134:V136"/>
    <mergeCell ref="W134:AB136"/>
    <mergeCell ref="AC134:AC136"/>
    <mergeCell ref="AD134:AD136"/>
    <mergeCell ref="AD131:AD133"/>
    <mergeCell ref="AE131:AJ133"/>
    <mergeCell ref="AK131:AK133"/>
    <mergeCell ref="AL131:AL133"/>
    <mergeCell ref="AM131:AR133"/>
    <mergeCell ref="AS131:AS133"/>
    <mergeCell ref="N131:N133"/>
    <mergeCell ref="O131:T133"/>
    <mergeCell ref="U131:U133"/>
    <mergeCell ref="V131:V133"/>
    <mergeCell ref="W131:AB133"/>
    <mergeCell ref="AC131:AC133"/>
    <mergeCell ref="AE134:AJ136"/>
    <mergeCell ref="AK134:AK136"/>
    <mergeCell ref="BB128:BB130"/>
    <mergeCell ref="BC128:BH130"/>
    <mergeCell ref="BI128:BI130"/>
    <mergeCell ref="AD128:AD130"/>
    <mergeCell ref="AE128:AJ130"/>
    <mergeCell ref="AK128:AK130"/>
    <mergeCell ref="AL128:AL130"/>
    <mergeCell ref="AM128:AR130"/>
    <mergeCell ref="AS128:AS130"/>
    <mergeCell ref="N128:N130"/>
    <mergeCell ref="O128:T130"/>
    <mergeCell ref="U128:U130"/>
    <mergeCell ref="V128:V130"/>
    <mergeCell ref="W128:AB130"/>
    <mergeCell ref="AC128:AC130"/>
    <mergeCell ref="AT125:AT127"/>
    <mergeCell ref="AU125:AZ127"/>
    <mergeCell ref="BA125:BA127"/>
    <mergeCell ref="N125:N127"/>
    <mergeCell ref="O125:T127"/>
    <mergeCell ref="U125:U127"/>
    <mergeCell ref="V125:V127"/>
    <mergeCell ref="W125:AB127"/>
    <mergeCell ref="AC125:AC127"/>
    <mergeCell ref="AT128:AT130"/>
    <mergeCell ref="AU128:AZ130"/>
    <mergeCell ref="BA128:BA130"/>
    <mergeCell ref="BB125:BB127"/>
    <mergeCell ref="BC125:BH127"/>
    <mergeCell ref="BI125:BI127"/>
    <mergeCell ref="AD125:AD127"/>
    <mergeCell ref="AE125:AJ127"/>
    <mergeCell ref="AK125:AK127"/>
    <mergeCell ref="AL125:AL127"/>
    <mergeCell ref="AM125:AR127"/>
    <mergeCell ref="AS125:AS127"/>
    <mergeCell ref="BB122:BB124"/>
    <mergeCell ref="BC122:BH124"/>
    <mergeCell ref="BI122:BI124"/>
    <mergeCell ref="AD122:AD124"/>
    <mergeCell ref="AE122:AJ124"/>
    <mergeCell ref="AK122:AK124"/>
    <mergeCell ref="AL122:AL124"/>
    <mergeCell ref="AM122:AR124"/>
    <mergeCell ref="AS122:AS124"/>
    <mergeCell ref="N122:N124"/>
    <mergeCell ref="O122:T124"/>
    <mergeCell ref="U122:U124"/>
    <mergeCell ref="V122:V124"/>
    <mergeCell ref="W122:AB124"/>
    <mergeCell ref="AC122:AC124"/>
    <mergeCell ref="AT119:AT121"/>
    <mergeCell ref="AU119:AZ121"/>
    <mergeCell ref="BA119:BA121"/>
    <mergeCell ref="AT122:AT124"/>
    <mergeCell ref="AU122:AZ124"/>
    <mergeCell ref="BA122:BA124"/>
    <mergeCell ref="BC116:BH118"/>
    <mergeCell ref="BI116:BI118"/>
    <mergeCell ref="N119:N121"/>
    <mergeCell ref="O119:T121"/>
    <mergeCell ref="U119:U121"/>
    <mergeCell ref="V119:V121"/>
    <mergeCell ref="W119:AB121"/>
    <mergeCell ref="AC119:AC121"/>
    <mergeCell ref="AK116:AK118"/>
    <mergeCell ref="AL116:AL118"/>
    <mergeCell ref="AM116:AR118"/>
    <mergeCell ref="AS116:AS118"/>
    <mergeCell ref="AT116:AT118"/>
    <mergeCell ref="AU116:AZ118"/>
    <mergeCell ref="BB119:BB121"/>
    <mergeCell ref="BC119:BH121"/>
    <mergeCell ref="BI119:BI121"/>
    <mergeCell ref="AD119:AD121"/>
    <mergeCell ref="AE119:AJ121"/>
    <mergeCell ref="AK119:AK121"/>
    <mergeCell ref="AL119:AL121"/>
    <mergeCell ref="AM119:AR121"/>
    <mergeCell ref="AS119:AS121"/>
    <mergeCell ref="BC113:BH115"/>
    <mergeCell ref="BI113:BI115"/>
    <mergeCell ref="N116:N118"/>
    <mergeCell ref="O116:T118"/>
    <mergeCell ref="U116:U118"/>
    <mergeCell ref="V116:V118"/>
    <mergeCell ref="W116:AB118"/>
    <mergeCell ref="AC116:AC118"/>
    <mergeCell ref="AD116:AD118"/>
    <mergeCell ref="AE116:AJ118"/>
    <mergeCell ref="AM113:AR115"/>
    <mergeCell ref="AS113:AS115"/>
    <mergeCell ref="AT113:AT115"/>
    <mergeCell ref="AU113:AZ115"/>
    <mergeCell ref="BA113:BA115"/>
    <mergeCell ref="BB113:BB115"/>
    <mergeCell ref="W113:AB115"/>
    <mergeCell ref="AC113:AC115"/>
    <mergeCell ref="AD113:AD115"/>
    <mergeCell ref="AE113:AJ115"/>
    <mergeCell ref="AK113:AK115"/>
    <mergeCell ref="AL113:AL115"/>
    <mergeCell ref="BA116:BA118"/>
    <mergeCell ref="BB116:BB118"/>
    <mergeCell ref="W110:AB112"/>
    <mergeCell ref="AC110:AC112"/>
    <mergeCell ref="A107:A109"/>
    <mergeCell ref="L113:L115"/>
    <mergeCell ref="M113:M115"/>
    <mergeCell ref="N113:N115"/>
    <mergeCell ref="O113:T115"/>
    <mergeCell ref="U113:U115"/>
    <mergeCell ref="V113:V115"/>
    <mergeCell ref="A113:A115"/>
    <mergeCell ref="B113:G115"/>
    <mergeCell ref="H113:H115"/>
    <mergeCell ref="I113:I115"/>
    <mergeCell ref="J113:J115"/>
    <mergeCell ref="K113:K115"/>
    <mergeCell ref="AT110:AT112"/>
    <mergeCell ref="AU110:AZ112"/>
    <mergeCell ref="BA110:BA112"/>
    <mergeCell ref="BB110:BB112"/>
    <mergeCell ref="BC110:BH112"/>
    <mergeCell ref="BI110:BI112"/>
    <mergeCell ref="AS110:AS112"/>
    <mergeCell ref="A110:A112"/>
    <mergeCell ref="B110:G112"/>
    <mergeCell ref="H110:H112"/>
    <mergeCell ref="I110:I112"/>
    <mergeCell ref="J110:J112"/>
    <mergeCell ref="K110:K112"/>
    <mergeCell ref="L110:L112"/>
    <mergeCell ref="M110:M112"/>
    <mergeCell ref="AD110:AD112"/>
    <mergeCell ref="AE110:AJ112"/>
    <mergeCell ref="AK110:AK112"/>
    <mergeCell ref="AL110:AL112"/>
    <mergeCell ref="AM110:AR112"/>
    <mergeCell ref="N110:N112"/>
    <mergeCell ref="O110:T112"/>
    <mergeCell ref="U110:U112"/>
    <mergeCell ref="V110:V112"/>
    <mergeCell ref="AL107:AL109"/>
    <mergeCell ref="L107:L109"/>
    <mergeCell ref="M107:M109"/>
    <mergeCell ref="N107:N109"/>
    <mergeCell ref="O107:T109"/>
    <mergeCell ref="U107:U109"/>
    <mergeCell ref="BC107:BH109"/>
    <mergeCell ref="BI107:BI109"/>
    <mergeCell ref="AS107:AS109"/>
    <mergeCell ref="AT107:AT109"/>
    <mergeCell ref="AU107:AZ109"/>
    <mergeCell ref="BA107:BA109"/>
    <mergeCell ref="BB107:BB109"/>
    <mergeCell ref="AM107:AR109"/>
    <mergeCell ref="W107:AB109"/>
    <mergeCell ref="AC107:AC109"/>
    <mergeCell ref="V107:V109"/>
    <mergeCell ref="N104:N106"/>
    <mergeCell ref="O104:T106"/>
    <mergeCell ref="U104:U106"/>
    <mergeCell ref="V104:V106"/>
    <mergeCell ref="W104:AB106"/>
    <mergeCell ref="AC104:AC106"/>
    <mergeCell ref="AD107:AD109"/>
    <mergeCell ref="AE107:AJ109"/>
    <mergeCell ref="AK107:AK109"/>
    <mergeCell ref="BB104:BB106"/>
    <mergeCell ref="BC104:BH106"/>
    <mergeCell ref="BI104:BI106"/>
    <mergeCell ref="AD104:AD106"/>
    <mergeCell ref="AE104:AJ106"/>
    <mergeCell ref="AK104:AK106"/>
    <mergeCell ref="AL104:AL106"/>
    <mergeCell ref="AM104:AR106"/>
    <mergeCell ref="AS104:AS106"/>
    <mergeCell ref="AT104:AT106"/>
    <mergeCell ref="AU104:AZ106"/>
    <mergeCell ref="BA104:BA106"/>
    <mergeCell ref="BC101:BH103"/>
    <mergeCell ref="BI101:BI103"/>
    <mergeCell ref="A104:A106"/>
    <mergeCell ref="B104:G106"/>
    <mergeCell ref="H104:H106"/>
    <mergeCell ref="I104:I106"/>
    <mergeCell ref="J104:J106"/>
    <mergeCell ref="K104:K106"/>
    <mergeCell ref="L104:L106"/>
    <mergeCell ref="M104:M106"/>
    <mergeCell ref="AM101:AR103"/>
    <mergeCell ref="AS101:AS103"/>
    <mergeCell ref="AT101:AT103"/>
    <mergeCell ref="AU101:AZ103"/>
    <mergeCell ref="BA101:BA103"/>
    <mergeCell ref="BB101:BB103"/>
    <mergeCell ref="W101:AB103"/>
    <mergeCell ref="AC101:AC103"/>
    <mergeCell ref="AD101:AD103"/>
    <mergeCell ref="AE101:AJ103"/>
    <mergeCell ref="AK101:AK103"/>
    <mergeCell ref="AL101:AL103"/>
    <mergeCell ref="L101:L103"/>
    <mergeCell ref="M101:M103"/>
    <mergeCell ref="N101:N103"/>
    <mergeCell ref="O101:T103"/>
    <mergeCell ref="U101:U103"/>
    <mergeCell ref="V101:V103"/>
    <mergeCell ref="A101:A103"/>
    <mergeCell ref="B101:G103"/>
    <mergeCell ref="H101:H103"/>
    <mergeCell ref="I101:I103"/>
    <mergeCell ref="J101:J103"/>
    <mergeCell ref="K101:K103"/>
    <mergeCell ref="AT98:AT100"/>
    <mergeCell ref="AU98:AZ100"/>
    <mergeCell ref="BA98:BA100"/>
    <mergeCell ref="BB98:BB100"/>
    <mergeCell ref="BC98:BH100"/>
    <mergeCell ref="BI98:BI100"/>
    <mergeCell ref="AD98:AD100"/>
    <mergeCell ref="AE98:AJ100"/>
    <mergeCell ref="AK98:AK100"/>
    <mergeCell ref="AL98:AL100"/>
    <mergeCell ref="AM98:AR100"/>
    <mergeCell ref="AS98:AS100"/>
    <mergeCell ref="N98:N100"/>
    <mergeCell ref="O98:T100"/>
    <mergeCell ref="U98:U100"/>
    <mergeCell ref="V98:V100"/>
    <mergeCell ref="W98:AB100"/>
    <mergeCell ref="AC98:AC100"/>
    <mergeCell ref="BC95:BH97"/>
    <mergeCell ref="BI95:BI97"/>
    <mergeCell ref="A98:A100"/>
    <mergeCell ref="B98:G100"/>
    <mergeCell ref="H98:H100"/>
    <mergeCell ref="I98:I100"/>
    <mergeCell ref="J98:J100"/>
    <mergeCell ref="K98:K100"/>
    <mergeCell ref="L98:L100"/>
    <mergeCell ref="M98:M100"/>
    <mergeCell ref="AM95:AR97"/>
    <mergeCell ref="AS95:AS97"/>
    <mergeCell ref="AT95:AT97"/>
    <mergeCell ref="AU95:AZ97"/>
    <mergeCell ref="BA95:BA97"/>
    <mergeCell ref="BB95:BB97"/>
    <mergeCell ref="W95:AB97"/>
    <mergeCell ref="AC95:AC97"/>
    <mergeCell ref="AE95:AJ97"/>
    <mergeCell ref="AK95:AK97"/>
    <mergeCell ref="AL95:AL97"/>
    <mergeCell ref="L95:L97"/>
    <mergeCell ref="M95:M97"/>
    <mergeCell ref="N95:N97"/>
    <mergeCell ref="O95:T97"/>
    <mergeCell ref="U95:U97"/>
    <mergeCell ref="V95:V97"/>
    <mergeCell ref="V93:V94"/>
    <mergeCell ref="W93:AC94"/>
    <mergeCell ref="A93:A94"/>
    <mergeCell ref="B93:G94"/>
    <mergeCell ref="H93:H94"/>
    <mergeCell ref="I93:I94"/>
    <mergeCell ref="J93:J94"/>
    <mergeCell ref="K93:K94"/>
    <mergeCell ref="AD95:AD97"/>
    <mergeCell ref="N83:N85"/>
    <mergeCell ref="O83:T85"/>
    <mergeCell ref="U83:U85"/>
    <mergeCell ref="A91:BM92"/>
    <mergeCell ref="BB93:BB94"/>
    <mergeCell ref="BC93:BI94"/>
    <mergeCell ref="BJ93:BO93"/>
    <mergeCell ref="BJ94:BO123"/>
    <mergeCell ref="A95:A97"/>
    <mergeCell ref="B95:G97"/>
    <mergeCell ref="H95:H97"/>
    <mergeCell ref="I95:I97"/>
    <mergeCell ref="J95:J97"/>
    <mergeCell ref="K95:K97"/>
    <mergeCell ref="AD93:AD94"/>
    <mergeCell ref="AE93:AK94"/>
    <mergeCell ref="AL93:AL94"/>
    <mergeCell ref="AM93:AS94"/>
    <mergeCell ref="AT93:AT94"/>
    <mergeCell ref="AU93:BA94"/>
    <mergeCell ref="L93:L94"/>
    <mergeCell ref="M93:M94"/>
    <mergeCell ref="N93:N94"/>
    <mergeCell ref="O93:U94"/>
    <mergeCell ref="AT77:AT79"/>
    <mergeCell ref="AU77:AZ79"/>
    <mergeCell ref="BA77:BA79"/>
    <mergeCell ref="N80:N82"/>
    <mergeCell ref="O80:T82"/>
    <mergeCell ref="U80:U82"/>
    <mergeCell ref="V80:V82"/>
    <mergeCell ref="W80:AB82"/>
    <mergeCell ref="AC80:AC82"/>
    <mergeCell ref="AD80:AD82"/>
    <mergeCell ref="AD77:AD79"/>
    <mergeCell ref="AE77:AJ79"/>
    <mergeCell ref="AK77:AK79"/>
    <mergeCell ref="AL77:AL79"/>
    <mergeCell ref="AM77:AR79"/>
    <mergeCell ref="AS77:AS79"/>
    <mergeCell ref="AE80:AJ82"/>
    <mergeCell ref="AK80:AK82"/>
    <mergeCell ref="BB71:BB73"/>
    <mergeCell ref="W71:AB73"/>
    <mergeCell ref="AC71:AC73"/>
    <mergeCell ref="AD71:AD73"/>
    <mergeCell ref="AE71:AJ73"/>
    <mergeCell ref="AK71:AK73"/>
    <mergeCell ref="AL71:AL73"/>
    <mergeCell ref="BI74:BI76"/>
    <mergeCell ref="N77:N79"/>
    <mergeCell ref="O77:T79"/>
    <mergeCell ref="U77:U79"/>
    <mergeCell ref="V77:V79"/>
    <mergeCell ref="W77:AB79"/>
    <mergeCell ref="AC77:AC79"/>
    <mergeCell ref="AS74:AS76"/>
    <mergeCell ref="AT74:AT76"/>
    <mergeCell ref="AU74:AZ76"/>
    <mergeCell ref="BA74:BA76"/>
    <mergeCell ref="BB74:BB76"/>
    <mergeCell ref="BC74:BH76"/>
    <mergeCell ref="AC74:AC76"/>
    <mergeCell ref="AD74:AD76"/>
    <mergeCell ref="AE74:AJ76"/>
    <mergeCell ref="AK74:AK76"/>
    <mergeCell ref="N74:N76"/>
    <mergeCell ref="O74:T76"/>
    <mergeCell ref="U74:U76"/>
    <mergeCell ref="V74:V76"/>
    <mergeCell ref="W74:AB76"/>
    <mergeCell ref="AM71:AR73"/>
    <mergeCell ref="AS71:AS73"/>
    <mergeCell ref="AT71:AT73"/>
    <mergeCell ref="AU71:AZ73"/>
    <mergeCell ref="AL74:AL76"/>
    <mergeCell ref="AM74:AR76"/>
    <mergeCell ref="AU68:AZ70"/>
    <mergeCell ref="BA68:BA70"/>
    <mergeCell ref="BB68:BB70"/>
    <mergeCell ref="BC68:BH70"/>
    <mergeCell ref="BI68:BI70"/>
    <mergeCell ref="N71:N73"/>
    <mergeCell ref="O71:T73"/>
    <mergeCell ref="U71:U73"/>
    <mergeCell ref="V71:V73"/>
    <mergeCell ref="AE68:AJ70"/>
    <mergeCell ref="AK68:AK70"/>
    <mergeCell ref="AL68:AL70"/>
    <mergeCell ref="AM68:AR70"/>
    <mergeCell ref="AS68:AS70"/>
    <mergeCell ref="AT68:AT70"/>
    <mergeCell ref="O68:T70"/>
    <mergeCell ref="U68:U70"/>
    <mergeCell ref="V68:V70"/>
    <mergeCell ref="W68:AB70"/>
    <mergeCell ref="AC68:AC70"/>
    <mergeCell ref="AD68:AD70"/>
    <mergeCell ref="BC71:BH73"/>
    <mergeCell ref="BI71:BI73"/>
    <mergeCell ref="BA71:BA73"/>
    <mergeCell ref="BA65:BA67"/>
    <mergeCell ref="BB65:BB67"/>
    <mergeCell ref="BC65:BH67"/>
    <mergeCell ref="AC65:AC67"/>
    <mergeCell ref="AD65:AD67"/>
    <mergeCell ref="AE65:AJ67"/>
    <mergeCell ref="AK65:AK67"/>
    <mergeCell ref="AL65:AL67"/>
    <mergeCell ref="AM65:AR67"/>
    <mergeCell ref="A68:A70"/>
    <mergeCell ref="B68:G70"/>
    <mergeCell ref="H68:H70"/>
    <mergeCell ref="I68:I70"/>
    <mergeCell ref="J68:J70"/>
    <mergeCell ref="K68:K70"/>
    <mergeCell ref="L68:L70"/>
    <mergeCell ref="M68:M70"/>
    <mergeCell ref="N68:N70"/>
    <mergeCell ref="BB62:BB64"/>
    <mergeCell ref="BC62:BH64"/>
    <mergeCell ref="BI62:BI64"/>
    <mergeCell ref="A65:A67"/>
    <mergeCell ref="B65:G67"/>
    <mergeCell ref="H65:H67"/>
    <mergeCell ref="I65:I67"/>
    <mergeCell ref="J65:J67"/>
    <mergeCell ref="K65:K67"/>
    <mergeCell ref="L65:L67"/>
    <mergeCell ref="AL62:AL64"/>
    <mergeCell ref="AM62:AR64"/>
    <mergeCell ref="AS62:AS64"/>
    <mergeCell ref="AT62:AT64"/>
    <mergeCell ref="AU62:AZ64"/>
    <mergeCell ref="BA62:BA64"/>
    <mergeCell ref="V62:V64"/>
    <mergeCell ref="W62:AB64"/>
    <mergeCell ref="AC62:AC64"/>
    <mergeCell ref="AD62:AD64"/>
    <mergeCell ref="BI65:BI67"/>
    <mergeCell ref="AS65:AS67"/>
    <mergeCell ref="AT65:AT67"/>
    <mergeCell ref="AU65:AZ67"/>
    <mergeCell ref="L62:L64"/>
    <mergeCell ref="M62:M64"/>
    <mergeCell ref="N62:N64"/>
    <mergeCell ref="O62:T64"/>
    <mergeCell ref="U62:U64"/>
    <mergeCell ref="AU59:AZ61"/>
    <mergeCell ref="O65:T67"/>
    <mergeCell ref="U65:U67"/>
    <mergeCell ref="V65:V67"/>
    <mergeCell ref="W65:AB67"/>
    <mergeCell ref="M65:M67"/>
    <mergeCell ref="N65:N67"/>
    <mergeCell ref="BA59:BA61"/>
    <mergeCell ref="BB59:BB61"/>
    <mergeCell ref="BC59:BH61"/>
    <mergeCell ref="BI59:BI61"/>
    <mergeCell ref="A62:A64"/>
    <mergeCell ref="B62:G64"/>
    <mergeCell ref="H62:H64"/>
    <mergeCell ref="I62:I64"/>
    <mergeCell ref="J62:J64"/>
    <mergeCell ref="AE59:AJ61"/>
    <mergeCell ref="AK59:AK61"/>
    <mergeCell ref="AL59:AL61"/>
    <mergeCell ref="AM59:AR61"/>
    <mergeCell ref="AS59:AS61"/>
    <mergeCell ref="AT59:AT61"/>
    <mergeCell ref="O59:T61"/>
    <mergeCell ref="U59:U61"/>
    <mergeCell ref="V59:V61"/>
    <mergeCell ref="W59:AB61"/>
    <mergeCell ref="AC59:AC61"/>
    <mergeCell ref="AD59:AD61"/>
    <mergeCell ref="AE62:AJ64"/>
    <mergeCell ref="AK62:AK64"/>
    <mergeCell ref="K62:K64"/>
    <mergeCell ref="A59:A61"/>
    <mergeCell ref="B59:G61"/>
    <mergeCell ref="H59:H61"/>
    <mergeCell ref="I59:I61"/>
    <mergeCell ref="J59:J61"/>
    <mergeCell ref="K59:K61"/>
    <mergeCell ref="L59:L61"/>
    <mergeCell ref="M59:M61"/>
    <mergeCell ref="N59:N61"/>
    <mergeCell ref="L56:L58"/>
    <mergeCell ref="AL53:AL55"/>
    <mergeCell ref="AM53:AR55"/>
    <mergeCell ref="V53:V55"/>
    <mergeCell ref="W53:AB55"/>
    <mergeCell ref="AC53:AC55"/>
    <mergeCell ref="AD53:AD55"/>
    <mergeCell ref="O56:T58"/>
    <mergeCell ref="U56:U58"/>
    <mergeCell ref="V56:V58"/>
    <mergeCell ref="W56:AB58"/>
    <mergeCell ref="M56:M58"/>
    <mergeCell ref="N56:N58"/>
    <mergeCell ref="AC56:AC58"/>
    <mergeCell ref="AD56:AD58"/>
    <mergeCell ref="AE56:AJ58"/>
    <mergeCell ref="AK56:AK58"/>
    <mergeCell ref="AL56:AL58"/>
    <mergeCell ref="AM56:AR58"/>
    <mergeCell ref="I50:I52"/>
    <mergeCell ref="J50:J52"/>
    <mergeCell ref="K50:K52"/>
    <mergeCell ref="A56:A58"/>
    <mergeCell ref="B56:G58"/>
    <mergeCell ref="H56:H58"/>
    <mergeCell ref="I56:I58"/>
    <mergeCell ref="J56:J58"/>
    <mergeCell ref="K56:K58"/>
    <mergeCell ref="AU53:AZ55"/>
    <mergeCell ref="BA53:BA55"/>
    <mergeCell ref="AL50:AL52"/>
    <mergeCell ref="A50:A52"/>
    <mergeCell ref="B50:G52"/>
    <mergeCell ref="H50:H52"/>
    <mergeCell ref="A53:A55"/>
    <mergeCell ref="B53:G55"/>
    <mergeCell ref="H53:H55"/>
    <mergeCell ref="I53:I55"/>
    <mergeCell ref="J53:J55"/>
    <mergeCell ref="W50:AB52"/>
    <mergeCell ref="K53:K55"/>
    <mergeCell ref="L53:L55"/>
    <mergeCell ref="M53:M55"/>
    <mergeCell ref="N53:N55"/>
    <mergeCell ref="O53:T55"/>
    <mergeCell ref="U53:U55"/>
    <mergeCell ref="L50:L52"/>
    <mergeCell ref="M50:M52"/>
    <mergeCell ref="N50:N52"/>
    <mergeCell ref="O50:T52"/>
    <mergeCell ref="U50:U52"/>
    <mergeCell ref="V50:V52"/>
    <mergeCell ref="BJ48:BO48"/>
    <mergeCell ref="BJ49:BO78"/>
    <mergeCell ref="AM50:AR52"/>
    <mergeCell ref="AS50:AS52"/>
    <mergeCell ref="AT50:AT52"/>
    <mergeCell ref="O48:U49"/>
    <mergeCell ref="V48:V49"/>
    <mergeCell ref="W48:AC49"/>
    <mergeCell ref="AD48:AD49"/>
    <mergeCell ref="AE48:AK49"/>
    <mergeCell ref="AL48:AL49"/>
    <mergeCell ref="BA50:BA52"/>
    <mergeCell ref="BB50:BB52"/>
    <mergeCell ref="BC50:BH52"/>
    <mergeCell ref="BI50:BI52"/>
    <mergeCell ref="AK50:AK52"/>
    <mergeCell ref="AE53:AJ55"/>
    <mergeCell ref="BI56:BI58"/>
    <mergeCell ref="AS56:AS58"/>
    <mergeCell ref="AT56:AT58"/>
    <mergeCell ref="AU56:AZ58"/>
    <mergeCell ref="AM48:AS49"/>
    <mergeCell ref="AT48:AT49"/>
    <mergeCell ref="AU48:BA49"/>
    <mergeCell ref="BA56:BA58"/>
    <mergeCell ref="BB56:BB58"/>
    <mergeCell ref="BC56:BH58"/>
    <mergeCell ref="A48:A49"/>
    <mergeCell ref="B48:G49"/>
    <mergeCell ref="H48:H49"/>
    <mergeCell ref="I48:I49"/>
    <mergeCell ref="J48:J49"/>
    <mergeCell ref="K48:K49"/>
    <mergeCell ref="L48:L49"/>
    <mergeCell ref="M48:M49"/>
    <mergeCell ref="N48:N49"/>
    <mergeCell ref="AC50:AC52"/>
    <mergeCell ref="AD50:AD52"/>
    <mergeCell ref="AE50:AJ52"/>
    <mergeCell ref="BB48:BB49"/>
    <mergeCell ref="BC48:BI49"/>
    <mergeCell ref="AK53:AK55"/>
    <mergeCell ref="AU50:AZ52"/>
    <mergeCell ref="BB53:BB55"/>
    <mergeCell ref="BC53:BH55"/>
    <mergeCell ref="BI53:BI55"/>
    <mergeCell ref="AS53:AS55"/>
    <mergeCell ref="AT53:AT55"/>
    <mergeCell ref="A42:F42"/>
    <mergeCell ref="V35:V37"/>
    <mergeCell ref="W35:AC37"/>
    <mergeCell ref="AD35:AD37"/>
    <mergeCell ref="A37:A38"/>
    <mergeCell ref="B37:H38"/>
    <mergeCell ref="I37:I38"/>
    <mergeCell ref="J37:J38"/>
    <mergeCell ref="A46:BM47"/>
    <mergeCell ref="A32:F32"/>
    <mergeCell ref="L32:Q32"/>
    <mergeCell ref="V32:V34"/>
    <mergeCell ref="W32:AC34"/>
    <mergeCell ref="AD32:AD34"/>
    <mergeCell ref="A39:A41"/>
    <mergeCell ref="B39:H41"/>
    <mergeCell ref="I39:I41"/>
    <mergeCell ref="J39:J41"/>
    <mergeCell ref="V38:AA38"/>
    <mergeCell ref="V26:V28"/>
    <mergeCell ref="W26:AC28"/>
    <mergeCell ref="AD26:AD28"/>
    <mergeCell ref="A29:A31"/>
    <mergeCell ref="B29:H31"/>
    <mergeCell ref="I29:I31"/>
    <mergeCell ref="J29:J31"/>
    <mergeCell ref="L29:L31"/>
    <mergeCell ref="M29:S31"/>
    <mergeCell ref="T29:T31"/>
    <mergeCell ref="U29:U31"/>
    <mergeCell ref="V29:V31"/>
    <mergeCell ref="W29:AC31"/>
    <mergeCell ref="AD29:AD31"/>
    <mergeCell ref="A26:A28"/>
    <mergeCell ref="B26:H28"/>
    <mergeCell ref="I26:I28"/>
    <mergeCell ref="J26:J28"/>
    <mergeCell ref="L26:L28"/>
    <mergeCell ref="M26:M28"/>
    <mergeCell ref="N26:S28"/>
    <mergeCell ref="T26:T28"/>
    <mergeCell ref="U26:U28"/>
    <mergeCell ref="T20:T22"/>
    <mergeCell ref="U20:U22"/>
    <mergeCell ref="V20:V22"/>
    <mergeCell ref="W20:AC22"/>
    <mergeCell ref="AD20:AD22"/>
    <mergeCell ref="A23:A25"/>
    <mergeCell ref="B23:H25"/>
    <mergeCell ref="I23:I25"/>
    <mergeCell ref="J23:J25"/>
    <mergeCell ref="L23:L25"/>
    <mergeCell ref="A20:A22"/>
    <mergeCell ref="B20:H22"/>
    <mergeCell ref="I20:I22"/>
    <mergeCell ref="J20:J22"/>
    <mergeCell ref="L20:L22"/>
    <mergeCell ref="M20:S22"/>
    <mergeCell ref="AD23:AD25"/>
    <mergeCell ref="M23:M25"/>
    <mergeCell ref="N23:S25"/>
    <mergeCell ref="T23:T25"/>
    <mergeCell ref="U23:U25"/>
    <mergeCell ref="V23:V25"/>
    <mergeCell ref="W23:AC25"/>
    <mergeCell ref="M17:S19"/>
    <mergeCell ref="T17:T19"/>
    <mergeCell ref="U17:U19"/>
    <mergeCell ref="V17:V19"/>
    <mergeCell ref="W17:AC19"/>
    <mergeCell ref="AD17:AD19"/>
    <mergeCell ref="T14:T16"/>
    <mergeCell ref="U14:U16"/>
    <mergeCell ref="V14:V16"/>
    <mergeCell ref="W14:AC16"/>
    <mergeCell ref="AD14:AD16"/>
    <mergeCell ref="M14:S16"/>
    <mergeCell ref="A17:A19"/>
    <mergeCell ref="B17:H19"/>
    <mergeCell ref="I17:I19"/>
    <mergeCell ref="J17:J19"/>
    <mergeCell ref="L17:L19"/>
    <mergeCell ref="A14:A16"/>
    <mergeCell ref="B14:H16"/>
    <mergeCell ref="I14:I16"/>
    <mergeCell ref="J14:J16"/>
    <mergeCell ref="L14:L16"/>
    <mergeCell ref="M11:S13"/>
    <mergeCell ref="T11:T13"/>
    <mergeCell ref="U11:U13"/>
    <mergeCell ref="V11:V13"/>
    <mergeCell ref="W11:AC13"/>
    <mergeCell ref="AD11:AD13"/>
    <mergeCell ref="T9:T10"/>
    <mergeCell ref="U9:U10"/>
    <mergeCell ref="V9:V10"/>
    <mergeCell ref="W9:AC10"/>
    <mergeCell ref="AD9:AD10"/>
    <mergeCell ref="A11:A13"/>
    <mergeCell ref="B11:H13"/>
    <mergeCell ref="I11:I13"/>
    <mergeCell ref="J11:J13"/>
    <mergeCell ref="L11:L13"/>
    <mergeCell ref="AZ5:AZ6"/>
    <mergeCell ref="BC5:BE6"/>
    <mergeCell ref="BF5:BH6"/>
    <mergeCell ref="A7:BP8"/>
    <mergeCell ref="A9:A10"/>
    <mergeCell ref="B9:H10"/>
    <mergeCell ref="I9:I10"/>
    <mergeCell ref="J9:J10"/>
    <mergeCell ref="L9:L10"/>
    <mergeCell ref="M9:S10"/>
    <mergeCell ref="AN5:AN6"/>
    <mergeCell ref="AO5:AQ6"/>
    <mergeCell ref="AR5:AR6"/>
    <mergeCell ref="AS5:AU6"/>
    <mergeCell ref="AV5:AV6"/>
    <mergeCell ref="AW5:AY6"/>
    <mergeCell ref="AB5:AB6"/>
    <mergeCell ref="AC5:AE6"/>
    <mergeCell ref="AF5:AF6"/>
    <mergeCell ref="AG5:AI6"/>
    <mergeCell ref="AJ5:AJ6"/>
    <mergeCell ref="AK5:AM6"/>
    <mergeCell ref="P5:P6"/>
    <mergeCell ref="Q5:S6"/>
    <mergeCell ref="T5:T6"/>
    <mergeCell ref="U5:W6"/>
    <mergeCell ref="X5:X6"/>
    <mergeCell ref="Y5:AA6"/>
    <mergeCell ref="AB3:AB4"/>
    <mergeCell ref="AC3:AE4"/>
    <mergeCell ref="AF3:AF4"/>
    <mergeCell ref="A5:C6"/>
    <mergeCell ref="D5:D6"/>
    <mergeCell ref="E5:G6"/>
    <mergeCell ref="H5:H6"/>
    <mergeCell ref="I5:K6"/>
    <mergeCell ref="L5:L6"/>
    <mergeCell ref="M5:O6"/>
    <mergeCell ref="P3:P4"/>
    <mergeCell ref="Q3:S4"/>
    <mergeCell ref="T3:T4"/>
    <mergeCell ref="U3:W4"/>
    <mergeCell ref="X3:X4"/>
    <mergeCell ref="Y3:AA4"/>
    <mergeCell ref="A3:D4"/>
    <mergeCell ref="E3:G4"/>
    <mergeCell ref="H3:H4"/>
    <mergeCell ref="I3:K4"/>
    <mergeCell ref="L3:L4"/>
    <mergeCell ref="M3:O4"/>
    <mergeCell ref="A76:A77"/>
    <mergeCell ref="B76:G77"/>
    <mergeCell ref="H76:H77"/>
    <mergeCell ref="I76:I77"/>
    <mergeCell ref="J76:J77"/>
    <mergeCell ref="K76:K77"/>
    <mergeCell ref="L76:L77"/>
    <mergeCell ref="M76:M77"/>
    <mergeCell ref="A78:A80"/>
    <mergeCell ref="B78:G80"/>
    <mergeCell ref="K123:K125"/>
    <mergeCell ref="L123:L125"/>
    <mergeCell ref="M123:M125"/>
    <mergeCell ref="A126:E126"/>
    <mergeCell ref="A81:E81"/>
    <mergeCell ref="H78:H80"/>
    <mergeCell ref="I78:I80"/>
    <mergeCell ref="J78:J80"/>
    <mergeCell ref="K78:K80"/>
    <mergeCell ref="L78:L80"/>
    <mergeCell ref="M78:M80"/>
    <mergeCell ref="A121:A122"/>
    <mergeCell ref="B121:G122"/>
    <mergeCell ref="H121:H122"/>
    <mergeCell ref="I121:I122"/>
    <mergeCell ref="J121:J122"/>
    <mergeCell ref="K121:K122"/>
    <mergeCell ref="L121:L122"/>
    <mergeCell ref="M121:M122"/>
    <mergeCell ref="B107:G109"/>
    <mergeCell ref="H107:H109"/>
    <mergeCell ref="I107:I109"/>
    <mergeCell ref="J107:J109"/>
    <mergeCell ref="K107:K109"/>
    <mergeCell ref="A174:A176"/>
    <mergeCell ref="B174:G176"/>
    <mergeCell ref="H174:H176"/>
    <mergeCell ref="A177:E177"/>
    <mergeCell ref="A123:A125"/>
    <mergeCell ref="B123:G125"/>
    <mergeCell ref="H123:H125"/>
    <mergeCell ref="I123:I125"/>
    <mergeCell ref="J123:J125"/>
    <mergeCell ref="A142:BM143"/>
    <mergeCell ref="A144:A145"/>
    <mergeCell ref="B144:G145"/>
    <mergeCell ref="H144:H145"/>
    <mergeCell ref="N144:N145"/>
    <mergeCell ref="O144:U145"/>
    <mergeCell ref="BJ144:BO144"/>
    <mergeCell ref="BJ145:BO174"/>
    <mergeCell ref="A149:A151"/>
    <mergeCell ref="B149:G151"/>
    <mergeCell ref="H149:H151"/>
    <mergeCell ref="N149:N151"/>
    <mergeCell ref="O149:T151"/>
    <mergeCell ref="U149:U151"/>
    <mergeCell ref="A146:A148"/>
  </mergeCells>
  <conditionalFormatting sqref="H167 M116 H71:M71 H5:H6 L5:L6 T5:T6 X5:X6 AB5:AB6 AF5:AF6 AJ5:AJ6 AN5:AN6 AR5:AR6 AZ5:AZ6 AV5:AV6 P5:P6 D5:D6">
    <cfRule type="containsBlanks" dxfId="10605" priority="301">
      <formula>LEN(TRIM(D5))=0</formula>
    </cfRule>
  </conditionalFormatting>
  <conditionalFormatting sqref="AS80:AS81">
    <cfRule type="containsBlanks" dxfId="10604" priority="285">
      <formula>LEN(TRIM(AS80))=0</formula>
    </cfRule>
  </conditionalFormatting>
  <conditionalFormatting sqref="BA80">
    <cfRule type="containsBlanks" dxfId="10603" priority="284">
      <formula>LEN(TRIM(BA80))=0</formula>
    </cfRule>
  </conditionalFormatting>
  <conditionalFormatting sqref="AC83:AC86">
    <cfRule type="containsBlanks" dxfId="10602" priority="286">
      <formula>LEN(TRIM(AC83))=0</formula>
    </cfRule>
  </conditionalFormatting>
  <conditionalFormatting sqref="U86:U90">
    <cfRule type="containsBlanks" dxfId="10601" priority="275">
      <formula>LEN(TRIM(U86))=0</formula>
    </cfRule>
  </conditionalFormatting>
  <conditionalFormatting sqref="H116:L116">
    <cfRule type="containsBlanks" dxfId="10600" priority="278">
      <formula>LEN(TRIM(H116))=0</formula>
    </cfRule>
  </conditionalFormatting>
  <conditionalFormatting sqref="BI77:BI78">
    <cfRule type="containsBlanks" dxfId="10599" priority="283">
      <formula>LEN(TRIM(BI77))=0</formula>
    </cfRule>
  </conditionalFormatting>
  <conditionalFormatting sqref="U137:U139">
    <cfRule type="containsBlanks" dxfId="10598" priority="302">
      <formula>LEN(TRIM(U137))=0</formula>
    </cfRule>
  </conditionalFormatting>
  <conditionalFormatting sqref="AC137:AC141">
    <cfRule type="containsBlanks" dxfId="10597" priority="282">
      <formula>LEN(TRIM(AC137))=0</formula>
    </cfRule>
  </conditionalFormatting>
  <conditionalFormatting sqref="AK137:AK141">
    <cfRule type="containsBlanks" dxfId="10596" priority="281">
      <formula>LEN(TRIM(AK137))=0</formula>
    </cfRule>
  </conditionalFormatting>
  <conditionalFormatting sqref="AS134:AS136">
    <cfRule type="containsBlanks" dxfId="10595" priority="280">
      <formula>LEN(TRIM(AS134))=0</formula>
    </cfRule>
  </conditionalFormatting>
  <conditionalFormatting sqref="BA134:BA136">
    <cfRule type="containsBlanks" dxfId="10594" priority="279">
      <formula>LEN(TRIM(BA134))=0</formula>
    </cfRule>
  </conditionalFormatting>
  <conditionalFormatting sqref="BI131:BI135">
    <cfRule type="containsBlanks" dxfId="10593" priority="277">
      <formula>LEN(TRIM(BI131))=0</formula>
    </cfRule>
  </conditionalFormatting>
  <conditionalFormatting sqref="AK83:AK85">
    <cfRule type="containsBlanks" dxfId="10592" priority="276">
      <formula>LEN(TRIM(AK83))=0</formula>
    </cfRule>
  </conditionalFormatting>
  <conditionalFormatting sqref="U140">
    <cfRule type="containsBlanks" dxfId="10591" priority="274">
      <formula>LEN(TRIM(U140))=0</formula>
    </cfRule>
  </conditionalFormatting>
  <conditionalFormatting sqref="U141">
    <cfRule type="containsBlanks" dxfId="10590" priority="273">
      <formula>LEN(TRIM(U141))=0</formula>
    </cfRule>
  </conditionalFormatting>
  <conditionalFormatting sqref="AK86:AK87">
    <cfRule type="containsBlanks" dxfId="10589" priority="271">
      <formula>LEN(TRIM(AK86))=0</formula>
    </cfRule>
  </conditionalFormatting>
  <conditionalFormatting sqref="AS82:AS83">
    <cfRule type="containsBlanks" dxfId="10588" priority="270">
      <formula>LEN(TRIM(AS82))=0</formula>
    </cfRule>
  </conditionalFormatting>
  <conditionalFormatting sqref="BA81:BA83">
    <cfRule type="containsBlanks" dxfId="10587" priority="269">
      <formula>LEN(TRIM(BA81))=0</formula>
    </cfRule>
  </conditionalFormatting>
  <conditionalFormatting sqref="BI79:BI80">
    <cfRule type="containsBlanks" dxfId="10586" priority="268">
      <formula>LEN(TRIM(BI79))=0</formula>
    </cfRule>
  </conditionalFormatting>
  <conditionalFormatting sqref="AS137:AS138">
    <cfRule type="containsBlanks" dxfId="10585" priority="267">
      <formula>LEN(TRIM(AS137))=0</formula>
    </cfRule>
  </conditionalFormatting>
  <conditionalFormatting sqref="BA137:BA138">
    <cfRule type="containsBlanks" dxfId="10584" priority="266">
      <formula>LEN(TRIM(BA137))=0</formula>
    </cfRule>
  </conditionalFormatting>
  <conditionalFormatting sqref="U194:U198">
    <cfRule type="containsBlanks" dxfId="10583" priority="264">
      <formula>LEN(TRIM(U194))=0</formula>
    </cfRule>
  </conditionalFormatting>
  <conditionalFormatting sqref="I117:I119">
    <cfRule type="containsBlanks" dxfId="10582" priority="256">
      <formula>LEN(TRIM(I117))=0</formula>
    </cfRule>
  </conditionalFormatting>
  <conditionalFormatting sqref="K72:K74">
    <cfRule type="containsBlanks" dxfId="10581" priority="260">
      <formula>LEN(TRIM(K72))=0</formula>
    </cfRule>
  </conditionalFormatting>
  <conditionalFormatting sqref="I72:I74">
    <cfRule type="containsBlanks" dxfId="10580" priority="262">
      <formula>LEN(TRIM(I72))=0</formula>
    </cfRule>
  </conditionalFormatting>
  <conditionalFormatting sqref="J72:J74">
    <cfRule type="containsBlanks" dxfId="10579" priority="261">
      <formula>LEN(TRIM(J72))=0</formula>
    </cfRule>
  </conditionalFormatting>
  <conditionalFormatting sqref="H72:H74">
    <cfRule type="containsBlanks" dxfId="10578" priority="263">
      <formula>LEN(TRIM(H72))=0</formula>
    </cfRule>
  </conditionalFormatting>
  <conditionalFormatting sqref="L72:L74">
    <cfRule type="containsBlanks" dxfId="10577" priority="259">
      <formula>LEN(TRIM(L72))=0</formula>
    </cfRule>
  </conditionalFormatting>
  <conditionalFormatting sqref="M72:M74">
    <cfRule type="containsBlanks" dxfId="10576" priority="258">
      <formula>LEN(TRIM(M72))=0</formula>
    </cfRule>
  </conditionalFormatting>
  <conditionalFormatting sqref="H117:H119">
    <cfRule type="containsBlanks" dxfId="10575" priority="257">
      <formula>LEN(TRIM(H117))=0</formula>
    </cfRule>
  </conditionalFormatting>
  <conditionalFormatting sqref="M117:M119">
    <cfRule type="containsBlanks" dxfId="10574" priority="255">
      <formula>LEN(TRIM(M117))=0</formula>
    </cfRule>
  </conditionalFormatting>
  <conditionalFormatting sqref="J117:L119">
    <cfRule type="containsBlanks" dxfId="10573" priority="254">
      <formula>LEN(TRIM(J117))=0</formula>
    </cfRule>
  </conditionalFormatting>
  <conditionalFormatting sqref="H168:H170">
    <cfRule type="containsBlanks" dxfId="10572" priority="253">
      <formula>LEN(TRIM(H168))=0</formula>
    </cfRule>
  </conditionalFormatting>
  <conditionalFormatting sqref="H3:H4">
    <cfRule type="containsBlanks" dxfId="10571" priority="252">
      <formula>LEN(TRIM(H3))=0</formula>
    </cfRule>
  </conditionalFormatting>
  <conditionalFormatting sqref="L3:L4">
    <cfRule type="containsBlanks" dxfId="10570" priority="251">
      <formula>LEN(TRIM(L3))=0</formula>
    </cfRule>
  </conditionalFormatting>
  <conditionalFormatting sqref="P3:P4">
    <cfRule type="containsBlanks" dxfId="10569" priority="250">
      <formula>LEN(TRIM(P3))=0</formula>
    </cfRule>
  </conditionalFormatting>
  <conditionalFormatting sqref="I11:J17 I20:J31 I18:I19 T11:T31">
    <cfRule type="containsBlanks" dxfId="10568" priority="249">
      <formula>LEN(TRIM(I11))=0</formula>
    </cfRule>
  </conditionalFormatting>
  <conditionalFormatting sqref="BI50:BI76">
    <cfRule type="containsBlanks" dxfId="10567" priority="229">
      <formula>LEN(TRIM(BI50))=0</formula>
    </cfRule>
  </conditionalFormatting>
  <conditionalFormatting sqref="BA50:BA79">
    <cfRule type="containsBlanks" dxfId="10566" priority="230">
      <formula>LEN(TRIM(BA50))=0</formula>
    </cfRule>
  </conditionalFormatting>
  <conditionalFormatting sqref="AS95:AS133">
    <cfRule type="containsBlanks" dxfId="10565" priority="224">
      <formula>LEN(TRIM(AS95))=0</formula>
    </cfRule>
  </conditionalFormatting>
  <conditionalFormatting sqref="T3:T4">
    <cfRule type="containsBlanks" dxfId="10564" priority="245">
      <formula>LEN(TRIM(T3))=0</formula>
    </cfRule>
  </conditionalFormatting>
  <conditionalFormatting sqref="X3:X4">
    <cfRule type="containsBlanks" dxfId="10563" priority="244">
      <formula>LEN(TRIM(X3))=0</formula>
    </cfRule>
  </conditionalFormatting>
  <conditionalFormatting sqref="AB3:AB4">
    <cfRule type="containsBlanks" dxfId="10562" priority="243">
      <formula>LEN(TRIM(AB3))=0</formula>
    </cfRule>
  </conditionalFormatting>
  <conditionalFormatting sqref="AF3:AF4">
    <cfRule type="containsBlanks" dxfId="10561" priority="242">
      <formula>LEN(TRIM(AF3))=0</formula>
    </cfRule>
  </conditionalFormatting>
  <conditionalFormatting sqref="I42:J42">
    <cfRule type="containsBlanks" dxfId="10560" priority="241">
      <formula>LEN(TRIM(I42))=0</formula>
    </cfRule>
  </conditionalFormatting>
  <conditionalFormatting sqref="AD38:AD40">
    <cfRule type="containsBlanks" dxfId="10559" priority="240">
      <formula>LEN(TRIM(AD38))=0</formula>
    </cfRule>
  </conditionalFormatting>
  <conditionalFormatting sqref="I32:J35">
    <cfRule type="containsBlanks" dxfId="10558" priority="239">
      <formula>LEN(TRIM(I32))=0</formula>
    </cfRule>
  </conditionalFormatting>
  <conditionalFormatting sqref="AD11:AD37">
    <cfRule type="containsBlanks" dxfId="10557" priority="238">
      <formula>LEN(TRIM(AD11))=0</formula>
    </cfRule>
  </conditionalFormatting>
  <conditionalFormatting sqref="I39:I41">
    <cfRule type="containsBlanks" dxfId="10556" priority="237">
      <formula>LEN(TRIM(I39))=0</formula>
    </cfRule>
  </conditionalFormatting>
  <conditionalFormatting sqref="J39:J41">
    <cfRule type="containsBlanks" dxfId="10555" priority="236">
      <formula>LEN(TRIM(J39))=0</formula>
    </cfRule>
  </conditionalFormatting>
  <conditionalFormatting sqref="H50:M70">
    <cfRule type="containsBlanks" dxfId="10554" priority="235">
      <formula>LEN(TRIM(H50))=0</formula>
    </cfRule>
  </conditionalFormatting>
  <conditionalFormatting sqref="U50:U85">
    <cfRule type="containsBlanks" dxfId="10553" priority="234">
      <formula>LEN(TRIM(U50))=0</formula>
    </cfRule>
  </conditionalFormatting>
  <conditionalFormatting sqref="AC50:AC82">
    <cfRule type="containsBlanks" dxfId="10552" priority="233">
      <formula>LEN(TRIM(AC50))=0</formula>
    </cfRule>
  </conditionalFormatting>
  <conditionalFormatting sqref="AK50:AK82">
    <cfRule type="containsBlanks" dxfId="10551" priority="232">
      <formula>LEN(TRIM(AK50))=0</formula>
    </cfRule>
  </conditionalFormatting>
  <conditionalFormatting sqref="AS50:AS79">
    <cfRule type="containsBlanks" dxfId="10550" priority="231">
      <formula>LEN(TRIM(AS50))=0</formula>
    </cfRule>
  </conditionalFormatting>
  <conditionalFormatting sqref="U146:U193">
    <cfRule type="containsBlanks" dxfId="10549" priority="220">
      <formula>LEN(TRIM(U146))=0</formula>
    </cfRule>
  </conditionalFormatting>
  <conditionalFormatting sqref="H95:M115">
    <cfRule type="containsBlanks" dxfId="10548" priority="228">
      <formula>LEN(TRIM(H95))=0</formula>
    </cfRule>
  </conditionalFormatting>
  <conditionalFormatting sqref="U95:U136">
    <cfRule type="containsBlanks" dxfId="10547" priority="227">
      <formula>LEN(TRIM(U95))=0</formula>
    </cfRule>
  </conditionalFormatting>
  <conditionalFormatting sqref="AC95:AC136">
    <cfRule type="containsBlanks" dxfId="10546" priority="226">
      <formula>LEN(TRIM(AC95))=0</formula>
    </cfRule>
  </conditionalFormatting>
  <conditionalFormatting sqref="AK95:AK136">
    <cfRule type="containsBlanks" dxfId="10545" priority="225">
      <formula>LEN(TRIM(AK95))=0</formula>
    </cfRule>
  </conditionalFormatting>
  <conditionalFormatting sqref="BA95:BA133">
    <cfRule type="containsBlanks" dxfId="10544" priority="223">
      <formula>LEN(TRIM(BA95))=0</formula>
    </cfRule>
  </conditionalFormatting>
  <conditionalFormatting sqref="BI95:BI130">
    <cfRule type="containsBlanks" dxfId="10543" priority="222">
      <formula>LEN(TRIM(BI95))=0</formula>
    </cfRule>
  </conditionalFormatting>
  <conditionalFormatting sqref="H146:H166">
    <cfRule type="containsBlanks" dxfId="10542" priority="221">
      <formula>LEN(TRIM(H146))=0</formula>
    </cfRule>
  </conditionalFormatting>
  <conditionalFormatting sqref="T32:T34">
    <cfRule type="containsBlanks" dxfId="10541" priority="219">
      <formula>LEN(TRIM(T32))=0</formula>
    </cfRule>
  </conditionalFormatting>
  <conditionalFormatting sqref="A1:XFD10 AD11:XFD37 A44:AA44 A82:XFD120 F81:XFD81 A78:A81 A45:XFD77 A127:XFD170 N121:XFD126 A181:XFD2000 A178:H180 A171:H171 I171:XFD180 H78:XFD80 A11:U43 AE41:XFD44 V38:XFD40">
    <cfRule type="cellIs" dxfId="10540" priority="180" operator="equal">
      <formula>4.4</formula>
    </cfRule>
    <cfRule type="cellIs" dxfId="10539" priority="181" operator="equal">
      <formula>4.3</formula>
    </cfRule>
    <cfRule type="cellIs" dxfId="10538" priority="182" operator="equal">
      <formula>4.2</formula>
    </cfRule>
    <cfRule type="cellIs" dxfId="10537" priority="183" operator="equal">
      <formula>4.1</formula>
    </cfRule>
    <cfRule type="cellIs" dxfId="10536" priority="184" operator="equal">
      <formula>3.4</formula>
    </cfRule>
    <cfRule type="cellIs" dxfId="10535" priority="185" operator="equal">
      <formula>3.3</formula>
    </cfRule>
    <cfRule type="cellIs" dxfId="10534" priority="186" operator="equal">
      <formula>3.2</formula>
    </cfRule>
    <cfRule type="cellIs" dxfId="10533" priority="187" operator="equal">
      <formula>3.1</formula>
    </cfRule>
    <cfRule type="cellIs" dxfId="10532" priority="188" operator="equal">
      <formula>2.4</formula>
    </cfRule>
    <cfRule type="cellIs" dxfId="10531" priority="189" operator="equal">
      <formula>2.3</formula>
    </cfRule>
    <cfRule type="cellIs" dxfId="10530" priority="190" operator="equal">
      <formula>2.2</formula>
    </cfRule>
    <cfRule type="cellIs" dxfId="10529" priority="191" operator="equal">
      <formula>2.1</formula>
    </cfRule>
    <cfRule type="cellIs" dxfId="10528" priority="192" operator="equal">
      <formula>1.5</formula>
    </cfRule>
    <cfRule type="cellIs" dxfId="10527" priority="193" operator="equal">
      <formula>1.4</formula>
    </cfRule>
    <cfRule type="cellIs" dxfId="10526" priority="194" operator="equal">
      <formula>1.3</formula>
    </cfRule>
    <cfRule type="cellIs" dxfId="10525" priority="195" operator="equal">
      <formula>1.2</formula>
    </cfRule>
    <cfRule type="containsText" dxfId="10524" priority="196" operator="containsText" text="1.1">
      <formula>NOT(ISERROR(SEARCH("1.1",A1)))</formula>
    </cfRule>
  </conditionalFormatting>
  <conditionalFormatting sqref="V11:V37">
    <cfRule type="cellIs" dxfId="10523" priority="163" operator="equal">
      <formula>4.4</formula>
    </cfRule>
    <cfRule type="cellIs" dxfId="10522" priority="164" operator="equal">
      <formula>4.3</formula>
    </cfRule>
    <cfRule type="cellIs" dxfId="10521" priority="165" operator="equal">
      <formula>4.2</formula>
    </cfRule>
    <cfRule type="cellIs" dxfId="10520" priority="166" operator="equal">
      <formula>4.1</formula>
    </cfRule>
    <cfRule type="cellIs" dxfId="10519" priority="167" operator="equal">
      <formula>3.4</formula>
    </cfRule>
    <cfRule type="cellIs" dxfId="10518" priority="168" operator="equal">
      <formula>3.3</formula>
    </cfRule>
    <cfRule type="cellIs" dxfId="10517" priority="169" operator="equal">
      <formula>3.2</formula>
    </cfRule>
    <cfRule type="cellIs" dxfId="10516" priority="170" operator="equal">
      <formula>3.1</formula>
    </cfRule>
    <cfRule type="cellIs" dxfId="10515" priority="171" operator="equal">
      <formula>2.4</formula>
    </cfRule>
    <cfRule type="cellIs" dxfId="10514" priority="172" operator="equal">
      <formula>2.3</formula>
    </cfRule>
    <cfRule type="cellIs" dxfId="10513" priority="173" operator="equal">
      <formula>2.2</formula>
    </cfRule>
    <cfRule type="cellIs" dxfId="10512" priority="174" operator="equal">
      <formula>2.1</formula>
    </cfRule>
    <cfRule type="cellIs" dxfId="10511" priority="175" operator="equal">
      <formula>1.5</formula>
    </cfRule>
    <cfRule type="cellIs" dxfId="10510" priority="176" operator="equal">
      <formula>1.4</formula>
    </cfRule>
    <cfRule type="cellIs" dxfId="10509" priority="177" operator="equal">
      <formula>1.3</formula>
    </cfRule>
    <cfRule type="cellIs" dxfId="10508" priority="178" operator="equal">
      <formula>1.2</formula>
    </cfRule>
    <cfRule type="containsText" dxfId="10507" priority="179" operator="containsText" text="1.1">
      <formula>NOT(ISERROR(SEARCH("1.1",V11)))</formula>
    </cfRule>
  </conditionalFormatting>
  <conditionalFormatting sqref="H81:M81">
    <cfRule type="containsBlanks" dxfId="10506" priority="162">
      <formula>LEN(TRIM(H81))=0</formula>
    </cfRule>
  </conditionalFormatting>
  <conditionalFormatting sqref="H78:M80">
    <cfRule type="containsBlanks" dxfId="10505" priority="161">
      <formula>LEN(TRIM(H78))=0</formula>
    </cfRule>
  </conditionalFormatting>
  <conditionalFormatting sqref="B78:G80">
    <cfRule type="cellIs" dxfId="10504" priority="144" operator="equal">
      <formula>4.4</formula>
    </cfRule>
    <cfRule type="cellIs" dxfId="10503" priority="145" operator="equal">
      <formula>4.3</formula>
    </cfRule>
    <cfRule type="cellIs" dxfId="10502" priority="146" operator="equal">
      <formula>4.2</formula>
    </cfRule>
    <cfRule type="cellIs" dxfId="10501" priority="147" operator="equal">
      <formula>4.1</formula>
    </cfRule>
    <cfRule type="cellIs" dxfId="10500" priority="148" operator="equal">
      <formula>3.4</formula>
    </cfRule>
    <cfRule type="cellIs" dxfId="10499" priority="149" operator="equal">
      <formula>3.3</formula>
    </cfRule>
    <cfRule type="cellIs" dxfId="10498" priority="150" operator="equal">
      <formula>3.2</formula>
    </cfRule>
    <cfRule type="cellIs" dxfId="10497" priority="151" operator="equal">
      <formula>3.1</formula>
    </cfRule>
    <cfRule type="cellIs" dxfId="10496" priority="152" operator="equal">
      <formula>2.4</formula>
    </cfRule>
    <cfRule type="cellIs" dxfId="10495" priority="153" operator="equal">
      <formula>2.3</formula>
    </cfRule>
    <cfRule type="cellIs" dxfId="10494" priority="154" operator="equal">
      <formula>2.2</formula>
    </cfRule>
    <cfRule type="cellIs" dxfId="10493" priority="155" operator="equal">
      <formula>2.1</formula>
    </cfRule>
    <cfRule type="cellIs" dxfId="10492" priority="156" operator="equal">
      <formula>1.5</formula>
    </cfRule>
    <cfRule type="cellIs" dxfId="10491" priority="157" operator="equal">
      <formula>1.4</formula>
    </cfRule>
    <cfRule type="cellIs" dxfId="10490" priority="158" operator="equal">
      <formula>1.3</formula>
    </cfRule>
    <cfRule type="cellIs" dxfId="10489" priority="159" operator="equal">
      <formula>1.2</formula>
    </cfRule>
    <cfRule type="containsText" dxfId="10488" priority="160" operator="containsText" text="1.1">
      <formula>NOT(ISERROR(SEARCH("1.1",B78)))</formula>
    </cfRule>
  </conditionalFormatting>
  <conditionalFormatting sqref="A123:A126 A121:G122 F126:M126">
    <cfRule type="cellIs" dxfId="10487" priority="127" operator="equal">
      <formula>4.4</formula>
    </cfRule>
    <cfRule type="cellIs" dxfId="10486" priority="128" operator="equal">
      <formula>4.3</formula>
    </cfRule>
    <cfRule type="cellIs" dxfId="10485" priority="129" operator="equal">
      <formula>4.2</formula>
    </cfRule>
    <cfRule type="cellIs" dxfId="10484" priority="130" operator="equal">
      <formula>4.1</formula>
    </cfRule>
    <cfRule type="cellIs" dxfId="10483" priority="131" operator="equal">
      <formula>3.4</formula>
    </cfRule>
    <cfRule type="cellIs" dxfId="10482" priority="132" operator="equal">
      <formula>3.3</formula>
    </cfRule>
    <cfRule type="cellIs" dxfId="10481" priority="133" operator="equal">
      <formula>3.2</formula>
    </cfRule>
    <cfRule type="cellIs" dxfId="10480" priority="134" operator="equal">
      <formula>3.1</formula>
    </cfRule>
    <cfRule type="cellIs" dxfId="10479" priority="135" operator="equal">
      <formula>2.4</formula>
    </cfRule>
    <cfRule type="cellIs" dxfId="10478" priority="136" operator="equal">
      <formula>2.3</formula>
    </cfRule>
    <cfRule type="cellIs" dxfId="10477" priority="137" operator="equal">
      <formula>2.2</formula>
    </cfRule>
    <cfRule type="cellIs" dxfId="10476" priority="138" operator="equal">
      <formula>2.1</formula>
    </cfRule>
    <cfRule type="cellIs" dxfId="10475" priority="139" operator="equal">
      <formula>1.5</formula>
    </cfRule>
    <cfRule type="cellIs" dxfId="10474" priority="140" operator="equal">
      <formula>1.4</formula>
    </cfRule>
    <cfRule type="cellIs" dxfId="10473" priority="141" operator="equal">
      <formula>1.3</formula>
    </cfRule>
    <cfRule type="cellIs" dxfId="10472" priority="142" operator="equal">
      <formula>1.2</formula>
    </cfRule>
    <cfRule type="containsText" dxfId="10471" priority="143" operator="containsText" text="1.1">
      <formula>NOT(ISERROR(SEARCH("1.1",A121)))</formula>
    </cfRule>
  </conditionalFormatting>
  <conditionalFormatting sqref="H126:M126">
    <cfRule type="containsBlanks" dxfId="10470" priority="126">
      <formula>LEN(TRIM(H126))=0</formula>
    </cfRule>
  </conditionalFormatting>
  <conditionalFormatting sqref="B123:G125">
    <cfRule type="cellIs" dxfId="10469" priority="108" operator="equal">
      <formula>4.4</formula>
    </cfRule>
    <cfRule type="cellIs" dxfId="10468" priority="109" operator="equal">
      <formula>4.3</formula>
    </cfRule>
    <cfRule type="cellIs" dxfId="10467" priority="110" operator="equal">
      <formula>4.2</formula>
    </cfRule>
    <cfRule type="cellIs" dxfId="10466" priority="111" operator="equal">
      <formula>4.1</formula>
    </cfRule>
    <cfRule type="cellIs" dxfId="10465" priority="112" operator="equal">
      <formula>3.4</formula>
    </cfRule>
    <cfRule type="cellIs" dxfId="10464" priority="113" operator="equal">
      <formula>3.3</formula>
    </cfRule>
    <cfRule type="cellIs" dxfId="10463" priority="114" operator="equal">
      <formula>3.2</formula>
    </cfRule>
    <cfRule type="cellIs" dxfId="10462" priority="115" operator="equal">
      <formula>3.1</formula>
    </cfRule>
    <cfRule type="cellIs" dxfId="10461" priority="116" operator="equal">
      <formula>2.4</formula>
    </cfRule>
    <cfRule type="cellIs" dxfId="10460" priority="117" operator="equal">
      <formula>2.3</formula>
    </cfRule>
    <cfRule type="cellIs" dxfId="10459" priority="118" operator="equal">
      <formula>2.2</formula>
    </cfRule>
    <cfRule type="cellIs" dxfId="10458" priority="119" operator="equal">
      <formula>2.1</formula>
    </cfRule>
    <cfRule type="cellIs" dxfId="10457" priority="120" operator="equal">
      <formula>1.5</formula>
    </cfRule>
    <cfRule type="cellIs" dxfId="10456" priority="121" operator="equal">
      <formula>1.4</formula>
    </cfRule>
    <cfRule type="cellIs" dxfId="10455" priority="122" operator="equal">
      <formula>1.3</formula>
    </cfRule>
    <cfRule type="cellIs" dxfId="10454" priority="123" operator="equal">
      <formula>1.2</formula>
    </cfRule>
    <cfRule type="containsText" dxfId="10453" priority="124" operator="containsText" text="1.1">
      <formula>NOT(ISERROR(SEARCH("1.1",B123)))</formula>
    </cfRule>
  </conditionalFormatting>
  <conditionalFormatting sqref="H121:M122">
    <cfRule type="cellIs" dxfId="10452" priority="91" operator="equal">
      <formula>4.4</formula>
    </cfRule>
    <cfRule type="cellIs" dxfId="10451" priority="92" operator="equal">
      <formula>4.3</formula>
    </cfRule>
    <cfRule type="cellIs" dxfId="10450" priority="93" operator="equal">
      <formula>4.2</formula>
    </cfRule>
    <cfRule type="cellIs" dxfId="10449" priority="94" operator="equal">
      <formula>4.1</formula>
    </cfRule>
    <cfRule type="cellIs" dxfId="10448" priority="95" operator="equal">
      <formula>3.4</formula>
    </cfRule>
    <cfRule type="cellIs" dxfId="10447" priority="96" operator="equal">
      <formula>3.3</formula>
    </cfRule>
    <cfRule type="cellIs" dxfId="10446" priority="97" operator="equal">
      <formula>3.2</formula>
    </cfRule>
    <cfRule type="cellIs" dxfId="10445" priority="98" operator="equal">
      <formula>3.1</formula>
    </cfRule>
    <cfRule type="cellIs" dxfId="10444" priority="99" operator="equal">
      <formula>2.4</formula>
    </cfRule>
    <cfRule type="cellIs" dxfId="10443" priority="100" operator="equal">
      <formula>2.3</formula>
    </cfRule>
    <cfRule type="cellIs" dxfId="10442" priority="101" operator="equal">
      <formula>2.2</formula>
    </cfRule>
    <cfRule type="cellIs" dxfId="10441" priority="102" operator="equal">
      <formula>2.1</formula>
    </cfRule>
    <cfRule type="cellIs" dxfId="10440" priority="103" operator="equal">
      <formula>1.5</formula>
    </cfRule>
    <cfRule type="cellIs" dxfId="10439" priority="104" operator="equal">
      <formula>1.4</formula>
    </cfRule>
    <cfRule type="cellIs" dxfId="10438" priority="105" operator="equal">
      <formula>1.3</formula>
    </cfRule>
    <cfRule type="cellIs" dxfId="10437" priority="106" operator="equal">
      <formula>1.2</formula>
    </cfRule>
    <cfRule type="containsText" dxfId="10436" priority="107" operator="containsText" text="1.1">
      <formula>NOT(ISERROR(SEARCH("1.1",H121)))</formula>
    </cfRule>
  </conditionalFormatting>
  <conditionalFormatting sqref="A174:A177 A172:G173 F177:H177">
    <cfRule type="cellIs" dxfId="10435" priority="74" operator="equal">
      <formula>4.4</formula>
    </cfRule>
    <cfRule type="cellIs" dxfId="10434" priority="75" operator="equal">
      <formula>4.3</formula>
    </cfRule>
    <cfRule type="cellIs" dxfId="10433" priority="76" operator="equal">
      <formula>4.2</formula>
    </cfRule>
    <cfRule type="cellIs" dxfId="10432" priority="77" operator="equal">
      <formula>4.1</formula>
    </cfRule>
    <cfRule type="cellIs" dxfId="10431" priority="78" operator="equal">
      <formula>3.4</formula>
    </cfRule>
    <cfRule type="cellIs" dxfId="10430" priority="79" operator="equal">
      <formula>3.3</formula>
    </cfRule>
    <cfRule type="cellIs" dxfId="10429" priority="80" operator="equal">
      <formula>3.2</formula>
    </cfRule>
    <cfRule type="cellIs" dxfId="10428" priority="81" operator="equal">
      <formula>3.1</formula>
    </cfRule>
    <cfRule type="cellIs" dxfId="10427" priority="82" operator="equal">
      <formula>2.4</formula>
    </cfRule>
    <cfRule type="cellIs" dxfId="10426" priority="83" operator="equal">
      <formula>2.3</formula>
    </cfRule>
    <cfRule type="cellIs" dxfId="10425" priority="84" operator="equal">
      <formula>2.2</formula>
    </cfRule>
    <cfRule type="cellIs" dxfId="10424" priority="85" operator="equal">
      <formula>2.1</formula>
    </cfRule>
    <cfRule type="cellIs" dxfId="10423" priority="86" operator="equal">
      <formula>1.5</formula>
    </cfRule>
    <cfRule type="cellIs" dxfId="10422" priority="87" operator="equal">
      <formula>1.4</formula>
    </cfRule>
    <cfRule type="cellIs" dxfId="10421" priority="88" operator="equal">
      <formula>1.3</formula>
    </cfRule>
    <cfRule type="cellIs" dxfId="10420" priority="89" operator="equal">
      <formula>1.2</formula>
    </cfRule>
    <cfRule type="containsText" dxfId="10419" priority="90" operator="containsText" text="1.1">
      <formula>NOT(ISERROR(SEARCH("1.1",A172)))</formula>
    </cfRule>
  </conditionalFormatting>
  <conditionalFormatting sqref="H177">
    <cfRule type="containsBlanks" dxfId="10418" priority="73">
      <formula>LEN(TRIM(H177))=0</formula>
    </cfRule>
  </conditionalFormatting>
  <conditionalFormatting sqref="B174:G176">
    <cfRule type="cellIs" dxfId="10417" priority="55" operator="equal">
      <formula>4.4</formula>
    </cfRule>
    <cfRule type="cellIs" dxfId="10416" priority="56" operator="equal">
      <formula>4.3</formula>
    </cfRule>
    <cfRule type="cellIs" dxfId="10415" priority="57" operator="equal">
      <formula>4.2</formula>
    </cfRule>
    <cfRule type="cellIs" dxfId="10414" priority="58" operator="equal">
      <formula>4.1</formula>
    </cfRule>
    <cfRule type="cellIs" dxfId="10413" priority="59" operator="equal">
      <formula>3.4</formula>
    </cfRule>
    <cfRule type="cellIs" dxfId="10412" priority="60" operator="equal">
      <formula>3.3</formula>
    </cfRule>
    <cfRule type="cellIs" dxfId="10411" priority="61" operator="equal">
      <formula>3.2</formula>
    </cfRule>
    <cfRule type="cellIs" dxfId="10410" priority="62" operator="equal">
      <formula>3.1</formula>
    </cfRule>
    <cfRule type="cellIs" dxfId="10409" priority="63" operator="equal">
      <formula>2.4</formula>
    </cfRule>
    <cfRule type="cellIs" dxfId="10408" priority="64" operator="equal">
      <formula>2.3</formula>
    </cfRule>
    <cfRule type="cellIs" dxfId="10407" priority="65" operator="equal">
      <formula>2.2</formula>
    </cfRule>
    <cfRule type="cellIs" dxfId="10406" priority="66" operator="equal">
      <formula>2.1</formula>
    </cfRule>
    <cfRule type="cellIs" dxfId="10405" priority="67" operator="equal">
      <formula>1.5</formula>
    </cfRule>
    <cfRule type="cellIs" dxfId="10404" priority="68" operator="equal">
      <formula>1.4</formula>
    </cfRule>
    <cfRule type="cellIs" dxfId="10403" priority="69" operator="equal">
      <formula>1.3</formula>
    </cfRule>
    <cfRule type="cellIs" dxfId="10402" priority="70" operator="equal">
      <formula>1.2</formula>
    </cfRule>
    <cfRule type="containsText" dxfId="10401" priority="71" operator="containsText" text="1.1">
      <formula>NOT(ISERROR(SEARCH("1.1",B174)))</formula>
    </cfRule>
  </conditionalFormatting>
  <conditionalFormatting sqref="H172:H173">
    <cfRule type="cellIs" dxfId="10400" priority="38" operator="equal">
      <formula>4.4</formula>
    </cfRule>
    <cfRule type="cellIs" dxfId="10399" priority="39" operator="equal">
      <formula>4.3</formula>
    </cfRule>
    <cfRule type="cellIs" dxfId="10398" priority="40" operator="equal">
      <formula>4.2</formula>
    </cfRule>
    <cfRule type="cellIs" dxfId="10397" priority="41" operator="equal">
      <formula>4.1</formula>
    </cfRule>
    <cfRule type="cellIs" dxfId="10396" priority="42" operator="equal">
      <formula>3.4</formula>
    </cfRule>
    <cfRule type="cellIs" dxfId="10395" priority="43" operator="equal">
      <formula>3.3</formula>
    </cfRule>
    <cfRule type="cellIs" dxfId="10394" priority="44" operator="equal">
      <formula>3.2</formula>
    </cfRule>
    <cfRule type="cellIs" dxfId="10393" priority="45" operator="equal">
      <formula>3.1</formula>
    </cfRule>
    <cfRule type="cellIs" dxfId="10392" priority="46" operator="equal">
      <formula>2.4</formula>
    </cfRule>
    <cfRule type="cellIs" dxfId="10391" priority="47" operator="equal">
      <formula>2.3</formula>
    </cfRule>
    <cfRule type="cellIs" dxfId="10390" priority="48" operator="equal">
      <formula>2.2</formula>
    </cfRule>
    <cfRule type="cellIs" dxfId="10389" priority="49" operator="equal">
      <formula>2.1</formula>
    </cfRule>
    <cfRule type="cellIs" dxfId="10388" priority="50" operator="equal">
      <formula>1.5</formula>
    </cfRule>
    <cfRule type="cellIs" dxfId="10387" priority="51" operator="equal">
      <formula>1.4</formula>
    </cfRule>
    <cfRule type="cellIs" dxfId="10386" priority="52" operator="equal">
      <formula>1.3</formula>
    </cfRule>
    <cfRule type="cellIs" dxfId="10385" priority="53" operator="equal">
      <formula>1.2</formula>
    </cfRule>
    <cfRule type="containsText" dxfId="10384" priority="54" operator="containsText" text="1.1">
      <formula>NOT(ISERROR(SEARCH("1.1",H172)))</formula>
    </cfRule>
  </conditionalFormatting>
  <conditionalFormatting sqref="H174:H176">
    <cfRule type="containsBlanks" dxfId="10383" priority="37">
      <formula>LEN(TRIM(H174))=0</formula>
    </cfRule>
  </conditionalFormatting>
  <conditionalFormatting sqref="H174:H176">
    <cfRule type="cellIs" dxfId="10382" priority="20" operator="equal">
      <formula>4.4</formula>
    </cfRule>
    <cfRule type="cellIs" dxfId="10381" priority="21" operator="equal">
      <formula>4.3</formula>
    </cfRule>
    <cfRule type="cellIs" dxfId="10380" priority="22" operator="equal">
      <formula>4.2</formula>
    </cfRule>
    <cfRule type="cellIs" dxfId="10379" priority="23" operator="equal">
      <formula>4.1</formula>
    </cfRule>
    <cfRule type="cellIs" dxfId="10378" priority="24" operator="equal">
      <formula>3.4</formula>
    </cfRule>
    <cfRule type="cellIs" dxfId="10377" priority="25" operator="equal">
      <formula>3.3</formula>
    </cfRule>
    <cfRule type="cellIs" dxfId="10376" priority="26" operator="equal">
      <formula>3.2</formula>
    </cfRule>
    <cfRule type="cellIs" dxfId="10375" priority="27" operator="equal">
      <formula>3.1</formula>
    </cfRule>
    <cfRule type="cellIs" dxfId="10374" priority="28" operator="equal">
      <formula>2.4</formula>
    </cfRule>
    <cfRule type="cellIs" dxfId="10373" priority="29" operator="equal">
      <formula>2.3</formula>
    </cfRule>
    <cfRule type="cellIs" dxfId="10372" priority="30" operator="equal">
      <formula>2.2</formula>
    </cfRule>
    <cfRule type="cellIs" dxfId="10371" priority="31" operator="equal">
      <formula>2.1</formula>
    </cfRule>
    <cfRule type="cellIs" dxfId="10370" priority="32" operator="equal">
      <formula>1.5</formula>
    </cfRule>
    <cfRule type="cellIs" dxfId="10369" priority="33" operator="equal">
      <formula>1.4</formula>
    </cfRule>
    <cfRule type="cellIs" dxfId="10368" priority="34" operator="equal">
      <formula>1.3</formula>
    </cfRule>
    <cfRule type="cellIs" dxfId="10367" priority="35" operator="equal">
      <formula>1.2</formula>
    </cfRule>
    <cfRule type="containsText" dxfId="10366" priority="36" operator="containsText" text="1.1">
      <formula>NOT(ISERROR(SEARCH("1.1",H174)))</formula>
    </cfRule>
  </conditionalFormatting>
  <conditionalFormatting sqref="H123:M125">
    <cfRule type="containsBlanks" dxfId="10365" priority="19">
      <formula>LEN(TRIM(H123))=0</formula>
    </cfRule>
  </conditionalFormatting>
  <conditionalFormatting sqref="H123:M125">
    <cfRule type="cellIs" dxfId="10364" priority="2" operator="equal">
      <formula>4.4</formula>
    </cfRule>
    <cfRule type="cellIs" dxfId="10363" priority="3" operator="equal">
      <formula>4.3</formula>
    </cfRule>
    <cfRule type="cellIs" dxfId="10362" priority="4" operator="equal">
      <formula>4.2</formula>
    </cfRule>
    <cfRule type="cellIs" dxfId="10361" priority="5" operator="equal">
      <formula>4.1</formula>
    </cfRule>
    <cfRule type="cellIs" dxfId="10360" priority="6" operator="equal">
      <formula>3.4</formula>
    </cfRule>
    <cfRule type="cellIs" dxfId="10359" priority="7" operator="equal">
      <formula>3.3</formula>
    </cfRule>
    <cfRule type="cellIs" dxfId="10358" priority="8" operator="equal">
      <formula>3.2</formula>
    </cfRule>
    <cfRule type="cellIs" dxfId="10357" priority="9" operator="equal">
      <formula>3.1</formula>
    </cfRule>
    <cfRule type="cellIs" dxfId="10356" priority="10" operator="equal">
      <formula>2.4</formula>
    </cfRule>
    <cfRule type="cellIs" dxfId="10355" priority="11" operator="equal">
      <formula>2.3</formula>
    </cfRule>
    <cfRule type="cellIs" dxfId="10354" priority="12" operator="equal">
      <formula>2.2</formula>
    </cfRule>
    <cfRule type="cellIs" dxfId="10353" priority="13" operator="equal">
      <formula>2.1</formula>
    </cfRule>
    <cfRule type="cellIs" dxfId="10352" priority="14" operator="equal">
      <formula>1.5</formula>
    </cfRule>
    <cfRule type="cellIs" dxfId="10351" priority="15" operator="equal">
      <formula>1.4</formula>
    </cfRule>
    <cfRule type="cellIs" dxfId="10350" priority="16" operator="equal">
      <formula>1.3</formula>
    </cfRule>
    <cfRule type="cellIs" dxfId="10349" priority="17" operator="equal">
      <formula>1.2</formula>
    </cfRule>
    <cfRule type="containsText" dxfId="10348" priority="18" operator="containsText" text="1.1">
      <formula>NOT(ISERROR(SEARCH("1.1",H123)))</formula>
    </cfRule>
  </conditionalFormatting>
  <conditionalFormatting sqref="H78:M80">
    <cfRule type="containsBlanks" dxfId="10347" priority="1">
      <formula>LEN(TRIM(H78))=0</formula>
    </cfRule>
  </conditionalFormatting>
  <hyperlinks>
    <hyperlink ref="Y5:AA6" location="Drinks2" display="Drinks2" xr:uid="{00000000-0004-0000-0700-000000000000}"/>
    <hyperlink ref="AC5:AE6" location="Drinks2" display="Drinks2" xr:uid="{00000000-0004-0000-0700-000001000000}"/>
    <hyperlink ref="AG5:AI6" location="Drinks2" display="Drinks2" xr:uid="{00000000-0004-0000-0700-000002000000}"/>
    <hyperlink ref="AK5:AM6" location="Drinks2" display="Drinks2" xr:uid="{00000000-0004-0000-0700-000003000000}"/>
    <hyperlink ref="AO5:AQ6" location="Drinks2" display="Drinks2" xr:uid="{00000000-0004-0000-0700-000004000000}"/>
    <hyperlink ref="AS5:AU6" location="Drinks2" display="Drinks2" xr:uid="{00000000-0004-0000-0700-000005000000}"/>
    <hyperlink ref="AW5:AY6" location="Drinks3" display="Drinks3" xr:uid="{00000000-0004-0000-0700-000006000000}"/>
    <hyperlink ref="U5:W6" location="Drinks1" display="Drinks1" xr:uid="{00000000-0004-0000-0700-000007000000}"/>
    <hyperlink ref="Q5:S6" location="Drinks1" display="Drinks1" xr:uid="{00000000-0004-0000-0700-000008000000}"/>
    <hyperlink ref="M5:O6" location="Drinks1" display="Drinks1" xr:uid="{00000000-0004-0000-0700-000009000000}"/>
    <hyperlink ref="I5:K6" location="Drinks1" display="Drinks1" xr:uid="{00000000-0004-0000-0700-00000A000000}"/>
    <hyperlink ref="E5:G6" location="Drinks1" display="Drinks1" xr:uid="{00000000-0004-0000-0700-00000B000000}"/>
    <hyperlink ref="A5:C6" location="Drinks1" display="Drinks1" xr:uid="{00000000-0004-0000-0700-00000C000000}"/>
    <hyperlink ref="BC5:BF6" location="CustomerProfiles" display="CustomerProfiles" xr:uid="{00000000-0004-0000-0700-00000D000000}"/>
    <hyperlink ref="BF5:BH6" location="CustomerScenariors" display="CustomerScenariors" xr:uid="{00000000-0004-0000-0700-00000E000000}"/>
    <hyperlink ref="E3:G4" location="'PRC | KHI'!A7" display="'PRC | KHI'!A7" xr:uid="{00000000-0004-0000-0700-00000F000000}"/>
    <hyperlink ref="I3:K4" location="'PRC | KHI'!A7" display="'PRC | KHI'!A7" xr:uid="{00000000-0004-0000-0700-000010000000}"/>
  </hyperlinks>
  <printOptions horizontalCentered="1"/>
  <pageMargins left="0.23622047244094491" right="0.23622047244094491" top="0" bottom="0" header="0" footer="0.31496062992125984"/>
  <pageSetup paperSize="9" scale="71" fitToHeight="0" orientation="landscape" r:id="rId2"/>
  <rowBreaks count="3" manualBreakCount="3">
    <brk id="45" max="16383" man="1"/>
    <brk id="90" max="16383" man="1"/>
    <brk id="141"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CJ252"/>
  <sheetViews>
    <sheetView showGridLines="0" view="pageBreakPreview" topLeftCell="A168" zoomScale="85" zoomScaleNormal="85" zoomScaleSheetLayoutView="85" workbookViewId="0">
      <selection activeCell="H3" sqref="H3:H4"/>
    </sheetView>
  </sheetViews>
  <sheetFormatPr baseColWidth="10" defaultColWidth="2.6640625" defaultRowHeight="15" customHeight="1"/>
  <cols>
    <col min="1" max="1" width="3.1640625" style="242" bestFit="1" customWidth="1"/>
    <col min="2" max="5" width="2.6640625" style="52" customWidth="1"/>
    <col min="6" max="9" width="2.83203125" style="52" bestFit="1" customWidth="1"/>
    <col min="10" max="10" width="3.1640625" style="52" bestFit="1" customWidth="1"/>
    <col min="11" max="12" width="2.83203125" style="52" bestFit="1" customWidth="1"/>
    <col min="13" max="13" width="2.83203125" style="52" customWidth="1"/>
    <col min="14" max="14" width="2.83203125" style="52" bestFit="1" customWidth="1"/>
    <col min="15" max="15" width="2.6640625" style="242" customWidth="1"/>
    <col min="16" max="18" width="2.6640625" style="52" customWidth="1"/>
    <col min="19" max="20" width="2.83203125" style="52" bestFit="1" customWidth="1"/>
    <col min="21" max="21" width="2.6640625" style="52" customWidth="1"/>
    <col min="22" max="22" width="2.83203125" style="52" bestFit="1" customWidth="1"/>
    <col min="23" max="23" width="2.6640625" style="242" customWidth="1"/>
    <col min="24" max="26" width="2.6640625" style="52" customWidth="1"/>
    <col min="27" max="27" width="2.83203125" style="52" bestFit="1" customWidth="1"/>
    <col min="28" max="29" width="2.6640625" style="52" customWidth="1"/>
    <col min="30" max="30" width="2.83203125" style="52" bestFit="1" customWidth="1"/>
    <col min="31" max="31" width="2.6640625" style="52" customWidth="1"/>
    <col min="32" max="32" width="2.6640625" style="242" customWidth="1"/>
    <col min="33" max="34" width="2.6640625" style="52" customWidth="1"/>
    <col min="35" max="35" width="2.83203125" style="52" bestFit="1" customWidth="1"/>
    <col min="36" max="37" width="2.6640625" style="52" customWidth="1"/>
    <col min="38" max="38" width="2.83203125" style="52" bestFit="1" customWidth="1"/>
    <col min="39" max="40" width="2.6640625" style="52" customWidth="1"/>
    <col min="41" max="41" width="2.6640625" style="242" customWidth="1"/>
    <col min="42" max="42" width="2.6640625" style="52" customWidth="1"/>
    <col min="43" max="43" width="2.83203125" style="52" bestFit="1" customWidth="1"/>
    <col min="44" max="45" width="2.6640625" style="52" customWidth="1"/>
    <col min="46" max="46" width="2.83203125" style="52" bestFit="1" customWidth="1"/>
    <col min="47" max="50" width="2.6640625" style="52" customWidth="1"/>
    <col min="51" max="51" width="2.83203125" style="52" bestFit="1" customWidth="1"/>
    <col min="52" max="68" width="2.6640625" style="52" customWidth="1"/>
    <col min="69" max="76" width="2.6640625" style="52"/>
    <col min="77" max="77" width="5.1640625" style="52" bestFit="1" customWidth="1"/>
    <col min="78" max="80" width="4" style="52" bestFit="1" customWidth="1"/>
    <col min="81" max="16384" width="2.6640625" style="52"/>
  </cols>
  <sheetData>
    <row r="1" spans="1:88" ht="15" customHeight="1">
      <c r="A1" s="250"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0" t="str">
        <f>"Abinitio No : "&amp;Group</f>
        <v xml:space="preserve">Abinitio No : </v>
      </c>
      <c r="AB1" s="259"/>
      <c r="AC1" s="259"/>
      <c r="AD1" s="259"/>
      <c r="AE1" s="259"/>
      <c r="AF1" s="259"/>
      <c r="AG1" s="259"/>
      <c r="AH1" s="259"/>
      <c r="AI1" s="259"/>
      <c r="AJ1" s="259"/>
      <c r="AK1" s="259"/>
      <c r="AL1" s="259"/>
      <c r="AM1" s="259"/>
      <c r="AN1" s="259"/>
      <c r="AO1" s="259"/>
      <c r="AP1" s="259"/>
      <c r="AQ1" s="259"/>
      <c r="AR1" s="250"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88" ht="15" customHeight="1">
      <c r="A2" s="250"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33</v>
      </c>
      <c r="AS2" s="259"/>
      <c r="AT2" s="259"/>
      <c r="AU2" s="259"/>
      <c r="AV2" s="259"/>
      <c r="AW2" s="259"/>
      <c r="AX2" s="250"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88"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O49</f>
        <v>1. SPML</v>
      </c>
      <c r="N3" s="1220"/>
      <c r="O3" s="1221"/>
      <c r="P3" s="1225"/>
      <c r="Q3" s="1219" t="str">
        <f>W49</f>
        <v>2. Meal Cart</v>
      </c>
      <c r="R3" s="1220"/>
      <c r="S3" s="1221"/>
      <c r="T3" s="1225"/>
      <c r="U3" s="1219" t="str">
        <f>AE49</f>
        <v>3. Hot Beverage</v>
      </c>
      <c r="V3" s="1220"/>
      <c r="W3" s="1221"/>
      <c r="X3" s="1225"/>
      <c r="Y3" s="1219" t="str">
        <f>AM49</f>
        <v>4. Clearance Cart</v>
      </c>
      <c r="Z3" s="1220"/>
      <c r="AA3" s="1221"/>
      <c r="AB3" s="1225"/>
      <c r="AC3" s="1219" t="str">
        <f>AU49</f>
        <v>5. Final Clearance</v>
      </c>
      <c r="AD3" s="1220"/>
      <c r="AE3" s="1221"/>
      <c r="AF3" s="1225"/>
      <c r="AG3" s="304"/>
      <c r="AH3" s="251"/>
      <c r="AK3" s="251"/>
      <c r="AL3" s="251"/>
      <c r="AM3" s="251"/>
      <c r="AN3" s="251"/>
      <c r="AO3" s="251"/>
      <c r="AP3" s="251"/>
      <c r="AQ3" s="251"/>
      <c r="AR3" s="251"/>
      <c r="AS3" s="251"/>
      <c r="AT3" s="251"/>
      <c r="AU3" s="251"/>
      <c r="AV3" s="251"/>
      <c r="AW3" s="251"/>
      <c r="AX3" s="251"/>
    </row>
    <row r="4" spans="1:88"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304"/>
      <c r="AH4" s="251"/>
      <c r="AK4" s="251"/>
      <c r="AL4" s="251"/>
      <c r="AM4" s="251"/>
      <c r="AN4" s="251"/>
      <c r="AO4" s="251"/>
      <c r="AP4" s="251"/>
      <c r="AQ4" s="251"/>
      <c r="AR4" s="251"/>
      <c r="AS4" s="251"/>
      <c r="AT4" s="251"/>
      <c r="AU4" s="251"/>
      <c r="AV4" s="251"/>
      <c r="AW4" s="251"/>
      <c r="AX4" s="251"/>
    </row>
    <row r="5" spans="1:88" ht="15" customHeight="1">
      <c r="A5" s="1219" t="str">
        <f>O99</f>
        <v>1. Champagne</v>
      </c>
      <c r="B5" s="1220"/>
      <c r="C5" s="1221"/>
      <c r="D5" s="1225"/>
      <c r="E5" s="1219" t="str">
        <f>W99</f>
        <v>2. Wine 
- Small Bottles</v>
      </c>
      <c r="F5" s="1220"/>
      <c r="G5" s="1221"/>
      <c r="H5" s="1225"/>
      <c r="I5" s="1219" t="str">
        <f>AE99</f>
        <v>3. White Wine Spritzer
- Small Bottles</v>
      </c>
      <c r="J5" s="1220"/>
      <c r="K5" s="1221"/>
      <c r="L5" s="1225"/>
      <c r="M5" s="1219" t="str">
        <f>AM99</f>
        <v>4. Wine
- Big Bottles</v>
      </c>
      <c r="N5" s="1220"/>
      <c r="O5" s="1221"/>
      <c r="P5" s="1225"/>
      <c r="Q5" s="1219" t="str">
        <f>AU99</f>
        <v>5. Dry - White Wine Spritzer - Big Bottle of Wine</v>
      </c>
      <c r="R5" s="1220"/>
      <c r="S5" s="1221"/>
      <c r="T5" s="1225"/>
      <c r="U5" s="1219" t="str">
        <f>BC99</f>
        <v>6. Sweet - White Wine Spritzer- Big Bottle of Wine</v>
      </c>
      <c r="V5" s="1220"/>
      <c r="W5" s="1221"/>
      <c r="X5" s="1225"/>
      <c r="Y5" s="1219" t="str">
        <f>O149</f>
        <v>7. Liqueur</v>
      </c>
      <c r="Z5" s="1220"/>
      <c r="AA5" s="1221"/>
      <c r="AB5" s="1225"/>
      <c r="AC5" s="1219" t="str">
        <f>W149</f>
        <v>8. Shandy</v>
      </c>
      <c r="AD5" s="1220"/>
      <c r="AE5" s="1221"/>
      <c r="AF5" s="1225"/>
      <c r="AG5" s="1219" t="str">
        <f>AE149</f>
        <v>9. Hot Beverage 
- Tea</v>
      </c>
      <c r="AH5" s="1220"/>
      <c r="AI5" s="1221"/>
      <c r="AJ5" s="1225"/>
      <c r="AK5" s="1219" t="str">
        <f>AM149</f>
        <v>10. Beer</v>
      </c>
      <c r="AL5" s="1220"/>
      <c r="AM5" s="1221"/>
      <c r="AN5" s="1225"/>
      <c r="AO5" s="1219" t="str">
        <f>AU149</f>
        <v>11. Screwdriver</v>
      </c>
      <c r="AP5" s="1220"/>
      <c r="AQ5" s="1221"/>
      <c r="AR5" s="1225"/>
      <c r="AS5" s="1219" t="str">
        <f>BC149</f>
        <v>12. Gin &amp; Orange Juice</v>
      </c>
      <c r="AT5" s="1220"/>
      <c r="AU5" s="1221"/>
      <c r="AV5" s="1225"/>
      <c r="AW5" s="1219" t="str">
        <f>O199</f>
        <v>13. Rum &amp; Pepsi</v>
      </c>
      <c r="AX5" s="1220"/>
      <c r="AY5" s="1221"/>
      <c r="AZ5" s="1225"/>
      <c r="BA5" s="1219" t="str">
        <f>W199</f>
        <v>14. Gin &amp; Tonic</v>
      </c>
      <c r="BB5" s="1220"/>
      <c r="BC5" s="1221"/>
      <c r="BD5" s="1225"/>
      <c r="BE5" s="1219" t="str">
        <f>AE199</f>
        <v>15. Scotch &amp; Soda</v>
      </c>
      <c r="BF5" s="1220"/>
      <c r="BG5" s="1221"/>
      <c r="BH5" s="1225"/>
      <c r="BI5" s="1219" t="str">
        <f>AM199</f>
        <v>16. Bloody Mary</v>
      </c>
      <c r="BJ5" s="1220"/>
      <c r="BK5" s="1221"/>
      <c r="BL5" s="1225"/>
    </row>
    <row r="6" spans="1:88"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8"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8"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8" ht="15" customHeight="1">
      <c r="A9" s="1172"/>
      <c r="B9" s="1173" t="s">
        <v>608</v>
      </c>
      <c r="C9" s="1173"/>
      <c r="D9" s="1173"/>
      <c r="E9" s="1173"/>
      <c r="F9" s="1173"/>
      <c r="G9" s="1173"/>
      <c r="H9" s="1173"/>
      <c r="I9" s="1174">
        <v>1</v>
      </c>
      <c r="J9" s="1174">
        <v>2</v>
      </c>
      <c r="K9" s="255"/>
      <c r="L9" s="1537"/>
      <c r="M9" s="1540" t="s">
        <v>662</v>
      </c>
      <c r="N9" s="1541"/>
      <c r="O9" s="1541"/>
      <c r="P9" s="1541"/>
      <c r="Q9" s="1541"/>
      <c r="R9" s="1541"/>
      <c r="S9" s="1542"/>
      <c r="T9" s="1249"/>
      <c r="U9" s="1250"/>
      <c r="V9" s="1251"/>
      <c r="W9" s="1529" t="s">
        <v>677</v>
      </c>
      <c r="X9" s="1252"/>
      <c r="Y9" s="1252"/>
      <c r="Z9" s="1252"/>
      <c r="AA9" s="1252"/>
      <c r="AB9" s="1252"/>
      <c r="AC9" s="1253"/>
      <c r="AD9" s="1256"/>
      <c r="AE9" s="256"/>
      <c r="AF9" s="256"/>
      <c r="AO9" s="52"/>
      <c r="BJ9" s="1182" t="s">
        <v>263</v>
      </c>
      <c r="BK9" s="1183"/>
      <c r="BL9" s="1183"/>
      <c r="BM9" s="1183"/>
      <c r="BN9" s="1183"/>
      <c r="BO9" s="1184"/>
      <c r="BP9" s="255"/>
      <c r="BQ9" s="255"/>
      <c r="BR9" s="255"/>
      <c r="BS9" s="242"/>
      <c r="BY9" s="414"/>
      <c r="BZ9" s="415"/>
      <c r="CA9" s="415"/>
      <c r="CB9" s="415"/>
    </row>
    <row r="10" spans="1:88" ht="15" customHeight="1">
      <c r="A10" s="1172"/>
      <c r="B10" s="1173"/>
      <c r="C10" s="1173"/>
      <c r="D10" s="1173"/>
      <c r="E10" s="1173"/>
      <c r="F10" s="1173"/>
      <c r="G10" s="1173"/>
      <c r="H10" s="1173"/>
      <c r="I10" s="1174"/>
      <c r="J10" s="1174"/>
      <c r="K10" s="255"/>
      <c r="L10" s="1538"/>
      <c r="M10" s="1543"/>
      <c r="N10" s="1544"/>
      <c r="O10" s="1544"/>
      <c r="P10" s="1544"/>
      <c r="Q10" s="1544"/>
      <c r="R10" s="1544"/>
      <c r="S10" s="1545"/>
      <c r="T10" s="1249"/>
      <c r="U10" s="1250"/>
      <c r="V10" s="1251"/>
      <c r="W10" s="1427"/>
      <c r="X10" s="1428"/>
      <c r="Y10" s="1428"/>
      <c r="Z10" s="1428"/>
      <c r="AA10" s="1428"/>
      <c r="AB10" s="1428"/>
      <c r="AC10" s="1530"/>
      <c r="AD10" s="1532"/>
      <c r="AE10" s="256"/>
      <c r="AF10" s="256"/>
      <c r="AO10" s="52"/>
      <c r="BJ10" s="1219"/>
      <c r="BK10" s="1220"/>
      <c r="BL10" s="1220"/>
      <c r="BM10" s="1220"/>
      <c r="BN10" s="1220"/>
      <c r="BO10" s="1221"/>
      <c r="BP10" s="255"/>
      <c r="BQ10" s="255"/>
      <c r="BR10" s="255"/>
      <c r="BS10" s="242"/>
      <c r="BY10" s="414"/>
      <c r="BZ10" s="415"/>
      <c r="CA10" s="415"/>
      <c r="CB10" s="415"/>
    </row>
    <row r="11" spans="1:88" ht="15" customHeight="1" thickBot="1">
      <c r="A11" s="1172"/>
      <c r="B11" s="1173"/>
      <c r="C11" s="1173"/>
      <c r="D11" s="1173"/>
      <c r="E11" s="1173"/>
      <c r="F11" s="1173"/>
      <c r="G11" s="1173"/>
      <c r="H11" s="1173"/>
      <c r="I11" s="1174"/>
      <c r="J11" s="1174"/>
      <c r="K11" s="255"/>
      <c r="L11" s="1539"/>
      <c r="M11" s="1546"/>
      <c r="N11" s="1547"/>
      <c r="O11" s="1547"/>
      <c r="P11" s="1547"/>
      <c r="Q11" s="1547"/>
      <c r="R11" s="1547"/>
      <c r="S11" s="1548"/>
      <c r="T11" s="1249" t="s">
        <v>312</v>
      </c>
      <c r="U11" s="1250"/>
      <c r="V11" s="1251"/>
      <c r="W11" s="1531"/>
      <c r="X11" s="1254"/>
      <c r="Y11" s="1254"/>
      <c r="Z11" s="1254"/>
      <c r="AA11" s="1254"/>
      <c r="AB11" s="1254"/>
      <c r="AC11" s="1255"/>
      <c r="AD11" s="1257"/>
      <c r="AE11" s="256"/>
      <c r="AF11" s="256"/>
      <c r="AO11" s="52"/>
      <c r="BJ11" s="1337"/>
      <c r="BK11" s="1338"/>
      <c r="BL11" s="1338"/>
      <c r="BM11" s="1338"/>
      <c r="BN11" s="1338"/>
      <c r="BO11" s="1339"/>
      <c r="BP11" s="255"/>
      <c r="BQ11" s="255"/>
      <c r="BR11" s="255"/>
      <c r="BS11" s="242"/>
      <c r="BY11" s="414"/>
      <c r="BZ11" s="415"/>
      <c r="CA11" s="415"/>
      <c r="CB11" s="415"/>
    </row>
    <row r="12" spans="1:88" ht="15" customHeight="1">
      <c r="A12" s="1307">
        <v>1.1000000000000001</v>
      </c>
      <c r="B12" s="1395" t="s">
        <v>939</v>
      </c>
      <c r="C12" s="1396"/>
      <c r="D12" s="1396"/>
      <c r="E12" s="1396"/>
      <c r="F12" s="1396"/>
      <c r="G12" s="1396"/>
      <c r="H12" s="1536"/>
      <c r="I12" s="1205" t="str">
        <f>IF(ISBLANK(H$3),"",1)</f>
        <v/>
      </c>
      <c r="J12" s="1205" t="str">
        <f>IF(ISBLANK(L$3),"",1)</f>
        <v/>
      </c>
      <c r="K12" s="255"/>
      <c r="L12" s="1236">
        <v>1.5</v>
      </c>
      <c r="M12" s="1395" t="s">
        <v>314</v>
      </c>
      <c r="N12" s="1396"/>
      <c r="O12" s="1396"/>
      <c r="P12" s="1396"/>
      <c r="Q12" s="1396"/>
      <c r="R12" s="1396"/>
      <c r="S12" s="1536"/>
      <c r="T12" s="1205" t="str">
        <f>IF(ISBLANK(H$3),"",1)</f>
        <v/>
      </c>
      <c r="U12" s="1241"/>
      <c r="V12" s="1236">
        <v>4.4000000000000004</v>
      </c>
      <c r="W12" s="1526" t="s">
        <v>628</v>
      </c>
      <c r="X12" s="1527"/>
      <c r="Y12" s="1527"/>
      <c r="Z12" s="1527"/>
      <c r="AA12" s="1527"/>
      <c r="AB12" s="1527"/>
      <c r="AC12" s="1533"/>
      <c r="AD12" s="1205" t="str">
        <f>IF(ISBLANK(L$3),"",1)</f>
        <v/>
      </c>
      <c r="AE12" s="256"/>
      <c r="AF12" s="256"/>
      <c r="AO12" s="52"/>
      <c r="BJ12" s="1337"/>
      <c r="BK12" s="1338"/>
      <c r="BL12" s="1338"/>
      <c r="BM12" s="1338"/>
      <c r="BN12" s="1338"/>
      <c r="BO12" s="1339"/>
      <c r="BP12" s="255"/>
      <c r="BQ12" s="255"/>
      <c r="BR12" s="255"/>
      <c r="BS12" s="242"/>
      <c r="BY12" s="414"/>
      <c r="BZ12" s="415"/>
      <c r="CA12" s="415"/>
      <c r="CB12" s="415"/>
    </row>
    <row r="13" spans="1:88" ht="15" customHeight="1">
      <c r="A13" s="1308"/>
      <c r="B13" s="1163"/>
      <c r="C13" s="1164"/>
      <c r="D13" s="1164"/>
      <c r="E13" s="1164"/>
      <c r="F13" s="1164"/>
      <c r="G13" s="1164"/>
      <c r="H13" s="1266"/>
      <c r="I13" s="1206"/>
      <c r="J13" s="1206"/>
      <c r="K13" s="255"/>
      <c r="L13" s="1236"/>
      <c r="M13" s="1163"/>
      <c r="N13" s="1164"/>
      <c r="O13" s="1164"/>
      <c r="P13" s="1164"/>
      <c r="Q13" s="1164"/>
      <c r="R13" s="1164"/>
      <c r="S13" s="1266"/>
      <c r="T13" s="1206"/>
      <c r="U13" s="1241"/>
      <c r="V13" s="1236"/>
      <c r="W13" s="1317"/>
      <c r="X13" s="1296"/>
      <c r="Y13" s="1296"/>
      <c r="Z13" s="1296"/>
      <c r="AA13" s="1296"/>
      <c r="AB13" s="1296"/>
      <c r="AC13" s="1297"/>
      <c r="AD13" s="1206"/>
      <c r="AE13" s="256"/>
      <c r="AF13" s="256"/>
      <c r="AO13" s="52"/>
      <c r="BJ13" s="1337"/>
      <c r="BK13" s="1338"/>
      <c r="BL13" s="1338"/>
      <c r="BM13" s="1338"/>
      <c r="BN13" s="1338"/>
      <c r="BO13" s="1339"/>
      <c r="BP13" s="255"/>
      <c r="BQ13" s="255"/>
      <c r="BR13" s="255"/>
      <c r="BS13" s="242"/>
      <c r="BY13" s="414"/>
      <c r="BZ13" s="415"/>
      <c r="CA13" s="415"/>
      <c r="CB13" s="415"/>
    </row>
    <row r="14" spans="1:88" ht="15" customHeight="1">
      <c r="A14" s="1309"/>
      <c r="B14" s="1163"/>
      <c r="C14" s="1164"/>
      <c r="D14" s="1164"/>
      <c r="E14" s="1164"/>
      <c r="F14" s="1164"/>
      <c r="G14" s="1164"/>
      <c r="H14" s="1266"/>
      <c r="I14" s="1207"/>
      <c r="J14" s="1207"/>
      <c r="K14" s="255"/>
      <c r="L14" s="1236"/>
      <c r="M14" s="1165"/>
      <c r="N14" s="1166"/>
      <c r="O14" s="1166"/>
      <c r="P14" s="1166"/>
      <c r="Q14" s="1166"/>
      <c r="R14" s="1166"/>
      <c r="S14" s="1267"/>
      <c r="T14" s="1207"/>
      <c r="U14" s="1241"/>
      <c r="V14" s="1236"/>
      <c r="W14" s="1317"/>
      <c r="X14" s="1296"/>
      <c r="Y14" s="1296"/>
      <c r="Z14" s="1296"/>
      <c r="AA14" s="1296"/>
      <c r="AB14" s="1296"/>
      <c r="AC14" s="1297"/>
      <c r="AD14" s="1207"/>
      <c r="AE14" s="256"/>
      <c r="AF14" s="256"/>
      <c r="BJ14" s="1337"/>
      <c r="BK14" s="1338"/>
      <c r="BL14" s="1338"/>
      <c r="BM14" s="1338"/>
      <c r="BN14" s="1338"/>
      <c r="BO14" s="1339"/>
      <c r="BP14" s="255"/>
      <c r="BQ14" s="255"/>
      <c r="BR14" s="255"/>
      <c r="BS14" s="242"/>
      <c r="BY14" s="414"/>
      <c r="BZ14" s="415"/>
      <c r="CA14" s="415"/>
      <c r="CB14" s="415"/>
    </row>
    <row r="15" spans="1:88" ht="15" customHeight="1">
      <c r="A15" s="1307">
        <v>1.1000000000000001</v>
      </c>
      <c r="B15" s="1395" t="s">
        <v>316</v>
      </c>
      <c r="C15" s="1396"/>
      <c r="D15" s="1396"/>
      <c r="E15" s="1396"/>
      <c r="F15" s="1396"/>
      <c r="G15" s="1396"/>
      <c r="H15" s="1536"/>
      <c r="I15" s="1205" t="str">
        <f t="shared" ref="I15" si="0">IF(ISBLANK(H$3),"",1)</f>
        <v/>
      </c>
      <c r="J15" s="1205" t="str">
        <f>IF(ISBLANK(L$3),"",1)</f>
        <v/>
      </c>
      <c r="K15" s="255"/>
      <c r="L15" s="1258">
        <v>4.4000000000000004</v>
      </c>
      <c r="M15" s="1161" t="s">
        <v>317</v>
      </c>
      <c r="N15" s="1162"/>
      <c r="O15" s="1162"/>
      <c r="P15" s="1162"/>
      <c r="Q15" s="1162"/>
      <c r="R15" s="1162"/>
      <c r="S15" s="1265"/>
      <c r="T15" s="1205" t="str">
        <f>IF(ISBLANK(H$3),"",1)</f>
        <v/>
      </c>
      <c r="U15" s="1241"/>
      <c r="V15" s="1258">
        <v>4.4000000000000004</v>
      </c>
      <c r="W15" s="1526" t="s">
        <v>874</v>
      </c>
      <c r="X15" s="1527"/>
      <c r="Y15" s="1527"/>
      <c r="Z15" s="1527"/>
      <c r="AA15" s="1527"/>
      <c r="AB15" s="1527"/>
      <c r="AC15" s="1533" t="s">
        <v>696</v>
      </c>
      <c r="AD15" s="1205" t="str">
        <f>IF(ISBLANK(L$3),"",1)</f>
        <v/>
      </c>
      <c r="AE15" s="256"/>
      <c r="AF15" s="256"/>
      <c r="AO15" s="52"/>
      <c r="BJ15" s="1337"/>
      <c r="BK15" s="1338"/>
      <c r="BL15" s="1338"/>
      <c r="BM15" s="1338"/>
      <c r="BN15" s="1338"/>
      <c r="BO15" s="1339"/>
      <c r="BP15" s="255"/>
      <c r="BQ15" s="255"/>
      <c r="BR15" s="255"/>
      <c r="BS15" s="242"/>
      <c r="CB15" s="242"/>
      <c r="CJ15" s="242"/>
    </row>
    <row r="16" spans="1:88" ht="15" customHeight="1">
      <c r="A16" s="1308"/>
      <c r="B16" s="1163"/>
      <c r="C16" s="1164"/>
      <c r="D16" s="1164"/>
      <c r="E16" s="1164"/>
      <c r="F16" s="1164"/>
      <c r="G16" s="1164"/>
      <c r="H16" s="1266"/>
      <c r="I16" s="1206"/>
      <c r="J16" s="1206"/>
      <c r="K16" s="255"/>
      <c r="L16" s="1258"/>
      <c r="M16" s="1163"/>
      <c r="N16" s="1164"/>
      <c r="O16" s="1164"/>
      <c r="P16" s="1164"/>
      <c r="Q16" s="1164"/>
      <c r="R16" s="1164"/>
      <c r="S16" s="1266"/>
      <c r="T16" s="1206"/>
      <c r="U16" s="1241"/>
      <c r="V16" s="1258"/>
      <c r="W16" s="1317"/>
      <c r="X16" s="1296"/>
      <c r="Y16" s="1296"/>
      <c r="Z16" s="1296"/>
      <c r="AA16" s="1296"/>
      <c r="AB16" s="1296"/>
      <c r="AC16" s="1297"/>
      <c r="AD16" s="1206"/>
      <c r="AE16" s="256"/>
      <c r="AF16" s="256"/>
      <c r="AO16" s="52"/>
      <c r="BJ16" s="1337"/>
      <c r="BK16" s="1338"/>
      <c r="BL16" s="1338"/>
      <c r="BM16" s="1338"/>
      <c r="BN16" s="1338"/>
      <c r="BO16" s="1339"/>
      <c r="BP16" s="255"/>
      <c r="BQ16" s="255"/>
      <c r="BR16" s="255"/>
      <c r="BS16" s="242"/>
      <c r="CB16" s="242"/>
      <c r="CJ16" s="242"/>
    </row>
    <row r="17" spans="1:88" ht="15" customHeight="1">
      <c r="A17" s="1309"/>
      <c r="B17" s="1163"/>
      <c r="C17" s="1164"/>
      <c r="D17" s="1164"/>
      <c r="E17" s="1164"/>
      <c r="F17" s="1164"/>
      <c r="G17" s="1164"/>
      <c r="H17" s="1266"/>
      <c r="I17" s="1207"/>
      <c r="J17" s="1207"/>
      <c r="K17" s="255"/>
      <c r="L17" s="1258"/>
      <c r="M17" s="1165"/>
      <c r="N17" s="1166"/>
      <c r="O17" s="1166"/>
      <c r="P17" s="1166"/>
      <c r="Q17" s="1166"/>
      <c r="R17" s="1166"/>
      <c r="S17" s="1267"/>
      <c r="T17" s="1207"/>
      <c r="U17" s="1241"/>
      <c r="V17" s="1258"/>
      <c r="W17" s="1317"/>
      <c r="X17" s="1296"/>
      <c r="Y17" s="1296"/>
      <c r="Z17" s="1296"/>
      <c r="AA17" s="1296"/>
      <c r="AB17" s="1296"/>
      <c r="AC17" s="1297"/>
      <c r="AD17" s="1207"/>
      <c r="AE17" s="256"/>
      <c r="AF17" s="256"/>
      <c r="AO17" s="52"/>
      <c r="BJ17" s="1337"/>
      <c r="BK17" s="1338"/>
      <c r="BL17" s="1338"/>
      <c r="BM17" s="1338"/>
      <c r="BN17" s="1338"/>
      <c r="BO17" s="1339"/>
      <c r="BP17" s="255"/>
      <c r="BQ17" s="255"/>
      <c r="BR17" s="255"/>
      <c r="BS17" s="242"/>
      <c r="CB17" s="242"/>
      <c r="CJ17" s="242"/>
    </row>
    <row r="18" spans="1:88" ht="15" customHeight="1">
      <c r="A18" s="1304">
        <v>2.4</v>
      </c>
      <c r="B18" s="1395" t="s">
        <v>320</v>
      </c>
      <c r="C18" s="1396"/>
      <c r="D18" s="1396"/>
      <c r="E18" s="1396"/>
      <c r="F18" s="1396"/>
      <c r="G18" s="1396"/>
      <c r="H18" s="1536"/>
      <c r="I18" s="1205" t="str">
        <f t="shared" ref="I18" si="1">IF(ISBLANK(H$3),"",1)</f>
        <v/>
      </c>
      <c r="J18" s="1205" t="str">
        <f>IF(ISBLANK(L$3),"",1)</f>
        <v/>
      </c>
      <c r="K18" s="255"/>
      <c r="L18" s="1258">
        <v>4.4000000000000004</v>
      </c>
      <c r="M18" s="1161" t="s">
        <v>319</v>
      </c>
      <c r="N18" s="1162"/>
      <c r="O18" s="1162"/>
      <c r="P18" s="1162"/>
      <c r="Q18" s="1162"/>
      <c r="R18" s="1162"/>
      <c r="S18" s="1265"/>
      <c r="T18" s="1205" t="str">
        <f>IF(ISBLANK(H$3),"",1)</f>
        <v/>
      </c>
      <c r="U18" s="1241"/>
      <c r="V18" s="1258">
        <v>4.4000000000000004</v>
      </c>
      <c r="W18" s="1526" t="s">
        <v>321</v>
      </c>
      <c r="X18" s="1527"/>
      <c r="Y18" s="1527"/>
      <c r="Z18" s="1527"/>
      <c r="AA18" s="1527"/>
      <c r="AB18" s="1527"/>
      <c r="AC18" s="1533" t="s">
        <v>696</v>
      </c>
      <c r="AD18" s="1205" t="str">
        <f>IF(ISBLANK(L$3),"",1)</f>
        <v/>
      </c>
      <c r="AE18" s="256"/>
      <c r="AF18" s="256"/>
      <c r="AO18" s="52"/>
      <c r="BJ18" s="1337"/>
      <c r="BK18" s="1338"/>
      <c r="BL18" s="1338"/>
      <c r="BM18" s="1338"/>
      <c r="BN18" s="1338"/>
      <c r="BO18" s="1339"/>
      <c r="BP18" s="255"/>
      <c r="BQ18" s="255"/>
      <c r="BR18" s="255"/>
      <c r="BS18" s="242"/>
      <c r="CB18" s="242"/>
      <c r="CJ18" s="242"/>
    </row>
    <row r="19" spans="1:88" ht="15" customHeight="1">
      <c r="A19" s="1290"/>
      <c r="B19" s="1163"/>
      <c r="C19" s="1164"/>
      <c r="D19" s="1164"/>
      <c r="E19" s="1164"/>
      <c r="F19" s="1164"/>
      <c r="G19" s="1164"/>
      <c r="H19" s="1266"/>
      <c r="I19" s="1206"/>
      <c r="J19" s="1206"/>
      <c r="K19" s="255"/>
      <c r="L19" s="1258"/>
      <c r="M19" s="1163"/>
      <c r="N19" s="1164"/>
      <c r="O19" s="1164"/>
      <c r="P19" s="1164"/>
      <c r="Q19" s="1164"/>
      <c r="R19" s="1164"/>
      <c r="S19" s="1266"/>
      <c r="T19" s="1206"/>
      <c r="U19" s="1241"/>
      <c r="V19" s="1258"/>
      <c r="W19" s="1317"/>
      <c r="X19" s="1296"/>
      <c r="Y19" s="1296"/>
      <c r="Z19" s="1296"/>
      <c r="AA19" s="1296"/>
      <c r="AB19" s="1296"/>
      <c r="AC19" s="1297"/>
      <c r="AD19" s="1206"/>
      <c r="AE19" s="256"/>
      <c r="AF19" s="256"/>
      <c r="AO19" s="52"/>
      <c r="BJ19" s="1337"/>
      <c r="BK19" s="1338"/>
      <c r="BL19" s="1338"/>
      <c r="BM19" s="1338"/>
      <c r="BN19" s="1338"/>
      <c r="BO19" s="1339"/>
      <c r="BP19" s="255"/>
      <c r="BQ19" s="255"/>
      <c r="BR19" s="255"/>
      <c r="BS19" s="242"/>
      <c r="CB19" s="242"/>
      <c r="CJ19" s="242"/>
    </row>
    <row r="20" spans="1:88" ht="15" customHeight="1">
      <c r="A20" s="1291"/>
      <c r="B20" s="1163"/>
      <c r="C20" s="1164"/>
      <c r="D20" s="1164"/>
      <c r="E20" s="1164"/>
      <c r="F20" s="1164"/>
      <c r="G20" s="1164"/>
      <c r="H20" s="1266"/>
      <c r="I20" s="1207"/>
      <c r="J20" s="1207"/>
      <c r="K20" s="255"/>
      <c r="L20" s="1258"/>
      <c r="M20" s="1552"/>
      <c r="N20" s="1203"/>
      <c r="O20" s="1203"/>
      <c r="P20" s="1203"/>
      <c r="Q20" s="1203"/>
      <c r="R20" s="1203"/>
      <c r="S20" s="1305"/>
      <c r="T20" s="1207"/>
      <c r="U20" s="1241"/>
      <c r="V20" s="1258"/>
      <c r="W20" s="1317"/>
      <c r="X20" s="1296"/>
      <c r="Y20" s="1296"/>
      <c r="Z20" s="1296"/>
      <c r="AA20" s="1296"/>
      <c r="AB20" s="1296"/>
      <c r="AC20" s="1297"/>
      <c r="AD20" s="1207"/>
      <c r="AE20" s="256"/>
      <c r="AF20" s="256"/>
      <c r="AO20" s="52"/>
      <c r="BJ20" s="1337"/>
      <c r="BK20" s="1338"/>
      <c r="BL20" s="1338"/>
      <c r="BM20" s="1338"/>
      <c r="BN20" s="1338"/>
      <c r="BO20" s="1339"/>
      <c r="BP20" s="255"/>
      <c r="BQ20" s="255"/>
      <c r="BR20" s="255"/>
      <c r="BS20" s="242"/>
      <c r="CB20" s="242"/>
      <c r="CJ20" s="242"/>
    </row>
    <row r="21" spans="1:88" ht="15" customHeight="1">
      <c r="A21" s="1307">
        <v>1.1000000000000001</v>
      </c>
      <c r="B21" s="1395" t="s">
        <v>322</v>
      </c>
      <c r="C21" s="1396"/>
      <c r="D21" s="1396"/>
      <c r="E21" s="1396"/>
      <c r="F21" s="1396"/>
      <c r="G21" s="1396"/>
      <c r="H21" s="1536"/>
      <c r="I21" s="1205" t="str">
        <f t="shared" ref="I21" si="2">IF(ISBLANK(H$3),"",1)</f>
        <v/>
      </c>
      <c r="J21" s="1205" t="str">
        <f>IF(ISBLANK(L$3),"",1)</f>
        <v/>
      </c>
      <c r="K21" s="255"/>
      <c r="L21" s="1258">
        <v>4.4000000000000004</v>
      </c>
      <c r="M21" s="1395" t="s">
        <v>873</v>
      </c>
      <c r="N21" s="1396"/>
      <c r="O21" s="1396"/>
      <c r="P21" s="1396"/>
      <c r="Q21" s="1396"/>
      <c r="R21" s="1396"/>
      <c r="S21" s="1536"/>
      <c r="T21" s="1205" t="str">
        <f>IF(ISBLANK(H$3),"",1)</f>
        <v/>
      </c>
      <c r="U21" s="1241"/>
      <c r="V21" s="1258">
        <v>4.4000000000000004</v>
      </c>
      <c r="W21" s="1526" t="s">
        <v>323</v>
      </c>
      <c r="X21" s="1527"/>
      <c r="Y21" s="1527"/>
      <c r="Z21" s="1527"/>
      <c r="AA21" s="1527"/>
      <c r="AB21" s="1527"/>
      <c r="AC21" s="1533" t="s">
        <v>696</v>
      </c>
      <c r="AD21" s="1205" t="str">
        <f>IF(ISBLANK(L$3),"",1)</f>
        <v/>
      </c>
      <c r="AE21" s="256"/>
      <c r="AF21" s="256"/>
      <c r="AO21" s="52"/>
      <c r="BJ21" s="1337"/>
      <c r="BK21" s="1338"/>
      <c r="BL21" s="1338"/>
      <c r="BM21" s="1338"/>
      <c r="BN21" s="1338"/>
      <c r="BO21" s="1339"/>
      <c r="BP21" s="255"/>
      <c r="BQ21" s="255"/>
      <c r="BR21" s="255"/>
      <c r="BS21" s="242"/>
      <c r="CB21" s="242"/>
      <c r="CJ21" s="242"/>
    </row>
    <row r="22" spans="1:88" ht="15" customHeight="1">
      <c r="A22" s="1308"/>
      <c r="B22" s="1163"/>
      <c r="C22" s="1164"/>
      <c r="D22" s="1164"/>
      <c r="E22" s="1164"/>
      <c r="F22" s="1164"/>
      <c r="G22" s="1164"/>
      <c r="H22" s="1266"/>
      <c r="I22" s="1206"/>
      <c r="J22" s="1206"/>
      <c r="K22" s="255"/>
      <c r="L22" s="1258"/>
      <c r="M22" s="1163"/>
      <c r="N22" s="1164"/>
      <c r="O22" s="1164"/>
      <c r="P22" s="1164"/>
      <c r="Q22" s="1164"/>
      <c r="R22" s="1164"/>
      <c r="S22" s="1266"/>
      <c r="T22" s="1206"/>
      <c r="U22" s="1241"/>
      <c r="V22" s="1258"/>
      <c r="W22" s="1317"/>
      <c r="X22" s="1296"/>
      <c r="Y22" s="1296"/>
      <c r="Z22" s="1296"/>
      <c r="AA22" s="1296"/>
      <c r="AB22" s="1296"/>
      <c r="AC22" s="1297"/>
      <c r="AD22" s="1206"/>
      <c r="AE22" s="256"/>
      <c r="AF22" s="256"/>
      <c r="AO22" s="52"/>
      <c r="BJ22" s="1337"/>
      <c r="BK22" s="1338"/>
      <c r="BL22" s="1338"/>
      <c r="BM22" s="1338"/>
      <c r="BN22" s="1338"/>
      <c r="BO22" s="1339"/>
      <c r="BP22" s="255"/>
      <c r="BQ22" s="255"/>
      <c r="BR22" s="255"/>
      <c r="BS22" s="242"/>
      <c r="CB22" s="242"/>
      <c r="CJ22" s="242"/>
    </row>
    <row r="23" spans="1:88" ht="15" customHeight="1">
      <c r="A23" s="1309"/>
      <c r="B23" s="1163"/>
      <c r="C23" s="1164"/>
      <c r="D23" s="1164"/>
      <c r="E23" s="1164"/>
      <c r="F23" s="1164"/>
      <c r="G23" s="1164"/>
      <c r="H23" s="1266"/>
      <c r="I23" s="1207"/>
      <c r="J23" s="1207"/>
      <c r="K23" s="255"/>
      <c r="L23" s="1258"/>
      <c r="M23" s="1163"/>
      <c r="N23" s="1164"/>
      <c r="O23" s="1164"/>
      <c r="P23" s="1164"/>
      <c r="Q23" s="1164"/>
      <c r="R23" s="1164"/>
      <c r="S23" s="1266"/>
      <c r="T23" s="1207"/>
      <c r="U23" s="1241"/>
      <c r="V23" s="1258"/>
      <c r="W23" s="1317"/>
      <c r="X23" s="1296"/>
      <c r="Y23" s="1296"/>
      <c r="Z23" s="1296"/>
      <c r="AA23" s="1296"/>
      <c r="AB23" s="1296"/>
      <c r="AC23" s="1297"/>
      <c r="AD23" s="1207"/>
      <c r="AE23" s="256"/>
      <c r="AF23" s="256"/>
      <c r="AO23" s="52"/>
      <c r="BJ23" s="1337"/>
      <c r="BK23" s="1338"/>
      <c r="BL23" s="1338"/>
      <c r="BM23" s="1338"/>
      <c r="BN23" s="1338"/>
      <c r="BO23" s="1339"/>
      <c r="BP23" s="255"/>
      <c r="BQ23" s="255"/>
      <c r="BR23" s="255"/>
      <c r="BS23" s="242"/>
      <c r="CB23" s="242"/>
      <c r="CJ23" s="242"/>
    </row>
    <row r="24" spans="1:88" ht="15" customHeight="1">
      <c r="A24" s="1304">
        <v>2.1</v>
      </c>
      <c r="B24" s="1395" t="s">
        <v>940</v>
      </c>
      <c r="C24" s="1396"/>
      <c r="D24" s="1396"/>
      <c r="E24" s="1396"/>
      <c r="F24" s="1396"/>
      <c r="G24" s="1396"/>
      <c r="H24" s="1536"/>
      <c r="I24" s="1205" t="str">
        <f t="shared" ref="I24" si="3">IF(ISBLANK(H$3),"",1)</f>
        <v/>
      </c>
      <c r="J24" s="1205" t="str">
        <f>IF(ISBLANK(L$3),"",1)</f>
        <v/>
      </c>
      <c r="K24" s="255"/>
      <c r="L24" s="1258">
        <v>4.3</v>
      </c>
      <c r="M24" s="1562" t="s">
        <v>326</v>
      </c>
      <c r="N24" s="1563" t="s">
        <v>327</v>
      </c>
      <c r="O24" s="1564"/>
      <c r="P24" s="1564"/>
      <c r="Q24" s="1564"/>
      <c r="R24" s="1564"/>
      <c r="S24" s="1565"/>
      <c r="T24" s="1205" t="str">
        <f>IF(ISBLANK(H$3),"",1)</f>
        <v/>
      </c>
      <c r="U24" s="1241"/>
      <c r="V24" s="1258">
        <v>4.4000000000000004</v>
      </c>
      <c r="W24" s="1526" t="s">
        <v>328</v>
      </c>
      <c r="X24" s="1527"/>
      <c r="Y24" s="1527"/>
      <c r="Z24" s="1527"/>
      <c r="AA24" s="1527"/>
      <c r="AB24" s="1527"/>
      <c r="AC24" s="1533" t="s">
        <v>696</v>
      </c>
      <c r="AD24" s="1205" t="str">
        <f>IF(ISBLANK(L$3),"",1)</f>
        <v/>
      </c>
      <c r="AE24" s="256"/>
      <c r="AF24" s="256"/>
      <c r="AO24" s="52"/>
      <c r="BJ24" s="1337"/>
      <c r="BK24" s="1338"/>
      <c r="BL24" s="1338"/>
      <c r="BM24" s="1338"/>
      <c r="BN24" s="1338"/>
      <c r="BO24" s="1339"/>
      <c r="BP24" s="255"/>
      <c r="BQ24" s="255"/>
      <c r="BR24" s="255"/>
      <c r="BS24" s="242"/>
      <c r="CB24" s="242"/>
      <c r="CJ24" s="242"/>
    </row>
    <row r="25" spans="1:88" ht="15" customHeight="1">
      <c r="A25" s="1290"/>
      <c r="B25" s="1163"/>
      <c r="C25" s="1164"/>
      <c r="D25" s="1164"/>
      <c r="E25" s="1164"/>
      <c r="F25" s="1164"/>
      <c r="G25" s="1164"/>
      <c r="H25" s="1266"/>
      <c r="I25" s="1206"/>
      <c r="J25" s="1206"/>
      <c r="K25" s="255"/>
      <c r="L25" s="1258"/>
      <c r="M25" s="1562"/>
      <c r="N25" s="1556"/>
      <c r="O25" s="1557"/>
      <c r="P25" s="1557"/>
      <c r="Q25" s="1557"/>
      <c r="R25" s="1557"/>
      <c r="S25" s="1558"/>
      <c r="T25" s="1206"/>
      <c r="U25" s="1241"/>
      <c r="V25" s="1258"/>
      <c r="W25" s="1317"/>
      <c r="X25" s="1296"/>
      <c r="Y25" s="1296"/>
      <c r="Z25" s="1296"/>
      <c r="AA25" s="1296"/>
      <c r="AB25" s="1296"/>
      <c r="AC25" s="1297"/>
      <c r="AD25" s="1206"/>
      <c r="AE25" s="256"/>
      <c r="AF25" s="256"/>
      <c r="AO25" s="52"/>
      <c r="BJ25" s="1337"/>
      <c r="BK25" s="1338"/>
      <c r="BL25" s="1338"/>
      <c r="BM25" s="1338"/>
      <c r="BN25" s="1338"/>
      <c r="BO25" s="1339"/>
      <c r="BP25" s="255"/>
      <c r="BQ25" s="255"/>
      <c r="BR25" s="255"/>
      <c r="BS25" s="242"/>
      <c r="CB25" s="242"/>
      <c r="CJ25" s="242"/>
    </row>
    <row r="26" spans="1:88" ht="15" customHeight="1">
      <c r="A26" s="1291"/>
      <c r="B26" s="1163"/>
      <c r="C26" s="1164"/>
      <c r="D26" s="1164"/>
      <c r="E26" s="1164"/>
      <c r="F26" s="1164"/>
      <c r="G26" s="1164"/>
      <c r="H26" s="1266"/>
      <c r="I26" s="1207"/>
      <c r="J26" s="1207"/>
      <c r="K26" s="255"/>
      <c r="L26" s="1258"/>
      <c r="M26" s="1562"/>
      <c r="N26" s="1559"/>
      <c r="O26" s="1560"/>
      <c r="P26" s="1560"/>
      <c r="Q26" s="1560"/>
      <c r="R26" s="1560"/>
      <c r="S26" s="1561"/>
      <c r="T26" s="1207"/>
      <c r="U26" s="1241"/>
      <c r="V26" s="1258"/>
      <c r="W26" s="1317"/>
      <c r="X26" s="1296"/>
      <c r="Y26" s="1296"/>
      <c r="Z26" s="1296"/>
      <c r="AA26" s="1296"/>
      <c r="AB26" s="1296"/>
      <c r="AC26" s="1297"/>
      <c r="AD26" s="1207"/>
      <c r="AE26" s="256"/>
      <c r="AF26" s="256"/>
      <c r="AO26" s="52"/>
      <c r="BJ26" s="1337"/>
      <c r="BK26" s="1338"/>
      <c r="BL26" s="1338"/>
      <c r="BM26" s="1338"/>
      <c r="BN26" s="1338"/>
      <c r="BO26" s="1339"/>
      <c r="BP26" s="255"/>
      <c r="BQ26" s="255"/>
      <c r="BR26" s="255"/>
      <c r="BS26" s="242"/>
      <c r="CB26" s="242"/>
      <c r="CJ26" s="242"/>
    </row>
    <row r="27" spans="1:88" ht="15" customHeight="1">
      <c r="A27" s="1307">
        <v>1.1000000000000001</v>
      </c>
      <c r="B27" s="1395" t="s">
        <v>330</v>
      </c>
      <c r="C27" s="1396"/>
      <c r="D27" s="1396"/>
      <c r="E27" s="1396"/>
      <c r="F27" s="1396"/>
      <c r="G27" s="1396"/>
      <c r="H27" s="1536"/>
      <c r="I27" s="1205" t="str">
        <f t="shared" ref="I27" si="4">IF(ISBLANK(H$3),"",1)</f>
        <v/>
      </c>
      <c r="J27" s="1205" t="str">
        <f>IF(ISBLANK(L$3),"",1)</f>
        <v/>
      </c>
      <c r="K27" s="255"/>
      <c r="L27" s="1236">
        <v>1.5</v>
      </c>
      <c r="M27" s="1562" t="s">
        <v>332</v>
      </c>
      <c r="N27" s="1553" t="s">
        <v>333</v>
      </c>
      <c r="O27" s="1554"/>
      <c r="P27" s="1554"/>
      <c r="Q27" s="1554"/>
      <c r="R27" s="1554"/>
      <c r="S27" s="1555"/>
      <c r="T27" s="1205" t="str">
        <f>IF(ISBLANK(H$3),"",1)</f>
        <v/>
      </c>
      <c r="U27" s="1241"/>
      <c r="V27" s="1236">
        <v>4.3</v>
      </c>
      <c r="W27" s="1526" t="s">
        <v>324</v>
      </c>
      <c r="X27" s="1527"/>
      <c r="Y27" s="1527"/>
      <c r="Z27" s="1527"/>
      <c r="AA27" s="1527"/>
      <c r="AB27" s="1527"/>
      <c r="AC27" s="1533" t="s">
        <v>696</v>
      </c>
      <c r="AD27" s="1205" t="str">
        <f>IF(ISBLANK(L$3),"",1)</f>
        <v/>
      </c>
      <c r="AE27" s="256"/>
      <c r="AF27" s="256"/>
      <c r="AO27" s="52"/>
      <c r="BJ27" s="1337"/>
      <c r="BK27" s="1338"/>
      <c r="BL27" s="1338"/>
      <c r="BM27" s="1338"/>
      <c r="BN27" s="1338"/>
      <c r="BO27" s="1339"/>
      <c r="BP27" s="255"/>
      <c r="BQ27" s="255"/>
      <c r="BR27" s="255"/>
      <c r="BS27" s="242"/>
      <c r="CB27" s="242"/>
      <c r="CJ27" s="242"/>
    </row>
    <row r="28" spans="1:88" ht="15" customHeight="1">
      <c r="A28" s="1308"/>
      <c r="B28" s="1163"/>
      <c r="C28" s="1164"/>
      <c r="D28" s="1164"/>
      <c r="E28" s="1164"/>
      <c r="F28" s="1164"/>
      <c r="G28" s="1164"/>
      <c r="H28" s="1266"/>
      <c r="I28" s="1206"/>
      <c r="J28" s="1206"/>
      <c r="K28" s="255"/>
      <c r="L28" s="1236"/>
      <c r="M28" s="1562"/>
      <c r="N28" s="1556"/>
      <c r="O28" s="1557"/>
      <c r="P28" s="1557"/>
      <c r="Q28" s="1557"/>
      <c r="R28" s="1557"/>
      <c r="S28" s="1558"/>
      <c r="T28" s="1206"/>
      <c r="U28" s="1241"/>
      <c r="V28" s="1236"/>
      <c r="W28" s="1317"/>
      <c r="X28" s="1296"/>
      <c r="Y28" s="1296"/>
      <c r="Z28" s="1296"/>
      <c r="AA28" s="1296"/>
      <c r="AB28" s="1296"/>
      <c r="AC28" s="1297"/>
      <c r="AD28" s="1206"/>
      <c r="AE28" s="256"/>
      <c r="AF28" s="256"/>
      <c r="AO28" s="52"/>
      <c r="BJ28" s="1337"/>
      <c r="BK28" s="1338"/>
      <c r="BL28" s="1338"/>
      <c r="BM28" s="1338"/>
      <c r="BN28" s="1338"/>
      <c r="BO28" s="1339"/>
      <c r="BP28" s="255"/>
      <c r="BQ28" s="255"/>
      <c r="BR28" s="255"/>
      <c r="BS28" s="242"/>
      <c r="CB28" s="242"/>
      <c r="CJ28" s="242"/>
    </row>
    <row r="29" spans="1:88" ht="15" customHeight="1">
      <c r="A29" s="1308"/>
      <c r="B29" s="1163"/>
      <c r="C29" s="1164"/>
      <c r="D29" s="1164"/>
      <c r="E29" s="1164"/>
      <c r="F29" s="1164"/>
      <c r="G29" s="1164"/>
      <c r="H29" s="1266"/>
      <c r="I29" s="1207"/>
      <c r="J29" s="1207"/>
      <c r="K29" s="255"/>
      <c r="L29" s="1236"/>
      <c r="M29" s="1562"/>
      <c r="N29" s="1559"/>
      <c r="O29" s="1560"/>
      <c r="P29" s="1560"/>
      <c r="Q29" s="1560"/>
      <c r="R29" s="1560"/>
      <c r="S29" s="1561"/>
      <c r="T29" s="1207"/>
      <c r="U29" s="1241"/>
      <c r="V29" s="1236"/>
      <c r="W29" s="1317"/>
      <c r="X29" s="1296"/>
      <c r="Y29" s="1296"/>
      <c r="Z29" s="1296"/>
      <c r="AA29" s="1296"/>
      <c r="AB29" s="1296"/>
      <c r="AC29" s="1297"/>
      <c r="AD29" s="1207"/>
      <c r="AE29" s="256"/>
      <c r="AF29" s="256"/>
      <c r="AO29" s="52"/>
      <c r="BJ29" s="1337"/>
      <c r="BK29" s="1338"/>
      <c r="BL29" s="1338"/>
      <c r="BM29" s="1338"/>
      <c r="BN29" s="1338"/>
      <c r="BO29" s="1339"/>
      <c r="BP29" s="255"/>
      <c r="BQ29" s="255"/>
      <c r="BR29" s="255"/>
      <c r="BS29" s="242"/>
      <c r="CB29" s="242"/>
      <c r="CJ29" s="242"/>
    </row>
    <row r="30" spans="1:88" ht="15" customHeight="1">
      <c r="A30" s="1307">
        <v>1.5</v>
      </c>
      <c r="B30" s="1549" t="s">
        <v>336</v>
      </c>
      <c r="C30" s="1549"/>
      <c r="D30" s="1549"/>
      <c r="E30" s="1549"/>
      <c r="F30" s="1549"/>
      <c r="G30" s="1549"/>
      <c r="H30" s="1549"/>
      <c r="I30" s="1205" t="str">
        <f t="shared" ref="I30" si="5">IF(ISBLANK(H$3),"",1)</f>
        <v/>
      </c>
      <c r="J30" s="1205" t="str">
        <f>IF(ISBLANK(L$3),"",1)</f>
        <v/>
      </c>
      <c r="K30" s="255"/>
      <c r="L30" s="1258">
        <v>4.3</v>
      </c>
      <c r="M30" s="1161" t="s">
        <v>331</v>
      </c>
      <c r="N30" s="1162"/>
      <c r="O30" s="1162"/>
      <c r="P30" s="1162"/>
      <c r="Q30" s="1162"/>
      <c r="R30" s="1162"/>
      <c r="S30" s="1265"/>
      <c r="T30" s="1205" t="str">
        <f>IF(ISBLANK(H$3),"",1)</f>
        <v/>
      </c>
      <c r="U30" s="1241"/>
      <c r="V30" s="1258">
        <v>4.4000000000000004</v>
      </c>
      <c r="W30" s="1526" t="s">
        <v>329</v>
      </c>
      <c r="X30" s="1527"/>
      <c r="Y30" s="1527"/>
      <c r="Z30" s="1527"/>
      <c r="AA30" s="1527"/>
      <c r="AB30" s="1527"/>
      <c r="AC30" s="1533" t="s">
        <v>696</v>
      </c>
      <c r="AD30" s="1205" t="str">
        <f>IF(ISBLANK(L$3),"",1)</f>
        <v/>
      </c>
      <c r="AE30" s="256"/>
      <c r="AF30" s="256"/>
      <c r="AO30" s="52"/>
      <c r="BJ30" s="1337"/>
      <c r="BK30" s="1338"/>
      <c r="BL30" s="1338"/>
      <c r="BM30" s="1338"/>
      <c r="BN30" s="1338"/>
      <c r="BO30" s="1339"/>
      <c r="BP30" s="255"/>
      <c r="BQ30" s="255"/>
      <c r="BR30" s="255"/>
    </row>
    <row r="31" spans="1:88" ht="15" customHeight="1">
      <c r="A31" s="1308"/>
      <c r="B31" s="1550"/>
      <c r="C31" s="1550"/>
      <c r="D31" s="1550"/>
      <c r="E31" s="1550"/>
      <c r="F31" s="1550"/>
      <c r="G31" s="1550"/>
      <c r="H31" s="1550"/>
      <c r="I31" s="1206"/>
      <c r="J31" s="1206"/>
      <c r="K31" s="255"/>
      <c r="L31" s="1258"/>
      <c r="M31" s="1163"/>
      <c r="N31" s="1164"/>
      <c r="O31" s="1164"/>
      <c r="P31" s="1164"/>
      <c r="Q31" s="1164"/>
      <c r="R31" s="1164"/>
      <c r="S31" s="1266"/>
      <c r="T31" s="1206"/>
      <c r="U31" s="1241"/>
      <c r="V31" s="1258"/>
      <c r="W31" s="1317"/>
      <c r="X31" s="1296"/>
      <c r="Y31" s="1296"/>
      <c r="Z31" s="1296"/>
      <c r="AA31" s="1296"/>
      <c r="AB31" s="1296"/>
      <c r="AC31" s="1297"/>
      <c r="AD31" s="1206"/>
      <c r="AE31" s="256"/>
      <c r="AF31" s="256"/>
      <c r="AO31" s="52"/>
      <c r="BJ31" s="1337"/>
      <c r="BK31" s="1338"/>
      <c r="BL31" s="1338"/>
      <c r="BM31" s="1338"/>
      <c r="BN31" s="1338"/>
      <c r="BO31" s="1339"/>
      <c r="BP31" s="255"/>
      <c r="BQ31" s="255"/>
      <c r="BR31" s="255"/>
    </row>
    <row r="32" spans="1:88" ht="15" customHeight="1">
      <c r="A32" s="1309"/>
      <c r="B32" s="1551"/>
      <c r="C32" s="1551"/>
      <c r="D32" s="1551"/>
      <c r="E32" s="1551"/>
      <c r="F32" s="1551"/>
      <c r="G32" s="1551"/>
      <c r="H32" s="1551"/>
      <c r="I32" s="1207"/>
      <c r="J32" s="1207"/>
      <c r="K32" s="255"/>
      <c r="L32" s="1258"/>
      <c r="M32" s="1552"/>
      <c r="N32" s="1203"/>
      <c r="O32" s="1203"/>
      <c r="P32" s="1203"/>
      <c r="Q32" s="1203"/>
      <c r="R32" s="1203"/>
      <c r="S32" s="1305"/>
      <c r="T32" s="1207"/>
      <c r="U32" s="1241"/>
      <c r="V32" s="1258"/>
      <c r="W32" s="1317"/>
      <c r="X32" s="1296"/>
      <c r="Y32" s="1296"/>
      <c r="Z32" s="1296"/>
      <c r="AA32" s="1296"/>
      <c r="AB32" s="1296"/>
      <c r="AC32" s="1297"/>
      <c r="AD32" s="1207"/>
      <c r="AE32" s="256"/>
      <c r="AF32" s="256"/>
      <c r="AO32" s="52"/>
      <c r="BJ32" s="1337"/>
      <c r="BK32" s="1338"/>
      <c r="BL32" s="1338"/>
      <c r="BM32" s="1338"/>
      <c r="BN32" s="1338"/>
      <c r="BO32" s="1339"/>
      <c r="BP32" s="255"/>
      <c r="BQ32" s="255"/>
      <c r="BR32" s="255"/>
    </row>
    <row r="33" spans="1:70" ht="15" customHeight="1">
      <c r="A33" s="1260" t="s">
        <v>637</v>
      </c>
      <c r="B33" s="1260"/>
      <c r="C33" s="1260"/>
      <c r="D33" s="1260"/>
      <c r="E33" s="1260"/>
      <c r="F33" s="1261"/>
      <c r="G33" s="294">
        <v>1.1000000000000001</v>
      </c>
      <c r="H33" s="311">
        <f>COUNTIF($A$12:$A$32,G33)</f>
        <v>4</v>
      </c>
      <c r="I33" s="240" t="str">
        <f>IF($H$3=1,SUMIF($A$12:$A$32,G33,$I$12:$I$32),"")</f>
        <v/>
      </c>
      <c r="J33" s="240" t="str">
        <f>IF($L$3=1,SUMIF($A$12:$A$32,G33,$J$12:$J$32),"")</f>
        <v/>
      </c>
      <c r="K33" s="255"/>
      <c r="L33" s="1262" t="s">
        <v>637</v>
      </c>
      <c r="M33" s="1262"/>
      <c r="N33" s="1262"/>
      <c r="O33" s="1262"/>
      <c r="P33" s="1262"/>
      <c r="Q33" s="1263"/>
      <c r="R33" s="273">
        <v>1.5</v>
      </c>
      <c r="S33" s="311">
        <f>COUNTIF($L$12:$L$32,R33)</f>
        <v>2</v>
      </c>
      <c r="T33" s="240" t="str">
        <f>IF($H$3=1,SUMIF($L$12:$L$32,R33,$T$12:$T$32),"")</f>
        <v/>
      </c>
      <c r="U33" s="301"/>
      <c r="V33" s="1236">
        <v>2.4</v>
      </c>
      <c r="W33" s="1526" t="s">
        <v>334</v>
      </c>
      <c r="X33" s="1527"/>
      <c r="Y33" s="1527"/>
      <c r="Z33" s="1527"/>
      <c r="AA33" s="1527"/>
      <c r="AB33" s="1527"/>
      <c r="AC33" s="1533" t="s">
        <v>696</v>
      </c>
      <c r="AD33" s="1205" t="str">
        <f>IF(ISBLANK(L$3),"",1)</f>
        <v/>
      </c>
      <c r="AE33" s="256"/>
      <c r="AF33" s="256"/>
      <c r="AO33" s="52"/>
      <c r="BJ33" s="1337"/>
      <c r="BK33" s="1338"/>
      <c r="BL33" s="1338"/>
      <c r="BM33" s="1338"/>
      <c r="BN33" s="1338"/>
      <c r="BO33" s="1339"/>
      <c r="BP33" s="255"/>
      <c r="BQ33" s="255"/>
      <c r="BR33" s="255"/>
    </row>
    <row r="34" spans="1:70" ht="15" customHeight="1">
      <c r="A34" s="52"/>
      <c r="B34" s="248"/>
      <c r="C34" s="248"/>
      <c r="D34" s="248"/>
      <c r="E34" s="248"/>
      <c r="F34" s="299"/>
      <c r="G34" s="273">
        <v>1.5</v>
      </c>
      <c r="H34" s="311">
        <f t="shared" ref="H34:H36" si="6">COUNTIF($A$12:$A$32,G34)</f>
        <v>1</v>
      </c>
      <c r="I34" s="240" t="str">
        <f t="shared" ref="I34:I36" si="7">IF($H$3=1,SUMIF($A$12:$A$32,G34,$I$12:$I$32),"")</f>
        <v/>
      </c>
      <c r="J34" s="240" t="str">
        <f t="shared" ref="J34:J36" si="8">IF($L$3=1,SUMIF($A$12:$A$32,G34,$J$12:$J$32),"")</f>
        <v/>
      </c>
      <c r="K34" s="255"/>
      <c r="L34" s="248"/>
      <c r="M34" s="248"/>
      <c r="N34" s="248"/>
      <c r="O34" s="248"/>
      <c r="P34" s="248"/>
      <c r="R34" s="274">
        <v>4.3</v>
      </c>
      <c r="S34" s="311">
        <f t="shared" ref="S34:S35" si="9">COUNTIF($L$12:$L$32,R34)</f>
        <v>2</v>
      </c>
      <c r="T34" s="240" t="str">
        <f t="shared" ref="T34:T35" si="10">IF($H$3=1,SUMIF($L$12:$L$32,R34,$T$12:$T$32),"")</f>
        <v/>
      </c>
      <c r="U34" s="301"/>
      <c r="V34" s="1236"/>
      <c r="W34" s="1317"/>
      <c r="X34" s="1296"/>
      <c r="Y34" s="1296"/>
      <c r="Z34" s="1296"/>
      <c r="AA34" s="1296"/>
      <c r="AB34" s="1296"/>
      <c r="AC34" s="1297"/>
      <c r="AD34" s="1206"/>
      <c r="AE34" s="256"/>
      <c r="AF34" s="256"/>
      <c r="AO34" s="52"/>
      <c r="BJ34" s="1337"/>
      <c r="BK34" s="1338"/>
      <c r="BL34" s="1338"/>
      <c r="BM34" s="1338"/>
      <c r="BN34" s="1338"/>
      <c r="BO34" s="1339"/>
      <c r="BP34" s="255"/>
      <c r="BQ34" s="255"/>
      <c r="BR34" s="255"/>
    </row>
    <row r="35" spans="1:70" ht="15" customHeight="1">
      <c r="A35" s="255"/>
      <c r="B35" s="255"/>
      <c r="C35" s="255"/>
      <c r="D35" s="255"/>
      <c r="E35" s="255"/>
      <c r="G35" s="272">
        <v>2.1</v>
      </c>
      <c r="H35" s="311">
        <f t="shared" si="6"/>
        <v>1</v>
      </c>
      <c r="I35" s="240" t="str">
        <f t="shared" si="7"/>
        <v/>
      </c>
      <c r="J35" s="240" t="str">
        <f t="shared" si="8"/>
        <v/>
      </c>
      <c r="K35" s="255"/>
      <c r="L35" s="255"/>
      <c r="M35" s="255"/>
      <c r="N35" s="255"/>
      <c r="O35" s="255"/>
      <c r="P35" s="255"/>
      <c r="R35" s="274">
        <v>4.4000000000000004</v>
      </c>
      <c r="S35" s="311">
        <f t="shared" si="9"/>
        <v>3</v>
      </c>
      <c r="T35" s="240" t="str">
        <f t="shared" si="10"/>
        <v/>
      </c>
      <c r="U35" s="255"/>
      <c r="V35" s="1236"/>
      <c r="W35" s="1317"/>
      <c r="X35" s="1296"/>
      <c r="Y35" s="1296"/>
      <c r="Z35" s="1296"/>
      <c r="AA35" s="1296"/>
      <c r="AB35" s="1296"/>
      <c r="AC35" s="1297"/>
      <c r="AD35" s="1207"/>
      <c r="AE35" s="256"/>
      <c r="AF35" s="256"/>
      <c r="AO35" s="52"/>
      <c r="BJ35" s="1337"/>
      <c r="BK35" s="1338"/>
      <c r="BL35" s="1338"/>
      <c r="BM35" s="1338"/>
      <c r="BN35" s="1338"/>
      <c r="BO35" s="1339"/>
      <c r="BP35" s="255"/>
      <c r="BQ35" s="255"/>
      <c r="BR35" s="255"/>
    </row>
    <row r="36" spans="1:70" ht="15" customHeight="1">
      <c r="A36" s="255"/>
      <c r="B36" s="255"/>
      <c r="C36" s="255"/>
      <c r="D36" s="255"/>
      <c r="E36" s="255"/>
      <c r="G36" s="272">
        <v>2.4</v>
      </c>
      <c r="H36" s="311">
        <f t="shared" si="6"/>
        <v>1</v>
      </c>
      <c r="I36" s="240" t="str">
        <f t="shared" si="7"/>
        <v/>
      </c>
      <c r="J36" s="240" t="str">
        <f t="shared" si="8"/>
        <v/>
      </c>
      <c r="K36" s="255"/>
      <c r="L36" s="255"/>
      <c r="M36" s="255"/>
      <c r="N36" s="255"/>
      <c r="O36" s="255"/>
      <c r="P36" s="255"/>
      <c r="Q36" s="255"/>
      <c r="R36" s="255"/>
      <c r="S36" s="255"/>
      <c r="T36" s="255"/>
      <c r="U36" s="255"/>
      <c r="V36" s="1258">
        <v>2.4</v>
      </c>
      <c r="W36" s="1526" t="s">
        <v>337</v>
      </c>
      <c r="X36" s="1527"/>
      <c r="Y36" s="1527"/>
      <c r="Z36" s="1527"/>
      <c r="AA36" s="1527"/>
      <c r="AB36" s="1527"/>
      <c r="AC36" s="1533" t="s">
        <v>696</v>
      </c>
      <c r="AD36" s="1205" t="str">
        <f>IF(ISBLANK(L$3),"",1)</f>
        <v/>
      </c>
      <c r="AE36" s="256"/>
      <c r="AF36" s="256"/>
      <c r="AO36" s="52"/>
      <c r="BJ36" s="1337"/>
      <c r="BK36" s="1338"/>
      <c r="BL36" s="1338"/>
      <c r="BM36" s="1338"/>
      <c r="BN36" s="1338"/>
      <c r="BO36" s="1339"/>
      <c r="BP36" s="255"/>
      <c r="BQ36" s="255"/>
      <c r="BR36" s="255"/>
    </row>
    <row r="37" spans="1:70" ht="15" customHeight="1">
      <c r="A37" s="255"/>
      <c r="B37" s="255"/>
      <c r="C37" s="255"/>
      <c r="D37" s="255"/>
      <c r="E37" s="255"/>
      <c r="F37" s="255"/>
      <c r="G37" s="255"/>
      <c r="H37" s="255"/>
      <c r="I37" s="255"/>
      <c r="J37" s="255"/>
      <c r="K37" s="255"/>
      <c r="L37" s="255"/>
      <c r="M37" s="255"/>
      <c r="N37" s="255"/>
      <c r="O37" s="255"/>
      <c r="P37" s="255"/>
      <c r="Q37" s="255"/>
      <c r="R37" s="255"/>
      <c r="S37" s="255"/>
      <c r="T37" s="255"/>
      <c r="U37" s="255"/>
      <c r="V37" s="1258"/>
      <c r="W37" s="1317"/>
      <c r="X37" s="1296"/>
      <c r="Y37" s="1296"/>
      <c r="Z37" s="1296"/>
      <c r="AA37" s="1296"/>
      <c r="AB37" s="1296"/>
      <c r="AC37" s="1297"/>
      <c r="AD37" s="1206"/>
      <c r="AE37" s="256"/>
      <c r="AF37" s="256"/>
      <c r="AO37" s="52"/>
      <c r="BJ37" s="1337"/>
      <c r="BK37" s="1338"/>
      <c r="BL37" s="1338"/>
      <c r="BM37" s="1338"/>
      <c r="BN37" s="1338"/>
      <c r="BO37" s="1339"/>
      <c r="BP37" s="255"/>
      <c r="BQ37" s="255"/>
      <c r="BR37" s="255"/>
    </row>
    <row r="38" spans="1:70" ht="15" customHeight="1">
      <c r="A38" s="1209"/>
      <c r="B38" s="1210" t="s">
        <v>609</v>
      </c>
      <c r="C38" s="1211"/>
      <c r="D38" s="1211"/>
      <c r="E38" s="1211"/>
      <c r="F38" s="1211"/>
      <c r="G38" s="1211"/>
      <c r="H38" s="1272"/>
      <c r="I38" s="1174">
        <v>1</v>
      </c>
      <c r="J38" s="1174">
        <v>2</v>
      </c>
      <c r="K38" s="1"/>
      <c r="L38" s="255"/>
      <c r="M38" s="255"/>
      <c r="N38" s="255"/>
      <c r="O38" s="255"/>
      <c r="P38" s="255"/>
      <c r="Q38" s="255"/>
      <c r="R38" s="255"/>
      <c r="S38" s="255"/>
      <c r="T38" s="255"/>
      <c r="U38" s="255"/>
      <c r="V38" s="1258"/>
      <c r="W38" s="1317"/>
      <c r="X38" s="1296"/>
      <c r="Y38" s="1296"/>
      <c r="Z38" s="1296"/>
      <c r="AA38" s="1296"/>
      <c r="AB38" s="1296"/>
      <c r="AC38" s="1297"/>
      <c r="AD38" s="1207"/>
      <c r="AE38" s="256"/>
      <c r="AF38" s="256"/>
      <c r="AO38" s="52"/>
      <c r="BJ38" s="1337"/>
      <c r="BK38" s="1338"/>
      <c r="BL38" s="1338"/>
      <c r="BM38" s="1338"/>
      <c r="BN38" s="1338"/>
      <c r="BO38" s="1339"/>
      <c r="BP38" s="256"/>
      <c r="BQ38" s="256"/>
      <c r="BR38" s="256"/>
    </row>
    <row r="39" spans="1:70" ht="15" customHeight="1">
      <c r="A39" s="1209"/>
      <c r="B39" s="1212"/>
      <c r="C39" s="1213"/>
      <c r="D39" s="1213"/>
      <c r="E39" s="1213"/>
      <c r="F39" s="1213"/>
      <c r="G39" s="1213"/>
      <c r="H39" s="1273"/>
      <c r="I39" s="1174"/>
      <c r="J39" s="1174"/>
      <c r="K39" s="1"/>
      <c r="L39" s="255"/>
      <c r="M39" s="255"/>
      <c r="N39" s="255"/>
      <c r="O39" s="255"/>
      <c r="P39" s="255"/>
      <c r="Q39" s="255"/>
      <c r="R39" s="255"/>
      <c r="S39" s="255"/>
      <c r="T39" s="255"/>
      <c r="U39" s="256"/>
      <c r="V39" s="1258">
        <v>1.5</v>
      </c>
      <c r="W39" s="1526" t="s">
        <v>331</v>
      </c>
      <c r="X39" s="1527"/>
      <c r="Y39" s="1527"/>
      <c r="Z39" s="1527"/>
      <c r="AA39" s="1527"/>
      <c r="AB39" s="1527"/>
      <c r="AC39" s="1533" t="s">
        <v>696</v>
      </c>
      <c r="AD39" s="1205" t="str">
        <f>IF(ISBLANK(L$3),"",1)</f>
        <v/>
      </c>
      <c r="AE39" s="256"/>
      <c r="AF39" s="256"/>
      <c r="AO39" s="52"/>
      <c r="BJ39" s="1337"/>
      <c r="BK39" s="1338"/>
      <c r="BL39" s="1338"/>
      <c r="BM39" s="1338"/>
      <c r="BN39" s="1338"/>
      <c r="BO39" s="1339"/>
      <c r="BP39" s="255"/>
      <c r="BQ39" s="256"/>
      <c r="BR39" s="255"/>
    </row>
    <row r="40" spans="1:70" ht="15" customHeight="1">
      <c r="A40" s="1264">
        <v>3.1</v>
      </c>
      <c r="B40" s="1553" t="s">
        <v>338</v>
      </c>
      <c r="C40" s="1554"/>
      <c r="D40" s="1554"/>
      <c r="E40" s="1554"/>
      <c r="F40" s="1554"/>
      <c r="G40" s="1554"/>
      <c r="H40" s="1555"/>
      <c r="I40" s="1205" t="str">
        <f t="shared" ref="I40" si="11">IF(ISBLANK(H$3),"",1)</f>
        <v/>
      </c>
      <c r="J40" s="1205" t="str">
        <f>IF(ISBLANK(L$3),"",1)</f>
        <v/>
      </c>
      <c r="K40" s="1"/>
      <c r="L40" s="255"/>
      <c r="M40" s="255"/>
      <c r="N40" s="255"/>
      <c r="O40" s="255"/>
      <c r="P40" s="255"/>
      <c r="Q40" s="255"/>
      <c r="R40" s="255"/>
      <c r="S40" s="255"/>
      <c r="T40" s="255"/>
      <c r="U40" s="256"/>
      <c r="V40" s="1258"/>
      <c r="W40" s="1317"/>
      <c r="X40" s="1296"/>
      <c r="Y40" s="1296"/>
      <c r="Z40" s="1296"/>
      <c r="AA40" s="1296"/>
      <c r="AB40" s="1296"/>
      <c r="AC40" s="1297"/>
      <c r="AD40" s="1206"/>
      <c r="AE40" s="256"/>
      <c r="AF40" s="256"/>
      <c r="AO40" s="52"/>
      <c r="BJ40" s="1222"/>
      <c r="BK40" s="1223"/>
      <c r="BL40" s="1223"/>
      <c r="BM40" s="1223"/>
      <c r="BN40" s="1223"/>
      <c r="BO40" s="1224"/>
      <c r="BP40" s="255"/>
      <c r="BQ40" s="256"/>
      <c r="BR40" s="255"/>
    </row>
    <row r="41" spans="1:70" ht="15" customHeight="1">
      <c r="A41" s="1264"/>
      <c r="B41" s="1556"/>
      <c r="C41" s="1557"/>
      <c r="D41" s="1557"/>
      <c r="E41" s="1557"/>
      <c r="F41" s="1557"/>
      <c r="G41" s="1557"/>
      <c r="H41" s="1558"/>
      <c r="I41" s="1206"/>
      <c r="J41" s="1206"/>
      <c r="K41" s="1"/>
      <c r="L41" s="255"/>
      <c r="M41" s="255"/>
      <c r="N41" s="255"/>
      <c r="O41" s="255"/>
      <c r="P41" s="255"/>
      <c r="Q41" s="255"/>
      <c r="R41" s="255"/>
      <c r="S41" s="255"/>
      <c r="T41" s="255"/>
      <c r="U41" s="256"/>
      <c r="V41" s="1258"/>
      <c r="W41" s="1319"/>
      <c r="X41" s="1320"/>
      <c r="Y41" s="1320"/>
      <c r="Z41" s="1320"/>
      <c r="AA41" s="1320"/>
      <c r="AB41" s="1320"/>
      <c r="AC41" s="1534"/>
      <c r="AD41" s="1207"/>
      <c r="AE41" s="256"/>
      <c r="AF41" s="256"/>
      <c r="AO41" s="52"/>
      <c r="BO41" s="255"/>
      <c r="BP41" s="255"/>
      <c r="BQ41" s="256"/>
      <c r="BR41" s="255"/>
    </row>
    <row r="42" spans="1:70" ht="15" customHeight="1">
      <c r="A42" s="1264"/>
      <c r="B42" s="1559"/>
      <c r="C42" s="1560"/>
      <c r="D42" s="1560"/>
      <c r="E42" s="1560"/>
      <c r="F42" s="1560"/>
      <c r="G42" s="1560"/>
      <c r="H42" s="1561"/>
      <c r="I42" s="1207"/>
      <c r="J42" s="1207"/>
      <c r="K42" s="1"/>
      <c r="L42" s="256"/>
      <c r="M42" s="256"/>
      <c r="N42" s="256"/>
      <c r="O42" s="256"/>
      <c r="P42" s="256"/>
      <c r="Q42" s="256"/>
      <c r="R42" s="256"/>
      <c r="S42" s="256"/>
      <c r="T42" s="256"/>
      <c r="U42" s="255"/>
      <c r="V42" s="1262" t="s">
        <v>637</v>
      </c>
      <c r="W42" s="1262"/>
      <c r="X42" s="1262"/>
      <c r="Y42" s="1262"/>
      <c r="Z42" s="1262"/>
      <c r="AA42" s="1263"/>
      <c r="AB42" s="294">
        <v>1.5</v>
      </c>
      <c r="AC42" s="311">
        <f>COUNTIF($V$12:$V$41,AB42)</f>
        <v>1</v>
      </c>
      <c r="AD42" s="240" t="str">
        <f>IF($L$3=1,SUMIF($V$12:$V$41,AB42,$AD$12:$AD$41),"")</f>
        <v/>
      </c>
      <c r="AE42" s="255"/>
      <c r="AF42" s="256"/>
      <c r="AG42" s="256"/>
      <c r="AO42" s="52"/>
      <c r="BP42" s="255"/>
      <c r="BQ42" s="255"/>
      <c r="BR42" s="255"/>
    </row>
    <row r="43" spans="1:70" ht="15" customHeight="1">
      <c r="A43" s="1260" t="s">
        <v>637</v>
      </c>
      <c r="B43" s="1260"/>
      <c r="C43" s="1260"/>
      <c r="D43" s="1260"/>
      <c r="E43" s="1260"/>
      <c r="F43" s="1271"/>
      <c r="G43" s="302">
        <v>3.1</v>
      </c>
      <c r="H43" s="311">
        <f>COUNTIF(A40,G43)</f>
        <v>1</v>
      </c>
      <c r="I43" s="240" t="str">
        <f>IF($H$3=1,SUMIF($A$40,G43,$I$40),"")</f>
        <v/>
      </c>
      <c r="J43" s="240" t="str">
        <f>IF(L3=1,SUMIF($A$40,G43,$J$40),"")</f>
        <v/>
      </c>
      <c r="K43" s="1"/>
      <c r="L43" s="256"/>
      <c r="M43" s="256"/>
      <c r="N43" s="256"/>
      <c r="O43" s="256"/>
      <c r="P43" s="256"/>
      <c r="Q43" s="256"/>
      <c r="R43" s="256"/>
      <c r="S43" s="256"/>
      <c r="T43" s="256"/>
      <c r="U43" s="256"/>
      <c r="V43" s="253"/>
      <c r="W43" s="244"/>
      <c r="X43" s="244"/>
      <c r="Y43" s="244"/>
      <c r="AB43" s="272">
        <v>2.4</v>
      </c>
      <c r="AC43" s="311">
        <f>COUNTIF($V$12:$V$41,AB43)</f>
        <v>2</v>
      </c>
      <c r="AD43" s="240" t="str">
        <f>IF($L$3=1,SUMIF($V$12:$V$41,AB43,$AD$12:$AD$41),"")</f>
        <v/>
      </c>
      <c r="AE43" s="255"/>
      <c r="AF43" s="256"/>
      <c r="AG43" s="256"/>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6"/>
      <c r="V44" s="253"/>
      <c r="W44" s="244"/>
      <c r="X44" s="244"/>
      <c r="Y44" s="244"/>
      <c r="AB44" s="274">
        <v>4.3</v>
      </c>
      <c r="AC44" s="311">
        <f>COUNTIF($V$12:$V$41,AB44)</f>
        <v>1</v>
      </c>
      <c r="AD44" s="240" t="str">
        <f>IF($L$3=1,SUMIF($V$12:$V$41,AB44,$AD$12:$AD$41),"")</f>
        <v/>
      </c>
      <c r="AE44" s="255"/>
      <c r="AF44" s="255"/>
      <c r="AG44" s="255"/>
      <c r="AO44" s="52"/>
      <c r="BP44" s="255"/>
      <c r="BQ44" s="255"/>
      <c r="BR44" s="255"/>
    </row>
    <row r="45" spans="1:70" ht="15" customHeight="1">
      <c r="A45" s="255"/>
      <c r="B45" s="255"/>
      <c r="C45" s="255"/>
      <c r="D45" s="255"/>
      <c r="E45" s="255"/>
      <c r="F45" s="255"/>
      <c r="G45" s="255"/>
      <c r="H45" s="255"/>
      <c r="I45" s="255"/>
      <c r="J45" s="255"/>
      <c r="K45" s="255"/>
      <c r="L45" s="255"/>
      <c r="M45" s="255"/>
      <c r="N45" s="255"/>
      <c r="O45" s="255"/>
      <c r="P45" s="255"/>
      <c r="Q45" s="255"/>
      <c r="R45" s="255"/>
      <c r="S45" s="255"/>
      <c r="T45" s="255"/>
      <c r="U45" s="255"/>
      <c r="V45" s="253"/>
      <c r="W45" s="244"/>
      <c r="X45" s="244"/>
      <c r="Y45" s="244"/>
      <c r="AB45" s="274">
        <v>4.4000000000000004</v>
      </c>
      <c r="AC45" s="311">
        <f>COUNTIF($V$12:$V$41,AB45)</f>
        <v>6</v>
      </c>
      <c r="AD45" s="240" t="str">
        <f>IF($L$3=1,SUMIF($V$12:$V$41,AB45,$AD$12:$AD$41),"")</f>
        <v/>
      </c>
      <c r="AE45" s="255"/>
      <c r="AF45" s="255"/>
      <c r="AG45" s="255"/>
      <c r="AO45" s="52"/>
      <c r="BP45" s="255"/>
      <c r="BQ45" s="255"/>
      <c r="BR45" s="255"/>
    </row>
    <row r="46" spans="1:70" ht="15" customHeight="1">
      <c r="A46" s="255"/>
      <c r="B46" s="255"/>
      <c r="C46" s="255"/>
      <c r="D46" s="255"/>
      <c r="E46" s="255"/>
      <c r="F46" s="255"/>
      <c r="G46" s="255"/>
      <c r="H46" s="255"/>
      <c r="I46" s="255"/>
      <c r="J46" s="255"/>
      <c r="K46" s="255"/>
      <c r="L46" s="255"/>
      <c r="M46" s="255"/>
      <c r="N46" s="255"/>
      <c r="O46" s="255"/>
      <c r="P46" s="255"/>
      <c r="Q46" s="255"/>
      <c r="R46" s="255"/>
      <c r="S46" s="255"/>
      <c r="T46" s="255"/>
      <c r="U46" s="255"/>
      <c r="V46" s="253"/>
      <c r="W46" s="244"/>
      <c r="X46" s="244"/>
      <c r="Y46" s="244"/>
      <c r="AE46" s="255"/>
      <c r="AF46" s="255"/>
      <c r="AG46" s="255"/>
      <c r="AO46" s="52"/>
      <c r="BP46" s="255"/>
      <c r="BQ46" s="255"/>
      <c r="BR46" s="255"/>
    </row>
    <row r="47" spans="1:70" ht="15" customHeight="1">
      <c r="A47" s="1171" t="s">
        <v>663</v>
      </c>
      <c r="B47" s="1171"/>
      <c r="C47" s="1171"/>
      <c r="D47" s="1171"/>
      <c r="E47" s="1171"/>
      <c r="F47" s="1171"/>
      <c r="G47" s="1171"/>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1"/>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255"/>
      <c r="BO47" s="255"/>
      <c r="BP47" s="255"/>
      <c r="BQ47" s="255"/>
      <c r="BR47" s="255"/>
    </row>
    <row r="48" spans="1:70" ht="15" customHeight="1">
      <c r="A48" s="1171"/>
      <c r="B48" s="1171"/>
      <c r="C48" s="1171"/>
      <c r="D48" s="1171"/>
      <c r="E48" s="1171"/>
      <c r="F48" s="1171"/>
      <c r="G48" s="1171"/>
      <c r="H48" s="1171"/>
      <c r="I48" s="1171"/>
      <c r="J48" s="1171"/>
      <c r="K48" s="1171"/>
      <c r="L48" s="1171"/>
      <c r="M48" s="1171"/>
      <c r="N48" s="1171"/>
      <c r="O48" s="1171"/>
      <c r="P48" s="1171"/>
      <c r="Q48" s="1171"/>
      <c r="R48" s="1171"/>
      <c r="S48" s="1171"/>
      <c r="T48" s="1171"/>
      <c r="U48" s="1171"/>
      <c r="V48" s="1171"/>
      <c r="W48" s="1171"/>
      <c r="X48" s="1171"/>
      <c r="Y48" s="1171"/>
      <c r="Z48" s="1171"/>
      <c r="AA48" s="1171"/>
      <c r="AB48" s="1171"/>
      <c r="AC48" s="1171"/>
      <c r="AD48" s="1171"/>
      <c r="AE48" s="1171"/>
      <c r="AF48" s="1171"/>
      <c r="AG48" s="1171"/>
      <c r="AH48" s="1171"/>
      <c r="AI48" s="1171"/>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255"/>
      <c r="BO48" s="255"/>
      <c r="BP48" s="255"/>
      <c r="BQ48" s="255"/>
      <c r="BR48" s="305"/>
    </row>
    <row r="49" spans="1:70" ht="15" customHeight="1">
      <c r="A49" s="1172"/>
      <c r="B49" s="1173" t="s">
        <v>608</v>
      </c>
      <c r="C49" s="1173"/>
      <c r="D49" s="1173"/>
      <c r="E49" s="1173"/>
      <c r="F49" s="1173"/>
      <c r="G49" s="1173"/>
      <c r="H49" s="1343">
        <v>1</v>
      </c>
      <c r="I49" s="1174">
        <v>2</v>
      </c>
      <c r="J49" s="1174">
        <v>3</v>
      </c>
      <c r="K49" s="1174">
        <v>4</v>
      </c>
      <c r="L49" s="1174">
        <v>5</v>
      </c>
      <c r="M49" s="242"/>
      <c r="N49" s="1577"/>
      <c r="O49" s="1176" t="s">
        <v>426</v>
      </c>
      <c r="P49" s="1177"/>
      <c r="Q49" s="1177"/>
      <c r="R49" s="1177"/>
      <c r="S49" s="1177"/>
      <c r="T49" s="1177"/>
      <c r="U49" s="1178"/>
      <c r="V49" s="1581"/>
      <c r="W49" s="1582" t="s">
        <v>427</v>
      </c>
      <c r="X49" s="1583"/>
      <c r="Y49" s="1583"/>
      <c r="Z49" s="1583"/>
      <c r="AA49" s="1583"/>
      <c r="AB49" s="1583"/>
      <c r="AC49" s="1584"/>
      <c r="AD49" s="1535"/>
      <c r="AE49" s="1567" t="s">
        <v>428</v>
      </c>
      <c r="AF49" s="1568"/>
      <c r="AG49" s="1568"/>
      <c r="AH49" s="1568"/>
      <c r="AI49" s="1568"/>
      <c r="AJ49" s="1568"/>
      <c r="AK49" s="1569"/>
      <c r="AL49" s="1591"/>
      <c r="AM49" s="1592" t="s">
        <v>429</v>
      </c>
      <c r="AN49" s="1593"/>
      <c r="AO49" s="1593"/>
      <c r="AP49" s="1593"/>
      <c r="AQ49" s="1593"/>
      <c r="AR49" s="1593"/>
      <c r="AS49" s="1594"/>
      <c r="AT49" s="1601"/>
      <c r="AU49" s="1602" t="s">
        <v>430</v>
      </c>
      <c r="AV49" s="1603"/>
      <c r="AW49" s="1603"/>
      <c r="AX49" s="1603"/>
      <c r="AY49" s="1603"/>
      <c r="AZ49" s="1603"/>
      <c r="BA49" s="1604"/>
      <c r="BB49" s="255"/>
      <c r="BC49" s="255"/>
      <c r="BD49" s="255"/>
      <c r="BE49" s="255"/>
      <c r="BF49" s="255"/>
      <c r="BG49" s="255"/>
      <c r="BH49" s="255"/>
      <c r="BI49" s="255"/>
      <c r="BJ49" s="1182" t="s">
        <v>263</v>
      </c>
      <c r="BK49" s="1183"/>
      <c r="BL49" s="1183"/>
      <c r="BM49" s="1183"/>
      <c r="BN49" s="1183"/>
      <c r="BO49" s="1184"/>
      <c r="BP49" s="255"/>
      <c r="BQ49" s="255"/>
      <c r="BR49" s="255"/>
    </row>
    <row r="50" spans="1:70" ht="15" customHeight="1">
      <c r="A50" s="1172"/>
      <c r="B50" s="1173"/>
      <c r="C50" s="1173"/>
      <c r="D50" s="1173"/>
      <c r="E50" s="1173"/>
      <c r="F50" s="1173"/>
      <c r="G50" s="1173"/>
      <c r="H50" s="1344"/>
      <c r="I50" s="1174"/>
      <c r="J50" s="1174"/>
      <c r="K50" s="1174"/>
      <c r="L50" s="1174"/>
      <c r="M50" s="242"/>
      <c r="N50" s="1577"/>
      <c r="O50" s="1578"/>
      <c r="P50" s="1579"/>
      <c r="Q50" s="1579"/>
      <c r="R50" s="1579"/>
      <c r="S50" s="1579"/>
      <c r="T50" s="1579"/>
      <c r="U50" s="1580"/>
      <c r="V50" s="1581"/>
      <c r="W50" s="1585"/>
      <c r="X50" s="1586"/>
      <c r="Y50" s="1586"/>
      <c r="Z50" s="1586"/>
      <c r="AA50" s="1586"/>
      <c r="AB50" s="1586"/>
      <c r="AC50" s="1587"/>
      <c r="AD50" s="1535"/>
      <c r="AE50" s="1570"/>
      <c r="AF50" s="1571"/>
      <c r="AG50" s="1571"/>
      <c r="AH50" s="1571"/>
      <c r="AI50" s="1571"/>
      <c r="AJ50" s="1571"/>
      <c r="AK50" s="1572"/>
      <c r="AL50" s="1591"/>
      <c r="AM50" s="1595"/>
      <c r="AN50" s="1596"/>
      <c r="AO50" s="1596"/>
      <c r="AP50" s="1596"/>
      <c r="AQ50" s="1596"/>
      <c r="AR50" s="1596"/>
      <c r="AS50" s="1597"/>
      <c r="AT50" s="1601"/>
      <c r="AU50" s="1605"/>
      <c r="AV50" s="1606"/>
      <c r="AW50" s="1606"/>
      <c r="AX50" s="1606"/>
      <c r="AY50" s="1606"/>
      <c r="AZ50" s="1606"/>
      <c r="BA50" s="1607"/>
      <c r="BB50" s="255"/>
      <c r="BC50" s="255"/>
      <c r="BD50" s="255"/>
      <c r="BE50" s="255"/>
      <c r="BF50" s="255"/>
      <c r="BG50" s="255"/>
      <c r="BH50" s="255"/>
      <c r="BI50" s="255"/>
      <c r="BJ50" s="1219"/>
      <c r="BK50" s="1220"/>
      <c r="BL50" s="1220"/>
      <c r="BM50" s="1220"/>
      <c r="BN50" s="1220"/>
      <c r="BO50" s="1221"/>
      <c r="BP50" s="255"/>
      <c r="BQ50" s="255"/>
      <c r="BR50" s="255"/>
    </row>
    <row r="51" spans="1:70" ht="15" customHeight="1">
      <c r="A51" s="1172"/>
      <c r="B51" s="1173"/>
      <c r="C51" s="1173"/>
      <c r="D51" s="1173"/>
      <c r="E51" s="1173"/>
      <c r="F51" s="1173"/>
      <c r="G51" s="1173"/>
      <c r="H51" s="1345"/>
      <c r="I51" s="1174"/>
      <c r="J51" s="1174"/>
      <c r="K51" s="1174"/>
      <c r="L51" s="1174"/>
      <c r="M51" s="242"/>
      <c r="N51" s="1577"/>
      <c r="O51" s="1578"/>
      <c r="P51" s="1579"/>
      <c r="Q51" s="1579"/>
      <c r="R51" s="1579"/>
      <c r="S51" s="1579"/>
      <c r="T51" s="1579"/>
      <c r="U51" s="1580"/>
      <c r="V51" s="1581"/>
      <c r="W51" s="1588"/>
      <c r="X51" s="1589"/>
      <c r="Y51" s="1589"/>
      <c r="Z51" s="1589"/>
      <c r="AA51" s="1589"/>
      <c r="AB51" s="1589"/>
      <c r="AC51" s="1590"/>
      <c r="AD51" s="1535"/>
      <c r="AE51" s="1573"/>
      <c r="AF51" s="1574"/>
      <c r="AG51" s="1574"/>
      <c r="AH51" s="1574"/>
      <c r="AI51" s="1574"/>
      <c r="AJ51" s="1574"/>
      <c r="AK51" s="1575"/>
      <c r="AL51" s="1591"/>
      <c r="AM51" s="1598"/>
      <c r="AN51" s="1599"/>
      <c r="AO51" s="1599"/>
      <c r="AP51" s="1599"/>
      <c r="AQ51" s="1599"/>
      <c r="AR51" s="1599"/>
      <c r="AS51" s="1600"/>
      <c r="AT51" s="1601"/>
      <c r="AU51" s="1608"/>
      <c r="AV51" s="1609"/>
      <c r="AW51" s="1609"/>
      <c r="AX51" s="1609"/>
      <c r="AY51" s="1609"/>
      <c r="AZ51" s="1609"/>
      <c r="BA51" s="1610"/>
      <c r="BB51" s="255"/>
      <c r="BC51" s="255"/>
      <c r="BD51" s="255"/>
      <c r="BE51" s="255"/>
      <c r="BF51" s="255"/>
      <c r="BG51" s="255"/>
      <c r="BH51" s="255"/>
      <c r="BI51" s="255"/>
      <c r="BJ51" s="1337"/>
      <c r="BK51" s="1338"/>
      <c r="BL51" s="1338"/>
      <c r="BM51" s="1338"/>
      <c r="BN51" s="1338"/>
      <c r="BO51" s="1339"/>
      <c r="BP51" s="255"/>
      <c r="BQ51" s="255"/>
      <c r="BR51" s="255"/>
    </row>
    <row r="52" spans="1:70" ht="15" customHeight="1">
      <c r="A52" s="1307">
        <v>1.1000000000000001</v>
      </c>
      <c r="B52" s="1161" t="s">
        <v>941</v>
      </c>
      <c r="C52" s="1162"/>
      <c r="D52" s="1162"/>
      <c r="E52" s="1162"/>
      <c r="F52" s="1162"/>
      <c r="G52" s="1199"/>
      <c r="H52" s="1205" t="str">
        <f>IF(ISBLANK(P$3),"",1)</f>
        <v/>
      </c>
      <c r="I52" s="1205" t="str">
        <f>IF(ISBLANK(T$3),"",1)</f>
        <v/>
      </c>
      <c r="J52" s="1205" t="str">
        <f>IF(ISBLANK(X$3),"",1)</f>
        <v/>
      </c>
      <c r="K52" s="1205" t="str">
        <f>IF(ISBLANK(AB$3),"",1)</f>
        <v/>
      </c>
      <c r="L52" s="1205" t="str">
        <f>IF(ISBLANK(AF$3),"",1)</f>
        <v/>
      </c>
      <c r="M52" s="242"/>
      <c r="N52" s="1303">
        <v>4.4000000000000004</v>
      </c>
      <c r="O52" s="1161" t="s">
        <v>339</v>
      </c>
      <c r="P52" s="1162"/>
      <c r="Q52" s="1162"/>
      <c r="R52" s="1162"/>
      <c r="S52" s="1162"/>
      <c r="T52" s="1265"/>
      <c r="U52" s="1205" t="str">
        <f>IF(ISBLANK(P$3),"",1)</f>
        <v/>
      </c>
      <c r="V52" s="1303">
        <v>4.4000000000000004</v>
      </c>
      <c r="W52" s="1161" t="s">
        <v>340</v>
      </c>
      <c r="X52" s="1162"/>
      <c r="Y52" s="1162"/>
      <c r="Z52" s="1162"/>
      <c r="AA52" s="1162"/>
      <c r="AB52" s="1199"/>
      <c r="AC52" s="1205" t="str">
        <f>IF(ISBLANK(T$3),"",1)</f>
        <v/>
      </c>
      <c r="AD52" s="1303">
        <v>4.4000000000000004</v>
      </c>
      <c r="AE52" s="1161" t="s">
        <v>341</v>
      </c>
      <c r="AF52" s="1162"/>
      <c r="AG52" s="1162"/>
      <c r="AH52" s="1162"/>
      <c r="AI52" s="1162"/>
      <c r="AJ52" s="1199"/>
      <c r="AK52" s="1205" t="str">
        <f>IF(ISBLANK(X$3),"",1)</f>
        <v/>
      </c>
      <c r="AL52" s="1303">
        <v>4.4000000000000004</v>
      </c>
      <c r="AM52" s="1161" t="s">
        <v>340</v>
      </c>
      <c r="AN52" s="1162"/>
      <c r="AO52" s="1162"/>
      <c r="AP52" s="1162"/>
      <c r="AQ52" s="1162"/>
      <c r="AR52" s="1199"/>
      <c r="AS52" s="1205" t="str">
        <f>IF(ISBLANK(AB$3),"",1)</f>
        <v/>
      </c>
      <c r="AT52" s="1258">
        <v>4.4000000000000004</v>
      </c>
      <c r="AU52" s="1161" t="s">
        <v>342</v>
      </c>
      <c r="AV52" s="1162"/>
      <c r="AW52" s="1162"/>
      <c r="AX52" s="1162"/>
      <c r="AY52" s="1162"/>
      <c r="AZ52" s="1199"/>
      <c r="BA52" s="1205" t="str">
        <f>IF(ISBLANK(AF$3),"",1)</f>
        <v/>
      </c>
      <c r="BB52" s="255"/>
      <c r="BC52" s="255"/>
      <c r="BD52" s="255"/>
      <c r="BE52" s="255"/>
      <c r="BF52" s="255"/>
      <c r="BG52" s="255"/>
      <c r="BH52" s="255"/>
      <c r="BI52" s="255"/>
      <c r="BJ52" s="1337"/>
      <c r="BK52" s="1338"/>
      <c r="BL52" s="1338"/>
      <c r="BM52" s="1338"/>
      <c r="BN52" s="1338"/>
      <c r="BO52" s="1339"/>
      <c r="BP52" s="255"/>
      <c r="BQ52" s="255"/>
      <c r="BR52" s="255"/>
    </row>
    <row r="53" spans="1:70" ht="15" customHeight="1">
      <c r="A53" s="1308"/>
      <c r="B53" s="1163"/>
      <c r="C53" s="1164"/>
      <c r="D53" s="1164"/>
      <c r="E53" s="1164"/>
      <c r="F53" s="1164"/>
      <c r="G53" s="1201"/>
      <c r="H53" s="1206"/>
      <c r="I53" s="1206"/>
      <c r="J53" s="1206"/>
      <c r="K53" s="1206"/>
      <c r="L53" s="1206"/>
      <c r="M53" s="242"/>
      <c r="N53" s="1258"/>
      <c r="O53" s="1163"/>
      <c r="P53" s="1164"/>
      <c r="Q53" s="1164"/>
      <c r="R53" s="1164"/>
      <c r="S53" s="1164"/>
      <c r="T53" s="1266"/>
      <c r="U53" s="1206"/>
      <c r="V53" s="1258"/>
      <c r="W53" s="1163"/>
      <c r="X53" s="1164"/>
      <c r="Y53" s="1164"/>
      <c r="Z53" s="1164"/>
      <c r="AA53" s="1164"/>
      <c r="AB53" s="1201"/>
      <c r="AC53" s="1206"/>
      <c r="AD53" s="1258"/>
      <c r="AE53" s="1163"/>
      <c r="AF53" s="1164"/>
      <c r="AG53" s="1164"/>
      <c r="AH53" s="1164"/>
      <c r="AI53" s="1164"/>
      <c r="AJ53" s="1201"/>
      <c r="AK53" s="1206"/>
      <c r="AL53" s="1258"/>
      <c r="AM53" s="1163"/>
      <c r="AN53" s="1164"/>
      <c r="AO53" s="1164"/>
      <c r="AP53" s="1164"/>
      <c r="AQ53" s="1164"/>
      <c r="AR53" s="1201"/>
      <c r="AS53" s="1206"/>
      <c r="AT53" s="1258"/>
      <c r="AU53" s="1163"/>
      <c r="AV53" s="1164"/>
      <c r="AW53" s="1164"/>
      <c r="AX53" s="1164"/>
      <c r="AY53" s="1164"/>
      <c r="AZ53" s="1201"/>
      <c r="BA53" s="1206"/>
      <c r="BB53" s="255"/>
      <c r="BC53" s="255"/>
      <c r="BD53" s="255"/>
      <c r="BE53" s="255"/>
      <c r="BF53" s="255"/>
      <c r="BG53" s="255"/>
      <c r="BH53" s="255"/>
      <c r="BI53" s="255"/>
      <c r="BJ53" s="1337"/>
      <c r="BK53" s="1338"/>
      <c r="BL53" s="1338"/>
      <c r="BM53" s="1338"/>
      <c r="BN53" s="1338"/>
      <c r="BO53" s="1339"/>
      <c r="BP53" s="255"/>
      <c r="BQ53" s="255"/>
      <c r="BR53" s="255"/>
    </row>
    <row r="54" spans="1:70" ht="15" customHeight="1">
      <c r="A54" s="1309"/>
      <c r="B54" s="1165"/>
      <c r="C54" s="1166"/>
      <c r="D54" s="1166"/>
      <c r="E54" s="1166"/>
      <c r="F54" s="1166"/>
      <c r="G54" s="1292"/>
      <c r="H54" s="1207"/>
      <c r="I54" s="1207"/>
      <c r="J54" s="1207"/>
      <c r="K54" s="1207"/>
      <c r="L54" s="1207"/>
      <c r="M54" s="242"/>
      <c r="N54" s="1258"/>
      <c r="O54" s="1165"/>
      <c r="P54" s="1166"/>
      <c r="Q54" s="1166"/>
      <c r="R54" s="1166"/>
      <c r="S54" s="1166"/>
      <c r="T54" s="1267"/>
      <c r="U54" s="1207"/>
      <c r="V54" s="1258"/>
      <c r="W54" s="1165"/>
      <c r="X54" s="1166"/>
      <c r="Y54" s="1166"/>
      <c r="Z54" s="1166"/>
      <c r="AA54" s="1166"/>
      <c r="AB54" s="1292"/>
      <c r="AC54" s="1207"/>
      <c r="AD54" s="1258"/>
      <c r="AE54" s="1165"/>
      <c r="AF54" s="1166"/>
      <c r="AG54" s="1166"/>
      <c r="AH54" s="1166"/>
      <c r="AI54" s="1166"/>
      <c r="AJ54" s="1292"/>
      <c r="AK54" s="1207"/>
      <c r="AL54" s="1258"/>
      <c r="AM54" s="1165"/>
      <c r="AN54" s="1166"/>
      <c r="AO54" s="1166"/>
      <c r="AP54" s="1166"/>
      <c r="AQ54" s="1166"/>
      <c r="AR54" s="1292"/>
      <c r="AS54" s="1207"/>
      <c r="AT54" s="1258"/>
      <c r="AU54" s="1165"/>
      <c r="AV54" s="1166"/>
      <c r="AW54" s="1166"/>
      <c r="AX54" s="1166"/>
      <c r="AY54" s="1166"/>
      <c r="AZ54" s="1292"/>
      <c r="BA54" s="1207"/>
      <c r="BB54" s="255"/>
      <c r="BC54" s="255"/>
      <c r="BD54" s="255"/>
      <c r="BE54" s="255"/>
      <c r="BF54" s="255"/>
      <c r="BG54" s="255"/>
      <c r="BH54" s="255"/>
      <c r="BI54" s="255"/>
      <c r="BJ54" s="1337"/>
      <c r="BK54" s="1338"/>
      <c r="BL54" s="1338"/>
      <c r="BM54" s="1338"/>
      <c r="BN54" s="1338"/>
      <c r="BO54" s="1339"/>
      <c r="BP54" s="255"/>
      <c r="BQ54" s="255"/>
      <c r="BR54" s="255"/>
    </row>
    <row r="55" spans="1:70" ht="15" customHeight="1">
      <c r="A55" s="1304">
        <v>2.4</v>
      </c>
      <c r="B55" s="1161" t="s">
        <v>316</v>
      </c>
      <c r="C55" s="1162"/>
      <c r="D55" s="1162"/>
      <c r="E55" s="1162"/>
      <c r="F55" s="1162"/>
      <c r="G55" s="1199"/>
      <c r="H55" s="1205" t="str">
        <f>IF(ISBLANK(P$3),"",1)</f>
        <v/>
      </c>
      <c r="I55" s="1205" t="str">
        <f>IF(ISBLANK(T$3),"",1)</f>
        <v/>
      </c>
      <c r="J55" s="1205" t="str">
        <f>IF(ISBLANK(X$3),"",1)</f>
        <v/>
      </c>
      <c r="K55" s="1205" t="str">
        <f>IF(ISBLANK(AB$3),"",1)</f>
        <v/>
      </c>
      <c r="L55" s="1205" t="str">
        <f>IF(ISBLANK(AF$3),"",1)</f>
        <v/>
      </c>
      <c r="M55" s="242"/>
      <c r="N55" s="1258">
        <v>4.4000000000000004</v>
      </c>
      <c r="O55" s="1161" t="s">
        <v>343</v>
      </c>
      <c r="P55" s="1162"/>
      <c r="Q55" s="1162"/>
      <c r="R55" s="1162"/>
      <c r="S55" s="1162"/>
      <c r="T55" s="1265"/>
      <c r="U55" s="1205" t="str">
        <f>IF(ISBLANK(P$3),"",1)</f>
        <v/>
      </c>
      <c r="V55" s="1258">
        <v>4.4000000000000004</v>
      </c>
      <c r="W55" s="1161" t="s">
        <v>319</v>
      </c>
      <c r="X55" s="1162"/>
      <c r="Y55" s="1162"/>
      <c r="Z55" s="1162"/>
      <c r="AA55" s="1162"/>
      <c r="AB55" s="1199"/>
      <c r="AC55" s="1205" t="str">
        <f>IF(ISBLANK(T$3),"",1)</f>
        <v/>
      </c>
      <c r="AD55" s="1258">
        <v>4.4000000000000004</v>
      </c>
      <c r="AE55" s="1161" t="s">
        <v>344</v>
      </c>
      <c r="AF55" s="1162"/>
      <c r="AG55" s="1162"/>
      <c r="AH55" s="1162"/>
      <c r="AI55" s="1162"/>
      <c r="AJ55" s="1199"/>
      <c r="AK55" s="1205" t="str">
        <f>IF(ISBLANK(X$3),"",1)</f>
        <v/>
      </c>
      <c r="AL55" s="1258">
        <v>4.4000000000000004</v>
      </c>
      <c r="AM55" s="1161" t="s">
        <v>319</v>
      </c>
      <c r="AN55" s="1162"/>
      <c r="AO55" s="1162"/>
      <c r="AP55" s="1162"/>
      <c r="AQ55" s="1162"/>
      <c r="AR55" s="1199"/>
      <c r="AS55" s="1205" t="str">
        <f>IF(ISBLANK(AB$3),"",1)</f>
        <v/>
      </c>
      <c r="AT55" s="1258">
        <v>4.4000000000000004</v>
      </c>
      <c r="AU55" s="1161" t="s">
        <v>319</v>
      </c>
      <c r="AV55" s="1162"/>
      <c r="AW55" s="1162"/>
      <c r="AX55" s="1162"/>
      <c r="AY55" s="1162"/>
      <c r="AZ55" s="1199"/>
      <c r="BA55" s="1205" t="str">
        <f>IF(ISBLANK(AF$3),"",1)</f>
        <v/>
      </c>
      <c r="BB55" s="255"/>
      <c r="BC55" s="255"/>
      <c r="BD55" s="255"/>
      <c r="BE55" s="255"/>
      <c r="BF55" s="255"/>
      <c r="BG55" s="255"/>
      <c r="BH55" s="255"/>
      <c r="BI55" s="255"/>
      <c r="BJ55" s="1337"/>
      <c r="BK55" s="1338"/>
      <c r="BL55" s="1338"/>
      <c r="BM55" s="1338"/>
      <c r="BN55" s="1338"/>
      <c r="BO55" s="1339"/>
      <c r="BP55" s="255"/>
      <c r="BQ55" s="255"/>
      <c r="BR55" s="255"/>
    </row>
    <row r="56" spans="1:70" ht="15" customHeight="1">
      <c r="A56" s="1290"/>
      <c r="B56" s="1163"/>
      <c r="C56" s="1164"/>
      <c r="D56" s="1164"/>
      <c r="E56" s="1164"/>
      <c r="F56" s="1164"/>
      <c r="G56" s="1201"/>
      <c r="H56" s="1206"/>
      <c r="I56" s="1206"/>
      <c r="J56" s="1206"/>
      <c r="K56" s="1206"/>
      <c r="L56" s="1206"/>
      <c r="M56" s="242"/>
      <c r="N56" s="1258"/>
      <c r="O56" s="1163"/>
      <c r="P56" s="1164"/>
      <c r="Q56" s="1164"/>
      <c r="R56" s="1164"/>
      <c r="S56" s="1164"/>
      <c r="T56" s="1266"/>
      <c r="U56" s="1206"/>
      <c r="V56" s="1258"/>
      <c r="W56" s="1163"/>
      <c r="X56" s="1164"/>
      <c r="Y56" s="1164"/>
      <c r="Z56" s="1164"/>
      <c r="AA56" s="1164"/>
      <c r="AB56" s="1201"/>
      <c r="AC56" s="1206"/>
      <c r="AD56" s="1258"/>
      <c r="AE56" s="1163"/>
      <c r="AF56" s="1164"/>
      <c r="AG56" s="1164"/>
      <c r="AH56" s="1164"/>
      <c r="AI56" s="1164"/>
      <c r="AJ56" s="1201"/>
      <c r="AK56" s="1206"/>
      <c r="AL56" s="1258"/>
      <c r="AM56" s="1163"/>
      <c r="AN56" s="1164"/>
      <c r="AO56" s="1164"/>
      <c r="AP56" s="1164"/>
      <c r="AQ56" s="1164"/>
      <c r="AR56" s="1201"/>
      <c r="AS56" s="1206"/>
      <c r="AT56" s="1258"/>
      <c r="AU56" s="1163"/>
      <c r="AV56" s="1164"/>
      <c r="AW56" s="1164"/>
      <c r="AX56" s="1164"/>
      <c r="AY56" s="1164"/>
      <c r="AZ56" s="1201"/>
      <c r="BA56" s="1206"/>
      <c r="BB56" s="255"/>
      <c r="BC56" s="255"/>
      <c r="BD56" s="255"/>
      <c r="BE56" s="255"/>
      <c r="BF56" s="255"/>
      <c r="BG56" s="255"/>
      <c r="BH56" s="255"/>
      <c r="BI56" s="255"/>
      <c r="BJ56" s="1337"/>
      <c r="BK56" s="1338"/>
      <c r="BL56" s="1338"/>
      <c r="BM56" s="1338"/>
      <c r="BN56" s="1338"/>
      <c r="BO56" s="1339"/>
      <c r="BP56" s="255"/>
      <c r="BQ56" s="255"/>
      <c r="BR56" s="255"/>
    </row>
    <row r="57" spans="1:70" ht="15" customHeight="1">
      <c r="A57" s="1291"/>
      <c r="B57" s="1165"/>
      <c r="C57" s="1166"/>
      <c r="D57" s="1166"/>
      <c r="E57" s="1166"/>
      <c r="F57" s="1166"/>
      <c r="G57" s="1292"/>
      <c r="H57" s="1207"/>
      <c r="I57" s="1207"/>
      <c r="J57" s="1207"/>
      <c r="K57" s="1207"/>
      <c r="L57" s="1207"/>
      <c r="M57" s="242"/>
      <c r="N57" s="1258"/>
      <c r="O57" s="1165"/>
      <c r="P57" s="1166"/>
      <c r="Q57" s="1166"/>
      <c r="R57" s="1166"/>
      <c r="S57" s="1166"/>
      <c r="T57" s="1267"/>
      <c r="U57" s="1207"/>
      <c r="V57" s="1258"/>
      <c r="W57" s="1165"/>
      <c r="X57" s="1166"/>
      <c r="Y57" s="1166"/>
      <c r="Z57" s="1166"/>
      <c r="AA57" s="1166"/>
      <c r="AB57" s="1292"/>
      <c r="AC57" s="1207"/>
      <c r="AD57" s="1258"/>
      <c r="AE57" s="1165"/>
      <c r="AF57" s="1166"/>
      <c r="AG57" s="1166"/>
      <c r="AH57" s="1166"/>
      <c r="AI57" s="1166"/>
      <c r="AJ57" s="1292"/>
      <c r="AK57" s="1207"/>
      <c r="AL57" s="1258"/>
      <c r="AM57" s="1165"/>
      <c r="AN57" s="1166"/>
      <c r="AO57" s="1166"/>
      <c r="AP57" s="1166"/>
      <c r="AQ57" s="1166"/>
      <c r="AR57" s="1292"/>
      <c r="AS57" s="1207"/>
      <c r="AT57" s="1258"/>
      <c r="AU57" s="1165"/>
      <c r="AV57" s="1166"/>
      <c r="AW57" s="1166"/>
      <c r="AX57" s="1166"/>
      <c r="AY57" s="1166"/>
      <c r="AZ57" s="1292"/>
      <c r="BA57" s="1207"/>
      <c r="BB57" s="255"/>
      <c r="BC57" s="255"/>
      <c r="BD57" s="255"/>
      <c r="BE57" s="255"/>
      <c r="BF57" s="255"/>
      <c r="BG57" s="255"/>
      <c r="BH57" s="255"/>
      <c r="BI57" s="255"/>
      <c r="BJ57" s="1337"/>
      <c r="BK57" s="1338"/>
      <c r="BL57" s="1338"/>
      <c r="BM57" s="1338"/>
      <c r="BN57" s="1338"/>
      <c r="BO57" s="1339"/>
      <c r="BP57" s="255"/>
      <c r="BQ57" s="255"/>
      <c r="BR57" s="255"/>
    </row>
    <row r="58" spans="1:70" ht="15" customHeight="1">
      <c r="A58" s="1307">
        <v>1.1000000000000001</v>
      </c>
      <c r="B58" s="1161" t="s">
        <v>320</v>
      </c>
      <c r="C58" s="1162"/>
      <c r="D58" s="1162"/>
      <c r="E58" s="1162"/>
      <c r="F58" s="1162"/>
      <c r="G58" s="1199"/>
      <c r="H58" s="1205" t="str">
        <f>IF(ISBLANK(P$3),"",1)</f>
        <v/>
      </c>
      <c r="I58" s="1205" t="str">
        <f>IF(ISBLANK(T$3),"",1)</f>
        <v/>
      </c>
      <c r="J58" s="1205" t="str">
        <f>IF(ISBLANK(X$3),"",1)</f>
        <v/>
      </c>
      <c r="K58" s="1205" t="str">
        <f>IF(ISBLANK(AB$3),"",1)</f>
        <v/>
      </c>
      <c r="L58" s="1205" t="str">
        <f>IF(ISBLANK(AF$3),"",1)</f>
        <v/>
      </c>
      <c r="M58" s="242"/>
      <c r="N58" s="1236">
        <v>1.5</v>
      </c>
      <c r="O58" s="1161" t="s">
        <v>345</v>
      </c>
      <c r="P58" s="1162"/>
      <c r="Q58" s="1162"/>
      <c r="R58" s="1162"/>
      <c r="S58" s="1162"/>
      <c r="T58" s="1265"/>
      <c r="U58" s="1205" t="str">
        <f t="shared" ref="U58" si="12">IF(ISBLANK(P$3),"",1)</f>
        <v/>
      </c>
      <c r="V58" s="1194">
        <v>2.4</v>
      </c>
      <c r="W58" s="1161" t="s">
        <v>346</v>
      </c>
      <c r="X58" s="1162"/>
      <c r="Y58" s="1162"/>
      <c r="Z58" s="1162"/>
      <c r="AA58" s="1162"/>
      <c r="AB58" s="1199"/>
      <c r="AC58" s="1205" t="str">
        <f>IF(ISBLANK(T$3),"",1)</f>
        <v/>
      </c>
      <c r="AD58" s="1258">
        <v>4.4000000000000004</v>
      </c>
      <c r="AE58" s="1161" t="s">
        <v>319</v>
      </c>
      <c r="AF58" s="1162"/>
      <c r="AG58" s="1162"/>
      <c r="AH58" s="1162"/>
      <c r="AI58" s="1162"/>
      <c r="AJ58" s="1199"/>
      <c r="AK58" s="1205" t="str">
        <f>IF(ISBLANK(X$3),"",1)</f>
        <v/>
      </c>
      <c r="AL58" s="1194">
        <v>2.4</v>
      </c>
      <c r="AM58" s="1161" t="s">
        <v>346</v>
      </c>
      <c r="AN58" s="1162"/>
      <c r="AO58" s="1162"/>
      <c r="AP58" s="1162"/>
      <c r="AQ58" s="1162"/>
      <c r="AR58" s="1199"/>
      <c r="AS58" s="1205" t="str">
        <f>IF(ISBLANK(AB$3),"",1)</f>
        <v/>
      </c>
      <c r="AT58" s="1258">
        <v>4.4000000000000004</v>
      </c>
      <c r="AU58" s="1161" t="s">
        <v>347</v>
      </c>
      <c r="AV58" s="1162"/>
      <c r="AW58" s="1162"/>
      <c r="AX58" s="1162"/>
      <c r="AY58" s="1162"/>
      <c r="AZ58" s="1199"/>
      <c r="BA58" s="1205" t="str">
        <f>IF(ISBLANK(AF$3),"",1)</f>
        <v/>
      </c>
      <c r="BB58" s="255"/>
      <c r="BC58" s="255"/>
      <c r="BD58" s="255"/>
      <c r="BE58" s="255"/>
      <c r="BF58" s="255"/>
      <c r="BG58" s="255"/>
      <c r="BH58" s="255"/>
      <c r="BI58" s="255"/>
      <c r="BJ58" s="1337"/>
      <c r="BK58" s="1338"/>
      <c r="BL58" s="1338"/>
      <c r="BM58" s="1338"/>
      <c r="BN58" s="1338"/>
      <c r="BO58" s="1339"/>
      <c r="BP58" s="255"/>
      <c r="BQ58" s="255"/>
      <c r="BR58" s="255"/>
    </row>
    <row r="59" spans="1:70" ht="15" customHeight="1">
      <c r="A59" s="1308"/>
      <c r="B59" s="1163"/>
      <c r="C59" s="1164"/>
      <c r="D59" s="1164"/>
      <c r="E59" s="1164"/>
      <c r="F59" s="1164"/>
      <c r="G59" s="1201"/>
      <c r="H59" s="1206"/>
      <c r="I59" s="1206"/>
      <c r="J59" s="1206"/>
      <c r="K59" s="1206"/>
      <c r="L59" s="1206"/>
      <c r="M59" s="242"/>
      <c r="N59" s="1236"/>
      <c r="O59" s="1163"/>
      <c r="P59" s="1164"/>
      <c r="Q59" s="1164"/>
      <c r="R59" s="1164"/>
      <c r="S59" s="1164"/>
      <c r="T59" s="1266"/>
      <c r="U59" s="1206"/>
      <c r="V59" s="1194"/>
      <c r="W59" s="1163"/>
      <c r="X59" s="1164"/>
      <c r="Y59" s="1164"/>
      <c r="Z59" s="1164"/>
      <c r="AA59" s="1164"/>
      <c r="AB59" s="1201"/>
      <c r="AC59" s="1206"/>
      <c r="AD59" s="1258"/>
      <c r="AE59" s="1163"/>
      <c r="AF59" s="1164"/>
      <c r="AG59" s="1164"/>
      <c r="AH59" s="1164"/>
      <c r="AI59" s="1164"/>
      <c r="AJ59" s="1201"/>
      <c r="AK59" s="1206"/>
      <c r="AL59" s="1194"/>
      <c r="AM59" s="1163"/>
      <c r="AN59" s="1164"/>
      <c r="AO59" s="1164"/>
      <c r="AP59" s="1164"/>
      <c r="AQ59" s="1164"/>
      <c r="AR59" s="1201"/>
      <c r="AS59" s="1206"/>
      <c r="AT59" s="1258"/>
      <c r="AU59" s="1163"/>
      <c r="AV59" s="1164"/>
      <c r="AW59" s="1164"/>
      <c r="AX59" s="1164"/>
      <c r="AY59" s="1164"/>
      <c r="AZ59" s="1201"/>
      <c r="BA59" s="1206"/>
      <c r="BB59" s="255"/>
      <c r="BC59" s="255"/>
      <c r="BD59" s="255"/>
      <c r="BE59" s="255"/>
      <c r="BF59" s="255"/>
      <c r="BG59" s="255"/>
      <c r="BH59" s="255"/>
      <c r="BI59" s="255"/>
      <c r="BJ59" s="1337"/>
      <c r="BK59" s="1338"/>
      <c r="BL59" s="1338"/>
      <c r="BM59" s="1338"/>
      <c r="BN59" s="1338"/>
      <c r="BO59" s="1339"/>
      <c r="BP59" s="255"/>
      <c r="BQ59" s="255"/>
      <c r="BR59" s="255"/>
    </row>
    <row r="60" spans="1:70" ht="15" customHeight="1">
      <c r="A60" s="1309"/>
      <c r="B60" s="1165"/>
      <c r="C60" s="1166"/>
      <c r="D60" s="1166"/>
      <c r="E60" s="1166"/>
      <c r="F60" s="1166"/>
      <c r="G60" s="1292"/>
      <c r="H60" s="1207"/>
      <c r="I60" s="1207"/>
      <c r="J60" s="1207"/>
      <c r="K60" s="1207"/>
      <c r="L60" s="1207"/>
      <c r="M60" s="242"/>
      <c r="N60" s="1236"/>
      <c r="O60" s="1165"/>
      <c r="P60" s="1166"/>
      <c r="Q60" s="1166"/>
      <c r="R60" s="1166"/>
      <c r="S60" s="1166"/>
      <c r="T60" s="1267"/>
      <c r="U60" s="1207"/>
      <c r="V60" s="1194"/>
      <c r="W60" s="1165"/>
      <c r="X60" s="1166"/>
      <c r="Y60" s="1166"/>
      <c r="Z60" s="1166"/>
      <c r="AA60" s="1166"/>
      <c r="AB60" s="1292"/>
      <c r="AC60" s="1207"/>
      <c r="AD60" s="1258"/>
      <c r="AE60" s="1165"/>
      <c r="AF60" s="1166"/>
      <c r="AG60" s="1166"/>
      <c r="AH60" s="1166"/>
      <c r="AI60" s="1166"/>
      <c r="AJ60" s="1292"/>
      <c r="AK60" s="1207"/>
      <c r="AL60" s="1194"/>
      <c r="AM60" s="1165"/>
      <c r="AN60" s="1166"/>
      <c r="AO60" s="1166"/>
      <c r="AP60" s="1166"/>
      <c r="AQ60" s="1166"/>
      <c r="AR60" s="1292"/>
      <c r="AS60" s="1207"/>
      <c r="AT60" s="1258"/>
      <c r="AU60" s="1165"/>
      <c r="AV60" s="1166"/>
      <c r="AW60" s="1166"/>
      <c r="AX60" s="1166"/>
      <c r="AY60" s="1166"/>
      <c r="AZ60" s="1292"/>
      <c r="BA60" s="1207"/>
      <c r="BB60" s="255"/>
      <c r="BC60" s="255"/>
      <c r="BD60" s="255"/>
      <c r="BE60" s="255"/>
      <c r="BF60" s="255"/>
      <c r="BG60" s="255"/>
      <c r="BH60" s="255"/>
      <c r="BI60" s="255"/>
      <c r="BJ60" s="1337"/>
      <c r="BK60" s="1338"/>
      <c r="BL60" s="1338"/>
      <c r="BM60" s="1338"/>
      <c r="BN60" s="1338"/>
      <c r="BO60" s="1339"/>
      <c r="BP60" s="255"/>
      <c r="BQ60" s="255"/>
      <c r="BR60" s="255"/>
    </row>
    <row r="61" spans="1:70" ht="15" customHeight="1">
      <c r="A61" s="1304">
        <v>2.1</v>
      </c>
      <c r="B61" s="1161" t="s">
        <v>322</v>
      </c>
      <c r="C61" s="1162"/>
      <c r="D61" s="1162"/>
      <c r="E61" s="1162"/>
      <c r="F61" s="1162"/>
      <c r="G61" s="1199"/>
      <c r="H61" s="1205" t="str">
        <f t="shared" ref="H61" si="13">IF(ISBLANK(P$3),"",1)</f>
        <v/>
      </c>
      <c r="I61" s="1205" t="str">
        <f>IF(ISBLANK(T$3),"",1)</f>
        <v/>
      </c>
      <c r="J61" s="1205" t="str">
        <f>IF(ISBLANK(X$3),"",1)</f>
        <v/>
      </c>
      <c r="K61" s="1205" t="str">
        <f>IF(ISBLANK(AB$3),"",1)</f>
        <v/>
      </c>
      <c r="L61" s="1205" t="str">
        <f>IF(ISBLANK(AF$3),"",1)</f>
        <v/>
      </c>
      <c r="M61" s="242"/>
      <c r="N61" s="1258">
        <v>4.3</v>
      </c>
      <c r="O61" s="1161" t="s">
        <v>348</v>
      </c>
      <c r="P61" s="1162"/>
      <c r="Q61" s="1162"/>
      <c r="R61" s="1162"/>
      <c r="S61" s="1162"/>
      <c r="T61" s="1265"/>
      <c r="U61" s="1205" t="str">
        <f t="shared" ref="U61" si="14">IF(ISBLANK(P$3),"",1)</f>
        <v/>
      </c>
      <c r="V61" s="1258">
        <v>4.4000000000000004</v>
      </c>
      <c r="W61" s="1161" t="s">
        <v>321</v>
      </c>
      <c r="X61" s="1162"/>
      <c r="Y61" s="1162"/>
      <c r="Z61" s="1162"/>
      <c r="AA61" s="1162"/>
      <c r="AB61" s="1199"/>
      <c r="AC61" s="1205" t="str">
        <f>IF(ISBLANK(T$3),"",1)</f>
        <v/>
      </c>
      <c r="AD61" s="1258">
        <v>4.4000000000000004</v>
      </c>
      <c r="AE61" s="1161" t="s">
        <v>321</v>
      </c>
      <c r="AF61" s="1162"/>
      <c r="AG61" s="1162"/>
      <c r="AH61" s="1162"/>
      <c r="AI61" s="1162"/>
      <c r="AJ61" s="1199"/>
      <c r="AK61" s="1205" t="str">
        <f>IF(ISBLANK(X$3),"",1)</f>
        <v/>
      </c>
      <c r="AL61" s="1258">
        <v>4.4000000000000004</v>
      </c>
      <c r="AM61" s="1161" t="s">
        <v>347</v>
      </c>
      <c r="AN61" s="1162"/>
      <c r="AO61" s="1162"/>
      <c r="AP61" s="1162"/>
      <c r="AQ61" s="1162"/>
      <c r="AR61" s="1199"/>
      <c r="AS61" s="1205" t="str">
        <f>IF(ISBLANK(AB$3),"",1)</f>
        <v/>
      </c>
      <c r="AT61" s="1566">
        <v>4.4000000000000004</v>
      </c>
      <c r="AU61" s="1161" t="s">
        <v>349</v>
      </c>
      <c r="AV61" s="1162"/>
      <c r="AW61" s="1162"/>
      <c r="AX61" s="1162"/>
      <c r="AY61" s="1162"/>
      <c r="AZ61" s="1199"/>
      <c r="BA61" s="1205" t="str">
        <f>IF(ISBLANK(AF$3),"",1)</f>
        <v/>
      </c>
      <c r="BB61" s="255"/>
      <c r="BC61" s="255"/>
      <c r="BD61" s="255"/>
      <c r="BE61" s="255"/>
      <c r="BF61" s="255"/>
      <c r="BG61" s="255"/>
      <c r="BH61" s="255"/>
      <c r="BI61" s="255"/>
      <c r="BJ61" s="1337"/>
      <c r="BK61" s="1338"/>
      <c r="BL61" s="1338"/>
      <c r="BM61" s="1338"/>
      <c r="BN61" s="1338"/>
      <c r="BO61" s="1339"/>
      <c r="BP61" s="255"/>
      <c r="BQ61" s="255"/>
      <c r="BR61" s="255"/>
    </row>
    <row r="62" spans="1:70" ht="15" customHeight="1">
      <c r="A62" s="1290"/>
      <c r="B62" s="1163"/>
      <c r="C62" s="1164"/>
      <c r="D62" s="1164"/>
      <c r="E62" s="1164"/>
      <c r="F62" s="1164"/>
      <c r="G62" s="1201"/>
      <c r="H62" s="1206"/>
      <c r="I62" s="1206"/>
      <c r="J62" s="1206"/>
      <c r="K62" s="1206"/>
      <c r="L62" s="1206"/>
      <c r="M62" s="242"/>
      <c r="N62" s="1258"/>
      <c r="O62" s="1163"/>
      <c r="P62" s="1164"/>
      <c r="Q62" s="1164"/>
      <c r="R62" s="1164"/>
      <c r="S62" s="1164"/>
      <c r="T62" s="1266"/>
      <c r="U62" s="1206"/>
      <c r="V62" s="1258"/>
      <c r="W62" s="1163"/>
      <c r="X62" s="1164"/>
      <c r="Y62" s="1164"/>
      <c r="Z62" s="1164"/>
      <c r="AA62" s="1164"/>
      <c r="AB62" s="1201"/>
      <c r="AC62" s="1206"/>
      <c r="AD62" s="1258"/>
      <c r="AE62" s="1163"/>
      <c r="AF62" s="1164"/>
      <c r="AG62" s="1164"/>
      <c r="AH62" s="1164"/>
      <c r="AI62" s="1164"/>
      <c r="AJ62" s="1201"/>
      <c r="AK62" s="1206"/>
      <c r="AL62" s="1258"/>
      <c r="AM62" s="1163"/>
      <c r="AN62" s="1164"/>
      <c r="AO62" s="1164"/>
      <c r="AP62" s="1164"/>
      <c r="AQ62" s="1164"/>
      <c r="AR62" s="1201"/>
      <c r="AS62" s="1206"/>
      <c r="AT62" s="1566"/>
      <c r="AU62" s="1163"/>
      <c r="AV62" s="1164"/>
      <c r="AW62" s="1164"/>
      <c r="AX62" s="1164"/>
      <c r="AY62" s="1164"/>
      <c r="AZ62" s="1201"/>
      <c r="BA62" s="1206"/>
      <c r="BB62" s="255"/>
      <c r="BC62" s="255"/>
      <c r="BD62" s="255"/>
      <c r="BE62" s="255"/>
      <c r="BF62" s="255"/>
      <c r="BG62" s="255"/>
      <c r="BH62" s="255"/>
      <c r="BI62" s="255"/>
      <c r="BJ62" s="1337"/>
      <c r="BK62" s="1338"/>
      <c r="BL62" s="1338"/>
      <c r="BM62" s="1338"/>
      <c r="BN62" s="1338"/>
      <c r="BO62" s="1339"/>
      <c r="BP62" s="255"/>
      <c r="BQ62" s="255"/>
      <c r="BR62" s="255"/>
    </row>
    <row r="63" spans="1:70" ht="15" customHeight="1">
      <c r="A63" s="1291"/>
      <c r="B63" s="1165"/>
      <c r="C63" s="1166"/>
      <c r="D63" s="1166"/>
      <c r="E63" s="1166"/>
      <c r="F63" s="1166"/>
      <c r="G63" s="1292"/>
      <c r="H63" s="1207"/>
      <c r="I63" s="1207"/>
      <c r="J63" s="1207"/>
      <c r="K63" s="1207"/>
      <c r="L63" s="1207"/>
      <c r="M63" s="242"/>
      <c r="N63" s="1258"/>
      <c r="O63" s="1165"/>
      <c r="P63" s="1166"/>
      <c r="Q63" s="1166"/>
      <c r="R63" s="1166"/>
      <c r="S63" s="1166"/>
      <c r="T63" s="1267"/>
      <c r="U63" s="1207"/>
      <c r="V63" s="1258"/>
      <c r="W63" s="1165"/>
      <c r="X63" s="1166"/>
      <c r="Y63" s="1166"/>
      <c r="Z63" s="1166"/>
      <c r="AA63" s="1166"/>
      <c r="AB63" s="1292"/>
      <c r="AC63" s="1207"/>
      <c r="AD63" s="1258"/>
      <c r="AE63" s="1165"/>
      <c r="AF63" s="1166"/>
      <c r="AG63" s="1166"/>
      <c r="AH63" s="1166"/>
      <c r="AI63" s="1166"/>
      <c r="AJ63" s="1292"/>
      <c r="AK63" s="1207"/>
      <c r="AL63" s="1258"/>
      <c r="AM63" s="1165"/>
      <c r="AN63" s="1166"/>
      <c r="AO63" s="1166"/>
      <c r="AP63" s="1166"/>
      <c r="AQ63" s="1166"/>
      <c r="AR63" s="1292"/>
      <c r="AS63" s="1207"/>
      <c r="AT63" s="1566"/>
      <c r="AU63" s="1165"/>
      <c r="AV63" s="1166"/>
      <c r="AW63" s="1166"/>
      <c r="AX63" s="1166"/>
      <c r="AY63" s="1166"/>
      <c r="AZ63" s="1292"/>
      <c r="BA63" s="1207"/>
      <c r="BB63" s="255"/>
      <c r="BC63" s="255"/>
      <c r="BD63" s="255"/>
      <c r="BE63" s="255"/>
      <c r="BF63" s="255"/>
      <c r="BG63" s="255"/>
      <c r="BH63" s="255"/>
      <c r="BI63" s="255"/>
      <c r="BJ63" s="1337"/>
      <c r="BK63" s="1338"/>
      <c r="BL63" s="1338"/>
      <c r="BM63" s="1338"/>
      <c r="BN63" s="1338"/>
      <c r="BO63" s="1339"/>
      <c r="BP63" s="255"/>
      <c r="BQ63" s="255"/>
      <c r="BR63" s="255"/>
    </row>
    <row r="64" spans="1:70" ht="15" customHeight="1">
      <c r="A64" s="1307">
        <v>1.1000000000000001</v>
      </c>
      <c r="B64" s="1161" t="s">
        <v>940</v>
      </c>
      <c r="C64" s="1162"/>
      <c r="D64" s="1162"/>
      <c r="E64" s="1162"/>
      <c r="F64" s="1162"/>
      <c r="G64" s="1199"/>
      <c r="H64" s="1205" t="str">
        <f t="shared" ref="H64" si="15">IF(ISBLANK(P$3),"",1)</f>
        <v/>
      </c>
      <c r="I64" s="1205" t="str">
        <f>IF(ISBLANK(T$3),"",1)</f>
        <v/>
      </c>
      <c r="J64" s="1205" t="str">
        <f>IF(ISBLANK(X$3),"",1)</f>
        <v/>
      </c>
      <c r="K64" s="1205" t="str">
        <f>IF(ISBLANK(AB$3),"",1)</f>
        <v/>
      </c>
      <c r="L64" s="1205" t="str">
        <f>IF(ISBLANK(AF$3),"",1)</f>
        <v/>
      </c>
      <c r="M64" s="242"/>
      <c r="N64" s="1576">
        <v>2.1</v>
      </c>
      <c r="O64" s="1161" t="s">
        <v>350</v>
      </c>
      <c r="P64" s="1162"/>
      <c r="Q64" s="1162"/>
      <c r="R64" s="1162"/>
      <c r="S64" s="1162"/>
      <c r="T64" s="1265"/>
      <c r="U64" s="1205" t="str">
        <f t="shared" ref="U64" si="16">IF(ISBLANK(P$3),"",1)</f>
        <v/>
      </c>
      <c r="V64" s="1258">
        <v>4.4000000000000004</v>
      </c>
      <c r="W64" s="1161" t="s">
        <v>351</v>
      </c>
      <c r="X64" s="1162"/>
      <c r="Y64" s="1162"/>
      <c r="Z64" s="1162"/>
      <c r="AA64" s="1162"/>
      <c r="AB64" s="1199"/>
      <c r="AC64" s="1205" t="str">
        <f>IF(ISBLANK(T$3),"",1)</f>
        <v/>
      </c>
      <c r="AD64" s="1258">
        <v>4.3</v>
      </c>
      <c r="AE64" s="1161" t="s">
        <v>352</v>
      </c>
      <c r="AF64" s="1162"/>
      <c r="AG64" s="1162"/>
      <c r="AH64" s="1162"/>
      <c r="AI64" s="1162"/>
      <c r="AJ64" s="1199"/>
      <c r="AK64" s="1205" t="str">
        <f>IF(ISBLANK(X$3),"",1)</f>
        <v/>
      </c>
      <c r="AL64" s="1194">
        <v>2.4</v>
      </c>
      <c r="AM64" s="1161" t="s">
        <v>353</v>
      </c>
      <c r="AN64" s="1162"/>
      <c r="AO64" s="1162"/>
      <c r="AP64" s="1162"/>
      <c r="AQ64" s="1162"/>
      <c r="AR64" s="1199"/>
      <c r="AS64" s="1205" t="str">
        <f>IF(ISBLANK(AB$3),"",1)</f>
        <v/>
      </c>
      <c r="AT64" s="1566">
        <v>4.4000000000000004</v>
      </c>
      <c r="AU64" s="1161" t="s">
        <v>354</v>
      </c>
      <c r="AV64" s="1162"/>
      <c r="AW64" s="1162"/>
      <c r="AX64" s="1162"/>
      <c r="AY64" s="1162"/>
      <c r="AZ64" s="1199"/>
      <c r="BA64" s="1205" t="str">
        <f>IF(ISBLANK(AF$3),"",1)</f>
        <v/>
      </c>
      <c r="BB64" s="255"/>
      <c r="BC64" s="255"/>
      <c r="BD64" s="255"/>
      <c r="BE64" s="255"/>
      <c r="BF64" s="255"/>
      <c r="BG64" s="255"/>
      <c r="BH64" s="255"/>
      <c r="BI64" s="255"/>
      <c r="BJ64" s="1337"/>
      <c r="BK64" s="1338"/>
      <c r="BL64" s="1338"/>
      <c r="BM64" s="1338"/>
      <c r="BN64" s="1338"/>
      <c r="BO64" s="1339"/>
      <c r="BP64" s="255"/>
      <c r="BQ64" s="255"/>
      <c r="BR64" s="255"/>
    </row>
    <row r="65" spans="1:70" ht="15" customHeight="1">
      <c r="A65" s="1308"/>
      <c r="B65" s="1163"/>
      <c r="C65" s="1164"/>
      <c r="D65" s="1164"/>
      <c r="E65" s="1164"/>
      <c r="F65" s="1164"/>
      <c r="G65" s="1201"/>
      <c r="H65" s="1206"/>
      <c r="I65" s="1206"/>
      <c r="J65" s="1206"/>
      <c r="K65" s="1206"/>
      <c r="L65" s="1206"/>
      <c r="M65" s="242"/>
      <c r="N65" s="1576"/>
      <c r="O65" s="1163"/>
      <c r="P65" s="1164"/>
      <c r="Q65" s="1164"/>
      <c r="R65" s="1164"/>
      <c r="S65" s="1164"/>
      <c r="T65" s="1266"/>
      <c r="U65" s="1206"/>
      <c r="V65" s="1258"/>
      <c r="W65" s="1163"/>
      <c r="X65" s="1164"/>
      <c r="Y65" s="1164"/>
      <c r="Z65" s="1164"/>
      <c r="AA65" s="1164"/>
      <c r="AB65" s="1201"/>
      <c r="AC65" s="1206"/>
      <c r="AD65" s="1258"/>
      <c r="AE65" s="1163"/>
      <c r="AF65" s="1164"/>
      <c r="AG65" s="1164"/>
      <c r="AH65" s="1164"/>
      <c r="AI65" s="1164"/>
      <c r="AJ65" s="1201"/>
      <c r="AK65" s="1206"/>
      <c r="AL65" s="1194"/>
      <c r="AM65" s="1163"/>
      <c r="AN65" s="1164"/>
      <c r="AO65" s="1164"/>
      <c r="AP65" s="1164"/>
      <c r="AQ65" s="1164"/>
      <c r="AR65" s="1201"/>
      <c r="AS65" s="1206"/>
      <c r="AT65" s="1566"/>
      <c r="AU65" s="1163"/>
      <c r="AV65" s="1164"/>
      <c r="AW65" s="1164"/>
      <c r="AX65" s="1164"/>
      <c r="AY65" s="1164"/>
      <c r="AZ65" s="1201"/>
      <c r="BA65" s="1206"/>
      <c r="BB65" s="255"/>
      <c r="BC65" s="255"/>
      <c r="BD65" s="255"/>
      <c r="BE65" s="255"/>
      <c r="BF65" s="255"/>
      <c r="BG65" s="255"/>
      <c r="BH65" s="255"/>
      <c r="BI65" s="255"/>
      <c r="BJ65" s="1337"/>
      <c r="BK65" s="1338"/>
      <c r="BL65" s="1338"/>
      <c r="BM65" s="1338"/>
      <c r="BN65" s="1338"/>
      <c r="BO65" s="1339"/>
      <c r="BP65" s="255"/>
      <c r="BQ65" s="255"/>
      <c r="BR65" s="255"/>
    </row>
    <row r="66" spans="1:70" ht="15" customHeight="1">
      <c r="A66" s="1309"/>
      <c r="B66" s="1165"/>
      <c r="C66" s="1166"/>
      <c r="D66" s="1166"/>
      <c r="E66" s="1166"/>
      <c r="F66" s="1166"/>
      <c r="G66" s="1292"/>
      <c r="H66" s="1207"/>
      <c r="I66" s="1207"/>
      <c r="J66" s="1207"/>
      <c r="K66" s="1207"/>
      <c r="L66" s="1207"/>
      <c r="M66" s="242"/>
      <c r="N66" s="1576"/>
      <c r="O66" s="1163"/>
      <c r="P66" s="1164"/>
      <c r="Q66" s="1164"/>
      <c r="R66" s="1164"/>
      <c r="S66" s="1164"/>
      <c r="T66" s="1266"/>
      <c r="U66" s="1207"/>
      <c r="V66" s="1258"/>
      <c r="W66" s="1165"/>
      <c r="X66" s="1166"/>
      <c r="Y66" s="1166"/>
      <c r="Z66" s="1166"/>
      <c r="AA66" s="1166"/>
      <c r="AB66" s="1292"/>
      <c r="AC66" s="1207"/>
      <c r="AD66" s="1258"/>
      <c r="AE66" s="1165"/>
      <c r="AF66" s="1166"/>
      <c r="AG66" s="1166"/>
      <c r="AH66" s="1166"/>
      <c r="AI66" s="1166"/>
      <c r="AJ66" s="1292"/>
      <c r="AK66" s="1207"/>
      <c r="AL66" s="1194"/>
      <c r="AM66" s="1165"/>
      <c r="AN66" s="1166"/>
      <c r="AO66" s="1166"/>
      <c r="AP66" s="1166"/>
      <c r="AQ66" s="1166"/>
      <c r="AR66" s="1292"/>
      <c r="AS66" s="1207"/>
      <c r="AT66" s="1566"/>
      <c r="AU66" s="1165"/>
      <c r="AV66" s="1166"/>
      <c r="AW66" s="1166"/>
      <c r="AX66" s="1166"/>
      <c r="AY66" s="1166"/>
      <c r="AZ66" s="1292"/>
      <c r="BA66" s="1207"/>
      <c r="BB66" s="255"/>
      <c r="BC66" s="255"/>
      <c r="BD66" s="255"/>
      <c r="BE66" s="255"/>
      <c r="BF66" s="255"/>
      <c r="BG66" s="255"/>
      <c r="BH66" s="255"/>
      <c r="BI66" s="255"/>
      <c r="BJ66" s="1337"/>
      <c r="BK66" s="1338"/>
      <c r="BL66" s="1338"/>
      <c r="BM66" s="1338"/>
      <c r="BN66" s="1338"/>
      <c r="BO66" s="1339"/>
      <c r="BP66" s="255"/>
      <c r="BQ66" s="255"/>
      <c r="BR66" s="255"/>
    </row>
    <row r="67" spans="1:70" ht="15" customHeight="1">
      <c r="A67" s="1307">
        <v>1.1000000000000001</v>
      </c>
      <c r="B67" s="1161" t="s">
        <v>330</v>
      </c>
      <c r="C67" s="1162"/>
      <c r="D67" s="1162"/>
      <c r="E67" s="1162"/>
      <c r="F67" s="1162"/>
      <c r="G67" s="1199"/>
      <c r="H67" s="1205" t="str">
        <f t="shared" ref="H67" si="17">IF(ISBLANK(P$3),"",1)</f>
        <v/>
      </c>
      <c r="I67" s="1205" t="str">
        <f>IF(ISBLANK(T$3),"",1)</f>
        <v/>
      </c>
      <c r="J67" s="1205" t="str">
        <f>IF(ISBLANK(X$3),"",1)</f>
        <v/>
      </c>
      <c r="K67" s="1205" t="str">
        <f>IF(ISBLANK(AB$3),"",1)</f>
        <v/>
      </c>
      <c r="L67" s="1205" t="str">
        <f>IF(ISBLANK(AF$3),"",1)</f>
        <v/>
      </c>
      <c r="M67" s="242"/>
      <c r="N67" s="253"/>
      <c r="O67" s="244"/>
      <c r="P67" s="242"/>
      <c r="Q67" s="242"/>
      <c r="S67" s="309">
        <v>1.5</v>
      </c>
      <c r="T67" s="312">
        <f>COUNTIF($N$52:$N$66,S67)</f>
        <v>1</v>
      </c>
      <c r="U67" s="240" t="str">
        <f>IF($P$3=1,SUMIF($N$52:$N$66,S67,$U$52:$U$66),"")</f>
        <v/>
      </c>
      <c r="V67" s="1194">
        <v>2.4</v>
      </c>
      <c r="W67" s="1161" t="s">
        <v>357</v>
      </c>
      <c r="X67" s="1162"/>
      <c r="Y67" s="1162"/>
      <c r="Z67" s="1162"/>
      <c r="AA67" s="1162"/>
      <c r="AB67" s="1199"/>
      <c r="AC67" s="1205" t="str">
        <f>IF(ISBLANK(T$3),"",1)</f>
        <v/>
      </c>
      <c r="AD67" s="1576">
        <v>2.4</v>
      </c>
      <c r="AE67" s="1161" t="s">
        <v>355</v>
      </c>
      <c r="AF67" s="1162"/>
      <c r="AG67" s="1162"/>
      <c r="AH67" s="1162"/>
      <c r="AI67" s="1162"/>
      <c r="AJ67" s="1199"/>
      <c r="AK67" s="1205" t="str">
        <f>IF(ISBLANK(X$3),"",1)</f>
        <v/>
      </c>
      <c r="AL67" s="1566">
        <v>4.4000000000000004</v>
      </c>
      <c r="AM67" s="1161" t="s">
        <v>356</v>
      </c>
      <c r="AN67" s="1162"/>
      <c r="AO67" s="1162"/>
      <c r="AP67" s="1162"/>
      <c r="AQ67" s="1162"/>
      <c r="AR67" s="1199"/>
      <c r="AS67" s="1205" t="str">
        <f>IF(ISBLANK(AB$3),"",1)</f>
        <v/>
      </c>
      <c r="AT67" s="1194">
        <v>2.4</v>
      </c>
      <c r="AU67" s="1161" t="s">
        <v>335</v>
      </c>
      <c r="AV67" s="1162"/>
      <c r="AW67" s="1162"/>
      <c r="AX67" s="1162"/>
      <c r="AY67" s="1162"/>
      <c r="AZ67" s="1199"/>
      <c r="BA67" s="1205" t="str">
        <f>IF(ISBLANK(AF$3),"",1)</f>
        <v/>
      </c>
      <c r="BB67" s="255"/>
      <c r="BC67" s="255"/>
      <c r="BD67" s="255"/>
      <c r="BE67" s="255"/>
      <c r="BF67" s="255"/>
      <c r="BG67" s="255"/>
      <c r="BH67" s="255"/>
      <c r="BI67" s="255"/>
      <c r="BJ67" s="1337"/>
      <c r="BK67" s="1338"/>
      <c r="BL67" s="1338"/>
      <c r="BM67" s="1338"/>
      <c r="BN67" s="1338"/>
      <c r="BO67" s="1339"/>
      <c r="BP67" s="255"/>
      <c r="BQ67" s="255"/>
      <c r="BR67" s="255"/>
    </row>
    <row r="68" spans="1:70" ht="15" customHeight="1">
      <c r="A68" s="1308"/>
      <c r="B68" s="1163"/>
      <c r="C68" s="1164"/>
      <c r="D68" s="1164"/>
      <c r="E68" s="1164"/>
      <c r="F68" s="1164"/>
      <c r="G68" s="1201"/>
      <c r="H68" s="1206"/>
      <c r="I68" s="1206"/>
      <c r="J68" s="1206"/>
      <c r="K68" s="1206"/>
      <c r="L68" s="1206"/>
      <c r="M68" s="242"/>
      <c r="N68" s="253"/>
      <c r="O68" s="244"/>
      <c r="P68" s="242"/>
      <c r="Q68" s="242"/>
      <c r="S68" s="292">
        <v>2.1</v>
      </c>
      <c r="T68" s="312">
        <f>COUNTIF($N$52:$N$66,S68)</f>
        <v>1</v>
      </c>
      <c r="U68" s="240" t="str">
        <f>IF($P$3=1,SUMIF($N$52:$N$66,S68,$U$52:$U$66),"")</f>
        <v/>
      </c>
      <c r="V68" s="1194"/>
      <c r="W68" s="1163"/>
      <c r="X68" s="1164"/>
      <c r="Y68" s="1164"/>
      <c r="Z68" s="1164"/>
      <c r="AA68" s="1164"/>
      <c r="AB68" s="1201"/>
      <c r="AC68" s="1206"/>
      <c r="AD68" s="1576"/>
      <c r="AE68" s="1163"/>
      <c r="AF68" s="1164"/>
      <c r="AG68" s="1164"/>
      <c r="AH68" s="1164"/>
      <c r="AI68" s="1164"/>
      <c r="AJ68" s="1201"/>
      <c r="AK68" s="1206"/>
      <c r="AL68" s="1566"/>
      <c r="AM68" s="1163"/>
      <c r="AN68" s="1164"/>
      <c r="AO68" s="1164"/>
      <c r="AP68" s="1164"/>
      <c r="AQ68" s="1164"/>
      <c r="AR68" s="1201"/>
      <c r="AS68" s="1206"/>
      <c r="AT68" s="1194"/>
      <c r="AU68" s="1163"/>
      <c r="AV68" s="1164"/>
      <c r="AW68" s="1164"/>
      <c r="AX68" s="1164"/>
      <c r="AY68" s="1164"/>
      <c r="AZ68" s="1201"/>
      <c r="BA68" s="1206"/>
      <c r="BB68" s="255"/>
      <c r="BC68" s="255"/>
      <c r="BD68" s="255"/>
      <c r="BE68" s="255"/>
      <c r="BF68" s="255"/>
      <c r="BG68" s="255"/>
      <c r="BH68" s="255"/>
      <c r="BI68" s="255"/>
      <c r="BJ68" s="1337"/>
      <c r="BK68" s="1338"/>
      <c r="BL68" s="1338"/>
      <c r="BM68" s="1338"/>
      <c r="BN68" s="1338"/>
      <c r="BO68" s="1339"/>
      <c r="BP68" s="255"/>
      <c r="BQ68" s="255"/>
      <c r="BR68" s="255"/>
    </row>
    <row r="69" spans="1:70" ht="15" customHeight="1">
      <c r="A69" s="1309"/>
      <c r="B69" s="1165"/>
      <c r="C69" s="1166"/>
      <c r="D69" s="1166"/>
      <c r="E69" s="1166"/>
      <c r="F69" s="1166"/>
      <c r="G69" s="1292"/>
      <c r="H69" s="1207"/>
      <c r="I69" s="1207"/>
      <c r="J69" s="1207"/>
      <c r="K69" s="1207"/>
      <c r="L69" s="1207"/>
      <c r="M69" s="242"/>
      <c r="N69" s="242"/>
      <c r="P69" s="242"/>
      <c r="Q69" s="242"/>
      <c r="S69" s="288">
        <v>4.3</v>
      </c>
      <c r="T69" s="312">
        <f>COUNTIF($N$52:$N$66,S69)</f>
        <v>1</v>
      </c>
      <c r="U69" s="240" t="str">
        <f>IF($P$3=1,SUMIF($N$52:$N$66,S69,$U$52:$U$66),"")</f>
        <v/>
      </c>
      <c r="V69" s="1194"/>
      <c r="W69" s="1165"/>
      <c r="X69" s="1166"/>
      <c r="Y69" s="1166"/>
      <c r="Z69" s="1166"/>
      <c r="AA69" s="1166"/>
      <c r="AB69" s="1292"/>
      <c r="AC69" s="1207"/>
      <c r="AD69" s="1576"/>
      <c r="AE69" s="1165"/>
      <c r="AF69" s="1166"/>
      <c r="AG69" s="1166"/>
      <c r="AH69" s="1166"/>
      <c r="AI69" s="1166"/>
      <c r="AJ69" s="1292"/>
      <c r="AK69" s="1207"/>
      <c r="AL69" s="1566"/>
      <c r="AM69" s="1165"/>
      <c r="AN69" s="1166"/>
      <c r="AO69" s="1166"/>
      <c r="AP69" s="1166"/>
      <c r="AQ69" s="1166"/>
      <c r="AR69" s="1292"/>
      <c r="AS69" s="1207"/>
      <c r="AT69" s="1194"/>
      <c r="AU69" s="1165"/>
      <c r="AV69" s="1166"/>
      <c r="AW69" s="1166"/>
      <c r="AX69" s="1166"/>
      <c r="AY69" s="1166"/>
      <c r="AZ69" s="1292"/>
      <c r="BA69" s="1207"/>
      <c r="BB69" s="255"/>
      <c r="BC69" s="255"/>
      <c r="BD69" s="255"/>
      <c r="BE69" s="255"/>
      <c r="BF69" s="255"/>
      <c r="BG69" s="255"/>
      <c r="BH69" s="255"/>
      <c r="BI69" s="255"/>
      <c r="BJ69" s="1337"/>
      <c r="BK69" s="1338"/>
      <c r="BL69" s="1338"/>
      <c r="BM69" s="1338"/>
      <c r="BN69" s="1338"/>
      <c r="BO69" s="1339"/>
      <c r="BP69" s="255"/>
      <c r="BQ69" s="255"/>
      <c r="BR69" s="255"/>
    </row>
    <row r="70" spans="1:70" ht="15" customHeight="1">
      <c r="A70" s="1304">
        <v>1.5</v>
      </c>
      <c r="B70" s="1161" t="s">
        <v>336</v>
      </c>
      <c r="C70" s="1162"/>
      <c r="D70" s="1162"/>
      <c r="E70" s="1162"/>
      <c r="F70" s="1162"/>
      <c r="G70" s="1199"/>
      <c r="H70" s="1205" t="str">
        <f>IF(ISBLANK(P$3),"",1)</f>
        <v/>
      </c>
      <c r="I70" s="1205" t="str">
        <f>IF(ISBLANK(T$3),"",1)</f>
        <v/>
      </c>
      <c r="J70" s="1205" t="str">
        <f>IF(ISBLANK(X$3),"",1)</f>
        <v/>
      </c>
      <c r="K70" s="1205" t="str">
        <f>IF(ISBLANK(AB$3),"",1)</f>
        <v/>
      </c>
      <c r="L70" s="1205" t="str">
        <f>IF(ISBLANK(AF$3),"",1)</f>
        <v/>
      </c>
      <c r="M70" s="242"/>
      <c r="N70" s="242"/>
      <c r="P70" s="242"/>
      <c r="Q70" s="242"/>
      <c r="S70" s="288">
        <v>4.4000000000000004</v>
      </c>
      <c r="T70" s="312">
        <f>COUNTIF($N$52:$N$66,S70)</f>
        <v>2</v>
      </c>
      <c r="U70" s="240" t="str">
        <f>IF($P$3=1,SUMIF($N$52:$N$66,S70,$U$52:$U$66),"")</f>
        <v/>
      </c>
      <c r="V70" s="1258">
        <v>4.4000000000000004</v>
      </c>
      <c r="W70" s="1161" t="s">
        <v>361</v>
      </c>
      <c r="X70" s="1162"/>
      <c r="Y70" s="1162"/>
      <c r="Z70" s="1162"/>
      <c r="AA70" s="1162"/>
      <c r="AB70" s="1199"/>
      <c r="AC70" s="1205" t="str">
        <f>IF(ISBLANK(T$3),"",1)</f>
        <v/>
      </c>
      <c r="AD70" s="1576">
        <v>2.4</v>
      </c>
      <c r="AE70" s="1161" t="s">
        <v>358</v>
      </c>
      <c r="AF70" s="1162"/>
      <c r="AG70" s="1162"/>
      <c r="AH70" s="1162"/>
      <c r="AI70" s="1162"/>
      <c r="AJ70" s="1199"/>
      <c r="AK70" s="1205" t="str">
        <f>IF(ISBLANK(X$3),"",1)</f>
        <v/>
      </c>
      <c r="AL70" s="1194">
        <v>2.4</v>
      </c>
      <c r="AM70" s="1161" t="s">
        <v>359</v>
      </c>
      <c r="AN70" s="1162"/>
      <c r="AO70" s="1162"/>
      <c r="AP70" s="1162"/>
      <c r="AQ70" s="1162"/>
      <c r="AR70" s="1199"/>
      <c r="AS70" s="1205" t="str">
        <f>IF(ISBLANK(AB$3),"",1)</f>
        <v/>
      </c>
      <c r="AT70" s="1194">
        <v>2.4</v>
      </c>
      <c r="AU70" s="1161" t="s">
        <v>337</v>
      </c>
      <c r="AV70" s="1162"/>
      <c r="AW70" s="1162"/>
      <c r="AX70" s="1162"/>
      <c r="AY70" s="1162"/>
      <c r="AZ70" s="1199"/>
      <c r="BA70" s="1205" t="str">
        <f>IF(ISBLANK(AF$3),"",1)</f>
        <v/>
      </c>
      <c r="BB70" s="255"/>
      <c r="BC70" s="255"/>
      <c r="BD70" s="255"/>
      <c r="BE70" s="255"/>
      <c r="BF70" s="255"/>
      <c r="BG70" s="255"/>
      <c r="BH70" s="255"/>
      <c r="BI70" s="255"/>
      <c r="BJ70" s="1337"/>
      <c r="BK70" s="1338"/>
      <c r="BL70" s="1338"/>
      <c r="BM70" s="1338"/>
      <c r="BN70" s="1338"/>
      <c r="BO70" s="1339"/>
      <c r="BP70" s="255"/>
      <c r="BQ70" s="255"/>
      <c r="BR70" s="255"/>
    </row>
    <row r="71" spans="1:70" ht="15" customHeight="1">
      <c r="A71" s="1290"/>
      <c r="B71" s="1163"/>
      <c r="C71" s="1164"/>
      <c r="D71" s="1164"/>
      <c r="E71" s="1164"/>
      <c r="F71" s="1164"/>
      <c r="G71" s="1201"/>
      <c r="H71" s="1206"/>
      <c r="I71" s="1206"/>
      <c r="J71" s="1206"/>
      <c r="K71" s="1206"/>
      <c r="L71" s="1206"/>
      <c r="M71" s="242"/>
      <c r="N71" s="242"/>
      <c r="P71" s="242"/>
      <c r="Q71" s="242"/>
      <c r="S71" s="242"/>
      <c r="T71" s="242"/>
      <c r="U71" s="242"/>
      <c r="V71" s="1258"/>
      <c r="W71" s="1163"/>
      <c r="X71" s="1164"/>
      <c r="Y71" s="1164"/>
      <c r="Z71" s="1164"/>
      <c r="AA71" s="1164"/>
      <c r="AB71" s="1201"/>
      <c r="AC71" s="1206"/>
      <c r="AD71" s="1576"/>
      <c r="AE71" s="1163"/>
      <c r="AF71" s="1164"/>
      <c r="AG71" s="1164"/>
      <c r="AH71" s="1164"/>
      <c r="AI71" s="1164"/>
      <c r="AJ71" s="1201"/>
      <c r="AK71" s="1206"/>
      <c r="AL71" s="1194"/>
      <c r="AM71" s="1163"/>
      <c r="AN71" s="1164"/>
      <c r="AO71" s="1164"/>
      <c r="AP71" s="1164"/>
      <c r="AQ71" s="1164"/>
      <c r="AR71" s="1201"/>
      <c r="AS71" s="1206"/>
      <c r="AT71" s="1194"/>
      <c r="AU71" s="1163"/>
      <c r="AV71" s="1164"/>
      <c r="AW71" s="1164"/>
      <c r="AX71" s="1164"/>
      <c r="AY71" s="1164"/>
      <c r="AZ71" s="1201"/>
      <c r="BA71" s="1206"/>
      <c r="BB71" s="255"/>
      <c r="BC71" s="255"/>
      <c r="BD71" s="255"/>
      <c r="BE71" s="255"/>
      <c r="BF71" s="255"/>
      <c r="BG71" s="255"/>
      <c r="BH71" s="255"/>
      <c r="BI71" s="255"/>
      <c r="BJ71" s="1337"/>
      <c r="BK71" s="1338"/>
      <c r="BL71" s="1338"/>
      <c r="BM71" s="1338"/>
      <c r="BN71" s="1338"/>
      <c r="BO71" s="1339"/>
      <c r="BP71" s="255"/>
      <c r="BQ71" s="255"/>
      <c r="BR71" s="255"/>
    </row>
    <row r="72" spans="1:70" ht="15" customHeight="1">
      <c r="A72" s="1291"/>
      <c r="B72" s="1165"/>
      <c r="C72" s="1166"/>
      <c r="D72" s="1166"/>
      <c r="E72" s="1166"/>
      <c r="F72" s="1166"/>
      <c r="G72" s="1292"/>
      <c r="H72" s="1207"/>
      <c r="I72" s="1207"/>
      <c r="J72" s="1207"/>
      <c r="K72" s="1207"/>
      <c r="L72" s="1207"/>
      <c r="M72" s="242"/>
      <c r="N72" s="242"/>
      <c r="P72" s="242"/>
      <c r="Q72" s="242"/>
      <c r="R72" s="242"/>
      <c r="S72" s="242"/>
      <c r="T72" s="242"/>
      <c r="U72" s="242"/>
      <c r="V72" s="1258"/>
      <c r="W72" s="1165"/>
      <c r="X72" s="1166"/>
      <c r="Y72" s="1166"/>
      <c r="Z72" s="1166"/>
      <c r="AA72" s="1166"/>
      <c r="AB72" s="1292"/>
      <c r="AC72" s="1207"/>
      <c r="AD72" s="1576"/>
      <c r="AE72" s="1165"/>
      <c r="AF72" s="1166"/>
      <c r="AG72" s="1166"/>
      <c r="AH72" s="1166"/>
      <c r="AI72" s="1166"/>
      <c r="AJ72" s="1292"/>
      <c r="AK72" s="1207"/>
      <c r="AL72" s="1194"/>
      <c r="AM72" s="1165"/>
      <c r="AN72" s="1166"/>
      <c r="AO72" s="1166"/>
      <c r="AP72" s="1166"/>
      <c r="AQ72" s="1166"/>
      <c r="AR72" s="1292"/>
      <c r="AS72" s="1207"/>
      <c r="AT72" s="1194"/>
      <c r="AU72" s="1165"/>
      <c r="AV72" s="1166"/>
      <c r="AW72" s="1166"/>
      <c r="AX72" s="1166"/>
      <c r="AY72" s="1166"/>
      <c r="AZ72" s="1292"/>
      <c r="BA72" s="1207"/>
      <c r="BB72" s="255"/>
      <c r="BC72" s="255"/>
      <c r="BD72" s="255"/>
      <c r="BE72" s="255"/>
      <c r="BF72" s="255"/>
      <c r="BG72" s="255"/>
      <c r="BH72" s="255"/>
      <c r="BI72" s="255"/>
      <c r="BJ72" s="1337"/>
      <c r="BK72" s="1338"/>
      <c r="BL72" s="1338"/>
      <c r="BM72" s="1338"/>
      <c r="BN72" s="1338"/>
      <c r="BO72" s="1339"/>
      <c r="BP72" s="255"/>
      <c r="BQ72" s="255"/>
      <c r="BR72" s="255"/>
    </row>
    <row r="73" spans="1:70" ht="15" customHeight="1">
      <c r="A73" s="1304">
        <v>2.1</v>
      </c>
      <c r="B73" s="1161" t="s">
        <v>360</v>
      </c>
      <c r="C73" s="1162"/>
      <c r="D73" s="1162"/>
      <c r="E73" s="1162"/>
      <c r="F73" s="1162"/>
      <c r="G73" s="1199"/>
      <c r="H73" s="1205" t="str">
        <f>IF(ISBLANK(P$3),"",1)</f>
        <v/>
      </c>
      <c r="I73" s="1205" t="str">
        <f>IF(ISBLANK(T$3),"",1)</f>
        <v/>
      </c>
      <c r="J73" s="1205" t="str">
        <f>IF(ISBLANK(X$3),"",1)</f>
        <v/>
      </c>
      <c r="K73" s="1205" t="str">
        <f>IF(ISBLANK(AB$3),"",1)</f>
        <v/>
      </c>
      <c r="L73" s="1205" t="str">
        <f>IF(ISBLANK(AF$3),"",1)</f>
        <v/>
      </c>
      <c r="M73" s="242"/>
      <c r="N73" s="242"/>
      <c r="P73" s="242"/>
      <c r="Q73" s="242"/>
      <c r="R73" s="242"/>
      <c r="S73" s="242"/>
      <c r="T73" s="242"/>
      <c r="U73" s="242"/>
      <c r="V73" s="1258">
        <v>4.3</v>
      </c>
      <c r="W73" s="1161" t="s">
        <v>364</v>
      </c>
      <c r="X73" s="1162"/>
      <c r="Y73" s="1162"/>
      <c r="Z73" s="1162"/>
      <c r="AA73" s="1162"/>
      <c r="AB73" s="1199"/>
      <c r="AC73" s="1205" t="str">
        <f>IF(ISBLANK(T$3),"",1)</f>
        <v/>
      </c>
      <c r="AD73" s="1258">
        <v>4.3</v>
      </c>
      <c r="AE73" s="1161" t="s">
        <v>362</v>
      </c>
      <c r="AF73" s="1162"/>
      <c r="AG73" s="1162"/>
      <c r="AH73" s="1162"/>
      <c r="AI73" s="1162"/>
      <c r="AJ73" s="1199"/>
      <c r="AK73" s="1205" t="str">
        <f>IF(ISBLANK(X$3),"",1)</f>
        <v/>
      </c>
      <c r="AL73" s="1194">
        <v>2.4</v>
      </c>
      <c r="AM73" s="1161" t="s">
        <v>363</v>
      </c>
      <c r="AN73" s="1162"/>
      <c r="AO73" s="1162"/>
      <c r="AP73" s="1162"/>
      <c r="AQ73" s="1162"/>
      <c r="AR73" s="1199"/>
      <c r="AS73" s="1205" t="str">
        <f>IF(ISBLANK(AB$3),"",1)</f>
        <v/>
      </c>
      <c r="AT73" s="251"/>
      <c r="AU73" s="242"/>
      <c r="AV73" s="242"/>
      <c r="AW73" s="243"/>
      <c r="AY73" s="314">
        <v>2.4</v>
      </c>
      <c r="AZ73" s="312">
        <f>COUNTIF($AT$52:$AT$72,AY73)</f>
        <v>2</v>
      </c>
      <c r="BA73" s="240" t="str">
        <f>IF($AF$3=1,SUMIF($AT$52:$AT$72,AY73,$BA$52:$BA$73),"")</f>
        <v/>
      </c>
      <c r="BB73" s="255"/>
      <c r="BC73" s="255"/>
      <c r="BD73" s="255"/>
      <c r="BE73" s="255"/>
      <c r="BF73" s="255"/>
      <c r="BG73" s="255"/>
      <c r="BH73" s="255"/>
      <c r="BI73" s="255"/>
      <c r="BJ73" s="1337"/>
      <c r="BK73" s="1338"/>
      <c r="BL73" s="1338"/>
      <c r="BM73" s="1338"/>
      <c r="BN73" s="1338"/>
      <c r="BO73" s="1339"/>
      <c r="BP73" s="255"/>
      <c r="BQ73" s="255"/>
      <c r="BR73" s="255"/>
    </row>
    <row r="74" spans="1:70" ht="15" customHeight="1">
      <c r="A74" s="1290"/>
      <c r="B74" s="1163"/>
      <c r="C74" s="1164"/>
      <c r="D74" s="1164"/>
      <c r="E74" s="1164"/>
      <c r="F74" s="1164"/>
      <c r="G74" s="1201"/>
      <c r="H74" s="1206"/>
      <c r="I74" s="1206"/>
      <c r="J74" s="1206"/>
      <c r="K74" s="1206"/>
      <c r="L74" s="1206"/>
      <c r="M74" s="242"/>
      <c r="N74" s="242"/>
      <c r="P74" s="242"/>
      <c r="Q74" s="242"/>
      <c r="R74" s="242"/>
      <c r="S74" s="242"/>
      <c r="T74" s="242"/>
      <c r="U74" s="242"/>
      <c r="V74" s="1258"/>
      <c r="W74" s="1163"/>
      <c r="X74" s="1164"/>
      <c r="Y74" s="1164"/>
      <c r="Z74" s="1164"/>
      <c r="AA74" s="1164"/>
      <c r="AB74" s="1201"/>
      <c r="AC74" s="1206"/>
      <c r="AD74" s="1258"/>
      <c r="AE74" s="1163"/>
      <c r="AF74" s="1164"/>
      <c r="AG74" s="1164"/>
      <c r="AH74" s="1164"/>
      <c r="AI74" s="1164"/>
      <c r="AJ74" s="1201"/>
      <c r="AK74" s="1206"/>
      <c r="AL74" s="1194"/>
      <c r="AM74" s="1163"/>
      <c r="AN74" s="1164"/>
      <c r="AO74" s="1164"/>
      <c r="AP74" s="1164"/>
      <c r="AQ74" s="1164"/>
      <c r="AR74" s="1201"/>
      <c r="AS74" s="1206"/>
      <c r="AT74" s="251"/>
      <c r="AU74" s="242"/>
      <c r="AV74" s="242"/>
      <c r="AW74" s="243"/>
      <c r="AY74" s="308">
        <v>4.4000000000000004</v>
      </c>
      <c r="AZ74" s="312">
        <f>COUNTIF($AT$52:$AT$72,AY74)</f>
        <v>5</v>
      </c>
      <c r="BA74" s="240" t="str">
        <f>IF($AF$3=1,SUMIF($AT$52:$AT$72,AY74,$BA$52:$BA$73),"")</f>
        <v/>
      </c>
      <c r="BB74" s="255"/>
      <c r="BC74" s="255"/>
      <c r="BD74" s="255"/>
      <c r="BE74" s="255"/>
      <c r="BF74" s="255"/>
      <c r="BG74" s="255"/>
      <c r="BH74" s="255"/>
      <c r="BI74" s="255"/>
      <c r="BJ74" s="1337"/>
      <c r="BK74" s="1338"/>
      <c r="BL74" s="1338"/>
      <c r="BM74" s="1338"/>
      <c r="BN74" s="1338"/>
      <c r="BO74" s="1339"/>
      <c r="BP74" s="255"/>
      <c r="BQ74" s="255"/>
      <c r="BR74" s="255"/>
    </row>
    <row r="75" spans="1:70" ht="15" customHeight="1">
      <c r="A75" s="1291"/>
      <c r="B75" s="1165"/>
      <c r="C75" s="1166"/>
      <c r="D75" s="1166"/>
      <c r="E75" s="1166"/>
      <c r="F75" s="1166"/>
      <c r="G75" s="1292"/>
      <c r="H75" s="1207"/>
      <c r="I75" s="1207"/>
      <c r="J75" s="1207"/>
      <c r="K75" s="1207"/>
      <c r="L75" s="1207"/>
      <c r="M75" s="242"/>
      <c r="N75" s="242"/>
      <c r="P75" s="242"/>
      <c r="Q75" s="242"/>
      <c r="R75" s="242"/>
      <c r="S75" s="242"/>
      <c r="T75" s="242"/>
      <c r="U75" s="242"/>
      <c r="V75" s="1258"/>
      <c r="W75" s="1165"/>
      <c r="X75" s="1166"/>
      <c r="Y75" s="1166"/>
      <c r="Z75" s="1166"/>
      <c r="AA75" s="1166"/>
      <c r="AB75" s="1292"/>
      <c r="AC75" s="1207"/>
      <c r="AD75" s="1258"/>
      <c r="AE75" s="1165"/>
      <c r="AF75" s="1166"/>
      <c r="AG75" s="1166"/>
      <c r="AH75" s="1166"/>
      <c r="AI75" s="1166"/>
      <c r="AJ75" s="1292"/>
      <c r="AK75" s="1207"/>
      <c r="AL75" s="1194"/>
      <c r="AM75" s="1165"/>
      <c r="AN75" s="1166"/>
      <c r="AO75" s="1166"/>
      <c r="AP75" s="1166"/>
      <c r="AQ75" s="1166"/>
      <c r="AR75" s="1292"/>
      <c r="AS75" s="1207"/>
      <c r="AT75" s="242"/>
      <c r="AU75" s="242"/>
      <c r="AV75" s="242"/>
      <c r="AW75" s="242"/>
      <c r="AY75" s="249"/>
      <c r="AZ75" s="249"/>
      <c r="BA75" s="249"/>
      <c r="BB75" s="255"/>
      <c r="BC75" s="255"/>
      <c r="BD75" s="255"/>
      <c r="BE75" s="255"/>
      <c r="BF75" s="255"/>
      <c r="BG75" s="255"/>
      <c r="BH75" s="255"/>
      <c r="BI75" s="255"/>
      <c r="BJ75" s="1337"/>
      <c r="BK75" s="1338"/>
      <c r="BL75" s="1338"/>
      <c r="BM75" s="1338"/>
      <c r="BN75" s="1338"/>
      <c r="BO75" s="1339"/>
      <c r="BP75" s="255"/>
      <c r="BQ75" s="255"/>
      <c r="BR75" s="255"/>
    </row>
    <row r="76" spans="1:70" ht="15" customHeight="1">
      <c r="A76" s="1304">
        <v>2.4</v>
      </c>
      <c r="B76" s="1161" t="s">
        <v>942</v>
      </c>
      <c r="C76" s="1162"/>
      <c r="D76" s="1162"/>
      <c r="E76" s="1162"/>
      <c r="F76" s="1162"/>
      <c r="G76" s="1199"/>
      <c r="H76" s="1205" t="str">
        <f>IF(ISBLANK(P$3),"",1)</f>
        <v/>
      </c>
      <c r="I76" s="1205" t="str">
        <f>IF(ISBLANK(T$3),"",1)</f>
        <v/>
      </c>
      <c r="J76" s="1205" t="str">
        <f>IF(ISBLANK(X$3),"",1)</f>
        <v/>
      </c>
      <c r="K76" s="1205" t="str">
        <f>IF(ISBLANK(AB$3),"",1)</f>
        <v/>
      </c>
      <c r="L76" s="1205" t="str">
        <f>IF(ISBLANK(AF$3),"",1)</f>
        <v/>
      </c>
      <c r="M76" s="242"/>
      <c r="N76" s="242"/>
      <c r="P76" s="242"/>
      <c r="Q76" s="242"/>
      <c r="R76" s="242"/>
      <c r="S76" s="242"/>
      <c r="T76" s="242"/>
      <c r="U76" s="242"/>
      <c r="V76" s="255"/>
      <c r="W76" s="255"/>
      <c r="X76" s="255"/>
      <c r="Y76" s="255"/>
      <c r="AA76" s="287">
        <v>2.4</v>
      </c>
      <c r="AB76" s="312">
        <f>COUNTIF($V$52:$V$75,AA76)</f>
        <v>2</v>
      </c>
      <c r="AC76" s="240" t="str">
        <f>IF($T$3=1,SUMIF($V$52:$V$75,AA76,$AC$52:$AC$75),"")</f>
        <v/>
      </c>
      <c r="AD76" s="1576">
        <v>2.4</v>
      </c>
      <c r="AE76" s="1161" t="s">
        <v>365</v>
      </c>
      <c r="AF76" s="1162"/>
      <c r="AG76" s="1162"/>
      <c r="AH76" s="1162"/>
      <c r="AI76" s="1162"/>
      <c r="AJ76" s="1199"/>
      <c r="AK76" s="1205" t="str">
        <f>IF(ISBLANK(X$3),"",1)</f>
        <v/>
      </c>
      <c r="AL76" s="252"/>
      <c r="AM76" s="243"/>
      <c r="AN76" s="242"/>
      <c r="AQ76" s="272">
        <v>2.4</v>
      </c>
      <c r="AR76" s="312">
        <f>COUNTIF($AL$52:$AL$75,AQ76)</f>
        <v>4</v>
      </c>
      <c r="AS76" s="240" t="str">
        <f>IF($AB$3=1,SUMIF($AL$52:$AL$75,AQ76,$AS$52:$AS$75),"")</f>
        <v/>
      </c>
      <c r="AT76" s="242"/>
      <c r="AU76" s="242"/>
      <c r="AV76" s="242"/>
      <c r="AW76" s="242"/>
      <c r="AY76" s="249"/>
      <c r="AZ76" s="249"/>
      <c r="BA76" s="249"/>
      <c r="BB76" s="255"/>
      <c r="BC76" s="255"/>
      <c r="BD76" s="255"/>
      <c r="BE76" s="255"/>
      <c r="BF76" s="255"/>
      <c r="BG76" s="255"/>
      <c r="BH76" s="255"/>
      <c r="BI76" s="255"/>
      <c r="BJ76" s="1337"/>
      <c r="BK76" s="1338"/>
      <c r="BL76" s="1338"/>
      <c r="BM76" s="1338"/>
      <c r="BN76" s="1338"/>
      <c r="BO76" s="1339"/>
      <c r="BP76" s="255"/>
      <c r="BQ76" s="255"/>
      <c r="BR76" s="255"/>
    </row>
    <row r="77" spans="1:70" ht="15" customHeight="1">
      <c r="A77" s="1290"/>
      <c r="B77" s="1163"/>
      <c r="C77" s="1164"/>
      <c r="D77" s="1164"/>
      <c r="E77" s="1164"/>
      <c r="F77" s="1164"/>
      <c r="G77" s="1201"/>
      <c r="H77" s="1206"/>
      <c r="I77" s="1206"/>
      <c r="J77" s="1206"/>
      <c r="K77" s="1206"/>
      <c r="L77" s="1206"/>
      <c r="M77" s="242"/>
      <c r="N77" s="242"/>
      <c r="P77" s="242"/>
      <c r="Q77" s="242"/>
      <c r="R77" s="242"/>
      <c r="S77" s="242"/>
      <c r="T77" s="242"/>
      <c r="U77" s="242"/>
      <c r="V77" s="255"/>
      <c r="W77" s="255"/>
      <c r="X77" s="255"/>
      <c r="Y77" s="255"/>
      <c r="AA77" s="288">
        <v>4.3</v>
      </c>
      <c r="AB77" s="312">
        <f>COUNTIF($V$52:$V$75,AA77)</f>
        <v>1</v>
      </c>
      <c r="AC77" s="240" t="str">
        <f>IF($T$3=1,SUMIF($V$52:$V$75,AA77,$AC$52:$AC$75),"")</f>
        <v/>
      </c>
      <c r="AD77" s="1576"/>
      <c r="AE77" s="1163"/>
      <c r="AF77" s="1164"/>
      <c r="AG77" s="1164"/>
      <c r="AH77" s="1164"/>
      <c r="AI77" s="1164"/>
      <c r="AJ77" s="1201"/>
      <c r="AK77" s="1206"/>
      <c r="AL77" s="252"/>
      <c r="AM77" s="243"/>
      <c r="AN77" s="242"/>
      <c r="AQ77" s="274">
        <v>4.4000000000000004</v>
      </c>
      <c r="AR77" s="312">
        <f>COUNTIF($AL$52:$AL$75,AQ77)</f>
        <v>4</v>
      </c>
      <c r="AS77" s="240" t="str">
        <f>IF($AB$3=1,SUMIF($AL$52:$AL$75,AQ77,$AS$52:$AS$75),"")</f>
        <v/>
      </c>
      <c r="AT77" s="242"/>
      <c r="AU77" s="242"/>
      <c r="AV77" s="242"/>
      <c r="AW77" s="242"/>
      <c r="AY77" s="249"/>
      <c r="AZ77" s="249"/>
      <c r="BA77" s="249"/>
      <c r="BB77" s="255"/>
      <c r="BC77" s="255"/>
      <c r="BD77" s="255"/>
      <c r="BE77" s="255"/>
      <c r="BF77" s="255"/>
      <c r="BG77" s="255"/>
      <c r="BH77" s="255"/>
      <c r="BI77" s="255"/>
      <c r="BJ77" s="1337"/>
      <c r="BK77" s="1338"/>
      <c r="BL77" s="1338"/>
      <c r="BM77" s="1338"/>
      <c r="BN77" s="1338"/>
      <c r="BO77" s="1339"/>
      <c r="BP77" s="255"/>
      <c r="BQ77" s="255"/>
      <c r="BR77" s="255"/>
    </row>
    <row r="78" spans="1:70" ht="15" customHeight="1">
      <c r="A78" s="1291"/>
      <c r="B78" s="1165"/>
      <c r="C78" s="1166"/>
      <c r="D78" s="1166"/>
      <c r="E78" s="1166"/>
      <c r="F78" s="1166"/>
      <c r="G78" s="1292"/>
      <c r="H78" s="1207"/>
      <c r="I78" s="1207"/>
      <c r="J78" s="1207"/>
      <c r="K78" s="1207"/>
      <c r="L78" s="1207"/>
      <c r="M78" s="249"/>
      <c r="N78" s="249"/>
      <c r="O78" s="249"/>
      <c r="P78" s="249"/>
      <c r="Q78" s="249"/>
      <c r="R78" s="249"/>
      <c r="S78" s="249"/>
      <c r="T78" s="249"/>
      <c r="U78" s="249"/>
      <c r="V78" s="255"/>
      <c r="W78" s="255"/>
      <c r="X78" s="255"/>
      <c r="Y78" s="255"/>
      <c r="AA78" s="288">
        <v>4.4000000000000004</v>
      </c>
      <c r="AB78" s="312">
        <f t="shared" ref="AB78" si="18">COUNTIF($V$52:$V$75,AA78)</f>
        <v>5</v>
      </c>
      <c r="AC78" s="240" t="str">
        <f>IF($T$3=1,SUMIF($V$52:$V$75,AA78,$AC$52:$AC$75),"")</f>
        <v/>
      </c>
      <c r="AD78" s="1576"/>
      <c r="AE78" s="1165"/>
      <c r="AF78" s="1166"/>
      <c r="AG78" s="1166"/>
      <c r="AH78" s="1166"/>
      <c r="AI78" s="1166"/>
      <c r="AJ78" s="1292"/>
      <c r="AK78" s="1207"/>
      <c r="AL78" s="254"/>
      <c r="AM78" s="254"/>
      <c r="AN78" s="249"/>
      <c r="AO78" s="249"/>
      <c r="AT78" s="249"/>
      <c r="AU78" s="249"/>
      <c r="AV78" s="249"/>
      <c r="AW78" s="249"/>
      <c r="AX78" s="249"/>
      <c r="AY78" s="249"/>
      <c r="AZ78" s="249"/>
      <c r="BA78" s="249"/>
      <c r="BB78" s="255"/>
      <c r="BC78" s="255"/>
      <c r="BD78" s="255"/>
      <c r="BE78" s="255"/>
      <c r="BF78" s="255"/>
      <c r="BG78" s="255"/>
      <c r="BH78" s="255"/>
      <c r="BI78" s="255"/>
      <c r="BJ78" s="1337"/>
      <c r="BK78" s="1338"/>
      <c r="BL78" s="1338"/>
      <c r="BM78" s="1338"/>
      <c r="BN78" s="1338"/>
      <c r="BO78" s="1339"/>
      <c r="BP78" s="255"/>
      <c r="BQ78" s="255"/>
      <c r="BR78" s="255"/>
    </row>
    <row r="79" spans="1:70" ht="15" customHeight="1">
      <c r="A79" s="252"/>
      <c r="B79" s="243"/>
      <c r="C79" s="242"/>
      <c r="D79" s="242"/>
      <c r="F79" s="278">
        <v>1.1000000000000001</v>
      </c>
      <c r="G79" s="311">
        <f>COUNTIF($A$52:$A$78,F79)</f>
        <v>4</v>
      </c>
      <c r="H79" s="240" t="str">
        <f>IF($P$3=1,SUMIF($A$52:$A$78,F79,$H$52:$H$78),"")</f>
        <v/>
      </c>
      <c r="I79" s="240" t="str">
        <f>IF($T$3=1,SUMIF($A$52:$A$78,F79,$I$52:$I$78),"")</f>
        <v/>
      </c>
      <c r="J79" s="240" t="str">
        <f>IF($X$3=1,SUMIF($A$52:$A$78,F79,$J$52:$J$78),"")</f>
        <v/>
      </c>
      <c r="K79" s="240" t="str">
        <f>IF($AB$3=1,SUMIF($A$52:$A$78,F79,$K$52:$K$78),"")</f>
        <v/>
      </c>
      <c r="L79" s="240" t="str">
        <f>IF($AF$3=1,SUMIF($A$52:$A$78,F79,$L$52:$L$78),"")</f>
        <v/>
      </c>
      <c r="M79" s="306"/>
      <c r="N79" s="306"/>
      <c r="O79" s="249"/>
      <c r="P79" s="249"/>
      <c r="Q79" s="249"/>
      <c r="R79" s="249"/>
      <c r="S79" s="249"/>
      <c r="T79" s="249"/>
      <c r="U79" s="249"/>
      <c r="V79" s="251"/>
      <c r="W79" s="251"/>
      <c r="X79" s="251"/>
      <c r="Y79" s="251"/>
      <c r="AD79" s="254"/>
      <c r="AE79" s="249"/>
      <c r="AF79" s="249"/>
      <c r="AG79" s="249"/>
      <c r="AI79" s="287">
        <v>2.4</v>
      </c>
      <c r="AJ79" s="313">
        <f>COUNTIF($AD$52:$AD$78,AI79)</f>
        <v>3</v>
      </c>
      <c r="AK79" s="310" t="str">
        <f>IF($X$3=1,SUMIF($AD$52:$AD$78,AI79,$AK$52:$AK$78),"")</f>
        <v/>
      </c>
      <c r="AL79" s="249"/>
      <c r="AM79" s="249"/>
      <c r="AN79" s="249"/>
      <c r="AO79" s="249"/>
      <c r="AT79" s="249"/>
      <c r="AU79" s="249"/>
      <c r="AV79" s="249"/>
      <c r="AW79" s="249"/>
      <c r="AX79" s="249"/>
      <c r="AY79" s="249"/>
      <c r="AZ79" s="249"/>
      <c r="BA79" s="249"/>
      <c r="BB79" s="255"/>
      <c r="BC79" s="255"/>
      <c r="BD79" s="255"/>
      <c r="BE79" s="255"/>
      <c r="BF79" s="255"/>
      <c r="BG79" s="255"/>
      <c r="BH79" s="255"/>
      <c r="BI79" s="255"/>
      <c r="BJ79" s="1337"/>
      <c r="BK79" s="1338"/>
      <c r="BL79" s="1338"/>
      <c r="BM79" s="1338"/>
      <c r="BN79" s="1338"/>
      <c r="BO79" s="1339"/>
      <c r="BP79" s="255"/>
      <c r="BQ79" s="255"/>
      <c r="BR79" s="255"/>
    </row>
    <row r="80" spans="1:70" ht="15" customHeight="1">
      <c r="A80" s="252"/>
      <c r="B80" s="243"/>
      <c r="C80" s="242"/>
      <c r="D80" s="242"/>
      <c r="F80" s="278">
        <v>1.5</v>
      </c>
      <c r="G80" s="311">
        <f>COUNTIF($A$52:$A$78,F80)</f>
        <v>1</v>
      </c>
      <c r="H80" s="240" t="str">
        <f>IF($P$3=1,SUMIF($A$52:$A$78,F80,$H$52:$H$78),"")</f>
        <v/>
      </c>
      <c r="I80" s="240" t="str">
        <f>IF($T$3=1,SUMIF($A$52:$A$78,F80,$I$52:$I$78),"")</f>
        <v/>
      </c>
      <c r="J80" s="240" t="str">
        <f>IF($X$3=1,SUMIF($A$52:$A$78,F80,$J$52:$J$78),"")</f>
        <v/>
      </c>
      <c r="K80" s="240" t="str">
        <f>IF($AB$3=1,SUMIF($A$52:$A$78,F80,$K$52:$K$78),"")</f>
        <v/>
      </c>
      <c r="L80" s="240" t="str">
        <f>IF($AF$3=1,SUMIF($A$52:$A$78,F80,$L$52:$L$78),"")</f>
        <v/>
      </c>
      <c r="M80" s="307"/>
      <c r="N80" s="303"/>
      <c r="P80" s="242"/>
      <c r="Q80" s="242"/>
      <c r="R80" s="242"/>
      <c r="S80" s="242"/>
      <c r="T80" s="242"/>
      <c r="U80" s="242"/>
      <c r="V80" s="251"/>
      <c r="W80" s="251"/>
      <c r="X80" s="251"/>
      <c r="Y80" s="251"/>
      <c r="AD80" s="252"/>
      <c r="AE80" s="242"/>
      <c r="AG80" s="242"/>
      <c r="AI80" s="288">
        <v>4.3</v>
      </c>
      <c r="AJ80" s="313">
        <f t="shared" ref="AJ80:AJ81" si="19">COUNTIF($AD$52:$AD$78,AI80)</f>
        <v>2</v>
      </c>
      <c r="AK80" s="310" t="str">
        <f>IF($X$3=1,SUMIF($AD$52:$AD$78,AI80,$AK$52:$AK$78),"")</f>
        <v/>
      </c>
      <c r="AL80" s="242"/>
      <c r="AM80" s="242"/>
      <c r="AN80" s="242"/>
      <c r="AT80" s="242"/>
      <c r="AU80" s="242"/>
      <c r="AV80" s="242"/>
      <c r="AW80" s="242"/>
      <c r="AX80" s="242"/>
      <c r="AY80" s="242"/>
      <c r="AZ80" s="242"/>
      <c r="BA80" s="242"/>
      <c r="BB80" s="255"/>
      <c r="BC80" s="255"/>
      <c r="BD80" s="255"/>
      <c r="BE80" s="255"/>
      <c r="BF80" s="255"/>
      <c r="BG80" s="255"/>
      <c r="BH80" s="255"/>
      <c r="BI80" s="255"/>
      <c r="BJ80" s="1222"/>
      <c r="BK80" s="1223"/>
      <c r="BL80" s="1223"/>
      <c r="BM80" s="1223"/>
      <c r="BN80" s="1223"/>
      <c r="BO80" s="1224"/>
      <c r="BP80" s="255"/>
      <c r="BQ80" s="255"/>
      <c r="BR80" s="255"/>
    </row>
    <row r="81" spans="1:70" ht="15" customHeight="1">
      <c r="A81" s="249"/>
      <c r="B81" s="249"/>
      <c r="C81" s="249"/>
      <c r="D81" s="249"/>
      <c r="F81" s="277">
        <v>2.1</v>
      </c>
      <c r="G81" s="311">
        <f>COUNTIF($A$52:$A$77,F81)</f>
        <v>2</v>
      </c>
      <c r="H81" s="240" t="str">
        <f>IF($P$3=1,SUMIF($A$52:$A$78,F81,$H$52:$H$78),"")</f>
        <v/>
      </c>
      <c r="I81" s="240" t="str">
        <f>IF($T$3=1,SUMIF($A$52:$A$78,F81,$I$52:$I$78),"")</f>
        <v/>
      </c>
      <c r="J81" s="240" t="str">
        <f>IF($X$3=1,SUMIF($A$52:$A$78,F81,$J$52:$J$78),"")</f>
        <v/>
      </c>
      <c r="K81" s="240" t="str">
        <f>IF($AB$3=1,SUMIF($A$52:$A$78,F81,$K$52:$K$78),"")</f>
        <v/>
      </c>
      <c r="L81" s="240" t="str">
        <f>IF($AF$3=1,SUMIF($A$52:$A$78,F81,$L$52:$L$78),"")</f>
        <v/>
      </c>
      <c r="M81" s="307"/>
      <c r="AD81" s="242"/>
      <c r="AE81" s="242"/>
      <c r="AG81" s="242"/>
      <c r="AI81" s="288">
        <v>4.4000000000000004</v>
      </c>
      <c r="AJ81" s="313">
        <f t="shared" si="19"/>
        <v>4</v>
      </c>
      <c r="AK81" s="310" t="str">
        <f>IF($X$3=1,SUMIF($AD$52:$AD$78,AI81,$AK$52:$AK$78),"")</f>
        <v/>
      </c>
      <c r="AL81" s="242"/>
      <c r="AM81" s="242"/>
      <c r="AN81" s="242"/>
      <c r="AP81" s="242"/>
      <c r="AT81" s="242"/>
      <c r="AU81" s="242"/>
      <c r="AV81" s="242"/>
      <c r="AW81" s="242"/>
      <c r="AX81" s="242"/>
      <c r="AY81" s="242"/>
      <c r="AZ81" s="242"/>
      <c r="BA81" s="242"/>
      <c r="BB81" s="255"/>
      <c r="BC81" s="255"/>
      <c r="BD81" s="255"/>
      <c r="BE81" s="255"/>
      <c r="BF81" s="255"/>
      <c r="BG81" s="255"/>
      <c r="BH81" s="255"/>
      <c r="BI81" s="255"/>
      <c r="BJ81" s="255"/>
      <c r="BK81" s="255"/>
      <c r="BL81" s="255"/>
      <c r="BM81" s="255"/>
      <c r="BN81" s="255"/>
      <c r="BO81" s="255"/>
      <c r="BP81" s="255"/>
      <c r="BQ81" s="255"/>
      <c r="BR81" s="255"/>
    </row>
    <row r="82" spans="1:70" ht="15" customHeight="1">
      <c r="F82" s="277">
        <v>2.4</v>
      </c>
      <c r="G82" s="311">
        <f>COUNTIF($A$52:$A$78,F82)</f>
        <v>2</v>
      </c>
      <c r="H82" s="240" t="str">
        <f>IF($P$3=1,SUMIF($A$52:$A$78,F82,$H$52:$H$78),"")</f>
        <v/>
      </c>
      <c r="I82" s="240" t="str">
        <f>IF($T$3=1,SUMIF($A$52:$A$78,F82,$I$52:$I$78),"")</f>
        <v/>
      </c>
      <c r="J82" s="240" t="str">
        <f>IF($X$3=1,SUMIF($A$52:$A$78,F82,$J$52:$J$78),"")</f>
        <v/>
      </c>
      <c r="K82" s="240" t="str">
        <f>IF($AB$3=1,SUMIF($A$52:$A$78,F82,$K$52:$K$78),"")</f>
        <v/>
      </c>
      <c r="L82" s="240" t="str">
        <f>IF($AF$3=1,SUMIF($A$52:$A$78,F82,$L$52:$L$78),"")</f>
        <v/>
      </c>
      <c r="M82" s="307"/>
      <c r="O82" s="52"/>
      <c r="W82" s="52"/>
      <c r="AD82" s="242"/>
      <c r="AE82" s="242"/>
      <c r="AG82" s="242"/>
      <c r="AI82" s="256"/>
      <c r="AJ82" s="256"/>
      <c r="AK82" s="256"/>
      <c r="AL82" s="242"/>
      <c r="AM82" s="242"/>
      <c r="AN82" s="242"/>
      <c r="AP82" s="242"/>
      <c r="AQ82" s="242"/>
      <c r="AR82" s="242"/>
      <c r="AS82" s="242"/>
      <c r="AT82" s="242"/>
      <c r="AU82" s="242"/>
      <c r="AV82" s="242"/>
      <c r="AW82" s="242"/>
      <c r="AX82" s="242"/>
      <c r="AY82" s="242"/>
      <c r="AZ82" s="242"/>
      <c r="BA82" s="242"/>
      <c r="BB82" s="255"/>
      <c r="BC82" s="255"/>
      <c r="BD82" s="255"/>
      <c r="BE82" s="255"/>
      <c r="BF82" s="255"/>
      <c r="BG82" s="255"/>
      <c r="BH82" s="255"/>
      <c r="BI82" s="255"/>
      <c r="BJ82" s="255"/>
      <c r="BK82" s="255"/>
      <c r="BL82" s="255"/>
      <c r="BM82" s="255"/>
      <c r="BN82" s="255"/>
      <c r="BO82" s="255"/>
      <c r="BP82" s="255"/>
      <c r="BQ82" s="255"/>
      <c r="BR82" s="255"/>
    </row>
    <row r="83" spans="1:70" ht="15" customHeight="1">
      <c r="M83" s="307"/>
      <c r="O83" s="52"/>
      <c r="W83" s="52"/>
      <c r="AD83" s="242"/>
      <c r="AE83" s="242"/>
      <c r="AG83" s="242"/>
      <c r="AI83" s="256"/>
      <c r="AJ83" s="256"/>
      <c r="AK83" s="256"/>
      <c r="AL83" s="242"/>
      <c r="AM83" s="242"/>
      <c r="AN83" s="242"/>
      <c r="AP83" s="242"/>
      <c r="AQ83" s="242"/>
      <c r="AR83" s="242"/>
      <c r="AS83" s="242"/>
      <c r="AT83" s="242"/>
      <c r="AU83" s="242"/>
      <c r="AV83" s="242"/>
      <c r="AW83" s="242"/>
      <c r="AX83" s="242"/>
      <c r="AY83" s="242"/>
      <c r="AZ83" s="242"/>
      <c r="BA83" s="242"/>
      <c r="BB83" s="255"/>
      <c r="BC83" s="255"/>
      <c r="BD83" s="255"/>
      <c r="BE83" s="255"/>
      <c r="BF83" s="255"/>
      <c r="BG83" s="255"/>
      <c r="BH83" s="255"/>
      <c r="BI83" s="255"/>
      <c r="BJ83" s="255"/>
      <c r="BK83" s="255"/>
      <c r="BL83" s="255"/>
      <c r="BM83" s="255"/>
      <c r="BN83" s="255"/>
      <c r="BO83" s="255"/>
      <c r="BP83" s="255"/>
      <c r="BQ83" s="255"/>
      <c r="BR83" s="255"/>
    </row>
    <row r="84" spans="1:70" ht="15" customHeight="1">
      <c r="A84" s="1209"/>
      <c r="B84" s="1210" t="s">
        <v>609</v>
      </c>
      <c r="C84" s="1211"/>
      <c r="D84" s="1211"/>
      <c r="E84" s="1211"/>
      <c r="F84" s="1211"/>
      <c r="G84" s="1211"/>
      <c r="H84" s="1174">
        <v>1</v>
      </c>
      <c r="I84" s="1174">
        <v>2</v>
      </c>
      <c r="J84" s="1174">
        <v>3</v>
      </c>
      <c r="K84" s="1174">
        <v>4</v>
      </c>
      <c r="L84" s="1174">
        <v>5</v>
      </c>
      <c r="M84" s="307"/>
      <c r="O84" s="52"/>
      <c r="W84" s="52"/>
      <c r="AD84" s="242"/>
      <c r="AE84" s="242"/>
      <c r="AG84" s="242"/>
      <c r="AI84" s="256"/>
      <c r="AJ84" s="256"/>
      <c r="AK84" s="256"/>
      <c r="AL84" s="242"/>
      <c r="AM84" s="242"/>
      <c r="AN84" s="242"/>
      <c r="AP84" s="242"/>
      <c r="AQ84" s="242"/>
      <c r="AR84" s="242"/>
      <c r="AS84" s="242"/>
      <c r="AT84" s="242"/>
      <c r="AU84" s="242"/>
      <c r="AV84" s="242"/>
      <c r="AW84" s="242"/>
      <c r="AX84" s="242"/>
      <c r="AY84" s="242"/>
      <c r="AZ84" s="242"/>
      <c r="BA84" s="242"/>
      <c r="BB84" s="255"/>
      <c r="BC84" s="255"/>
      <c r="BD84" s="255"/>
      <c r="BE84" s="255"/>
      <c r="BF84" s="255"/>
      <c r="BG84" s="255"/>
      <c r="BH84" s="255"/>
      <c r="BI84" s="255"/>
      <c r="BJ84" s="255"/>
      <c r="BK84" s="255"/>
      <c r="BL84" s="255"/>
      <c r="BM84" s="255"/>
      <c r="BN84" s="255"/>
      <c r="BO84" s="255"/>
      <c r="BP84" s="255"/>
      <c r="BQ84" s="255"/>
      <c r="BR84" s="255"/>
    </row>
    <row r="85" spans="1:70" ht="15" customHeight="1">
      <c r="A85" s="1209"/>
      <c r="B85" s="1340"/>
      <c r="C85" s="1341"/>
      <c r="D85" s="1341"/>
      <c r="E85" s="1341"/>
      <c r="F85" s="1341"/>
      <c r="G85" s="1341"/>
      <c r="H85" s="1174"/>
      <c r="I85" s="1174"/>
      <c r="J85" s="1174"/>
      <c r="K85" s="1174"/>
      <c r="L85" s="1174"/>
      <c r="M85" s="307"/>
      <c r="O85" s="52"/>
      <c r="W85" s="52"/>
      <c r="AD85" s="242"/>
      <c r="AE85" s="242"/>
      <c r="AG85" s="242"/>
      <c r="AI85" s="256"/>
      <c r="AJ85" s="256"/>
      <c r="AK85" s="256"/>
      <c r="AL85" s="242"/>
      <c r="AM85" s="242"/>
      <c r="AN85" s="242"/>
      <c r="AP85" s="242"/>
      <c r="AQ85" s="242"/>
      <c r="AR85" s="242"/>
      <c r="AS85" s="242"/>
      <c r="AT85" s="242"/>
      <c r="AU85" s="242"/>
      <c r="AV85" s="242"/>
      <c r="AW85" s="242"/>
      <c r="AX85" s="242"/>
      <c r="AY85" s="242"/>
      <c r="AZ85" s="242"/>
      <c r="BA85" s="242"/>
      <c r="BB85" s="255"/>
      <c r="BC85" s="255"/>
      <c r="BD85" s="255"/>
      <c r="BE85" s="255"/>
      <c r="BF85" s="255"/>
      <c r="BG85" s="255"/>
      <c r="BH85" s="255"/>
      <c r="BI85" s="255"/>
      <c r="BJ85" s="255"/>
      <c r="BK85" s="255"/>
      <c r="BL85" s="255"/>
      <c r="BM85" s="255"/>
      <c r="BN85" s="255"/>
      <c r="BO85" s="255"/>
      <c r="BP85" s="255"/>
      <c r="BQ85" s="255"/>
      <c r="BR85" s="255"/>
    </row>
    <row r="86" spans="1:70" ht="15" customHeight="1">
      <c r="A86" s="1209"/>
      <c r="B86" s="1212"/>
      <c r="C86" s="1213"/>
      <c r="D86" s="1213"/>
      <c r="E86" s="1213"/>
      <c r="F86" s="1213"/>
      <c r="G86" s="1213"/>
      <c r="H86" s="1174"/>
      <c r="I86" s="1174"/>
      <c r="J86" s="1174"/>
      <c r="K86" s="1174"/>
      <c r="L86" s="1174"/>
      <c r="M86" s="307"/>
      <c r="O86" s="52"/>
      <c r="W86" s="52"/>
      <c r="AD86" s="242"/>
      <c r="AE86" s="242"/>
      <c r="AG86" s="242"/>
      <c r="AI86" s="256"/>
      <c r="AJ86" s="256"/>
      <c r="AK86" s="256"/>
      <c r="AL86" s="242"/>
      <c r="AM86" s="242"/>
      <c r="AN86" s="242"/>
      <c r="AP86" s="242"/>
      <c r="AQ86" s="242"/>
      <c r="AR86" s="242"/>
      <c r="AS86" s="242"/>
      <c r="AT86" s="242"/>
      <c r="AU86" s="242"/>
      <c r="AV86" s="242"/>
      <c r="AW86" s="242"/>
      <c r="AX86" s="242"/>
      <c r="AY86" s="242"/>
      <c r="AZ86" s="242"/>
      <c r="BA86" s="242"/>
      <c r="BB86" s="255"/>
      <c r="BC86" s="255"/>
      <c r="BD86" s="255"/>
      <c r="BE86" s="255"/>
      <c r="BF86" s="255"/>
      <c r="BG86" s="255"/>
      <c r="BH86" s="255"/>
      <c r="BI86" s="255"/>
      <c r="BJ86" s="255"/>
      <c r="BK86" s="255"/>
      <c r="BL86" s="255"/>
      <c r="BM86" s="255"/>
      <c r="BN86" s="255"/>
      <c r="BO86" s="255"/>
      <c r="BP86" s="255"/>
      <c r="BQ86" s="255"/>
      <c r="BR86" s="255"/>
    </row>
    <row r="87" spans="1:70" ht="15" customHeight="1">
      <c r="A87" s="1336">
        <v>3.1</v>
      </c>
      <c r="B87" s="1198" t="s">
        <v>366</v>
      </c>
      <c r="C87" s="1162"/>
      <c r="D87" s="1162"/>
      <c r="E87" s="1162"/>
      <c r="F87" s="1162"/>
      <c r="G87" s="1265"/>
      <c r="H87" s="1205" t="str">
        <f>IF(ISBLANK(P$3),"",1)</f>
        <v/>
      </c>
      <c r="I87" s="1205" t="str">
        <f>IF(ISBLANK(T$3),"",1)</f>
        <v/>
      </c>
      <c r="J87" s="1205" t="str">
        <f>IF(ISBLANK(X$3),"",1)</f>
        <v/>
      </c>
      <c r="K87" s="1205" t="str">
        <f>IF(ISBLANK(AB$3),"",1)</f>
        <v/>
      </c>
      <c r="L87" s="1205" t="str">
        <f>IF(ISBLANK(AF$3),"",1)</f>
        <v/>
      </c>
      <c r="M87" s="307"/>
      <c r="O87" s="52"/>
      <c r="W87" s="52"/>
      <c r="AD87" s="242"/>
      <c r="AE87" s="242"/>
      <c r="AG87" s="242"/>
      <c r="AI87" s="256"/>
      <c r="AJ87" s="256"/>
      <c r="AK87" s="256"/>
      <c r="AL87" s="242"/>
      <c r="AM87" s="242"/>
      <c r="AN87" s="242"/>
      <c r="AP87" s="242"/>
      <c r="AQ87" s="242"/>
      <c r="AR87" s="242"/>
      <c r="AS87" s="242"/>
      <c r="AT87" s="242"/>
      <c r="AU87" s="242"/>
      <c r="AV87" s="242"/>
      <c r="AW87" s="242"/>
      <c r="AX87" s="242"/>
      <c r="AY87" s="242"/>
      <c r="AZ87" s="242"/>
      <c r="BA87" s="242"/>
      <c r="BB87" s="255"/>
      <c r="BC87" s="255"/>
      <c r="BD87" s="255"/>
      <c r="BE87" s="255"/>
      <c r="BF87" s="255"/>
      <c r="BG87" s="255"/>
      <c r="BH87" s="255"/>
      <c r="BI87" s="255"/>
      <c r="BJ87" s="255"/>
      <c r="BK87" s="255"/>
      <c r="BL87" s="255"/>
      <c r="BM87" s="255"/>
      <c r="BN87" s="255"/>
      <c r="BO87" s="255"/>
      <c r="BP87" s="255"/>
      <c r="BQ87" s="255"/>
      <c r="BR87" s="255"/>
    </row>
    <row r="88" spans="1:70" ht="15" customHeight="1">
      <c r="A88" s="1159"/>
      <c r="B88" s="1200"/>
      <c r="C88" s="1164"/>
      <c r="D88" s="1164"/>
      <c r="E88" s="1164"/>
      <c r="F88" s="1164"/>
      <c r="G88" s="1266"/>
      <c r="H88" s="1206"/>
      <c r="I88" s="1206"/>
      <c r="J88" s="1206"/>
      <c r="K88" s="1206"/>
      <c r="L88" s="1206"/>
      <c r="M88" s="307"/>
      <c r="O88" s="52"/>
      <c r="W88" s="52"/>
      <c r="AD88" s="242"/>
      <c r="AE88" s="242"/>
      <c r="AG88" s="242"/>
      <c r="AI88" s="256"/>
      <c r="AJ88" s="256"/>
      <c r="AK88" s="256"/>
      <c r="AL88" s="242"/>
      <c r="AM88" s="242"/>
      <c r="AN88" s="242"/>
      <c r="AP88" s="242"/>
      <c r="AQ88" s="242"/>
      <c r="AR88" s="242"/>
      <c r="AS88" s="242"/>
      <c r="AT88" s="242"/>
      <c r="AU88" s="242"/>
      <c r="AV88" s="242"/>
      <c r="AW88" s="242"/>
      <c r="AX88" s="242"/>
      <c r="AY88" s="242"/>
      <c r="AZ88" s="242"/>
      <c r="BA88" s="242"/>
      <c r="BB88" s="255"/>
      <c r="BC88" s="255"/>
      <c r="BD88" s="255"/>
      <c r="BE88" s="255"/>
      <c r="BF88" s="255"/>
      <c r="BG88" s="255"/>
      <c r="BH88" s="255"/>
      <c r="BI88" s="255"/>
      <c r="BJ88" s="255"/>
      <c r="BK88" s="255"/>
      <c r="BL88" s="255"/>
      <c r="BM88" s="255"/>
      <c r="BN88" s="255"/>
      <c r="BO88" s="255"/>
      <c r="BP88" s="255"/>
      <c r="BQ88" s="255"/>
      <c r="BR88" s="255"/>
    </row>
    <row r="89" spans="1:70" ht="15" customHeight="1">
      <c r="A89" s="1160"/>
      <c r="B89" s="1200"/>
      <c r="C89" s="1164"/>
      <c r="D89" s="1164"/>
      <c r="E89" s="1164"/>
      <c r="F89" s="1164"/>
      <c r="G89" s="1266"/>
      <c r="H89" s="1207"/>
      <c r="I89" s="1207"/>
      <c r="J89" s="1207"/>
      <c r="K89" s="1207"/>
      <c r="L89" s="1207"/>
      <c r="M89" s="307"/>
      <c r="O89" s="52"/>
      <c r="W89" s="52"/>
      <c r="AD89" s="242"/>
      <c r="AE89" s="242"/>
      <c r="AG89" s="242"/>
      <c r="AI89" s="256"/>
      <c r="AJ89" s="256"/>
      <c r="AK89" s="256"/>
      <c r="AL89" s="242"/>
      <c r="AM89" s="242"/>
      <c r="AN89" s="242"/>
      <c r="AP89" s="242"/>
      <c r="AQ89" s="242"/>
      <c r="AR89" s="242"/>
      <c r="AS89" s="242"/>
      <c r="AT89" s="242"/>
      <c r="AU89" s="242"/>
      <c r="AV89" s="242"/>
      <c r="AW89" s="242"/>
      <c r="AX89" s="242"/>
      <c r="AY89" s="242"/>
      <c r="AZ89" s="242"/>
      <c r="BA89" s="242"/>
      <c r="BB89" s="255"/>
      <c r="BC89" s="255"/>
      <c r="BD89" s="255"/>
      <c r="BE89" s="255"/>
      <c r="BF89" s="255"/>
      <c r="BG89" s="255"/>
      <c r="BH89" s="255"/>
      <c r="BI89" s="255"/>
      <c r="BJ89" s="255"/>
      <c r="BK89" s="255"/>
      <c r="BL89" s="255"/>
      <c r="BM89" s="255"/>
      <c r="BN89" s="255"/>
      <c r="BO89" s="255"/>
      <c r="BP89" s="255"/>
      <c r="BQ89" s="255"/>
      <c r="BR89" s="255"/>
    </row>
    <row r="90" spans="1:70" ht="15" customHeight="1">
      <c r="A90" s="1336">
        <v>1.4</v>
      </c>
      <c r="B90" s="1198" t="s">
        <v>943</v>
      </c>
      <c r="C90" s="1162"/>
      <c r="D90" s="1162"/>
      <c r="E90" s="1162"/>
      <c r="F90" s="1162"/>
      <c r="G90" s="1265"/>
      <c r="H90" s="1205" t="str">
        <f>IF(ISBLANK(P$3),"",1)</f>
        <v/>
      </c>
      <c r="I90" s="1205" t="str">
        <f>IF(ISBLANK(T$3),"",1)</f>
        <v/>
      </c>
      <c r="J90" s="1205" t="str">
        <f>IF(ISBLANK(X$3),"",1)</f>
        <v/>
      </c>
      <c r="K90" s="1205" t="str">
        <f>IF(ISBLANK(AB$3),"",1)</f>
        <v/>
      </c>
      <c r="L90" s="1205" t="str">
        <f>IF(ISBLANK(AF$3),"",1)</f>
        <v/>
      </c>
      <c r="M90" s="307"/>
      <c r="O90" s="52"/>
      <c r="W90" s="52"/>
      <c r="AD90" s="242"/>
      <c r="AE90" s="242"/>
      <c r="AG90" s="242"/>
      <c r="AI90" s="256"/>
      <c r="AJ90" s="256"/>
      <c r="AK90" s="256"/>
      <c r="AL90" s="242"/>
      <c r="AM90" s="242"/>
      <c r="AN90" s="242"/>
      <c r="AP90" s="242"/>
      <c r="AQ90" s="242"/>
      <c r="AR90" s="242"/>
      <c r="AS90" s="242"/>
      <c r="AT90" s="242"/>
      <c r="AU90" s="242"/>
      <c r="AV90" s="242"/>
      <c r="AW90" s="242"/>
      <c r="AX90" s="242"/>
      <c r="AY90" s="242"/>
      <c r="AZ90" s="242"/>
      <c r="BA90" s="242"/>
      <c r="BB90" s="255"/>
      <c r="BC90" s="255"/>
      <c r="BD90" s="255"/>
      <c r="BE90" s="255"/>
      <c r="BF90" s="255"/>
      <c r="BG90" s="255"/>
      <c r="BH90" s="255"/>
      <c r="BI90" s="255"/>
      <c r="BJ90" s="255"/>
      <c r="BK90" s="255"/>
      <c r="BL90" s="255"/>
      <c r="BM90" s="255"/>
      <c r="BN90" s="255"/>
      <c r="BO90" s="255"/>
      <c r="BP90" s="255"/>
      <c r="BQ90" s="255"/>
      <c r="BR90" s="255"/>
    </row>
    <row r="91" spans="1:70" ht="15" customHeight="1">
      <c r="A91" s="1159"/>
      <c r="B91" s="1200"/>
      <c r="C91" s="1164"/>
      <c r="D91" s="1164"/>
      <c r="E91" s="1164"/>
      <c r="F91" s="1164"/>
      <c r="G91" s="1266"/>
      <c r="H91" s="1206"/>
      <c r="I91" s="1206"/>
      <c r="J91" s="1206"/>
      <c r="K91" s="1206"/>
      <c r="L91" s="1206"/>
      <c r="M91" s="307"/>
      <c r="O91" s="52"/>
      <c r="W91" s="52"/>
      <c r="AD91" s="242"/>
      <c r="AE91" s="242"/>
      <c r="AG91" s="242"/>
      <c r="AI91" s="256"/>
      <c r="AJ91" s="256"/>
      <c r="AK91" s="256"/>
      <c r="AL91" s="242"/>
      <c r="AM91" s="242"/>
      <c r="AN91" s="242"/>
      <c r="AP91" s="242"/>
      <c r="AQ91" s="242"/>
      <c r="AR91" s="242"/>
      <c r="AS91" s="242"/>
      <c r="AT91" s="242"/>
      <c r="AU91" s="242"/>
      <c r="AV91" s="242"/>
      <c r="AW91" s="242"/>
      <c r="AX91" s="242"/>
      <c r="AY91" s="242"/>
      <c r="AZ91" s="242"/>
      <c r="BA91" s="242"/>
      <c r="BB91" s="255"/>
      <c r="BC91" s="255"/>
      <c r="BD91" s="255"/>
      <c r="BE91" s="255"/>
      <c r="BF91" s="255"/>
      <c r="BG91" s="255"/>
      <c r="BH91" s="255"/>
      <c r="BI91" s="255"/>
      <c r="BJ91" s="255"/>
      <c r="BK91" s="255"/>
      <c r="BL91" s="255"/>
      <c r="BM91" s="255"/>
      <c r="BN91" s="255"/>
      <c r="BO91" s="255"/>
      <c r="BP91" s="255"/>
      <c r="BQ91" s="255"/>
      <c r="BR91" s="255"/>
    </row>
    <row r="92" spans="1:70" ht="15" customHeight="1">
      <c r="A92" s="1160"/>
      <c r="B92" s="1200"/>
      <c r="C92" s="1164"/>
      <c r="D92" s="1164"/>
      <c r="E92" s="1164"/>
      <c r="F92" s="1164"/>
      <c r="G92" s="1266"/>
      <c r="H92" s="1207"/>
      <c r="I92" s="1207"/>
      <c r="J92" s="1207"/>
      <c r="K92" s="1207"/>
      <c r="L92" s="1207"/>
      <c r="M92" s="307"/>
      <c r="O92" s="52"/>
      <c r="W92" s="52"/>
      <c r="AD92" s="242"/>
      <c r="AE92" s="242"/>
      <c r="AG92" s="242"/>
      <c r="AI92" s="256"/>
      <c r="AJ92" s="256"/>
      <c r="AK92" s="256"/>
      <c r="AL92" s="242"/>
      <c r="AM92" s="242"/>
      <c r="AN92" s="242"/>
      <c r="AP92" s="242"/>
      <c r="AQ92" s="242"/>
      <c r="AR92" s="242"/>
      <c r="AS92" s="242"/>
      <c r="AT92" s="242"/>
      <c r="AU92" s="242"/>
      <c r="AV92" s="242"/>
      <c r="AW92" s="242"/>
      <c r="AX92" s="242"/>
      <c r="AY92" s="242"/>
      <c r="AZ92" s="242"/>
      <c r="BA92" s="242"/>
      <c r="BB92" s="255"/>
      <c r="BC92" s="255"/>
      <c r="BD92" s="255"/>
      <c r="BE92" s="255"/>
      <c r="BF92" s="255"/>
      <c r="BG92" s="255"/>
      <c r="BH92" s="255"/>
      <c r="BI92" s="255"/>
      <c r="BJ92" s="255"/>
      <c r="BK92" s="255"/>
      <c r="BL92" s="255"/>
      <c r="BM92" s="255"/>
      <c r="BN92" s="255"/>
      <c r="BO92" s="255"/>
      <c r="BP92" s="255"/>
      <c r="BQ92" s="255"/>
      <c r="BR92" s="255"/>
    </row>
    <row r="93" spans="1:70" ht="15" customHeight="1">
      <c r="A93" s="1168" t="s">
        <v>637</v>
      </c>
      <c r="B93" s="1168"/>
      <c r="C93" s="1168"/>
      <c r="D93" s="1168"/>
      <c r="E93" s="1169"/>
      <c r="F93" s="409">
        <v>3.1</v>
      </c>
      <c r="G93" s="620">
        <f>COUNTIF($A$87:$A$92,F93)</f>
        <v>1</v>
      </c>
      <c r="H93" s="240" t="str">
        <f>IF($P$3=1,SUMIF($A$87:$A$92,$F93,$H$87:$H$92),"")</f>
        <v/>
      </c>
      <c r="I93" s="240" t="str">
        <f>IF($T$3=1,SUMIF($A$87:$A$92,$F$93,I87:I92),"")</f>
        <v/>
      </c>
      <c r="J93" s="240" t="str">
        <f>IF($X$3=1,SUMIF($A$87:$A$92,$F$93,J87:J92),"")</f>
        <v/>
      </c>
      <c r="K93" s="240" t="str">
        <f>IF($AB$3=1,SUMIF($A$87:$A$92,$F$93,K87:K92),"")</f>
        <v/>
      </c>
      <c r="L93" s="240" t="str">
        <f>IF($AF$3=1,SUMIF($A$87:$A$92,$F$93,L87:L92),"")</f>
        <v/>
      </c>
      <c r="M93" s="307"/>
      <c r="O93" s="52"/>
      <c r="W93" s="52"/>
      <c r="AD93" s="242"/>
      <c r="AE93" s="242"/>
      <c r="AG93" s="242"/>
      <c r="AI93" s="256"/>
      <c r="AJ93" s="256"/>
      <c r="AK93" s="256"/>
      <c r="AL93" s="242"/>
      <c r="AM93" s="242"/>
      <c r="AN93" s="242"/>
      <c r="AP93" s="242"/>
      <c r="AQ93" s="242"/>
      <c r="AR93" s="242"/>
      <c r="AS93" s="242"/>
      <c r="AT93" s="242"/>
      <c r="AU93" s="242"/>
      <c r="AV93" s="242"/>
      <c r="AW93" s="242"/>
      <c r="AX93" s="242"/>
      <c r="AY93" s="242"/>
      <c r="AZ93" s="242"/>
      <c r="BA93" s="242"/>
      <c r="BB93" s="255"/>
      <c r="BC93" s="255"/>
      <c r="BD93" s="255"/>
      <c r="BE93" s="255"/>
      <c r="BF93" s="255"/>
      <c r="BG93" s="255"/>
      <c r="BH93" s="255"/>
      <c r="BI93" s="255"/>
      <c r="BJ93" s="255"/>
      <c r="BK93" s="255"/>
      <c r="BL93" s="255"/>
      <c r="BM93" s="255"/>
      <c r="BN93" s="255"/>
      <c r="BO93" s="255"/>
      <c r="BP93" s="255"/>
      <c r="BQ93" s="255"/>
      <c r="BR93" s="255"/>
    </row>
    <row r="94" spans="1:70" ht="15" customHeight="1">
      <c r="F94" s="614">
        <v>1.4</v>
      </c>
      <c r="G94" s="620">
        <f>COUNTIF($A$87:$A$92,F94)</f>
        <v>1</v>
      </c>
      <c r="H94" s="240" t="str">
        <f>IF($P$3=1,SUMIF($A$87:$A$92,$F94,$H$87:$H$92),"")</f>
        <v/>
      </c>
      <c r="I94" s="240" t="str">
        <f>IF($T$3=1,SUMIF($A$87:$A$92,$F$94,I87:I92),"")</f>
        <v/>
      </c>
      <c r="J94" s="240" t="str">
        <f>IF($X$3=1,SUMIF($A$87:$A$92,$F$94,J87:J92),"")</f>
        <v/>
      </c>
      <c r="K94" s="240" t="str">
        <f>IF($AB$3=1,SUMIF($A$87:$A$92,$F$94,K87:K92),"")</f>
        <v/>
      </c>
      <c r="L94" s="240" t="str">
        <f>IF($AF$3=1,SUMIF($A$87:$A$92,$F$94,L87:L92),"")</f>
        <v/>
      </c>
      <c r="M94" s="307"/>
      <c r="O94" s="52"/>
      <c r="W94" s="52"/>
      <c r="AD94" s="242"/>
      <c r="AE94" s="242"/>
      <c r="AG94" s="242"/>
      <c r="AI94" s="256"/>
      <c r="AJ94" s="256"/>
      <c r="AK94" s="256"/>
      <c r="AL94" s="242"/>
      <c r="AM94" s="242"/>
      <c r="AN94" s="242"/>
      <c r="AP94" s="242"/>
      <c r="AQ94" s="242"/>
      <c r="AR94" s="242"/>
      <c r="AS94" s="242"/>
      <c r="AT94" s="242"/>
      <c r="AU94" s="242"/>
      <c r="AV94" s="242"/>
      <c r="AW94" s="242"/>
      <c r="AX94" s="242"/>
      <c r="AY94" s="242"/>
      <c r="AZ94" s="242"/>
      <c r="BA94" s="242"/>
      <c r="BB94" s="255"/>
      <c r="BC94" s="255"/>
      <c r="BD94" s="255"/>
      <c r="BE94" s="255"/>
      <c r="BF94" s="255"/>
      <c r="BG94" s="255"/>
      <c r="BH94" s="255"/>
      <c r="BI94" s="255"/>
      <c r="BJ94" s="255"/>
      <c r="BK94" s="255"/>
      <c r="BL94" s="255"/>
      <c r="BM94" s="255"/>
      <c r="BN94" s="255"/>
      <c r="BO94" s="255"/>
      <c r="BP94" s="255"/>
      <c r="BQ94" s="255"/>
      <c r="BR94" s="255"/>
    </row>
    <row r="95" spans="1:70" ht="15" customHeight="1">
      <c r="M95" s="307"/>
      <c r="O95" s="52"/>
      <c r="W95" s="52"/>
      <c r="AD95" s="242"/>
      <c r="AE95" s="242"/>
      <c r="AG95" s="242"/>
      <c r="AI95" s="256"/>
      <c r="AJ95" s="256"/>
      <c r="AK95" s="256"/>
      <c r="AL95" s="242"/>
      <c r="AM95" s="242"/>
      <c r="AN95" s="242"/>
      <c r="AP95" s="242"/>
      <c r="AQ95" s="242"/>
      <c r="AR95" s="242"/>
      <c r="AS95" s="242"/>
      <c r="AT95" s="242"/>
      <c r="AU95" s="242"/>
      <c r="AV95" s="242"/>
      <c r="AW95" s="242"/>
      <c r="AX95" s="242"/>
      <c r="AY95" s="242"/>
      <c r="AZ95" s="242"/>
      <c r="BA95" s="242"/>
      <c r="BB95" s="255"/>
      <c r="BC95" s="255"/>
      <c r="BD95" s="255"/>
      <c r="BE95" s="255"/>
      <c r="BF95" s="255"/>
      <c r="BG95" s="255"/>
      <c r="BH95" s="255"/>
      <c r="BI95" s="255"/>
      <c r="BJ95" s="255"/>
      <c r="BK95" s="255"/>
      <c r="BL95" s="255"/>
      <c r="BM95" s="255"/>
      <c r="BN95" s="255"/>
      <c r="BO95" s="255"/>
      <c r="BP95" s="255"/>
      <c r="BQ95" s="255"/>
      <c r="BR95" s="255"/>
    </row>
    <row r="96" spans="1:70" ht="15" customHeight="1">
      <c r="M96" s="307"/>
      <c r="O96" s="52"/>
      <c r="W96" s="52"/>
      <c r="AD96" s="242"/>
      <c r="AE96" s="242"/>
      <c r="AG96" s="242"/>
      <c r="AI96" s="256"/>
      <c r="AJ96" s="256"/>
      <c r="AK96" s="256"/>
      <c r="AL96" s="242"/>
      <c r="AM96" s="242"/>
      <c r="AN96" s="242"/>
      <c r="AP96" s="242"/>
      <c r="AQ96" s="242"/>
      <c r="AR96" s="242"/>
      <c r="AS96" s="242"/>
      <c r="AT96" s="242"/>
      <c r="AU96" s="242"/>
      <c r="AV96" s="242"/>
      <c r="AW96" s="242"/>
      <c r="AX96" s="242"/>
      <c r="AY96" s="242"/>
      <c r="AZ96" s="242"/>
      <c r="BA96" s="242"/>
      <c r="BB96" s="255"/>
      <c r="BC96" s="255"/>
      <c r="BD96" s="255"/>
      <c r="BE96" s="255"/>
      <c r="BF96" s="255"/>
      <c r="BG96" s="255"/>
      <c r="BH96" s="255"/>
      <c r="BI96" s="255"/>
      <c r="BJ96" s="255"/>
      <c r="BK96" s="255"/>
      <c r="BL96" s="255"/>
      <c r="BM96" s="255"/>
      <c r="BN96" s="255"/>
      <c r="BO96" s="255"/>
      <c r="BP96" s="255"/>
      <c r="BQ96" s="255"/>
      <c r="BR96" s="255"/>
    </row>
    <row r="97" spans="1:67" ht="15" customHeight="1">
      <c r="A97" s="1171" t="s">
        <v>17</v>
      </c>
      <c r="B97" s="1171"/>
      <c r="C97" s="1171"/>
      <c r="D97" s="1171"/>
      <c r="E97" s="1171"/>
      <c r="F97" s="1171"/>
      <c r="G97" s="1171"/>
      <c r="H97" s="1171"/>
      <c r="I97" s="1171"/>
      <c r="J97" s="1171"/>
      <c r="K97" s="1171"/>
      <c r="L97" s="1171"/>
      <c r="M97" s="1171"/>
      <c r="N97" s="1171"/>
      <c r="O97" s="1171"/>
      <c r="P97" s="1171"/>
      <c r="Q97" s="1171"/>
      <c r="R97" s="1171"/>
      <c r="S97" s="1171"/>
      <c r="T97" s="1171"/>
      <c r="U97" s="1171"/>
      <c r="V97" s="1171"/>
      <c r="W97" s="1171"/>
      <c r="X97" s="1171"/>
      <c r="Y97" s="1171"/>
      <c r="Z97" s="1171"/>
      <c r="AA97" s="1171"/>
      <c r="AB97" s="1171"/>
      <c r="AC97" s="1171"/>
      <c r="AD97" s="1171"/>
      <c r="AE97" s="1171"/>
      <c r="AF97" s="1171"/>
      <c r="AG97" s="1171"/>
      <c r="AH97" s="1171"/>
      <c r="AI97" s="1171"/>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row>
    <row r="98" spans="1:67" ht="15" customHeight="1">
      <c r="A98" s="1275"/>
      <c r="B98" s="1275"/>
      <c r="C98" s="1275"/>
      <c r="D98" s="1275"/>
      <c r="E98" s="1275"/>
      <c r="F98" s="1275"/>
      <c r="G98" s="1275"/>
      <c r="H98" s="1275"/>
      <c r="I98" s="1275"/>
      <c r="J98" s="1275"/>
      <c r="K98" s="1275"/>
      <c r="L98" s="1275"/>
      <c r="M98" s="1275"/>
      <c r="N98" s="1275"/>
      <c r="O98" s="1275"/>
      <c r="P98" s="1275"/>
      <c r="Q98" s="1275"/>
      <c r="R98" s="1275"/>
      <c r="S98" s="1275"/>
      <c r="T98" s="1275"/>
      <c r="U98" s="1275"/>
      <c r="V98" s="1275"/>
      <c r="W98" s="1275"/>
      <c r="X98" s="1275"/>
      <c r="Y98" s="1275"/>
      <c r="Z98" s="1275"/>
      <c r="AA98" s="1275"/>
      <c r="AB98" s="1275"/>
      <c r="AC98" s="1275"/>
      <c r="AD98" s="1275"/>
      <c r="AE98" s="1275"/>
      <c r="AF98" s="1275"/>
      <c r="AG98" s="1275"/>
      <c r="AH98" s="1275"/>
      <c r="AI98" s="1275"/>
      <c r="AJ98" s="1275"/>
      <c r="AK98" s="1275"/>
      <c r="AL98" s="1275"/>
      <c r="AM98" s="1275"/>
      <c r="AN98" s="1275"/>
      <c r="AO98" s="1275"/>
      <c r="AP98" s="1275"/>
      <c r="AQ98" s="1275"/>
      <c r="AR98" s="1275"/>
      <c r="AS98" s="1275"/>
      <c r="AT98" s="1275"/>
      <c r="AU98" s="1275"/>
      <c r="AV98" s="1275"/>
      <c r="AW98" s="1275"/>
      <c r="AX98" s="1275"/>
      <c r="AY98" s="1275"/>
      <c r="AZ98" s="1275"/>
      <c r="BA98" s="1275"/>
      <c r="BB98" s="1275"/>
      <c r="BC98" s="1275"/>
      <c r="BD98" s="1275"/>
      <c r="BE98" s="1275"/>
      <c r="BF98" s="1275"/>
      <c r="BG98" s="1275"/>
      <c r="BH98" s="1275"/>
      <c r="BI98" s="1275"/>
      <c r="BJ98" s="1275"/>
      <c r="BK98" s="1275"/>
      <c r="BL98" s="1275"/>
      <c r="BM98" s="1275"/>
    </row>
    <row r="99" spans="1:67" ht="15" customHeight="1">
      <c r="A99" s="1172"/>
      <c r="B99" s="1173" t="s">
        <v>608</v>
      </c>
      <c r="C99" s="1173"/>
      <c r="D99" s="1173"/>
      <c r="E99" s="1173"/>
      <c r="F99" s="1173"/>
      <c r="G99" s="1173"/>
      <c r="H99" s="1343">
        <v>1</v>
      </c>
      <c r="I99" s="1174">
        <v>2</v>
      </c>
      <c r="J99" s="1174">
        <v>3</v>
      </c>
      <c r="K99" s="1174">
        <v>4</v>
      </c>
      <c r="L99" s="1174">
        <v>5</v>
      </c>
      <c r="M99" s="1343">
        <v>6</v>
      </c>
      <c r="N99" s="1277"/>
      <c r="O99" s="1516" t="s">
        <v>432</v>
      </c>
      <c r="P99" s="1517"/>
      <c r="Q99" s="1517"/>
      <c r="R99" s="1517"/>
      <c r="S99" s="1517"/>
      <c r="T99" s="1517"/>
      <c r="U99" s="1518"/>
      <c r="V99" s="1281"/>
      <c r="W99" s="1464" t="s">
        <v>881</v>
      </c>
      <c r="X99" s="1465"/>
      <c r="Y99" s="1465"/>
      <c r="Z99" s="1465"/>
      <c r="AA99" s="1465"/>
      <c r="AB99" s="1465"/>
      <c r="AC99" s="1466"/>
      <c r="AD99" s="1473"/>
      <c r="AE99" s="1496" t="s">
        <v>911</v>
      </c>
      <c r="AF99" s="1497"/>
      <c r="AG99" s="1497"/>
      <c r="AH99" s="1497"/>
      <c r="AI99" s="1497"/>
      <c r="AJ99" s="1497"/>
      <c r="AK99" s="1498"/>
      <c r="AL99" s="1505"/>
      <c r="AM99" s="1476" t="s">
        <v>912</v>
      </c>
      <c r="AN99" s="1477"/>
      <c r="AO99" s="1477"/>
      <c r="AP99" s="1477"/>
      <c r="AQ99" s="1477"/>
      <c r="AR99" s="1477"/>
      <c r="AS99" s="1478"/>
      <c r="AT99" s="1485"/>
      <c r="AU99" s="1506" t="s">
        <v>913</v>
      </c>
      <c r="AV99" s="1507"/>
      <c r="AW99" s="1507"/>
      <c r="AX99" s="1507"/>
      <c r="AY99" s="1507"/>
      <c r="AZ99" s="1507"/>
      <c r="BA99" s="1508"/>
      <c r="BB99" s="1515"/>
      <c r="BC99" s="1487" t="s">
        <v>914</v>
      </c>
      <c r="BD99" s="1488"/>
      <c r="BE99" s="1488"/>
      <c r="BF99" s="1488"/>
      <c r="BG99" s="1488"/>
      <c r="BH99" s="1488"/>
      <c r="BI99" s="1489"/>
      <c r="BJ99" s="1182" t="s">
        <v>263</v>
      </c>
      <c r="BK99" s="1183"/>
      <c r="BL99" s="1183"/>
      <c r="BM99" s="1183"/>
      <c r="BN99" s="1183"/>
      <c r="BO99" s="1184"/>
    </row>
    <row r="100" spans="1:67" ht="15" customHeight="1">
      <c r="A100" s="1172"/>
      <c r="B100" s="1173"/>
      <c r="C100" s="1173"/>
      <c r="D100" s="1173"/>
      <c r="E100" s="1173"/>
      <c r="F100" s="1173"/>
      <c r="G100" s="1173"/>
      <c r="H100" s="1344"/>
      <c r="I100" s="1174"/>
      <c r="J100" s="1174"/>
      <c r="K100" s="1174"/>
      <c r="L100" s="1174"/>
      <c r="M100" s="1344"/>
      <c r="N100" s="1277"/>
      <c r="O100" s="1519"/>
      <c r="P100" s="1520"/>
      <c r="Q100" s="1520"/>
      <c r="R100" s="1520"/>
      <c r="S100" s="1520"/>
      <c r="T100" s="1520"/>
      <c r="U100" s="1521"/>
      <c r="V100" s="1281"/>
      <c r="W100" s="1467"/>
      <c r="X100" s="1468"/>
      <c r="Y100" s="1468"/>
      <c r="Z100" s="1468"/>
      <c r="AA100" s="1468"/>
      <c r="AB100" s="1468"/>
      <c r="AC100" s="1469"/>
      <c r="AD100" s="1474"/>
      <c r="AE100" s="1499"/>
      <c r="AF100" s="1500"/>
      <c r="AG100" s="1500"/>
      <c r="AH100" s="1500"/>
      <c r="AI100" s="1500"/>
      <c r="AJ100" s="1500"/>
      <c r="AK100" s="1501"/>
      <c r="AL100" s="1505"/>
      <c r="AM100" s="1479"/>
      <c r="AN100" s="1480"/>
      <c r="AO100" s="1480"/>
      <c r="AP100" s="1480"/>
      <c r="AQ100" s="1480"/>
      <c r="AR100" s="1480"/>
      <c r="AS100" s="1481"/>
      <c r="AT100" s="1485"/>
      <c r="AU100" s="1509"/>
      <c r="AV100" s="1510"/>
      <c r="AW100" s="1510"/>
      <c r="AX100" s="1510"/>
      <c r="AY100" s="1510"/>
      <c r="AZ100" s="1510"/>
      <c r="BA100" s="1511"/>
      <c r="BB100" s="1515"/>
      <c r="BC100" s="1490"/>
      <c r="BD100" s="1491"/>
      <c r="BE100" s="1491"/>
      <c r="BF100" s="1491"/>
      <c r="BG100" s="1491"/>
      <c r="BH100" s="1491"/>
      <c r="BI100" s="1492"/>
      <c r="BJ100" s="1219"/>
      <c r="BK100" s="1220"/>
      <c r="BL100" s="1220"/>
      <c r="BM100" s="1220"/>
      <c r="BN100" s="1220"/>
      <c r="BO100" s="1221"/>
    </row>
    <row r="101" spans="1:67" ht="15" customHeight="1" thickBot="1">
      <c r="A101" s="1172"/>
      <c r="B101" s="1173"/>
      <c r="C101" s="1173"/>
      <c r="D101" s="1173"/>
      <c r="E101" s="1173"/>
      <c r="F101" s="1173"/>
      <c r="G101" s="1173"/>
      <c r="H101" s="1345"/>
      <c r="I101" s="1174"/>
      <c r="J101" s="1174"/>
      <c r="K101" s="1174"/>
      <c r="L101" s="1174"/>
      <c r="M101" s="1486"/>
      <c r="N101" s="1277"/>
      <c r="O101" s="1522"/>
      <c r="P101" s="1523"/>
      <c r="Q101" s="1523"/>
      <c r="R101" s="1523"/>
      <c r="S101" s="1523"/>
      <c r="T101" s="1523"/>
      <c r="U101" s="1524"/>
      <c r="V101" s="1281"/>
      <c r="W101" s="1470"/>
      <c r="X101" s="1471"/>
      <c r="Y101" s="1471"/>
      <c r="Z101" s="1471"/>
      <c r="AA101" s="1471"/>
      <c r="AB101" s="1471"/>
      <c r="AC101" s="1472"/>
      <c r="AD101" s="1475"/>
      <c r="AE101" s="1502"/>
      <c r="AF101" s="1503"/>
      <c r="AG101" s="1503"/>
      <c r="AH101" s="1503"/>
      <c r="AI101" s="1503"/>
      <c r="AJ101" s="1503"/>
      <c r="AK101" s="1504"/>
      <c r="AL101" s="1505"/>
      <c r="AM101" s="1482"/>
      <c r="AN101" s="1483"/>
      <c r="AO101" s="1483"/>
      <c r="AP101" s="1483"/>
      <c r="AQ101" s="1483"/>
      <c r="AR101" s="1483"/>
      <c r="AS101" s="1484"/>
      <c r="AT101" s="1485"/>
      <c r="AU101" s="1512"/>
      <c r="AV101" s="1513"/>
      <c r="AW101" s="1513"/>
      <c r="AX101" s="1513"/>
      <c r="AY101" s="1513"/>
      <c r="AZ101" s="1513"/>
      <c r="BA101" s="1514"/>
      <c r="BB101" s="1515"/>
      <c r="BC101" s="1493"/>
      <c r="BD101" s="1494"/>
      <c r="BE101" s="1494"/>
      <c r="BF101" s="1494"/>
      <c r="BG101" s="1494"/>
      <c r="BH101" s="1494"/>
      <c r="BI101" s="1495"/>
      <c r="BJ101" s="1337"/>
      <c r="BK101" s="1338"/>
      <c r="BL101" s="1338"/>
      <c r="BM101" s="1338"/>
      <c r="BN101" s="1338"/>
      <c r="BO101" s="1339"/>
    </row>
    <row r="102" spans="1:67" ht="15" customHeight="1">
      <c r="A102" s="1307">
        <v>1.1000000000000001</v>
      </c>
      <c r="B102" s="1161" t="s">
        <v>941</v>
      </c>
      <c r="C102" s="1162"/>
      <c r="D102" s="1162"/>
      <c r="E102" s="1162"/>
      <c r="F102" s="1162"/>
      <c r="G102" s="1199"/>
      <c r="H102" s="1268" t="str">
        <f>IF(ISBLANK(D$5),"",1)</f>
        <v/>
      </c>
      <c r="I102" s="1205" t="str">
        <f>IF(ISBLANK(H$5),"",1)</f>
        <v/>
      </c>
      <c r="J102" s="1205" t="str">
        <f>IF(ISBLANK(L$5),"",1)</f>
        <v/>
      </c>
      <c r="K102" s="1205" t="str">
        <f>IF(ISBLANK(P$5),"",1)</f>
        <v/>
      </c>
      <c r="L102" s="1205" t="str">
        <f>IF(ISBLANK(T$5),"",1)</f>
        <v/>
      </c>
      <c r="M102" s="1248" t="str">
        <f>IF(ISBLANK(X$5),"",1)</f>
        <v/>
      </c>
      <c r="N102" s="1525">
        <v>4.3</v>
      </c>
      <c r="O102" s="1526" t="s">
        <v>629</v>
      </c>
      <c r="P102" s="1527"/>
      <c r="Q102" s="1527"/>
      <c r="R102" s="1527"/>
      <c r="S102" s="1527"/>
      <c r="T102" s="1528"/>
      <c r="U102" s="1399" t="str">
        <f>IF(ISBLANK(D$5),"",1)</f>
        <v/>
      </c>
      <c r="V102" s="1258">
        <v>4.3</v>
      </c>
      <c r="W102" s="1161" t="s">
        <v>404</v>
      </c>
      <c r="X102" s="1162"/>
      <c r="Y102" s="1162"/>
      <c r="Z102" s="1162"/>
      <c r="AA102" s="1162"/>
      <c r="AB102" s="1199"/>
      <c r="AC102" s="1399" t="str">
        <f>IF(ISBLANK(H$5),"",1)</f>
        <v/>
      </c>
      <c r="AD102" s="1258">
        <v>4.3</v>
      </c>
      <c r="AE102" s="1198" t="s">
        <v>387</v>
      </c>
      <c r="AF102" s="1162"/>
      <c r="AG102" s="1162"/>
      <c r="AH102" s="1162"/>
      <c r="AI102" s="1162"/>
      <c r="AJ102" s="1199"/>
      <c r="AK102" s="1226" t="str">
        <f>IF(ISBLANK(L$5),"",1)</f>
        <v/>
      </c>
      <c r="AL102" s="1196">
        <v>4.3</v>
      </c>
      <c r="AM102" s="1198" t="s">
        <v>404</v>
      </c>
      <c r="AN102" s="1162"/>
      <c r="AO102" s="1162"/>
      <c r="AP102" s="1162"/>
      <c r="AQ102" s="1162"/>
      <c r="AR102" s="1199"/>
      <c r="AS102" s="1226" t="str">
        <f>IF(ISBLANK(P$5),"",1)</f>
        <v/>
      </c>
      <c r="AT102" s="1258">
        <v>4.3</v>
      </c>
      <c r="AU102" s="1198" t="s">
        <v>398</v>
      </c>
      <c r="AV102" s="1162"/>
      <c r="AW102" s="1162"/>
      <c r="AX102" s="1162"/>
      <c r="AY102" s="1162"/>
      <c r="AZ102" s="1199"/>
      <c r="BA102" s="1226" t="str">
        <f>IF(ISBLANK(T$5),"",1)</f>
        <v/>
      </c>
      <c r="BB102" s="1258">
        <v>4.3</v>
      </c>
      <c r="BC102" s="1198" t="s">
        <v>398</v>
      </c>
      <c r="BD102" s="1162"/>
      <c r="BE102" s="1162"/>
      <c r="BF102" s="1162"/>
      <c r="BG102" s="1162"/>
      <c r="BH102" s="1199"/>
      <c r="BI102" s="1226" t="str">
        <f>IF(ISBLANK(X$5),"",1)</f>
        <v/>
      </c>
      <c r="BJ102" s="1337"/>
      <c r="BK102" s="1338"/>
      <c r="BL102" s="1338"/>
      <c r="BM102" s="1338"/>
      <c r="BN102" s="1338"/>
      <c r="BO102" s="1339"/>
    </row>
    <row r="103" spans="1:67" ht="15" customHeight="1">
      <c r="A103" s="1308"/>
      <c r="B103" s="1163"/>
      <c r="C103" s="1164"/>
      <c r="D103" s="1164"/>
      <c r="E103" s="1164"/>
      <c r="F103" s="1164"/>
      <c r="G103" s="1201"/>
      <c r="H103" s="1269"/>
      <c r="I103" s="1206"/>
      <c r="J103" s="1206"/>
      <c r="K103" s="1206"/>
      <c r="L103" s="1206"/>
      <c r="M103" s="1206"/>
      <c r="N103" s="1302"/>
      <c r="O103" s="1317"/>
      <c r="P103" s="1296"/>
      <c r="Q103" s="1296"/>
      <c r="R103" s="1296"/>
      <c r="S103" s="1296"/>
      <c r="T103" s="1318"/>
      <c r="U103" s="1269"/>
      <c r="V103" s="1258"/>
      <c r="W103" s="1163"/>
      <c r="X103" s="1164"/>
      <c r="Y103" s="1164"/>
      <c r="Z103" s="1164"/>
      <c r="AA103" s="1164"/>
      <c r="AB103" s="1201"/>
      <c r="AC103" s="1269"/>
      <c r="AD103" s="1258"/>
      <c r="AE103" s="1200"/>
      <c r="AF103" s="1164"/>
      <c r="AG103" s="1164"/>
      <c r="AH103" s="1164"/>
      <c r="AI103" s="1164"/>
      <c r="AJ103" s="1201"/>
      <c r="AK103" s="1342"/>
      <c r="AL103" s="1197"/>
      <c r="AM103" s="1200"/>
      <c r="AN103" s="1164"/>
      <c r="AO103" s="1164"/>
      <c r="AP103" s="1164"/>
      <c r="AQ103" s="1164"/>
      <c r="AR103" s="1201"/>
      <c r="AS103" s="1342"/>
      <c r="AT103" s="1258"/>
      <c r="AU103" s="1200"/>
      <c r="AV103" s="1164"/>
      <c r="AW103" s="1164"/>
      <c r="AX103" s="1164"/>
      <c r="AY103" s="1164"/>
      <c r="AZ103" s="1201"/>
      <c r="BA103" s="1342"/>
      <c r="BB103" s="1258"/>
      <c r="BC103" s="1200"/>
      <c r="BD103" s="1164"/>
      <c r="BE103" s="1164"/>
      <c r="BF103" s="1164"/>
      <c r="BG103" s="1164"/>
      <c r="BH103" s="1201"/>
      <c r="BI103" s="1342"/>
      <c r="BJ103" s="1337"/>
      <c r="BK103" s="1338"/>
      <c r="BL103" s="1338"/>
      <c r="BM103" s="1338"/>
      <c r="BN103" s="1338"/>
      <c r="BO103" s="1339"/>
    </row>
    <row r="104" spans="1:67" ht="15" customHeight="1">
      <c r="A104" s="1309"/>
      <c r="B104" s="1165"/>
      <c r="C104" s="1166"/>
      <c r="D104" s="1166"/>
      <c r="E104" s="1166"/>
      <c r="F104" s="1166"/>
      <c r="G104" s="1292"/>
      <c r="H104" s="1270"/>
      <c r="I104" s="1207"/>
      <c r="J104" s="1207"/>
      <c r="K104" s="1207"/>
      <c r="L104" s="1207"/>
      <c r="M104" s="1207"/>
      <c r="N104" s="1303"/>
      <c r="O104" s="1319"/>
      <c r="P104" s="1320"/>
      <c r="Q104" s="1320"/>
      <c r="R104" s="1320"/>
      <c r="S104" s="1320"/>
      <c r="T104" s="1321"/>
      <c r="U104" s="1270"/>
      <c r="V104" s="1258"/>
      <c r="W104" s="1165"/>
      <c r="X104" s="1166"/>
      <c r="Y104" s="1166"/>
      <c r="Z104" s="1166"/>
      <c r="AA104" s="1166"/>
      <c r="AB104" s="1292"/>
      <c r="AC104" s="1270"/>
      <c r="AD104" s="1258"/>
      <c r="AE104" s="1202"/>
      <c r="AF104" s="1203"/>
      <c r="AG104" s="1203"/>
      <c r="AH104" s="1203"/>
      <c r="AI104" s="1203"/>
      <c r="AJ104" s="1204"/>
      <c r="AK104" s="1342"/>
      <c r="AL104" s="1197"/>
      <c r="AM104" s="1202"/>
      <c r="AN104" s="1203"/>
      <c r="AO104" s="1203"/>
      <c r="AP104" s="1203"/>
      <c r="AQ104" s="1203"/>
      <c r="AR104" s="1204"/>
      <c r="AS104" s="1342"/>
      <c r="AT104" s="1258"/>
      <c r="AU104" s="1202"/>
      <c r="AV104" s="1203"/>
      <c r="AW104" s="1203"/>
      <c r="AX104" s="1203"/>
      <c r="AY104" s="1203"/>
      <c r="AZ104" s="1204"/>
      <c r="BA104" s="1342"/>
      <c r="BB104" s="1258"/>
      <c r="BC104" s="1202"/>
      <c r="BD104" s="1203"/>
      <c r="BE104" s="1203"/>
      <c r="BF104" s="1203"/>
      <c r="BG104" s="1203"/>
      <c r="BH104" s="1204"/>
      <c r="BI104" s="1342"/>
      <c r="BJ104" s="1337"/>
      <c r="BK104" s="1338"/>
      <c r="BL104" s="1338"/>
      <c r="BM104" s="1338"/>
      <c r="BN104" s="1338"/>
      <c r="BO104" s="1339"/>
    </row>
    <row r="105" spans="1:67" ht="15" customHeight="1">
      <c r="A105" s="1304">
        <v>2.4</v>
      </c>
      <c r="B105" s="1161" t="s">
        <v>316</v>
      </c>
      <c r="C105" s="1162"/>
      <c r="D105" s="1162"/>
      <c r="E105" s="1162"/>
      <c r="F105" s="1162"/>
      <c r="G105" s="1199"/>
      <c r="H105" s="1268" t="str">
        <f t="shared" ref="H105" si="20">IF(ISBLANK(D$5),"",1)</f>
        <v/>
      </c>
      <c r="I105" s="1205" t="str">
        <f t="shared" ref="I105" si="21">IF(ISBLANK(H$5),"",1)</f>
        <v/>
      </c>
      <c r="J105" s="1205" t="str">
        <f t="shared" ref="J105" si="22">IF(ISBLANK(L$5),"",1)</f>
        <v/>
      </c>
      <c r="K105" s="1205" t="str">
        <f t="shared" ref="K105" si="23">IF(ISBLANK(P$5),"",1)</f>
        <v/>
      </c>
      <c r="L105" s="1205" t="str">
        <f t="shared" ref="L105" si="24">IF(ISBLANK(T$5),"",1)</f>
        <v/>
      </c>
      <c r="M105" s="1248" t="str">
        <f t="shared" ref="M105" si="25">IF(ISBLANK(X$5),"",1)</f>
        <v/>
      </c>
      <c r="N105" s="1304">
        <v>4.3</v>
      </c>
      <c r="O105" s="1161" t="s">
        <v>399</v>
      </c>
      <c r="P105" s="1162"/>
      <c r="Q105" s="1162"/>
      <c r="R105" s="1162"/>
      <c r="S105" s="1162"/>
      <c r="T105" s="1199"/>
      <c r="U105" s="1399" t="str">
        <f t="shared" ref="U105" si="26">IF(ISBLANK(D$5),"",1)</f>
        <v/>
      </c>
      <c r="V105" s="1304">
        <v>4.3</v>
      </c>
      <c r="W105" s="1161" t="s">
        <v>405</v>
      </c>
      <c r="X105" s="1162"/>
      <c r="Y105" s="1162"/>
      <c r="Z105" s="1162"/>
      <c r="AA105" s="1162"/>
      <c r="AB105" s="1199"/>
      <c r="AC105" s="1399" t="str">
        <f t="shared" ref="AC105" si="27">IF(ISBLANK(H$5),"",1)</f>
        <v/>
      </c>
      <c r="AD105" s="1304">
        <v>4.3</v>
      </c>
      <c r="AE105" s="1198" t="s">
        <v>405</v>
      </c>
      <c r="AF105" s="1162"/>
      <c r="AG105" s="1162"/>
      <c r="AH105" s="1162"/>
      <c r="AI105" s="1162"/>
      <c r="AJ105" s="1199"/>
      <c r="AK105" s="1226" t="str">
        <f t="shared" ref="AK105" si="28">IF(ISBLANK(L$5),"",1)</f>
        <v/>
      </c>
      <c r="AL105" s="1304">
        <v>4.3</v>
      </c>
      <c r="AM105" s="1198" t="s">
        <v>891</v>
      </c>
      <c r="AN105" s="1162"/>
      <c r="AO105" s="1162"/>
      <c r="AP105" s="1162"/>
      <c r="AQ105" s="1162"/>
      <c r="AR105" s="1199"/>
      <c r="AS105" s="1226" t="str">
        <f t="shared" ref="AS105" si="29">IF(ISBLANK(P$5),"",1)</f>
        <v/>
      </c>
      <c r="AT105" s="1304">
        <v>4.3</v>
      </c>
      <c r="AU105" s="1198" t="s">
        <v>891</v>
      </c>
      <c r="AV105" s="1162"/>
      <c r="AW105" s="1162"/>
      <c r="AX105" s="1162"/>
      <c r="AY105" s="1162"/>
      <c r="AZ105" s="1199"/>
      <c r="BA105" s="1226" t="str">
        <f t="shared" ref="BA105" si="30">IF(ISBLANK(T$5),"",1)</f>
        <v/>
      </c>
      <c r="BB105" s="1304">
        <v>4.3</v>
      </c>
      <c r="BC105" s="1198" t="s">
        <v>891</v>
      </c>
      <c r="BD105" s="1162"/>
      <c r="BE105" s="1162"/>
      <c r="BF105" s="1162"/>
      <c r="BG105" s="1162"/>
      <c r="BH105" s="1199"/>
      <c r="BI105" s="1226" t="str">
        <f t="shared" ref="BI105" si="31">IF(ISBLANK(X$5),"",1)</f>
        <v/>
      </c>
      <c r="BJ105" s="1337"/>
      <c r="BK105" s="1338"/>
      <c r="BL105" s="1338"/>
      <c r="BM105" s="1338"/>
      <c r="BN105" s="1338"/>
      <c r="BO105" s="1339"/>
    </row>
    <row r="106" spans="1:67" ht="15" customHeight="1">
      <c r="A106" s="1290"/>
      <c r="B106" s="1163"/>
      <c r="C106" s="1164"/>
      <c r="D106" s="1164"/>
      <c r="E106" s="1164"/>
      <c r="F106" s="1164"/>
      <c r="G106" s="1201"/>
      <c r="H106" s="1269"/>
      <c r="I106" s="1206"/>
      <c r="J106" s="1206"/>
      <c r="K106" s="1206"/>
      <c r="L106" s="1206"/>
      <c r="M106" s="1206"/>
      <c r="N106" s="1290"/>
      <c r="O106" s="1163"/>
      <c r="P106" s="1164"/>
      <c r="Q106" s="1164"/>
      <c r="R106" s="1164"/>
      <c r="S106" s="1164"/>
      <c r="T106" s="1201"/>
      <c r="U106" s="1269"/>
      <c r="V106" s="1290"/>
      <c r="W106" s="1163"/>
      <c r="X106" s="1164"/>
      <c r="Y106" s="1164"/>
      <c r="Z106" s="1164"/>
      <c r="AA106" s="1164"/>
      <c r="AB106" s="1201"/>
      <c r="AC106" s="1269"/>
      <c r="AD106" s="1290"/>
      <c r="AE106" s="1200"/>
      <c r="AF106" s="1164"/>
      <c r="AG106" s="1164"/>
      <c r="AH106" s="1164"/>
      <c r="AI106" s="1164"/>
      <c r="AJ106" s="1201"/>
      <c r="AK106" s="1342"/>
      <c r="AL106" s="1290"/>
      <c r="AM106" s="1200"/>
      <c r="AN106" s="1164"/>
      <c r="AO106" s="1164"/>
      <c r="AP106" s="1164"/>
      <c r="AQ106" s="1164"/>
      <c r="AR106" s="1201"/>
      <c r="AS106" s="1342"/>
      <c r="AT106" s="1290"/>
      <c r="AU106" s="1200"/>
      <c r="AV106" s="1164"/>
      <c r="AW106" s="1164"/>
      <c r="AX106" s="1164"/>
      <c r="AY106" s="1164"/>
      <c r="AZ106" s="1201"/>
      <c r="BA106" s="1342"/>
      <c r="BB106" s="1290"/>
      <c r="BC106" s="1200"/>
      <c r="BD106" s="1164"/>
      <c r="BE106" s="1164"/>
      <c r="BF106" s="1164"/>
      <c r="BG106" s="1164"/>
      <c r="BH106" s="1201"/>
      <c r="BI106" s="1342"/>
      <c r="BJ106" s="1337"/>
      <c r="BK106" s="1338"/>
      <c r="BL106" s="1338"/>
      <c r="BM106" s="1338"/>
      <c r="BN106" s="1338"/>
      <c r="BO106" s="1339"/>
    </row>
    <row r="107" spans="1:67" ht="15" customHeight="1">
      <c r="A107" s="1291"/>
      <c r="B107" s="1165"/>
      <c r="C107" s="1166"/>
      <c r="D107" s="1166"/>
      <c r="E107" s="1166"/>
      <c r="F107" s="1166"/>
      <c r="G107" s="1292"/>
      <c r="H107" s="1270"/>
      <c r="I107" s="1207"/>
      <c r="J107" s="1207"/>
      <c r="K107" s="1207"/>
      <c r="L107" s="1207"/>
      <c r="M107" s="1207"/>
      <c r="N107" s="1291"/>
      <c r="O107" s="1165"/>
      <c r="P107" s="1166"/>
      <c r="Q107" s="1166"/>
      <c r="R107" s="1166"/>
      <c r="S107" s="1166"/>
      <c r="T107" s="1292"/>
      <c r="U107" s="1270"/>
      <c r="V107" s="1291"/>
      <c r="W107" s="1165"/>
      <c r="X107" s="1166"/>
      <c r="Y107" s="1166"/>
      <c r="Z107" s="1166"/>
      <c r="AA107" s="1166"/>
      <c r="AB107" s="1292"/>
      <c r="AC107" s="1270"/>
      <c r="AD107" s="1291"/>
      <c r="AE107" s="1202"/>
      <c r="AF107" s="1203"/>
      <c r="AG107" s="1203"/>
      <c r="AH107" s="1203"/>
      <c r="AI107" s="1203"/>
      <c r="AJ107" s="1204"/>
      <c r="AK107" s="1342"/>
      <c r="AL107" s="1291"/>
      <c r="AM107" s="1202"/>
      <c r="AN107" s="1203"/>
      <c r="AO107" s="1203"/>
      <c r="AP107" s="1203"/>
      <c r="AQ107" s="1203"/>
      <c r="AR107" s="1204"/>
      <c r="AS107" s="1342"/>
      <c r="AT107" s="1291"/>
      <c r="AU107" s="1202"/>
      <c r="AV107" s="1203"/>
      <c r="AW107" s="1203"/>
      <c r="AX107" s="1203"/>
      <c r="AY107" s="1203"/>
      <c r="AZ107" s="1204"/>
      <c r="BA107" s="1342"/>
      <c r="BB107" s="1291"/>
      <c r="BC107" s="1202"/>
      <c r="BD107" s="1203"/>
      <c r="BE107" s="1203"/>
      <c r="BF107" s="1203"/>
      <c r="BG107" s="1203"/>
      <c r="BH107" s="1204"/>
      <c r="BI107" s="1342"/>
      <c r="BJ107" s="1337"/>
      <c r="BK107" s="1338"/>
      <c r="BL107" s="1338"/>
      <c r="BM107" s="1338"/>
      <c r="BN107" s="1338"/>
      <c r="BO107" s="1339"/>
    </row>
    <row r="108" spans="1:67" ht="15" customHeight="1">
      <c r="A108" s="1307">
        <v>1.1000000000000001</v>
      </c>
      <c r="B108" s="1161" t="s">
        <v>320</v>
      </c>
      <c r="C108" s="1162"/>
      <c r="D108" s="1162"/>
      <c r="E108" s="1162"/>
      <c r="F108" s="1162"/>
      <c r="G108" s="1199"/>
      <c r="H108" s="1268" t="str">
        <f t="shared" ref="H108" si="32">IF(ISBLANK(D$5),"",1)</f>
        <v/>
      </c>
      <c r="I108" s="1205" t="str">
        <f t="shared" ref="I108" si="33">IF(ISBLANK(H$5),"",1)</f>
        <v/>
      </c>
      <c r="J108" s="1205" t="str">
        <f t="shared" ref="J108" si="34">IF(ISBLANK(L$5),"",1)</f>
        <v/>
      </c>
      <c r="K108" s="1205" t="str">
        <f t="shared" ref="K108" si="35">IF(ISBLANK(P$5),"",1)</f>
        <v/>
      </c>
      <c r="L108" s="1205" t="str">
        <f t="shared" ref="L108" si="36">IF(ISBLANK(T$5),"",1)</f>
        <v/>
      </c>
      <c r="M108" s="1248" t="str">
        <f t="shared" ref="M108" si="37">IF(ISBLANK(X$5),"",1)</f>
        <v/>
      </c>
      <c r="N108" s="1301">
        <v>4.3</v>
      </c>
      <c r="O108" s="1161" t="s">
        <v>388</v>
      </c>
      <c r="P108" s="1162"/>
      <c r="Q108" s="1162"/>
      <c r="R108" s="1162"/>
      <c r="S108" s="1162"/>
      <c r="T108" s="1199"/>
      <c r="U108" s="1399" t="str">
        <f t="shared" ref="U108" si="38">IF(ISBLANK(D$5),"",1)</f>
        <v/>
      </c>
      <c r="V108" s="1258">
        <v>4.3</v>
      </c>
      <c r="W108" s="1161" t="s">
        <v>406</v>
      </c>
      <c r="X108" s="1162"/>
      <c r="Y108" s="1162"/>
      <c r="Z108" s="1162"/>
      <c r="AA108" s="1162"/>
      <c r="AB108" s="1199"/>
      <c r="AC108" s="1399" t="str">
        <f t="shared" ref="AC108" si="39">IF(ISBLANK(H$5),"",1)</f>
        <v/>
      </c>
      <c r="AD108" s="1258">
        <v>4.3</v>
      </c>
      <c r="AE108" s="1198" t="s">
        <v>406</v>
      </c>
      <c r="AF108" s="1162"/>
      <c r="AG108" s="1162"/>
      <c r="AH108" s="1162"/>
      <c r="AI108" s="1162"/>
      <c r="AJ108" s="1199"/>
      <c r="AK108" s="1226" t="str">
        <f t="shared" ref="AK108" si="40">IF(ISBLANK(L$5),"",1)</f>
        <v/>
      </c>
      <c r="AL108" s="1196">
        <v>4.3</v>
      </c>
      <c r="AM108" s="1198" t="s">
        <v>406</v>
      </c>
      <c r="AN108" s="1162"/>
      <c r="AO108" s="1162"/>
      <c r="AP108" s="1162"/>
      <c r="AQ108" s="1162"/>
      <c r="AR108" s="1199"/>
      <c r="AS108" s="1226" t="str">
        <f t="shared" ref="AS108" si="41">IF(ISBLANK(P$5),"",1)</f>
        <v/>
      </c>
      <c r="AT108" s="1258">
        <v>4.3</v>
      </c>
      <c r="AU108" s="1198" t="s">
        <v>406</v>
      </c>
      <c r="AV108" s="1162"/>
      <c r="AW108" s="1162"/>
      <c r="AX108" s="1162"/>
      <c r="AY108" s="1162"/>
      <c r="AZ108" s="1199"/>
      <c r="BA108" s="1226" t="str">
        <f>IF(ISBLANK(T$5),"",1)</f>
        <v/>
      </c>
      <c r="BB108" s="1258">
        <v>4.3</v>
      </c>
      <c r="BC108" s="1198" t="s">
        <v>406</v>
      </c>
      <c r="BD108" s="1162"/>
      <c r="BE108" s="1162"/>
      <c r="BF108" s="1162"/>
      <c r="BG108" s="1162"/>
      <c r="BH108" s="1199"/>
      <c r="BI108" s="1226" t="str">
        <f t="shared" ref="BI108" si="42">IF(ISBLANK(X$5),"",1)</f>
        <v/>
      </c>
      <c r="BJ108" s="1337"/>
      <c r="BK108" s="1338"/>
      <c r="BL108" s="1338"/>
      <c r="BM108" s="1338"/>
      <c r="BN108" s="1338"/>
      <c r="BO108" s="1339"/>
    </row>
    <row r="109" spans="1:67" ht="15" customHeight="1">
      <c r="A109" s="1308"/>
      <c r="B109" s="1163"/>
      <c r="C109" s="1164"/>
      <c r="D109" s="1164"/>
      <c r="E109" s="1164"/>
      <c r="F109" s="1164"/>
      <c r="G109" s="1201"/>
      <c r="H109" s="1269"/>
      <c r="I109" s="1206"/>
      <c r="J109" s="1206"/>
      <c r="K109" s="1206"/>
      <c r="L109" s="1206"/>
      <c r="M109" s="1206"/>
      <c r="N109" s="1302"/>
      <c r="O109" s="1163"/>
      <c r="P109" s="1164"/>
      <c r="Q109" s="1164"/>
      <c r="R109" s="1164"/>
      <c r="S109" s="1164"/>
      <c r="T109" s="1201"/>
      <c r="U109" s="1269"/>
      <c r="V109" s="1258"/>
      <c r="W109" s="1163"/>
      <c r="X109" s="1164"/>
      <c r="Y109" s="1164"/>
      <c r="Z109" s="1164"/>
      <c r="AA109" s="1164"/>
      <c r="AB109" s="1201"/>
      <c r="AC109" s="1269"/>
      <c r="AD109" s="1258"/>
      <c r="AE109" s="1200"/>
      <c r="AF109" s="1164"/>
      <c r="AG109" s="1164"/>
      <c r="AH109" s="1164"/>
      <c r="AI109" s="1164"/>
      <c r="AJ109" s="1201"/>
      <c r="AK109" s="1342"/>
      <c r="AL109" s="1197"/>
      <c r="AM109" s="1200"/>
      <c r="AN109" s="1164"/>
      <c r="AO109" s="1164"/>
      <c r="AP109" s="1164"/>
      <c r="AQ109" s="1164"/>
      <c r="AR109" s="1201"/>
      <c r="AS109" s="1342"/>
      <c r="AT109" s="1258"/>
      <c r="AU109" s="1200"/>
      <c r="AV109" s="1164"/>
      <c r="AW109" s="1164"/>
      <c r="AX109" s="1164"/>
      <c r="AY109" s="1164"/>
      <c r="AZ109" s="1201"/>
      <c r="BA109" s="1342"/>
      <c r="BB109" s="1258"/>
      <c r="BC109" s="1200"/>
      <c r="BD109" s="1164"/>
      <c r="BE109" s="1164"/>
      <c r="BF109" s="1164"/>
      <c r="BG109" s="1164"/>
      <c r="BH109" s="1201"/>
      <c r="BI109" s="1342"/>
      <c r="BJ109" s="1337"/>
      <c r="BK109" s="1338"/>
      <c r="BL109" s="1338"/>
      <c r="BM109" s="1338"/>
      <c r="BN109" s="1338"/>
      <c r="BO109" s="1339"/>
    </row>
    <row r="110" spans="1:67" ht="15" customHeight="1">
      <c r="A110" s="1309"/>
      <c r="B110" s="1165"/>
      <c r="C110" s="1166"/>
      <c r="D110" s="1166"/>
      <c r="E110" s="1166"/>
      <c r="F110" s="1166"/>
      <c r="G110" s="1292"/>
      <c r="H110" s="1270"/>
      <c r="I110" s="1207"/>
      <c r="J110" s="1207"/>
      <c r="K110" s="1207"/>
      <c r="L110" s="1207"/>
      <c r="M110" s="1207"/>
      <c r="N110" s="1303"/>
      <c r="O110" s="1165"/>
      <c r="P110" s="1166"/>
      <c r="Q110" s="1166"/>
      <c r="R110" s="1166"/>
      <c r="S110" s="1166"/>
      <c r="T110" s="1292"/>
      <c r="U110" s="1270"/>
      <c r="V110" s="1258"/>
      <c r="W110" s="1165"/>
      <c r="X110" s="1166"/>
      <c r="Y110" s="1166"/>
      <c r="Z110" s="1166"/>
      <c r="AA110" s="1166"/>
      <c r="AB110" s="1292"/>
      <c r="AC110" s="1270"/>
      <c r="AD110" s="1258"/>
      <c r="AE110" s="1202"/>
      <c r="AF110" s="1203"/>
      <c r="AG110" s="1203"/>
      <c r="AH110" s="1203"/>
      <c r="AI110" s="1203"/>
      <c r="AJ110" s="1204"/>
      <c r="AK110" s="1342"/>
      <c r="AL110" s="1197"/>
      <c r="AM110" s="1202"/>
      <c r="AN110" s="1203"/>
      <c r="AO110" s="1203"/>
      <c r="AP110" s="1203"/>
      <c r="AQ110" s="1203"/>
      <c r="AR110" s="1204"/>
      <c r="AS110" s="1342"/>
      <c r="AT110" s="1258"/>
      <c r="AU110" s="1202"/>
      <c r="AV110" s="1203"/>
      <c r="AW110" s="1203"/>
      <c r="AX110" s="1203"/>
      <c r="AY110" s="1203"/>
      <c r="AZ110" s="1204"/>
      <c r="BA110" s="1342"/>
      <c r="BB110" s="1258"/>
      <c r="BC110" s="1202"/>
      <c r="BD110" s="1203"/>
      <c r="BE110" s="1203"/>
      <c r="BF110" s="1203"/>
      <c r="BG110" s="1203"/>
      <c r="BH110" s="1204"/>
      <c r="BI110" s="1342"/>
      <c r="BJ110" s="1337"/>
      <c r="BK110" s="1338"/>
      <c r="BL110" s="1338"/>
      <c r="BM110" s="1338"/>
      <c r="BN110" s="1338"/>
      <c r="BO110" s="1339"/>
    </row>
    <row r="111" spans="1:67" ht="15" customHeight="1">
      <c r="A111" s="1304">
        <v>2.1</v>
      </c>
      <c r="B111" s="1161" t="s">
        <v>322</v>
      </c>
      <c r="C111" s="1162"/>
      <c r="D111" s="1162"/>
      <c r="E111" s="1162"/>
      <c r="F111" s="1162"/>
      <c r="G111" s="1199"/>
      <c r="H111" s="1268" t="str">
        <f t="shared" ref="H111" si="43">IF(ISBLANK(D$5),"",1)</f>
        <v/>
      </c>
      <c r="I111" s="1205" t="str">
        <f t="shared" ref="I111" si="44">IF(ISBLANK(H$5),"",1)</f>
        <v/>
      </c>
      <c r="J111" s="1205" t="str">
        <f t="shared" ref="J111" si="45">IF(ISBLANK(L$5),"",1)</f>
        <v/>
      </c>
      <c r="K111" s="1205" t="str">
        <f t="shared" ref="K111" si="46">IF(ISBLANK(P$5),"",1)</f>
        <v/>
      </c>
      <c r="L111" s="1205" t="str">
        <f t="shared" ref="L111" si="47">IF(ISBLANK(T$5),"",1)</f>
        <v/>
      </c>
      <c r="M111" s="1248" t="str">
        <f t="shared" ref="M111" si="48">IF(ISBLANK(X$5),"",1)</f>
        <v/>
      </c>
      <c r="N111" s="1301">
        <v>4.4000000000000004</v>
      </c>
      <c r="O111" s="1161" t="s">
        <v>400</v>
      </c>
      <c r="P111" s="1162"/>
      <c r="Q111" s="1162"/>
      <c r="R111" s="1162"/>
      <c r="S111" s="1162"/>
      <c r="T111" s="1199"/>
      <c r="U111" s="1399" t="str">
        <f t="shared" ref="U111" si="49">IF(ISBLANK(D$5),"",1)</f>
        <v/>
      </c>
      <c r="V111" s="1258">
        <v>4.3</v>
      </c>
      <c r="W111" s="1161" t="s">
        <v>388</v>
      </c>
      <c r="X111" s="1162"/>
      <c r="Y111" s="1162"/>
      <c r="Z111" s="1162"/>
      <c r="AA111" s="1162"/>
      <c r="AB111" s="1199"/>
      <c r="AC111" s="1399" t="str">
        <f t="shared" ref="AC111" si="50">IF(ISBLANK(H$5),"",1)</f>
        <v/>
      </c>
      <c r="AD111" s="1258">
        <v>4.3</v>
      </c>
      <c r="AE111" s="1198" t="s">
        <v>388</v>
      </c>
      <c r="AF111" s="1162"/>
      <c r="AG111" s="1162"/>
      <c r="AH111" s="1162"/>
      <c r="AI111" s="1162"/>
      <c r="AJ111" s="1199"/>
      <c r="AK111" s="1226" t="str">
        <f t="shared" ref="AK111" si="51">IF(ISBLANK(L$5),"",1)</f>
        <v/>
      </c>
      <c r="AL111" s="1196">
        <v>4.3</v>
      </c>
      <c r="AM111" s="1198" t="s">
        <v>388</v>
      </c>
      <c r="AN111" s="1162"/>
      <c r="AO111" s="1162"/>
      <c r="AP111" s="1162"/>
      <c r="AQ111" s="1162"/>
      <c r="AR111" s="1199"/>
      <c r="AS111" s="1226" t="str">
        <f t="shared" ref="AS111" si="52">IF(ISBLANK(P$5),"",1)</f>
        <v/>
      </c>
      <c r="AT111" s="1258">
        <v>4.3</v>
      </c>
      <c r="AU111" s="1198" t="s">
        <v>388</v>
      </c>
      <c r="AV111" s="1162"/>
      <c r="AW111" s="1162"/>
      <c r="AX111" s="1162"/>
      <c r="AY111" s="1162"/>
      <c r="AZ111" s="1199"/>
      <c r="BA111" s="1226" t="str">
        <f t="shared" ref="BA111" si="53">IF(ISBLANK(T$5),"",1)</f>
        <v/>
      </c>
      <c r="BB111" s="1258">
        <v>4.3</v>
      </c>
      <c r="BC111" s="1198" t="s">
        <v>388</v>
      </c>
      <c r="BD111" s="1162"/>
      <c r="BE111" s="1162"/>
      <c r="BF111" s="1162"/>
      <c r="BG111" s="1162"/>
      <c r="BH111" s="1199"/>
      <c r="BI111" s="1226" t="str">
        <f t="shared" ref="BI111" si="54">IF(ISBLANK(X$5),"",1)</f>
        <v/>
      </c>
      <c r="BJ111" s="1337"/>
      <c r="BK111" s="1338"/>
      <c r="BL111" s="1338"/>
      <c r="BM111" s="1338"/>
      <c r="BN111" s="1338"/>
      <c r="BO111" s="1339"/>
    </row>
    <row r="112" spans="1:67" ht="15" customHeight="1">
      <c r="A112" s="1290"/>
      <c r="B112" s="1163"/>
      <c r="C112" s="1164"/>
      <c r="D112" s="1164"/>
      <c r="E112" s="1164"/>
      <c r="F112" s="1164"/>
      <c r="G112" s="1201"/>
      <c r="H112" s="1269"/>
      <c r="I112" s="1206"/>
      <c r="J112" s="1206"/>
      <c r="K112" s="1206"/>
      <c r="L112" s="1206"/>
      <c r="M112" s="1206"/>
      <c r="N112" s="1302"/>
      <c r="O112" s="1163"/>
      <c r="P112" s="1164"/>
      <c r="Q112" s="1164"/>
      <c r="R112" s="1164"/>
      <c r="S112" s="1164"/>
      <c r="T112" s="1201"/>
      <c r="U112" s="1269"/>
      <c r="V112" s="1258"/>
      <c r="W112" s="1163"/>
      <c r="X112" s="1164"/>
      <c r="Y112" s="1164"/>
      <c r="Z112" s="1164"/>
      <c r="AA112" s="1164"/>
      <c r="AB112" s="1201"/>
      <c r="AC112" s="1269"/>
      <c r="AD112" s="1258"/>
      <c r="AE112" s="1200"/>
      <c r="AF112" s="1164"/>
      <c r="AG112" s="1164"/>
      <c r="AH112" s="1164"/>
      <c r="AI112" s="1164"/>
      <c r="AJ112" s="1201"/>
      <c r="AK112" s="1342"/>
      <c r="AL112" s="1197"/>
      <c r="AM112" s="1200"/>
      <c r="AN112" s="1164"/>
      <c r="AO112" s="1164"/>
      <c r="AP112" s="1164"/>
      <c r="AQ112" s="1164"/>
      <c r="AR112" s="1201"/>
      <c r="AS112" s="1342"/>
      <c r="AT112" s="1258"/>
      <c r="AU112" s="1200"/>
      <c r="AV112" s="1164"/>
      <c r="AW112" s="1164"/>
      <c r="AX112" s="1164"/>
      <c r="AY112" s="1164"/>
      <c r="AZ112" s="1201"/>
      <c r="BA112" s="1342"/>
      <c r="BB112" s="1258"/>
      <c r="BC112" s="1200"/>
      <c r="BD112" s="1164"/>
      <c r="BE112" s="1164"/>
      <c r="BF112" s="1164"/>
      <c r="BG112" s="1164"/>
      <c r="BH112" s="1201"/>
      <c r="BI112" s="1342"/>
      <c r="BJ112" s="1337"/>
      <c r="BK112" s="1338"/>
      <c r="BL112" s="1338"/>
      <c r="BM112" s="1338"/>
      <c r="BN112" s="1338"/>
      <c r="BO112" s="1339"/>
    </row>
    <row r="113" spans="1:67" ht="15" customHeight="1">
      <c r="A113" s="1291"/>
      <c r="B113" s="1165"/>
      <c r="C113" s="1166"/>
      <c r="D113" s="1166"/>
      <c r="E113" s="1166"/>
      <c r="F113" s="1166"/>
      <c r="G113" s="1292"/>
      <c r="H113" s="1270"/>
      <c r="I113" s="1207"/>
      <c r="J113" s="1207"/>
      <c r="K113" s="1207"/>
      <c r="L113" s="1207"/>
      <c r="M113" s="1207"/>
      <c r="N113" s="1303"/>
      <c r="O113" s="1165"/>
      <c r="P113" s="1166"/>
      <c r="Q113" s="1166"/>
      <c r="R113" s="1166"/>
      <c r="S113" s="1166"/>
      <c r="T113" s="1292"/>
      <c r="U113" s="1270"/>
      <c r="V113" s="1258"/>
      <c r="W113" s="1165"/>
      <c r="X113" s="1166"/>
      <c r="Y113" s="1166"/>
      <c r="Z113" s="1166"/>
      <c r="AA113" s="1166"/>
      <c r="AB113" s="1292"/>
      <c r="AC113" s="1270"/>
      <c r="AD113" s="1258"/>
      <c r="AE113" s="1202"/>
      <c r="AF113" s="1203"/>
      <c r="AG113" s="1203"/>
      <c r="AH113" s="1203"/>
      <c r="AI113" s="1203"/>
      <c r="AJ113" s="1204"/>
      <c r="AK113" s="1342"/>
      <c r="AL113" s="1197"/>
      <c r="AM113" s="1202"/>
      <c r="AN113" s="1203"/>
      <c r="AO113" s="1203"/>
      <c r="AP113" s="1203"/>
      <c r="AQ113" s="1203"/>
      <c r="AR113" s="1204"/>
      <c r="AS113" s="1342"/>
      <c r="AT113" s="1258"/>
      <c r="AU113" s="1202"/>
      <c r="AV113" s="1203"/>
      <c r="AW113" s="1203"/>
      <c r="AX113" s="1203"/>
      <c r="AY113" s="1203"/>
      <c r="AZ113" s="1204"/>
      <c r="BA113" s="1342"/>
      <c r="BB113" s="1258"/>
      <c r="BC113" s="1202"/>
      <c r="BD113" s="1203"/>
      <c r="BE113" s="1203"/>
      <c r="BF113" s="1203"/>
      <c r="BG113" s="1203"/>
      <c r="BH113" s="1204"/>
      <c r="BI113" s="1342"/>
      <c r="BJ113" s="1337"/>
      <c r="BK113" s="1338"/>
      <c r="BL113" s="1338"/>
      <c r="BM113" s="1338"/>
      <c r="BN113" s="1338"/>
      <c r="BO113" s="1339"/>
    </row>
    <row r="114" spans="1:67" ht="15" customHeight="1">
      <c r="A114" s="1307">
        <v>1.1000000000000001</v>
      </c>
      <c r="B114" s="1161" t="s">
        <v>940</v>
      </c>
      <c r="C114" s="1162"/>
      <c r="D114" s="1162"/>
      <c r="E114" s="1162"/>
      <c r="F114" s="1162"/>
      <c r="G114" s="1199"/>
      <c r="H114" s="1268" t="str">
        <f t="shared" ref="H114" si="55">IF(ISBLANK(D$5),"",1)</f>
        <v/>
      </c>
      <c r="I114" s="1205" t="str">
        <f t="shared" ref="I114" si="56">IF(ISBLANK(H$5),"",1)</f>
        <v/>
      </c>
      <c r="J114" s="1205" t="str">
        <f t="shared" ref="J114" si="57">IF(ISBLANK(L$5),"",1)</f>
        <v/>
      </c>
      <c r="K114" s="1205" t="str">
        <f t="shared" ref="K114" si="58">IF(ISBLANK(P$5),"",1)</f>
        <v/>
      </c>
      <c r="L114" s="1205" t="str">
        <f t="shared" ref="L114" si="59">IF(ISBLANK(T$5),"",1)</f>
        <v/>
      </c>
      <c r="M114" s="1248" t="str">
        <f t="shared" ref="M114" si="60">IF(ISBLANK(X$5),"",1)</f>
        <v/>
      </c>
      <c r="N114" s="1301">
        <v>4.4000000000000004</v>
      </c>
      <c r="O114" s="1161" t="s">
        <v>401</v>
      </c>
      <c r="P114" s="1162"/>
      <c r="Q114" s="1162"/>
      <c r="R114" s="1162"/>
      <c r="S114" s="1162"/>
      <c r="T114" s="1199"/>
      <c r="U114" s="1399" t="str">
        <f t="shared" ref="U114" si="61">IF(ISBLANK(D$5),"",1)</f>
        <v/>
      </c>
      <c r="V114" s="1258">
        <v>4.4000000000000004</v>
      </c>
      <c r="W114" s="1161" t="s">
        <v>407</v>
      </c>
      <c r="X114" s="1162"/>
      <c r="Y114" s="1162"/>
      <c r="Z114" s="1162"/>
      <c r="AA114" s="1162"/>
      <c r="AB114" s="1199"/>
      <c r="AC114" s="1399" t="str">
        <f t="shared" ref="AC114" si="62">IF(ISBLANK(H$5),"",1)</f>
        <v/>
      </c>
      <c r="AD114" s="1258">
        <v>4.3</v>
      </c>
      <c r="AE114" s="1198" t="s">
        <v>390</v>
      </c>
      <c r="AF114" s="1162"/>
      <c r="AG114" s="1162"/>
      <c r="AH114" s="1162"/>
      <c r="AI114" s="1162"/>
      <c r="AJ114" s="1199"/>
      <c r="AK114" s="1226" t="str">
        <f t="shared" ref="AK114" si="63">IF(ISBLANK(L$5),"",1)</f>
        <v/>
      </c>
      <c r="AL114" s="1304">
        <v>4.4000000000000004</v>
      </c>
      <c r="AM114" s="1198" t="s">
        <v>407</v>
      </c>
      <c r="AN114" s="1162"/>
      <c r="AO114" s="1162"/>
      <c r="AP114" s="1162"/>
      <c r="AQ114" s="1162"/>
      <c r="AR114" s="1199"/>
      <c r="AS114" s="1226" t="str">
        <f t="shared" ref="AS114" si="64">IF(ISBLANK(P$5),"",1)</f>
        <v/>
      </c>
      <c r="AT114" s="1258">
        <v>4.3</v>
      </c>
      <c r="AU114" s="1198" t="s">
        <v>390</v>
      </c>
      <c r="AV114" s="1162"/>
      <c r="AW114" s="1162"/>
      <c r="AX114" s="1162"/>
      <c r="AY114" s="1162"/>
      <c r="AZ114" s="1199"/>
      <c r="BA114" s="1226" t="str">
        <f t="shared" ref="BA114" si="65">IF(ISBLANK(T$5),"",1)</f>
        <v/>
      </c>
      <c r="BB114" s="1258">
        <v>4.3</v>
      </c>
      <c r="BC114" s="1198" t="s">
        <v>390</v>
      </c>
      <c r="BD114" s="1162"/>
      <c r="BE114" s="1162"/>
      <c r="BF114" s="1162"/>
      <c r="BG114" s="1162"/>
      <c r="BH114" s="1199"/>
      <c r="BI114" s="1226" t="str">
        <f t="shared" ref="BI114" si="66">IF(ISBLANK(X$5),"",1)</f>
        <v/>
      </c>
      <c r="BJ114" s="1337"/>
      <c r="BK114" s="1338"/>
      <c r="BL114" s="1338"/>
      <c r="BM114" s="1338"/>
      <c r="BN114" s="1338"/>
      <c r="BO114" s="1339"/>
    </row>
    <row r="115" spans="1:67" ht="15" customHeight="1">
      <c r="A115" s="1308"/>
      <c r="B115" s="1163"/>
      <c r="C115" s="1164"/>
      <c r="D115" s="1164"/>
      <c r="E115" s="1164"/>
      <c r="F115" s="1164"/>
      <c r="G115" s="1201"/>
      <c r="H115" s="1269"/>
      <c r="I115" s="1206"/>
      <c r="J115" s="1206"/>
      <c r="K115" s="1206"/>
      <c r="L115" s="1206"/>
      <c r="M115" s="1206"/>
      <c r="N115" s="1302"/>
      <c r="O115" s="1163"/>
      <c r="P115" s="1164"/>
      <c r="Q115" s="1164"/>
      <c r="R115" s="1164"/>
      <c r="S115" s="1164"/>
      <c r="T115" s="1201"/>
      <c r="U115" s="1269"/>
      <c r="V115" s="1258"/>
      <c r="W115" s="1163"/>
      <c r="X115" s="1164"/>
      <c r="Y115" s="1164"/>
      <c r="Z115" s="1164"/>
      <c r="AA115" s="1164"/>
      <c r="AB115" s="1201"/>
      <c r="AC115" s="1269"/>
      <c r="AD115" s="1258"/>
      <c r="AE115" s="1200"/>
      <c r="AF115" s="1164"/>
      <c r="AG115" s="1164"/>
      <c r="AH115" s="1164"/>
      <c r="AI115" s="1164"/>
      <c r="AJ115" s="1201"/>
      <c r="AK115" s="1342"/>
      <c r="AL115" s="1290"/>
      <c r="AM115" s="1200"/>
      <c r="AN115" s="1164"/>
      <c r="AO115" s="1164"/>
      <c r="AP115" s="1164"/>
      <c r="AQ115" s="1164"/>
      <c r="AR115" s="1201"/>
      <c r="AS115" s="1342"/>
      <c r="AT115" s="1258"/>
      <c r="AU115" s="1200"/>
      <c r="AV115" s="1164"/>
      <c r="AW115" s="1164"/>
      <c r="AX115" s="1164"/>
      <c r="AY115" s="1164"/>
      <c r="AZ115" s="1201"/>
      <c r="BA115" s="1342"/>
      <c r="BB115" s="1258"/>
      <c r="BC115" s="1200"/>
      <c r="BD115" s="1164"/>
      <c r="BE115" s="1164"/>
      <c r="BF115" s="1164"/>
      <c r="BG115" s="1164"/>
      <c r="BH115" s="1201"/>
      <c r="BI115" s="1342"/>
      <c r="BJ115" s="1337"/>
      <c r="BK115" s="1338"/>
      <c r="BL115" s="1338"/>
      <c r="BM115" s="1338"/>
      <c r="BN115" s="1338"/>
      <c r="BO115" s="1339"/>
    </row>
    <row r="116" spans="1:67" ht="15" customHeight="1">
      <c r="A116" s="1309"/>
      <c r="B116" s="1165"/>
      <c r="C116" s="1166"/>
      <c r="D116" s="1166"/>
      <c r="E116" s="1166"/>
      <c r="F116" s="1166"/>
      <c r="G116" s="1292"/>
      <c r="H116" s="1270"/>
      <c r="I116" s="1207"/>
      <c r="J116" s="1207"/>
      <c r="K116" s="1207"/>
      <c r="L116" s="1207"/>
      <c r="M116" s="1207"/>
      <c r="N116" s="1303"/>
      <c r="O116" s="1165"/>
      <c r="P116" s="1166"/>
      <c r="Q116" s="1166"/>
      <c r="R116" s="1166"/>
      <c r="S116" s="1166"/>
      <c r="T116" s="1292"/>
      <c r="U116" s="1270"/>
      <c r="V116" s="1258"/>
      <c r="W116" s="1165"/>
      <c r="X116" s="1166"/>
      <c r="Y116" s="1166"/>
      <c r="Z116" s="1166"/>
      <c r="AA116" s="1166"/>
      <c r="AB116" s="1292"/>
      <c r="AC116" s="1270"/>
      <c r="AD116" s="1258"/>
      <c r="AE116" s="1202"/>
      <c r="AF116" s="1203"/>
      <c r="AG116" s="1203"/>
      <c r="AH116" s="1203"/>
      <c r="AI116" s="1203"/>
      <c r="AJ116" s="1204"/>
      <c r="AK116" s="1342"/>
      <c r="AL116" s="1291"/>
      <c r="AM116" s="1202"/>
      <c r="AN116" s="1203"/>
      <c r="AO116" s="1203"/>
      <c r="AP116" s="1203"/>
      <c r="AQ116" s="1203"/>
      <c r="AR116" s="1204"/>
      <c r="AS116" s="1342"/>
      <c r="AT116" s="1258"/>
      <c r="AU116" s="1202"/>
      <c r="AV116" s="1203"/>
      <c r="AW116" s="1203"/>
      <c r="AX116" s="1203"/>
      <c r="AY116" s="1203"/>
      <c r="AZ116" s="1204"/>
      <c r="BA116" s="1342"/>
      <c r="BB116" s="1258"/>
      <c r="BC116" s="1202"/>
      <c r="BD116" s="1203"/>
      <c r="BE116" s="1203"/>
      <c r="BF116" s="1203"/>
      <c r="BG116" s="1203"/>
      <c r="BH116" s="1204"/>
      <c r="BI116" s="1342"/>
      <c r="BJ116" s="1337"/>
      <c r="BK116" s="1338"/>
      <c r="BL116" s="1338"/>
      <c r="BM116" s="1338"/>
      <c r="BN116" s="1338"/>
      <c r="BO116" s="1339"/>
    </row>
    <row r="117" spans="1:67" ht="15" customHeight="1">
      <c r="A117" s="1307">
        <v>1.1000000000000001</v>
      </c>
      <c r="B117" s="1161" t="s">
        <v>330</v>
      </c>
      <c r="C117" s="1162"/>
      <c r="D117" s="1162"/>
      <c r="E117" s="1162"/>
      <c r="F117" s="1162"/>
      <c r="G117" s="1199"/>
      <c r="H117" s="1268" t="str">
        <f t="shared" ref="H117" si="67">IF(ISBLANK(D$5),"",1)</f>
        <v/>
      </c>
      <c r="I117" s="1205" t="str">
        <f t="shared" ref="I117" si="68">IF(ISBLANK(H$5),"",1)</f>
        <v/>
      </c>
      <c r="J117" s="1205" t="str">
        <f t="shared" ref="J117" si="69">IF(ISBLANK(L$5),"",1)</f>
        <v/>
      </c>
      <c r="K117" s="1205" t="str">
        <f t="shared" ref="K117" si="70">IF(ISBLANK(P$5),"",1)</f>
        <v/>
      </c>
      <c r="L117" s="1205" t="str">
        <f t="shared" ref="L117" si="71">IF(ISBLANK(T$5),"",1)</f>
        <v/>
      </c>
      <c r="M117" s="1248" t="str">
        <f t="shared" ref="M117" si="72">IF(ISBLANK(X$5),"",1)</f>
        <v/>
      </c>
      <c r="N117" s="1304">
        <v>4.4000000000000004</v>
      </c>
      <c r="O117" s="1161" t="s">
        <v>402</v>
      </c>
      <c r="P117" s="1162"/>
      <c r="Q117" s="1162"/>
      <c r="R117" s="1162"/>
      <c r="S117" s="1162"/>
      <c r="T117" s="1199"/>
      <c r="U117" s="1399" t="str">
        <f t="shared" ref="U117" si="73">IF(ISBLANK(D$5),"",1)</f>
        <v/>
      </c>
      <c r="V117" s="1258">
        <v>4.4000000000000004</v>
      </c>
      <c r="W117" s="1161" t="s">
        <v>393</v>
      </c>
      <c r="X117" s="1162"/>
      <c r="Y117" s="1162"/>
      <c r="Z117" s="1162"/>
      <c r="AA117" s="1162"/>
      <c r="AB117" s="1199"/>
      <c r="AC117" s="1399" t="str">
        <f t="shared" ref="AC117" si="74">IF(ISBLANK(H$5),"",1)</f>
        <v/>
      </c>
      <c r="AD117" s="1258">
        <v>4.4000000000000004</v>
      </c>
      <c r="AE117" s="1198" t="s">
        <v>415</v>
      </c>
      <c r="AF117" s="1162"/>
      <c r="AG117" s="1162"/>
      <c r="AH117" s="1162"/>
      <c r="AI117" s="1162"/>
      <c r="AJ117" s="1199"/>
      <c r="AK117" s="1226" t="str">
        <f t="shared" ref="AK117" si="75">IF(ISBLANK(L$5),"",1)</f>
        <v/>
      </c>
      <c r="AL117" s="1304">
        <v>4.4000000000000004</v>
      </c>
      <c r="AM117" s="1198" t="s">
        <v>393</v>
      </c>
      <c r="AN117" s="1162"/>
      <c r="AO117" s="1162"/>
      <c r="AP117" s="1162"/>
      <c r="AQ117" s="1162"/>
      <c r="AR117" s="1199"/>
      <c r="AS117" s="1226" t="str">
        <f t="shared" ref="AS117" si="76">IF(ISBLANK(P$5),"",1)</f>
        <v/>
      </c>
      <c r="AT117" s="1258">
        <v>4.4000000000000004</v>
      </c>
      <c r="AU117" s="1198" t="s">
        <v>892</v>
      </c>
      <c r="AV117" s="1162"/>
      <c r="AW117" s="1162"/>
      <c r="AX117" s="1162"/>
      <c r="AY117" s="1162"/>
      <c r="AZ117" s="1199"/>
      <c r="BA117" s="1226" t="str">
        <f t="shared" ref="BA117" si="77">IF(ISBLANK(T$5),"",1)</f>
        <v/>
      </c>
      <c r="BB117" s="1258">
        <v>4.4000000000000004</v>
      </c>
      <c r="BC117" s="1198" t="s">
        <v>892</v>
      </c>
      <c r="BD117" s="1162"/>
      <c r="BE117" s="1162"/>
      <c r="BF117" s="1162"/>
      <c r="BG117" s="1162"/>
      <c r="BH117" s="1199"/>
      <c r="BI117" s="1226" t="str">
        <f t="shared" ref="BI117" si="78">IF(ISBLANK(X$5),"",1)</f>
        <v/>
      </c>
      <c r="BJ117" s="1337"/>
      <c r="BK117" s="1338"/>
      <c r="BL117" s="1338"/>
      <c r="BM117" s="1338"/>
      <c r="BN117" s="1338"/>
      <c r="BO117" s="1339"/>
    </row>
    <row r="118" spans="1:67" ht="15" customHeight="1">
      <c r="A118" s="1308"/>
      <c r="B118" s="1163"/>
      <c r="C118" s="1164"/>
      <c r="D118" s="1164"/>
      <c r="E118" s="1164"/>
      <c r="F118" s="1164"/>
      <c r="G118" s="1201"/>
      <c r="H118" s="1269"/>
      <c r="I118" s="1206"/>
      <c r="J118" s="1206"/>
      <c r="K118" s="1206"/>
      <c r="L118" s="1206"/>
      <c r="M118" s="1206"/>
      <c r="N118" s="1290"/>
      <c r="O118" s="1163"/>
      <c r="P118" s="1164"/>
      <c r="Q118" s="1164"/>
      <c r="R118" s="1164"/>
      <c r="S118" s="1164"/>
      <c r="T118" s="1201"/>
      <c r="U118" s="1269"/>
      <c r="V118" s="1258"/>
      <c r="W118" s="1163"/>
      <c r="X118" s="1164"/>
      <c r="Y118" s="1164"/>
      <c r="Z118" s="1164"/>
      <c r="AA118" s="1164"/>
      <c r="AB118" s="1201"/>
      <c r="AC118" s="1269"/>
      <c r="AD118" s="1258"/>
      <c r="AE118" s="1200"/>
      <c r="AF118" s="1164"/>
      <c r="AG118" s="1164"/>
      <c r="AH118" s="1164"/>
      <c r="AI118" s="1164"/>
      <c r="AJ118" s="1201"/>
      <c r="AK118" s="1342"/>
      <c r="AL118" s="1290"/>
      <c r="AM118" s="1200"/>
      <c r="AN118" s="1164"/>
      <c r="AO118" s="1164"/>
      <c r="AP118" s="1164"/>
      <c r="AQ118" s="1164"/>
      <c r="AR118" s="1201"/>
      <c r="AS118" s="1342"/>
      <c r="AT118" s="1258"/>
      <c r="AU118" s="1200"/>
      <c r="AV118" s="1164"/>
      <c r="AW118" s="1164"/>
      <c r="AX118" s="1164"/>
      <c r="AY118" s="1164"/>
      <c r="AZ118" s="1201"/>
      <c r="BA118" s="1342"/>
      <c r="BB118" s="1258"/>
      <c r="BC118" s="1200"/>
      <c r="BD118" s="1164"/>
      <c r="BE118" s="1164"/>
      <c r="BF118" s="1164"/>
      <c r="BG118" s="1164"/>
      <c r="BH118" s="1201"/>
      <c r="BI118" s="1342"/>
      <c r="BJ118" s="1337"/>
      <c r="BK118" s="1338"/>
      <c r="BL118" s="1338"/>
      <c r="BM118" s="1338"/>
      <c r="BN118" s="1338"/>
      <c r="BO118" s="1339"/>
    </row>
    <row r="119" spans="1:67" ht="15" customHeight="1">
      <c r="A119" s="1309"/>
      <c r="B119" s="1165"/>
      <c r="C119" s="1166"/>
      <c r="D119" s="1166"/>
      <c r="E119" s="1166"/>
      <c r="F119" s="1166"/>
      <c r="G119" s="1292"/>
      <c r="H119" s="1270"/>
      <c r="I119" s="1207"/>
      <c r="J119" s="1207"/>
      <c r="K119" s="1207"/>
      <c r="L119" s="1207"/>
      <c r="M119" s="1207"/>
      <c r="N119" s="1291"/>
      <c r="O119" s="1165"/>
      <c r="P119" s="1166"/>
      <c r="Q119" s="1166"/>
      <c r="R119" s="1166"/>
      <c r="S119" s="1166"/>
      <c r="T119" s="1292"/>
      <c r="U119" s="1270"/>
      <c r="V119" s="1258"/>
      <c r="W119" s="1165"/>
      <c r="X119" s="1166"/>
      <c r="Y119" s="1166"/>
      <c r="Z119" s="1166"/>
      <c r="AA119" s="1166"/>
      <c r="AB119" s="1292"/>
      <c r="AC119" s="1270"/>
      <c r="AD119" s="1258"/>
      <c r="AE119" s="1202"/>
      <c r="AF119" s="1203"/>
      <c r="AG119" s="1203"/>
      <c r="AH119" s="1203"/>
      <c r="AI119" s="1203"/>
      <c r="AJ119" s="1204"/>
      <c r="AK119" s="1342"/>
      <c r="AL119" s="1291"/>
      <c r="AM119" s="1202"/>
      <c r="AN119" s="1203"/>
      <c r="AO119" s="1203"/>
      <c r="AP119" s="1203"/>
      <c r="AQ119" s="1203"/>
      <c r="AR119" s="1204"/>
      <c r="AS119" s="1342"/>
      <c r="AT119" s="1258"/>
      <c r="AU119" s="1202"/>
      <c r="AV119" s="1203"/>
      <c r="AW119" s="1203"/>
      <c r="AX119" s="1203"/>
      <c r="AY119" s="1203"/>
      <c r="AZ119" s="1204"/>
      <c r="BA119" s="1342"/>
      <c r="BB119" s="1258"/>
      <c r="BC119" s="1202"/>
      <c r="BD119" s="1203"/>
      <c r="BE119" s="1203"/>
      <c r="BF119" s="1203"/>
      <c r="BG119" s="1203"/>
      <c r="BH119" s="1204"/>
      <c r="BI119" s="1342"/>
      <c r="BJ119" s="1337"/>
      <c r="BK119" s="1338"/>
      <c r="BL119" s="1338"/>
      <c r="BM119" s="1338"/>
      <c r="BN119" s="1338"/>
      <c r="BO119" s="1339"/>
    </row>
    <row r="120" spans="1:67" ht="15" customHeight="1">
      <c r="A120" s="1304">
        <v>1.5</v>
      </c>
      <c r="B120" s="1161" t="s">
        <v>336</v>
      </c>
      <c r="C120" s="1162"/>
      <c r="D120" s="1162"/>
      <c r="E120" s="1162"/>
      <c r="F120" s="1162"/>
      <c r="G120" s="1199"/>
      <c r="H120" s="1268" t="str">
        <f t="shared" ref="H120" si="79">IF(ISBLANK(D$5),"",1)</f>
        <v/>
      </c>
      <c r="I120" s="1205" t="str">
        <f t="shared" ref="I120" si="80">IF(ISBLANK(H$5),"",1)</f>
        <v/>
      </c>
      <c r="J120" s="1205" t="str">
        <f t="shared" ref="J120" si="81">IF(ISBLANK(L$5),"",1)</f>
        <v/>
      </c>
      <c r="K120" s="1205" t="str">
        <f t="shared" ref="K120" si="82">IF(ISBLANK(P$5),"",1)</f>
        <v/>
      </c>
      <c r="L120" s="1205" t="str">
        <f t="shared" ref="L120" si="83">IF(ISBLANK(T$5),"",1)</f>
        <v/>
      </c>
      <c r="M120" s="1248" t="str">
        <f t="shared" ref="M120" si="84">IF(ISBLANK(X$5),"",1)</f>
        <v/>
      </c>
      <c r="N120" s="1304">
        <v>4.4000000000000004</v>
      </c>
      <c r="O120" s="1161" t="s">
        <v>403</v>
      </c>
      <c r="P120" s="1162"/>
      <c r="Q120" s="1162"/>
      <c r="R120" s="1162"/>
      <c r="S120" s="1162"/>
      <c r="T120" s="1199"/>
      <c r="U120" s="1399" t="str">
        <f t="shared" ref="U120" si="85">IF(ISBLANK(D$5),"",1)</f>
        <v/>
      </c>
      <c r="V120" s="1304">
        <v>4.4000000000000004</v>
      </c>
      <c r="W120" s="1161" t="s">
        <v>359</v>
      </c>
      <c r="X120" s="1162"/>
      <c r="Y120" s="1162"/>
      <c r="Z120" s="1162"/>
      <c r="AA120" s="1162"/>
      <c r="AB120" s="1199"/>
      <c r="AC120" s="1399" t="str">
        <f t="shared" ref="AC120" si="86">IF(ISBLANK(H$5),"",1)</f>
        <v/>
      </c>
      <c r="AD120" s="1304">
        <v>4.3</v>
      </c>
      <c r="AE120" s="1310" t="s">
        <v>879</v>
      </c>
      <c r="AF120" s="1311"/>
      <c r="AG120" s="1311"/>
      <c r="AH120" s="1311"/>
      <c r="AI120" s="1311"/>
      <c r="AJ120" s="1316"/>
      <c r="AK120" s="1226" t="str">
        <f t="shared" ref="AK120" si="87">IF(ISBLANK(L$5),"",1)</f>
        <v/>
      </c>
      <c r="AL120" s="1196">
        <v>4.4000000000000004</v>
      </c>
      <c r="AM120" s="1198" t="s">
        <v>890</v>
      </c>
      <c r="AN120" s="1162"/>
      <c r="AO120" s="1162"/>
      <c r="AP120" s="1162"/>
      <c r="AQ120" s="1162"/>
      <c r="AR120" s="1199"/>
      <c r="AS120" s="1226" t="str">
        <f t="shared" ref="AS120" si="88">IF(ISBLANK(P$5),"",1)</f>
        <v/>
      </c>
      <c r="AT120" s="1258">
        <v>4.3</v>
      </c>
      <c r="AU120" s="1198" t="s">
        <v>879</v>
      </c>
      <c r="AV120" s="1162"/>
      <c r="AW120" s="1162"/>
      <c r="AX120" s="1162"/>
      <c r="AY120" s="1162"/>
      <c r="AZ120" s="1199"/>
      <c r="BA120" s="1226" t="str">
        <f t="shared" ref="BA120" si="89">IF(ISBLANK(T$5),"",1)</f>
        <v/>
      </c>
      <c r="BB120" s="1258">
        <v>4.3</v>
      </c>
      <c r="BC120" s="1198" t="s">
        <v>879</v>
      </c>
      <c r="BD120" s="1162"/>
      <c r="BE120" s="1162"/>
      <c r="BF120" s="1162"/>
      <c r="BG120" s="1162"/>
      <c r="BH120" s="1199"/>
      <c r="BI120" s="1226" t="str">
        <f t="shared" ref="BI120" si="90">IF(ISBLANK(X$5),"",1)</f>
        <v/>
      </c>
      <c r="BJ120" s="1337"/>
      <c r="BK120" s="1338"/>
      <c r="BL120" s="1338"/>
      <c r="BM120" s="1338"/>
      <c r="BN120" s="1338"/>
      <c r="BO120" s="1339"/>
    </row>
    <row r="121" spans="1:67" ht="15" customHeight="1">
      <c r="A121" s="1290"/>
      <c r="B121" s="1163"/>
      <c r="C121" s="1164"/>
      <c r="D121" s="1164"/>
      <c r="E121" s="1164"/>
      <c r="F121" s="1164"/>
      <c r="G121" s="1201"/>
      <c r="H121" s="1269"/>
      <c r="I121" s="1206"/>
      <c r="J121" s="1206"/>
      <c r="K121" s="1206"/>
      <c r="L121" s="1206"/>
      <c r="M121" s="1206"/>
      <c r="N121" s="1290"/>
      <c r="O121" s="1163"/>
      <c r="P121" s="1164"/>
      <c r="Q121" s="1164"/>
      <c r="R121" s="1164"/>
      <c r="S121" s="1164"/>
      <c r="T121" s="1201"/>
      <c r="U121" s="1269"/>
      <c r="V121" s="1290"/>
      <c r="W121" s="1163"/>
      <c r="X121" s="1164"/>
      <c r="Y121" s="1164"/>
      <c r="Z121" s="1164"/>
      <c r="AA121" s="1164"/>
      <c r="AB121" s="1201"/>
      <c r="AC121" s="1269"/>
      <c r="AD121" s="1290"/>
      <c r="AE121" s="1295"/>
      <c r="AF121" s="1296"/>
      <c r="AG121" s="1296"/>
      <c r="AH121" s="1296"/>
      <c r="AI121" s="1296"/>
      <c r="AJ121" s="1318"/>
      <c r="AK121" s="1342"/>
      <c r="AL121" s="1197"/>
      <c r="AM121" s="1200"/>
      <c r="AN121" s="1164"/>
      <c r="AO121" s="1164"/>
      <c r="AP121" s="1164"/>
      <c r="AQ121" s="1164"/>
      <c r="AR121" s="1201"/>
      <c r="AS121" s="1342"/>
      <c r="AT121" s="1258"/>
      <c r="AU121" s="1200"/>
      <c r="AV121" s="1164"/>
      <c r="AW121" s="1164"/>
      <c r="AX121" s="1164"/>
      <c r="AY121" s="1164"/>
      <c r="AZ121" s="1201"/>
      <c r="BA121" s="1342"/>
      <c r="BB121" s="1258"/>
      <c r="BC121" s="1200"/>
      <c r="BD121" s="1164"/>
      <c r="BE121" s="1164"/>
      <c r="BF121" s="1164"/>
      <c r="BG121" s="1164"/>
      <c r="BH121" s="1201"/>
      <c r="BI121" s="1342"/>
      <c r="BJ121" s="1337"/>
      <c r="BK121" s="1338"/>
      <c r="BL121" s="1338"/>
      <c r="BM121" s="1338"/>
      <c r="BN121" s="1338"/>
      <c r="BO121" s="1339"/>
    </row>
    <row r="122" spans="1:67" ht="15" customHeight="1">
      <c r="A122" s="1291"/>
      <c r="B122" s="1165"/>
      <c r="C122" s="1166"/>
      <c r="D122" s="1166"/>
      <c r="E122" s="1166"/>
      <c r="F122" s="1166"/>
      <c r="G122" s="1292"/>
      <c r="H122" s="1270"/>
      <c r="I122" s="1207"/>
      <c r="J122" s="1207"/>
      <c r="K122" s="1207"/>
      <c r="L122" s="1207"/>
      <c r="M122" s="1207"/>
      <c r="N122" s="1291"/>
      <c r="O122" s="1165"/>
      <c r="P122" s="1166"/>
      <c r="Q122" s="1166"/>
      <c r="R122" s="1166"/>
      <c r="S122" s="1166"/>
      <c r="T122" s="1292"/>
      <c r="U122" s="1270"/>
      <c r="V122" s="1291"/>
      <c r="W122" s="1165"/>
      <c r="X122" s="1166"/>
      <c r="Y122" s="1166"/>
      <c r="Z122" s="1166"/>
      <c r="AA122" s="1166"/>
      <c r="AB122" s="1292"/>
      <c r="AC122" s="1270"/>
      <c r="AD122" s="1291"/>
      <c r="AE122" s="1298"/>
      <c r="AF122" s="1299"/>
      <c r="AG122" s="1299"/>
      <c r="AH122" s="1299"/>
      <c r="AI122" s="1299"/>
      <c r="AJ122" s="1335"/>
      <c r="AK122" s="1342"/>
      <c r="AL122" s="1197"/>
      <c r="AM122" s="1202"/>
      <c r="AN122" s="1203"/>
      <c r="AO122" s="1203"/>
      <c r="AP122" s="1203"/>
      <c r="AQ122" s="1203"/>
      <c r="AR122" s="1204"/>
      <c r="AS122" s="1342"/>
      <c r="AT122" s="1258"/>
      <c r="AU122" s="1202"/>
      <c r="AV122" s="1203"/>
      <c r="AW122" s="1203"/>
      <c r="AX122" s="1203"/>
      <c r="AY122" s="1203"/>
      <c r="AZ122" s="1204"/>
      <c r="BA122" s="1342"/>
      <c r="BB122" s="1258"/>
      <c r="BC122" s="1202"/>
      <c r="BD122" s="1203"/>
      <c r="BE122" s="1203"/>
      <c r="BF122" s="1203"/>
      <c r="BG122" s="1203"/>
      <c r="BH122" s="1204"/>
      <c r="BI122" s="1342"/>
      <c r="BJ122" s="1337"/>
      <c r="BK122" s="1338"/>
      <c r="BL122" s="1338"/>
      <c r="BM122" s="1338"/>
      <c r="BN122" s="1338"/>
      <c r="BO122" s="1339"/>
    </row>
    <row r="123" spans="1:67" ht="15" customHeight="1">
      <c r="A123" s="1304">
        <v>2.1</v>
      </c>
      <c r="B123" s="1161" t="s">
        <v>360</v>
      </c>
      <c r="C123" s="1162"/>
      <c r="D123" s="1162"/>
      <c r="E123" s="1162"/>
      <c r="F123" s="1162"/>
      <c r="G123" s="1199"/>
      <c r="H123" s="1268" t="str">
        <f t="shared" ref="H123" si="91">IF(ISBLANK(D$5),"",1)</f>
        <v/>
      </c>
      <c r="I123" s="1205" t="str">
        <f t="shared" ref="I123" si="92">IF(ISBLANK(H$5),"",1)</f>
        <v/>
      </c>
      <c r="J123" s="1205" t="str">
        <f t="shared" ref="J123" si="93">IF(ISBLANK(L$5),"",1)</f>
        <v/>
      </c>
      <c r="K123" s="1205" t="str">
        <f t="shared" ref="K123" si="94">IF(ISBLANK(P$5),"",1)</f>
        <v/>
      </c>
      <c r="L123" s="1205" t="str">
        <f t="shared" ref="L123" si="95">IF(ISBLANK(T$5),"",1)</f>
        <v/>
      </c>
      <c r="M123" s="1248" t="str">
        <f t="shared" ref="M123" si="96">IF(ISBLANK(X$5),"",1)</f>
        <v/>
      </c>
      <c r="N123" s="1304">
        <v>4.4000000000000004</v>
      </c>
      <c r="O123" s="1161" t="s">
        <v>359</v>
      </c>
      <c r="P123" s="1162"/>
      <c r="Q123" s="1162"/>
      <c r="R123" s="1162"/>
      <c r="S123" s="1162"/>
      <c r="T123" s="1199"/>
      <c r="U123" s="1399" t="str">
        <f t="shared" ref="U123" si="97">IF(ISBLANK(D$5),"",1)</f>
        <v/>
      </c>
      <c r="V123" s="1322">
        <v>4.4000000000000004</v>
      </c>
      <c r="W123" s="1161" t="s">
        <v>395</v>
      </c>
      <c r="X123" s="1162"/>
      <c r="Y123" s="1162"/>
      <c r="Z123" s="1162"/>
      <c r="AA123" s="1162"/>
      <c r="AB123" s="1199"/>
      <c r="AC123" s="1399" t="str">
        <f t="shared" ref="AC123" si="98">IF(ISBLANK(H$5),"",1)</f>
        <v/>
      </c>
      <c r="AD123" s="1258">
        <v>4.4000000000000004</v>
      </c>
      <c r="AE123" s="1198" t="s">
        <v>882</v>
      </c>
      <c r="AF123" s="1162"/>
      <c r="AG123" s="1162"/>
      <c r="AH123" s="1162"/>
      <c r="AI123" s="1162"/>
      <c r="AJ123" s="1199"/>
      <c r="AK123" s="1226" t="str">
        <f t="shared" ref="AK123" si="99">IF(ISBLANK(L$5),"",1)</f>
        <v/>
      </c>
      <c r="AL123" s="1196">
        <v>4.4000000000000004</v>
      </c>
      <c r="AM123" s="1198" t="s">
        <v>886</v>
      </c>
      <c r="AN123" s="1162"/>
      <c r="AO123" s="1162"/>
      <c r="AP123" s="1162"/>
      <c r="AQ123" s="1162"/>
      <c r="AR123" s="1199"/>
      <c r="AS123" s="1226" t="str">
        <f t="shared" ref="AS123" si="100">IF(ISBLANK(P$5),"",1)</f>
        <v/>
      </c>
      <c r="AT123" s="1258">
        <v>4.4000000000000004</v>
      </c>
      <c r="AU123" s="1198" t="s">
        <v>888</v>
      </c>
      <c r="AV123" s="1162"/>
      <c r="AW123" s="1162"/>
      <c r="AX123" s="1162"/>
      <c r="AY123" s="1162"/>
      <c r="AZ123" s="1199"/>
      <c r="BA123" s="1226" t="str">
        <f t="shared" ref="BA123" si="101">IF(ISBLANK(T$5),"",1)</f>
        <v/>
      </c>
      <c r="BB123" s="1258">
        <v>4.4000000000000004</v>
      </c>
      <c r="BC123" s="1198" t="s">
        <v>889</v>
      </c>
      <c r="BD123" s="1162"/>
      <c r="BE123" s="1162"/>
      <c r="BF123" s="1162"/>
      <c r="BG123" s="1162"/>
      <c r="BH123" s="1199"/>
      <c r="BI123" s="1226" t="str">
        <f t="shared" ref="BI123" si="102">IF(ISBLANK(X$5),"",1)</f>
        <v/>
      </c>
      <c r="BJ123" s="1337"/>
      <c r="BK123" s="1338"/>
      <c r="BL123" s="1338"/>
      <c r="BM123" s="1338"/>
      <c r="BN123" s="1338"/>
      <c r="BO123" s="1339"/>
    </row>
    <row r="124" spans="1:67" ht="15" customHeight="1">
      <c r="A124" s="1290"/>
      <c r="B124" s="1163"/>
      <c r="C124" s="1164"/>
      <c r="D124" s="1164"/>
      <c r="E124" s="1164"/>
      <c r="F124" s="1164"/>
      <c r="G124" s="1201"/>
      <c r="H124" s="1269"/>
      <c r="I124" s="1206"/>
      <c r="J124" s="1206"/>
      <c r="K124" s="1206"/>
      <c r="L124" s="1206"/>
      <c r="M124" s="1206"/>
      <c r="N124" s="1290"/>
      <c r="O124" s="1163"/>
      <c r="P124" s="1164"/>
      <c r="Q124" s="1164"/>
      <c r="R124" s="1164"/>
      <c r="S124" s="1164"/>
      <c r="T124" s="1201"/>
      <c r="U124" s="1269"/>
      <c r="V124" s="1293"/>
      <c r="W124" s="1163"/>
      <c r="X124" s="1164"/>
      <c r="Y124" s="1164"/>
      <c r="Z124" s="1164"/>
      <c r="AA124" s="1164"/>
      <c r="AB124" s="1201"/>
      <c r="AC124" s="1269"/>
      <c r="AD124" s="1258"/>
      <c r="AE124" s="1200"/>
      <c r="AF124" s="1164"/>
      <c r="AG124" s="1164"/>
      <c r="AH124" s="1164"/>
      <c r="AI124" s="1164"/>
      <c r="AJ124" s="1201"/>
      <c r="AK124" s="1342"/>
      <c r="AL124" s="1197"/>
      <c r="AM124" s="1200"/>
      <c r="AN124" s="1164"/>
      <c r="AO124" s="1164"/>
      <c r="AP124" s="1164"/>
      <c r="AQ124" s="1164"/>
      <c r="AR124" s="1201"/>
      <c r="AS124" s="1342"/>
      <c r="AT124" s="1258"/>
      <c r="AU124" s="1200"/>
      <c r="AV124" s="1164"/>
      <c r="AW124" s="1164"/>
      <c r="AX124" s="1164"/>
      <c r="AY124" s="1164"/>
      <c r="AZ124" s="1201"/>
      <c r="BA124" s="1342"/>
      <c r="BB124" s="1258"/>
      <c r="BC124" s="1200"/>
      <c r="BD124" s="1164"/>
      <c r="BE124" s="1164"/>
      <c r="BF124" s="1164"/>
      <c r="BG124" s="1164"/>
      <c r="BH124" s="1201"/>
      <c r="BI124" s="1342"/>
      <c r="BJ124" s="1337"/>
      <c r="BK124" s="1338"/>
      <c r="BL124" s="1338"/>
      <c r="BM124" s="1338"/>
      <c r="BN124" s="1338"/>
      <c r="BO124" s="1339"/>
    </row>
    <row r="125" spans="1:67" ht="15" customHeight="1">
      <c r="A125" s="1291"/>
      <c r="B125" s="1165"/>
      <c r="C125" s="1166"/>
      <c r="D125" s="1166"/>
      <c r="E125" s="1166"/>
      <c r="F125" s="1166"/>
      <c r="G125" s="1292"/>
      <c r="H125" s="1270"/>
      <c r="I125" s="1207"/>
      <c r="J125" s="1207"/>
      <c r="K125" s="1207"/>
      <c r="L125" s="1207"/>
      <c r="M125" s="1207"/>
      <c r="N125" s="1291"/>
      <c r="O125" s="1165"/>
      <c r="P125" s="1166"/>
      <c r="Q125" s="1166"/>
      <c r="R125" s="1166"/>
      <c r="S125" s="1166"/>
      <c r="T125" s="1292"/>
      <c r="U125" s="1270"/>
      <c r="V125" s="1294"/>
      <c r="W125" s="1165"/>
      <c r="X125" s="1166"/>
      <c r="Y125" s="1166"/>
      <c r="Z125" s="1166"/>
      <c r="AA125" s="1166"/>
      <c r="AB125" s="1292"/>
      <c r="AC125" s="1270"/>
      <c r="AD125" s="1258"/>
      <c r="AE125" s="1202"/>
      <c r="AF125" s="1203"/>
      <c r="AG125" s="1203"/>
      <c r="AH125" s="1203"/>
      <c r="AI125" s="1203"/>
      <c r="AJ125" s="1204"/>
      <c r="AK125" s="1342"/>
      <c r="AL125" s="1197"/>
      <c r="AM125" s="1202"/>
      <c r="AN125" s="1203"/>
      <c r="AO125" s="1203"/>
      <c r="AP125" s="1203"/>
      <c r="AQ125" s="1203"/>
      <c r="AR125" s="1204"/>
      <c r="AS125" s="1342"/>
      <c r="AT125" s="1258"/>
      <c r="AU125" s="1202"/>
      <c r="AV125" s="1203"/>
      <c r="AW125" s="1203"/>
      <c r="AX125" s="1203"/>
      <c r="AY125" s="1203"/>
      <c r="AZ125" s="1204"/>
      <c r="BA125" s="1342"/>
      <c r="BB125" s="1258"/>
      <c r="BC125" s="1202"/>
      <c r="BD125" s="1203"/>
      <c r="BE125" s="1203"/>
      <c r="BF125" s="1203"/>
      <c r="BG125" s="1203"/>
      <c r="BH125" s="1204"/>
      <c r="BI125" s="1342"/>
      <c r="BJ125" s="1337"/>
      <c r="BK125" s="1338"/>
      <c r="BL125" s="1338"/>
      <c r="BM125" s="1338"/>
      <c r="BN125" s="1338"/>
      <c r="BO125" s="1339"/>
    </row>
    <row r="126" spans="1:67" ht="15" customHeight="1">
      <c r="A126" s="1304">
        <v>2.4</v>
      </c>
      <c r="B126" s="1161" t="s">
        <v>942</v>
      </c>
      <c r="C126" s="1162"/>
      <c r="D126" s="1162"/>
      <c r="E126" s="1162"/>
      <c r="F126" s="1162"/>
      <c r="G126" s="1199"/>
      <c r="H126" s="1268" t="str">
        <f t="shared" ref="H126" si="103">IF(ISBLANK(D$5),"",1)</f>
        <v/>
      </c>
      <c r="I126" s="1205" t="str">
        <f t="shared" ref="I126" si="104">IF(ISBLANK(H$5),"",1)</f>
        <v/>
      </c>
      <c r="J126" s="1205" t="str">
        <f t="shared" ref="J126" si="105">IF(ISBLANK(L$5),"",1)</f>
        <v/>
      </c>
      <c r="K126" s="1205" t="str">
        <f t="shared" ref="K126" si="106">IF(ISBLANK(P$5),"",1)</f>
        <v/>
      </c>
      <c r="L126" s="1205" t="str">
        <f t="shared" ref="L126" si="107">IF(ISBLANK(T$5),"",1)</f>
        <v/>
      </c>
      <c r="M126" s="1248" t="str">
        <f t="shared" ref="M126" si="108">IF(ISBLANK(X$5),"",1)</f>
        <v/>
      </c>
      <c r="N126" s="1301">
        <v>4.4000000000000004</v>
      </c>
      <c r="O126" s="1161" t="s">
        <v>395</v>
      </c>
      <c r="P126" s="1162"/>
      <c r="Q126" s="1162"/>
      <c r="R126" s="1162"/>
      <c r="S126" s="1162"/>
      <c r="T126" s="1199"/>
      <c r="U126" s="1399" t="str">
        <f t="shared" ref="U126" si="109">IF(ISBLANK(D$5),"",1)</f>
        <v/>
      </c>
      <c r="V126" s="1304">
        <v>4.4000000000000004</v>
      </c>
      <c r="W126" s="1161" t="s">
        <v>878</v>
      </c>
      <c r="X126" s="1162"/>
      <c r="Y126" s="1162"/>
      <c r="Z126" s="1162"/>
      <c r="AA126" s="1162"/>
      <c r="AB126" s="1199"/>
      <c r="AC126" s="1399" t="str">
        <f t="shared" ref="AC126" si="110">IF(ISBLANK(H$5),"",1)</f>
        <v/>
      </c>
      <c r="AD126" s="1258">
        <v>4.4000000000000004</v>
      </c>
      <c r="AE126" s="1198" t="s">
        <v>417</v>
      </c>
      <c r="AF126" s="1162"/>
      <c r="AG126" s="1162"/>
      <c r="AH126" s="1162"/>
      <c r="AI126" s="1162"/>
      <c r="AJ126" s="1199"/>
      <c r="AK126" s="1226" t="str">
        <f t="shared" ref="AK126" si="111">IF(ISBLANK(L$5),"",1)</f>
        <v/>
      </c>
      <c r="AL126" s="1196">
        <v>4.4000000000000004</v>
      </c>
      <c r="AM126" s="1198" t="s">
        <v>359</v>
      </c>
      <c r="AN126" s="1162"/>
      <c r="AO126" s="1162"/>
      <c r="AP126" s="1162"/>
      <c r="AQ126" s="1162"/>
      <c r="AR126" s="1199"/>
      <c r="AS126" s="1226" t="str">
        <f t="shared" ref="AS126" si="112">IF(ISBLANK(P$5),"",1)</f>
        <v/>
      </c>
      <c r="AT126" s="1258">
        <v>4.4000000000000004</v>
      </c>
      <c r="AU126" s="1198" t="s">
        <v>417</v>
      </c>
      <c r="AV126" s="1162"/>
      <c r="AW126" s="1162"/>
      <c r="AX126" s="1162"/>
      <c r="AY126" s="1162"/>
      <c r="AZ126" s="1199"/>
      <c r="BA126" s="1226" t="str">
        <f t="shared" ref="BA126" si="113">IF(ISBLANK(T$5),"",1)</f>
        <v/>
      </c>
      <c r="BB126" s="1258">
        <v>4.4000000000000004</v>
      </c>
      <c r="BC126" s="1198" t="s">
        <v>417</v>
      </c>
      <c r="BD126" s="1162"/>
      <c r="BE126" s="1162"/>
      <c r="BF126" s="1162"/>
      <c r="BG126" s="1162"/>
      <c r="BH126" s="1199"/>
      <c r="BI126" s="1226" t="str">
        <f t="shared" ref="BI126" si="114">IF(ISBLANK(X$5),"",1)</f>
        <v/>
      </c>
      <c r="BJ126" s="1337"/>
      <c r="BK126" s="1338"/>
      <c r="BL126" s="1338"/>
      <c r="BM126" s="1338"/>
      <c r="BN126" s="1338"/>
      <c r="BO126" s="1339"/>
    </row>
    <row r="127" spans="1:67" ht="15" customHeight="1">
      <c r="A127" s="1290"/>
      <c r="B127" s="1163"/>
      <c r="C127" s="1164"/>
      <c r="D127" s="1164"/>
      <c r="E127" s="1164"/>
      <c r="F127" s="1164"/>
      <c r="G127" s="1201"/>
      <c r="H127" s="1269"/>
      <c r="I127" s="1206"/>
      <c r="J127" s="1206"/>
      <c r="K127" s="1206"/>
      <c r="L127" s="1206"/>
      <c r="M127" s="1206"/>
      <c r="N127" s="1302"/>
      <c r="O127" s="1163"/>
      <c r="P127" s="1164"/>
      <c r="Q127" s="1164"/>
      <c r="R127" s="1164"/>
      <c r="S127" s="1164"/>
      <c r="T127" s="1201"/>
      <c r="U127" s="1269"/>
      <c r="V127" s="1290"/>
      <c r="W127" s="1163"/>
      <c r="X127" s="1164"/>
      <c r="Y127" s="1164"/>
      <c r="Z127" s="1164"/>
      <c r="AA127" s="1164"/>
      <c r="AB127" s="1201"/>
      <c r="AC127" s="1269"/>
      <c r="AD127" s="1258"/>
      <c r="AE127" s="1200"/>
      <c r="AF127" s="1164"/>
      <c r="AG127" s="1164"/>
      <c r="AH127" s="1164"/>
      <c r="AI127" s="1164"/>
      <c r="AJ127" s="1201"/>
      <c r="AK127" s="1342"/>
      <c r="AL127" s="1197"/>
      <c r="AM127" s="1200"/>
      <c r="AN127" s="1164"/>
      <c r="AO127" s="1164"/>
      <c r="AP127" s="1164"/>
      <c r="AQ127" s="1164"/>
      <c r="AR127" s="1201"/>
      <c r="AS127" s="1342"/>
      <c r="AT127" s="1258"/>
      <c r="AU127" s="1200"/>
      <c r="AV127" s="1164"/>
      <c r="AW127" s="1164"/>
      <c r="AX127" s="1164"/>
      <c r="AY127" s="1164"/>
      <c r="AZ127" s="1201"/>
      <c r="BA127" s="1342"/>
      <c r="BB127" s="1258"/>
      <c r="BC127" s="1200"/>
      <c r="BD127" s="1164"/>
      <c r="BE127" s="1164"/>
      <c r="BF127" s="1164"/>
      <c r="BG127" s="1164"/>
      <c r="BH127" s="1201"/>
      <c r="BI127" s="1342"/>
      <c r="BJ127" s="1337"/>
      <c r="BK127" s="1338"/>
      <c r="BL127" s="1338"/>
      <c r="BM127" s="1338"/>
      <c r="BN127" s="1338"/>
      <c r="BO127" s="1339"/>
    </row>
    <row r="128" spans="1:67" ht="15" customHeight="1">
      <c r="A128" s="1291"/>
      <c r="B128" s="1165"/>
      <c r="C128" s="1166"/>
      <c r="D128" s="1166"/>
      <c r="E128" s="1166"/>
      <c r="F128" s="1166"/>
      <c r="G128" s="1292"/>
      <c r="H128" s="1270"/>
      <c r="I128" s="1207"/>
      <c r="J128" s="1207"/>
      <c r="K128" s="1207"/>
      <c r="L128" s="1207"/>
      <c r="M128" s="1207"/>
      <c r="N128" s="1303"/>
      <c r="O128" s="1165"/>
      <c r="P128" s="1166"/>
      <c r="Q128" s="1166"/>
      <c r="R128" s="1166"/>
      <c r="S128" s="1166"/>
      <c r="T128" s="1292"/>
      <c r="U128" s="1270"/>
      <c r="V128" s="1291"/>
      <c r="W128" s="1165"/>
      <c r="X128" s="1166"/>
      <c r="Y128" s="1166"/>
      <c r="Z128" s="1166"/>
      <c r="AA128" s="1166"/>
      <c r="AB128" s="1292"/>
      <c r="AC128" s="1270"/>
      <c r="AD128" s="1258"/>
      <c r="AE128" s="1202"/>
      <c r="AF128" s="1203"/>
      <c r="AG128" s="1203"/>
      <c r="AH128" s="1203"/>
      <c r="AI128" s="1203"/>
      <c r="AJ128" s="1204"/>
      <c r="AK128" s="1342"/>
      <c r="AL128" s="1197"/>
      <c r="AM128" s="1202"/>
      <c r="AN128" s="1203"/>
      <c r="AO128" s="1203"/>
      <c r="AP128" s="1203"/>
      <c r="AQ128" s="1203"/>
      <c r="AR128" s="1204"/>
      <c r="AS128" s="1342"/>
      <c r="AT128" s="1258"/>
      <c r="AU128" s="1202"/>
      <c r="AV128" s="1203"/>
      <c r="AW128" s="1203"/>
      <c r="AX128" s="1203"/>
      <c r="AY128" s="1203"/>
      <c r="AZ128" s="1204"/>
      <c r="BA128" s="1342"/>
      <c r="BB128" s="1258"/>
      <c r="BC128" s="1202"/>
      <c r="BD128" s="1203"/>
      <c r="BE128" s="1203"/>
      <c r="BF128" s="1203"/>
      <c r="BG128" s="1203"/>
      <c r="BH128" s="1204"/>
      <c r="BI128" s="1342"/>
      <c r="BJ128" s="1337"/>
      <c r="BK128" s="1338"/>
      <c r="BL128" s="1338"/>
      <c r="BM128" s="1338"/>
      <c r="BN128" s="1338"/>
      <c r="BO128" s="1339"/>
    </row>
    <row r="129" spans="1:67" ht="15" customHeight="1">
      <c r="A129" s="252"/>
      <c r="B129" s="243"/>
      <c r="C129" s="242"/>
      <c r="D129" s="242"/>
      <c r="F129" s="278">
        <v>1.1000000000000001</v>
      </c>
      <c r="G129" s="311">
        <f>COUNTIF($A$102:$A$128,F129)</f>
        <v>4</v>
      </c>
      <c r="H129" s="240" t="str">
        <f>IF($D$5=1,SUMIF($A102:$A128,$F129,H102:H128),"")</f>
        <v/>
      </c>
      <c r="I129" s="240" t="str">
        <f>IF($H$5=1,SUMIF($A$102:$A$128,F129,$I$102:$I$128),"")</f>
        <v/>
      </c>
      <c r="J129" s="240" t="str">
        <f>IF($L$5=1,SUMIF($A$102:$A$128,F129,$J$102:$J$128),"")</f>
        <v/>
      </c>
      <c r="K129" s="240" t="str">
        <f>IF($P$5=1,SUMIF($A$102:$A$128,$F129,$K$102:$K$128),"")</f>
        <v/>
      </c>
      <c r="L129" s="240" t="str">
        <f>IF($T$5=1,SUMIF($A$102:$A$128,$F129,$L$102:$L$128),"")</f>
        <v/>
      </c>
      <c r="M129" s="240" t="str">
        <f>IF($X$5=1,SUMIF($A$102:$A$128,$F129,$M$102:$M$128),"")</f>
        <v/>
      </c>
      <c r="N129" s="1304">
        <v>4.4000000000000004</v>
      </c>
      <c r="O129" s="1161" t="s">
        <v>878</v>
      </c>
      <c r="P129" s="1162"/>
      <c r="Q129" s="1162"/>
      <c r="R129" s="1162"/>
      <c r="S129" s="1162"/>
      <c r="T129" s="1199"/>
      <c r="U129" s="1399" t="str">
        <f t="shared" ref="U129" si="115">IF(ISBLANK(D$5),"",1)</f>
        <v/>
      </c>
      <c r="V129" s="1307">
        <v>1.5</v>
      </c>
      <c r="W129" s="1315" t="s">
        <v>373</v>
      </c>
      <c r="X129" s="1311"/>
      <c r="Y129" s="1311"/>
      <c r="Z129" s="1311"/>
      <c r="AA129" s="1311"/>
      <c r="AB129" s="1316"/>
      <c r="AC129" s="1399" t="str">
        <f t="shared" ref="AC129" si="116">IF(ISBLANK(H$5),"",1)</f>
        <v/>
      </c>
      <c r="AD129" s="1304">
        <v>4.4000000000000004</v>
      </c>
      <c r="AE129" s="1198" t="s">
        <v>359</v>
      </c>
      <c r="AF129" s="1162"/>
      <c r="AG129" s="1162"/>
      <c r="AH129" s="1162"/>
      <c r="AI129" s="1162"/>
      <c r="AJ129" s="1199"/>
      <c r="AK129" s="1226" t="str">
        <f t="shared" ref="AK129" si="117">IF(ISBLANK(L$5),"",1)</f>
        <v/>
      </c>
      <c r="AL129" s="1196">
        <v>4.4000000000000004</v>
      </c>
      <c r="AM129" s="1198" t="s">
        <v>887</v>
      </c>
      <c r="AN129" s="1162"/>
      <c r="AO129" s="1162"/>
      <c r="AP129" s="1162"/>
      <c r="AQ129" s="1162"/>
      <c r="AR129" s="1199"/>
      <c r="AS129" s="1226" t="str">
        <f t="shared" ref="AS129" si="118">IF(ISBLANK(P$5),"",1)</f>
        <v/>
      </c>
      <c r="AT129" s="1304">
        <v>4.4000000000000004</v>
      </c>
      <c r="AU129" s="1198" t="s">
        <v>359</v>
      </c>
      <c r="AV129" s="1162"/>
      <c r="AW129" s="1162"/>
      <c r="AX129" s="1162"/>
      <c r="AY129" s="1162"/>
      <c r="AZ129" s="1199"/>
      <c r="BA129" s="1226" t="str">
        <f t="shared" ref="BA129" si="119">IF(ISBLANK(T$5),"",1)</f>
        <v/>
      </c>
      <c r="BB129" s="1304">
        <v>4.4000000000000004</v>
      </c>
      <c r="BC129" s="1198" t="s">
        <v>359</v>
      </c>
      <c r="BD129" s="1162"/>
      <c r="BE129" s="1162"/>
      <c r="BF129" s="1162"/>
      <c r="BG129" s="1162"/>
      <c r="BH129" s="1199"/>
      <c r="BI129" s="1226" t="str">
        <f t="shared" ref="BI129" si="120">IF(ISBLANK(X$5),"",1)</f>
        <v/>
      </c>
      <c r="BJ129" s="1337"/>
      <c r="BK129" s="1338"/>
      <c r="BL129" s="1338"/>
      <c r="BM129" s="1338"/>
      <c r="BN129" s="1338"/>
      <c r="BO129" s="1339"/>
    </row>
    <row r="130" spans="1:67" ht="15" customHeight="1">
      <c r="A130" s="252"/>
      <c r="B130" s="243"/>
      <c r="C130" s="242"/>
      <c r="D130" s="242"/>
      <c r="F130" s="278">
        <v>1.5</v>
      </c>
      <c r="G130" s="311">
        <f t="shared" ref="G130:G132" si="121">COUNTIF($A$102:$A$128,F130)</f>
        <v>1</v>
      </c>
      <c r="H130" s="240" t="str">
        <f t="shared" ref="H130:H132" si="122">IF($D$5=1,SUMIF($A$102:$A$128,F130,$H$102:$H$128),"")</f>
        <v/>
      </c>
      <c r="I130" s="240" t="str">
        <f t="shared" ref="I130:I132" si="123">IF($H$5=1,SUMIF($A$102:$A$128,F130,$I$102:$I$128),"")</f>
        <v/>
      </c>
      <c r="J130" s="240" t="str">
        <f t="shared" ref="J130:J132" si="124">IF($L$5=1,SUMIF($A$102:$A$128,F130,$J$102:$J$128),"")</f>
        <v/>
      </c>
      <c r="K130" s="240" t="str">
        <f t="shared" ref="K130:K132" si="125">IF($P$5=1,SUMIF($A$102:$A$128,$F130,$K$102:$K$128),"")</f>
        <v/>
      </c>
      <c r="L130" s="240" t="str">
        <f t="shared" ref="L130:L132" si="126">IF($T$5=1,SUMIF($A$102:$A$128,$F130,$L$102:$L$128),"")</f>
        <v/>
      </c>
      <c r="M130" s="240" t="str">
        <f t="shared" ref="M130:M132" si="127">IF($X$5=1,SUMIF($A$102:$A$128,$F130,$M$102:$M$128),"")</f>
        <v/>
      </c>
      <c r="N130" s="1290"/>
      <c r="O130" s="1163"/>
      <c r="P130" s="1164"/>
      <c r="Q130" s="1164"/>
      <c r="R130" s="1164"/>
      <c r="S130" s="1164"/>
      <c r="T130" s="1201"/>
      <c r="U130" s="1269"/>
      <c r="V130" s="1308"/>
      <c r="W130" s="1317"/>
      <c r="X130" s="1296"/>
      <c r="Y130" s="1296"/>
      <c r="Z130" s="1296"/>
      <c r="AA130" s="1296"/>
      <c r="AB130" s="1318"/>
      <c r="AC130" s="1269"/>
      <c r="AD130" s="1290"/>
      <c r="AE130" s="1200"/>
      <c r="AF130" s="1164"/>
      <c r="AG130" s="1164"/>
      <c r="AH130" s="1164"/>
      <c r="AI130" s="1164"/>
      <c r="AJ130" s="1201"/>
      <c r="AK130" s="1342"/>
      <c r="AL130" s="1197"/>
      <c r="AM130" s="1200"/>
      <c r="AN130" s="1164"/>
      <c r="AO130" s="1164"/>
      <c r="AP130" s="1164"/>
      <c r="AQ130" s="1164"/>
      <c r="AR130" s="1201"/>
      <c r="AS130" s="1342"/>
      <c r="AT130" s="1290"/>
      <c r="AU130" s="1200"/>
      <c r="AV130" s="1164"/>
      <c r="AW130" s="1164"/>
      <c r="AX130" s="1164"/>
      <c r="AY130" s="1164"/>
      <c r="AZ130" s="1201"/>
      <c r="BA130" s="1342"/>
      <c r="BB130" s="1290"/>
      <c r="BC130" s="1200"/>
      <c r="BD130" s="1164"/>
      <c r="BE130" s="1164"/>
      <c r="BF130" s="1164"/>
      <c r="BG130" s="1164"/>
      <c r="BH130" s="1201"/>
      <c r="BI130" s="1342"/>
      <c r="BJ130" s="1222"/>
      <c r="BK130" s="1223"/>
      <c r="BL130" s="1223"/>
      <c r="BM130" s="1223"/>
      <c r="BN130" s="1223"/>
      <c r="BO130" s="1224"/>
    </row>
    <row r="131" spans="1:67" ht="15" customHeight="1">
      <c r="A131" s="249"/>
      <c r="B131" s="249"/>
      <c r="C131" s="249"/>
      <c r="D131" s="249"/>
      <c r="F131" s="277">
        <v>2.1</v>
      </c>
      <c r="G131" s="311">
        <f t="shared" si="121"/>
        <v>2</v>
      </c>
      <c r="H131" s="240" t="str">
        <f t="shared" si="122"/>
        <v/>
      </c>
      <c r="I131" s="240" t="str">
        <f t="shared" si="123"/>
        <v/>
      </c>
      <c r="J131" s="240" t="str">
        <f t="shared" si="124"/>
        <v/>
      </c>
      <c r="K131" s="240" t="str">
        <f t="shared" si="125"/>
        <v/>
      </c>
      <c r="L131" s="240" t="str">
        <f t="shared" si="126"/>
        <v/>
      </c>
      <c r="M131" s="240" t="str">
        <f t="shared" si="127"/>
        <v/>
      </c>
      <c r="N131" s="1291"/>
      <c r="O131" s="1165"/>
      <c r="P131" s="1166"/>
      <c r="Q131" s="1166"/>
      <c r="R131" s="1166"/>
      <c r="S131" s="1166"/>
      <c r="T131" s="1292"/>
      <c r="U131" s="1270"/>
      <c r="V131" s="1309"/>
      <c r="W131" s="1319"/>
      <c r="X131" s="1320"/>
      <c r="Y131" s="1320"/>
      <c r="Z131" s="1320"/>
      <c r="AA131" s="1320"/>
      <c r="AB131" s="1321"/>
      <c r="AC131" s="1270"/>
      <c r="AD131" s="1291"/>
      <c r="AE131" s="1202"/>
      <c r="AF131" s="1203"/>
      <c r="AG131" s="1203"/>
      <c r="AH131" s="1203"/>
      <c r="AI131" s="1203"/>
      <c r="AJ131" s="1204"/>
      <c r="AK131" s="1342"/>
      <c r="AL131" s="1197"/>
      <c r="AM131" s="1202"/>
      <c r="AN131" s="1203"/>
      <c r="AO131" s="1203"/>
      <c r="AP131" s="1203"/>
      <c r="AQ131" s="1203"/>
      <c r="AR131" s="1204"/>
      <c r="AS131" s="1342"/>
      <c r="AT131" s="1291"/>
      <c r="AU131" s="1202"/>
      <c r="AV131" s="1203"/>
      <c r="AW131" s="1203"/>
      <c r="AX131" s="1203"/>
      <c r="AY131" s="1203"/>
      <c r="AZ131" s="1204"/>
      <c r="BA131" s="1342"/>
      <c r="BB131" s="1291"/>
      <c r="BC131" s="1202"/>
      <c r="BD131" s="1203"/>
      <c r="BE131" s="1203"/>
      <c r="BF131" s="1203"/>
      <c r="BG131" s="1203"/>
      <c r="BH131" s="1204"/>
      <c r="BI131" s="1342"/>
    </row>
    <row r="132" spans="1:67" ht="15" customHeight="1">
      <c r="F132" s="277">
        <v>2.4</v>
      </c>
      <c r="G132" s="311">
        <f t="shared" si="121"/>
        <v>2</v>
      </c>
      <c r="H132" s="240" t="str">
        <f t="shared" si="122"/>
        <v/>
      </c>
      <c r="I132" s="240" t="str">
        <f t="shared" si="123"/>
        <v/>
      </c>
      <c r="J132" s="240" t="str">
        <f t="shared" si="124"/>
        <v/>
      </c>
      <c r="K132" s="240" t="str">
        <f t="shared" si="125"/>
        <v/>
      </c>
      <c r="L132" s="240" t="str">
        <f t="shared" si="126"/>
        <v/>
      </c>
      <c r="M132" s="240" t="str">
        <f t="shared" si="127"/>
        <v/>
      </c>
      <c r="N132" s="1307">
        <v>1.5</v>
      </c>
      <c r="O132" s="1315" t="s">
        <v>373</v>
      </c>
      <c r="P132" s="1311"/>
      <c r="Q132" s="1311"/>
      <c r="R132" s="1311"/>
      <c r="S132" s="1311"/>
      <c r="T132" s="1316"/>
      <c r="U132" s="1399" t="str">
        <f t="shared" ref="U132" si="128">IF(ISBLANK(D$5),"",1)</f>
        <v/>
      </c>
      <c r="V132" s="1322">
        <v>4.4000000000000004</v>
      </c>
      <c r="W132" s="1161" t="s">
        <v>397</v>
      </c>
      <c r="X132" s="1162"/>
      <c r="Y132" s="1162"/>
      <c r="Z132" s="1162"/>
      <c r="AA132" s="1162"/>
      <c r="AB132" s="1199"/>
      <c r="AC132" s="1399" t="str">
        <f t="shared" ref="AC132" si="129">IF(ISBLANK(H$5),"",1)</f>
        <v/>
      </c>
      <c r="AD132" s="1258">
        <v>4.4000000000000004</v>
      </c>
      <c r="AE132" s="1198" t="s">
        <v>395</v>
      </c>
      <c r="AF132" s="1162"/>
      <c r="AG132" s="1162"/>
      <c r="AH132" s="1162"/>
      <c r="AI132" s="1162"/>
      <c r="AJ132" s="1199"/>
      <c r="AK132" s="1226" t="str">
        <f t="shared" ref="AK132" si="130">IF(ISBLANK(L$5),"",1)</f>
        <v/>
      </c>
      <c r="AL132" s="1304">
        <v>4.4000000000000004</v>
      </c>
      <c r="AM132" s="1198" t="s">
        <v>395</v>
      </c>
      <c r="AN132" s="1162"/>
      <c r="AO132" s="1162"/>
      <c r="AP132" s="1162"/>
      <c r="AQ132" s="1162"/>
      <c r="AR132" s="1199"/>
      <c r="AS132" s="1226" t="str">
        <f t="shared" ref="AS132" si="131">IF(ISBLANK(P$5),"",1)</f>
        <v/>
      </c>
      <c r="AT132" s="1258">
        <v>4.4000000000000004</v>
      </c>
      <c r="AU132" s="1198" t="s">
        <v>395</v>
      </c>
      <c r="AV132" s="1162"/>
      <c r="AW132" s="1162"/>
      <c r="AX132" s="1162"/>
      <c r="AY132" s="1162"/>
      <c r="AZ132" s="1199"/>
      <c r="BA132" s="1226" t="str">
        <f t="shared" ref="BA132" si="132">IF(ISBLANK(T$5),"",1)</f>
        <v/>
      </c>
      <c r="BB132" s="1258">
        <v>4.4000000000000004</v>
      </c>
      <c r="BC132" s="1198" t="s">
        <v>395</v>
      </c>
      <c r="BD132" s="1162"/>
      <c r="BE132" s="1162"/>
      <c r="BF132" s="1162"/>
      <c r="BG132" s="1162"/>
      <c r="BH132" s="1199"/>
      <c r="BI132" s="1226" t="str">
        <f t="shared" ref="BI132" si="133">IF(ISBLANK(X$5),"",1)</f>
        <v/>
      </c>
    </row>
    <row r="133" spans="1:67" ht="15" customHeight="1">
      <c r="N133" s="1308"/>
      <c r="O133" s="1317"/>
      <c r="P133" s="1296"/>
      <c r="Q133" s="1296"/>
      <c r="R133" s="1296"/>
      <c r="S133" s="1296"/>
      <c r="T133" s="1318"/>
      <c r="U133" s="1269"/>
      <c r="V133" s="1293"/>
      <c r="W133" s="1163"/>
      <c r="X133" s="1164"/>
      <c r="Y133" s="1164"/>
      <c r="Z133" s="1164"/>
      <c r="AA133" s="1164"/>
      <c r="AB133" s="1201"/>
      <c r="AC133" s="1269"/>
      <c r="AD133" s="1258"/>
      <c r="AE133" s="1200"/>
      <c r="AF133" s="1164"/>
      <c r="AG133" s="1164"/>
      <c r="AH133" s="1164"/>
      <c r="AI133" s="1164"/>
      <c r="AJ133" s="1201"/>
      <c r="AK133" s="1342"/>
      <c r="AL133" s="1290"/>
      <c r="AM133" s="1200"/>
      <c r="AN133" s="1164"/>
      <c r="AO133" s="1164"/>
      <c r="AP133" s="1164"/>
      <c r="AQ133" s="1164"/>
      <c r="AR133" s="1201"/>
      <c r="AS133" s="1342"/>
      <c r="AT133" s="1258"/>
      <c r="AU133" s="1200"/>
      <c r="AV133" s="1164"/>
      <c r="AW133" s="1164"/>
      <c r="AX133" s="1164"/>
      <c r="AY133" s="1164"/>
      <c r="AZ133" s="1201"/>
      <c r="BA133" s="1342"/>
      <c r="BB133" s="1258"/>
      <c r="BC133" s="1200"/>
      <c r="BD133" s="1164"/>
      <c r="BE133" s="1164"/>
      <c r="BF133" s="1164"/>
      <c r="BG133" s="1164"/>
      <c r="BH133" s="1201"/>
      <c r="BI133" s="1342"/>
    </row>
    <row r="134" spans="1:67" ht="15" customHeight="1">
      <c r="A134" s="1209"/>
      <c r="B134" s="1210" t="s">
        <v>609</v>
      </c>
      <c r="C134" s="1211"/>
      <c r="D134" s="1211"/>
      <c r="E134" s="1211"/>
      <c r="F134" s="1211"/>
      <c r="G134" s="1211"/>
      <c r="H134" s="1174">
        <v>1</v>
      </c>
      <c r="I134" s="1174">
        <v>2</v>
      </c>
      <c r="J134" s="1174">
        <v>3</v>
      </c>
      <c r="K134" s="1174">
        <v>4</v>
      </c>
      <c r="L134" s="1174">
        <v>5</v>
      </c>
      <c r="M134" s="1174">
        <v>6</v>
      </c>
      <c r="N134" s="1309"/>
      <c r="O134" s="1319"/>
      <c r="P134" s="1320"/>
      <c r="Q134" s="1320"/>
      <c r="R134" s="1320"/>
      <c r="S134" s="1320"/>
      <c r="T134" s="1321"/>
      <c r="U134" s="1270"/>
      <c r="V134" s="1306"/>
      <c r="W134" s="1165"/>
      <c r="X134" s="1166"/>
      <c r="Y134" s="1166"/>
      <c r="Z134" s="1166"/>
      <c r="AA134" s="1166"/>
      <c r="AB134" s="1292"/>
      <c r="AC134" s="1270"/>
      <c r="AD134" s="1258"/>
      <c r="AE134" s="1202"/>
      <c r="AF134" s="1203"/>
      <c r="AG134" s="1203"/>
      <c r="AH134" s="1203"/>
      <c r="AI134" s="1203"/>
      <c r="AJ134" s="1204"/>
      <c r="AK134" s="1342"/>
      <c r="AL134" s="1291"/>
      <c r="AM134" s="1202"/>
      <c r="AN134" s="1203"/>
      <c r="AO134" s="1203"/>
      <c r="AP134" s="1203"/>
      <c r="AQ134" s="1203"/>
      <c r="AR134" s="1204"/>
      <c r="AS134" s="1342"/>
      <c r="AT134" s="1258"/>
      <c r="AU134" s="1202"/>
      <c r="AV134" s="1203"/>
      <c r="AW134" s="1203"/>
      <c r="AX134" s="1203"/>
      <c r="AY134" s="1203"/>
      <c r="AZ134" s="1204"/>
      <c r="BA134" s="1342"/>
      <c r="BB134" s="1258"/>
      <c r="BC134" s="1202"/>
      <c r="BD134" s="1203"/>
      <c r="BE134" s="1203"/>
      <c r="BF134" s="1203"/>
      <c r="BG134" s="1203"/>
      <c r="BH134" s="1204"/>
      <c r="BI134" s="1342"/>
    </row>
    <row r="135" spans="1:67" ht="15" customHeight="1">
      <c r="A135" s="1209"/>
      <c r="B135" s="1212"/>
      <c r="C135" s="1213"/>
      <c r="D135" s="1213"/>
      <c r="E135" s="1213"/>
      <c r="F135" s="1213"/>
      <c r="G135" s="1213"/>
      <c r="H135" s="1174"/>
      <c r="I135" s="1174"/>
      <c r="J135" s="1174"/>
      <c r="K135" s="1174"/>
      <c r="L135" s="1174"/>
      <c r="M135" s="1174"/>
      <c r="N135" s="1433">
        <v>4.4000000000000004</v>
      </c>
      <c r="O135" s="1161" t="s">
        <v>397</v>
      </c>
      <c r="P135" s="1162"/>
      <c r="Q135" s="1162"/>
      <c r="R135" s="1162"/>
      <c r="S135" s="1162"/>
      <c r="T135" s="1199"/>
      <c r="U135" s="1399" t="str">
        <f t="shared" ref="U135" si="134">IF(ISBLANK(D$5),"",1)</f>
        <v/>
      </c>
      <c r="V135" s="247"/>
      <c r="W135" s="52"/>
      <c r="AA135" s="273">
        <v>1.5</v>
      </c>
      <c r="AB135" s="240">
        <f>COUNTIF(V102:V134,AA135)</f>
        <v>1</v>
      </c>
      <c r="AC135" s="240" t="str">
        <f>IF($H$5=1,SUMIF($V$102:$V$134,AA135,$AC$102:$AC$134),"")</f>
        <v/>
      </c>
      <c r="AD135" s="1304">
        <v>4.4000000000000004</v>
      </c>
      <c r="AE135" s="1198" t="s">
        <v>878</v>
      </c>
      <c r="AF135" s="1162"/>
      <c r="AG135" s="1162"/>
      <c r="AH135" s="1162"/>
      <c r="AI135" s="1162"/>
      <c r="AJ135" s="1199"/>
      <c r="AK135" s="1226" t="str">
        <f t="shared" ref="AK135" si="135">IF(ISBLANK(L$5),"",1)</f>
        <v/>
      </c>
      <c r="AL135" s="1196">
        <v>4.4000000000000004</v>
      </c>
      <c r="AM135" s="1198" t="s">
        <v>878</v>
      </c>
      <c r="AN135" s="1162"/>
      <c r="AO135" s="1162"/>
      <c r="AP135" s="1162"/>
      <c r="AQ135" s="1162"/>
      <c r="AR135" s="1199"/>
      <c r="AS135" s="1226" t="str">
        <f t="shared" ref="AS135" si="136">IF(ISBLANK(P$5),"",1)</f>
        <v/>
      </c>
      <c r="AT135" s="1304">
        <v>4.4000000000000004</v>
      </c>
      <c r="AU135" s="1198" t="s">
        <v>878</v>
      </c>
      <c r="AV135" s="1162"/>
      <c r="AW135" s="1162"/>
      <c r="AX135" s="1162"/>
      <c r="AY135" s="1162"/>
      <c r="AZ135" s="1199"/>
      <c r="BA135" s="1226" t="str">
        <f t="shared" ref="BA135" si="137">IF(ISBLANK(T$5),"",1)</f>
        <v/>
      </c>
      <c r="BB135" s="1304">
        <v>4.4000000000000004</v>
      </c>
      <c r="BC135" s="1198" t="s">
        <v>878</v>
      </c>
      <c r="BD135" s="1162"/>
      <c r="BE135" s="1162"/>
      <c r="BF135" s="1162"/>
      <c r="BG135" s="1162"/>
      <c r="BH135" s="1199"/>
      <c r="BI135" s="1226" t="str">
        <f t="shared" ref="BI135" si="138">IF(ISBLANK(X$5),"",1)</f>
        <v/>
      </c>
    </row>
    <row r="136" spans="1:67" ht="15" customHeight="1">
      <c r="A136" s="1336">
        <v>3.1</v>
      </c>
      <c r="B136" s="1198" t="s">
        <v>366</v>
      </c>
      <c r="C136" s="1162"/>
      <c r="D136" s="1162"/>
      <c r="E136" s="1162"/>
      <c r="F136" s="1162"/>
      <c r="G136" s="1265"/>
      <c r="H136" s="1268" t="str">
        <f t="shared" ref="H136" si="139">IF(ISBLANK(D$5),"",1)</f>
        <v/>
      </c>
      <c r="I136" s="1205" t="str">
        <f t="shared" ref="I136" si="140">IF(ISBLANK(H$5),"",1)</f>
        <v/>
      </c>
      <c r="J136" s="1205" t="str">
        <f t="shared" ref="J136" si="141">IF(ISBLANK(L$5),"",1)</f>
        <v/>
      </c>
      <c r="K136" s="1205" t="str">
        <f t="shared" ref="K136" si="142">IF(ISBLANK(P$5),"",1)</f>
        <v/>
      </c>
      <c r="L136" s="1205" t="str">
        <f t="shared" ref="L136" si="143">IF(ISBLANK(T$5),"",1)</f>
        <v/>
      </c>
      <c r="M136" s="1248" t="str">
        <f t="shared" ref="M136" si="144">IF(ISBLANK(X$5),"",1)</f>
        <v/>
      </c>
      <c r="N136" s="1434"/>
      <c r="O136" s="1163"/>
      <c r="P136" s="1164"/>
      <c r="Q136" s="1164"/>
      <c r="R136" s="1164"/>
      <c r="S136" s="1164"/>
      <c r="T136" s="1201"/>
      <c r="U136" s="1269"/>
      <c r="V136" s="248"/>
      <c r="W136" s="52"/>
      <c r="AA136" s="275">
        <v>4.3</v>
      </c>
      <c r="AB136" s="240">
        <f>COUNTIF(V102:V134,AA136)</f>
        <v>4</v>
      </c>
      <c r="AC136" s="240" t="str">
        <f>IF($H$5=1,SUMIF($V$102:$V$134,AA136,$AC$102:$AC$134),"")</f>
        <v/>
      </c>
      <c r="AD136" s="1290"/>
      <c r="AE136" s="1200"/>
      <c r="AF136" s="1164"/>
      <c r="AG136" s="1164"/>
      <c r="AH136" s="1164"/>
      <c r="AI136" s="1164"/>
      <c r="AJ136" s="1201"/>
      <c r="AK136" s="1342"/>
      <c r="AL136" s="1197"/>
      <c r="AM136" s="1200"/>
      <c r="AN136" s="1164"/>
      <c r="AO136" s="1164"/>
      <c r="AP136" s="1164"/>
      <c r="AQ136" s="1164"/>
      <c r="AR136" s="1201"/>
      <c r="AS136" s="1342"/>
      <c r="AT136" s="1290"/>
      <c r="AU136" s="1200"/>
      <c r="AV136" s="1164"/>
      <c r="AW136" s="1164"/>
      <c r="AX136" s="1164"/>
      <c r="AY136" s="1164"/>
      <c r="AZ136" s="1201"/>
      <c r="BA136" s="1342"/>
      <c r="BB136" s="1290"/>
      <c r="BC136" s="1200"/>
      <c r="BD136" s="1164"/>
      <c r="BE136" s="1164"/>
      <c r="BF136" s="1164"/>
      <c r="BG136" s="1164"/>
      <c r="BH136" s="1201"/>
      <c r="BI136" s="1342"/>
    </row>
    <row r="137" spans="1:67" ht="15" customHeight="1">
      <c r="A137" s="1159"/>
      <c r="B137" s="1200"/>
      <c r="C137" s="1164"/>
      <c r="D137" s="1164"/>
      <c r="E137" s="1164"/>
      <c r="F137" s="1164"/>
      <c r="G137" s="1266"/>
      <c r="H137" s="1269"/>
      <c r="I137" s="1206"/>
      <c r="J137" s="1206"/>
      <c r="K137" s="1206"/>
      <c r="L137" s="1206"/>
      <c r="M137" s="1206"/>
      <c r="N137" s="1435"/>
      <c r="O137" s="1165"/>
      <c r="P137" s="1166"/>
      <c r="Q137" s="1166"/>
      <c r="R137" s="1166"/>
      <c r="S137" s="1166"/>
      <c r="T137" s="1292"/>
      <c r="U137" s="1436"/>
      <c r="V137" s="248"/>
      <c r="W137" s="52"/>
      <c r="AA137" s="276">
        <v>4.4000000000000004</v>
      </c>
      <c r="AB137" s="240">
        <f>COUNTIF(V102:V134,AA137)</f>
        <v>6</v>
      </c>
      <c r="AC137" s="240" t="str">
        <f>IF($H$5=1,SUMIF($V$102:$V$134,AA137,$AC$102:$AC$134),"")</f>
        <v/>
      </c>
      <c r="AD137" s="1291"/>
      <c r="AE137" s="1202"/>
      <c r="AF137" s="1203"/>
      <c r="AG137" s="1203"/>
      <c r="AH137" s="1203"/>
      <c r="AI137" s="1203"/>
      <c r="AJ137" s="1204"/>
      <c r="AK137" s="1342"/>
      <c r="AL137" s="1197"/>
      <c r="AM137" s="1202"/>
      <c r="AN137" s="1203"/>
      <c r="AO137" s="1203"/>
      <c r="AP137" s="1203"/>
      <c r="AQ137" s="1203"/>
      <c r="AR137" s="1204"/>
      <c r="AS137" s="1342"/>
      <c r="AT137" s="1291"/>
      <c r="AU137" s="1202"/>
      <c r="AV137" s="1203"/>
      <c r="AW137" s="1203"/>
      <c r="AX137" s="1203"/>
      <c r="AY137" s="1203"/>
      <c r="AZ137" s="1204"/>
      <c r="BA137" s="1342"/>
      <c r="BB137" s="1291"/>
      <c r="BC137" s="1202"/>
      <c r="BD137" s="1203"/>
      <c r="BE137" s="1203"/>
      <c r="BF137" s="1203"/>
      <c r="BG137" s="1203"/>
      <c r="BH137" s="1204"/>
      <c r="BI137" s="1342"/>
    </row>
    <row r="138" spans="1:67" ht="15" customHeight="1">
      <c r="A138" s="1160"/>
      <c r="B138" s="1200"/>
      <c r="C138" s="1164"/>
      <c r="D138" s="1164"/>
      <c r="E138" s="1164"/>
      <c r="F138" s="1164"/>
      <c r="G138" s="1266"/>
      <c r="H138" s="1270"/>
      <c r="I138" s="1207"/>
      <c r="J138" s="1207"/>
      <c r="K138" s="1207"/>
      <c r="L138" s="1207"/>
      <c r="M138" s="1207"/>
      <c r="N138" s="242"/>
      <c r="O138" s="52"/>
      <c r="Q138" s="248"/>
      <c r="S138" s="294">
        <v>1.5</v>
      </c>
      <c r="T138" s="245">
        <f>COUNTIF(N102:N137,S138)</f>
        <v>1</v>
      </c>
      <c r="U138" s="240" t="str">
        <f>IF($D$5=1,SUMIF($N$102:$N$137,S138,$U$102:$U$137),"")</f>
        <v/>
      </c>
      <c r="V138" s="242"/>
      <c r="W138" s="52"/>
      <c r="AD138" s="1307">
        <v>1.5</v>
      </c>
      <c r="AE138" s="1198" t="s">
        <v>373</v>
      </c>
      <c r="AF138" s="1162"/>
      <c r="AG138" s="1162"/>
      <c r="AH138" s="1162"/>
      <c r="AI138" s="1162"/>
      <c r="AJ138" s="1199"/>
      <c r="AK138" s="1226" t="str">
        <f t="shared" ref="AK138" si="145">IF(ISBLANK(L$5),"",1)</f>
        <v/>
      </c>
      <c r="AL138" s="1304">
        <v>1.5</v>
      </c>
      <c r="AM138" s="1198" t="s">
        <v>373</v>
      </c>
      <c r="AN138" s="1162"/>
      <c r="AO138" s="1162"/>
      <c r="AP138" s="1162"/>
      <c r="AQ138" s="1162"/>
      <c r="AR138" s="1199"/>
      <c r="AS138" s="1226" t="str">
        <f t="shared" ref="AS138" si="146">IF(ISBLANK(P$5),"",1)</f>
        <v/>
      </c>
      <c r="AT138" s="1307">
        <v>1.5</v>
      </c>
      <c r="AU138" s="1198" t="s">
        <v>373</v>
      </c>
      <c r="AV138" s="1162"/>
      <c r="AW138" s="1162"/>
      <c r="AX138" s="1162"/>
      <c r="AY138" s="1162"/>
      <c r="AZ138" s="1199"/>
      <c r="BA138" s="1226" t="str">
        <f t="shared" ref="BA138" si="147">IF(ISBLANK(T$5),"",1)</f>
        <v/>
      </c>
      <c r="BB138" s="1307">
        <v>1.5</v>
      </c>
      <c r="BC138" s="1198" t="s">
        <v>373</v>
      </c>
      <c r="BD138" s="1162"/>
      <c r="BE138" s="1162"/>
      <c r="BF138" s="1162"/>
      <c r="BG138" s="1162"/>
      <c r="BH138" s="1199"/>
      <c r="BI138" s="1226" t="str">
        <f t="shared" ref="BI138" si="148">IF(ISBLANK(X$5),"",1)</f>
        <v/>
      </c>
    </row>
    <row r="139" spans="1:67" ht="15" customHeight="1">
      <c r="A139" s="1336">
        <v>1.4</v>
      </c>
      <c r="B139" s="1198" t="s">
        <v>943</v>
      </c>
      <c r="C139" s="1162"/>
      <c r="D139" s="1162"/>
      <c r="E139" s="1162"/>
      <c r="F139" s="1162"/>
      <c r="G139" s="1265"/>
      <c r="H139" s="1268" t="str">
        <f t="shared" ref="H139" si="149">IF(ISBLANK(D$5),"",1)</f>
        <v/>
      </c>
      <c r="I139" s="1205" t="str">
        <f t="shared" ref="I139" si="150">IF(ISBLANK(H$5),"",1)</f>
        <v/>
      </c>
      <c r="J139" s="1205" t="str">
        <f t="shared" ref="J139" si="151">IF(ISBLANK(L$5),"",1)</f>
        <v/>
      </c>
      <c r="K139" s="1205" t="str">
        <f t="shared" ref="K139" si="152">IF(ISBLANK(P$5),"",1)</f>
        <v/>
      </c>
      <c r="L139" s="1205" t="str">
        <f t="shared" ref="L139" si="153">IF(ISBLANK(T$5),"",1)</f>
        <v/>
      </c>
      <c r="M139" s="1248" t="str">
        <f t="shared" ref="M139" si="154">IF(ISBLANK(X$5),"",1)</f>
        <v/>
      </c>
      <c r="N139" s="242"/>
      <c r="O139" s="52"/>
      <c r="Q139" s="248"/>
      <c r="S139" s="275">
        <v>4.3</v>
      </c>
      <c r="T139" s="240">
        <f>COUNTIF(N102:N137,S139)</f>
        <v>3</v>
      </c>
      <c r="U139" s="240" t="str">
        <f>IF($D$5=1,SUMIF($N$102:$N$137,S139,$U$102:$U$137),"")</f>
        <v/>
      </c>
      <c r="V139" s="242"/>
      <c r="W139" s="52"/>
      <c r="AD139" s="1308"/>
      <c r="AE139" s="1200"/>
      <c r="AF139" s="1164"/>
      <c r="AG139" s="1164"/>
      <c r="AH139" s="1164"/>
      <c r="AI139" s="1164"/>
      <c r="AJ139" s="1201"/>
      <c r="AK139" s="1342"/>
      <c r="AL139" s="1290"/>
      <c r="AM139" s="1200"/>
      <c r="AN139" s="1164"/>
      <c r="AO139" s="1164"/>
      <c r="AP139" s="1164"/>
      <c r="AQ139" s="1164"/>
      <c r="AR139" s="1201"/>
      <c r="AS139" s="1342"/>
      <c r="AT139" s="1308"/>
      <c r="AU139" s="1200"/>
      <c r="AV139" s="1164"/>
      <c r="AW139" s="1164"/>
      <c r="AX139" s="1164"/>
      <c r="AY139" s="1164"/>
      <c r="AZ139" s="1201"/>
      <c r="BA139" s="1342"/>
      <c r="BB139" s="1308"/>
      <c r="BC139" s="1200"/>
      <c r="BD139" s="1164"/>
      <c r="BE139" s="1164"/>
      <c r="BF139" s="1164"/>
      <c r="BG139" s="1164"/>
      <c r="BH139" s="1201"/>
      <c r="BI139" s="1342"/>
    </row>
    <row r="140" spans="1:67" ht="15" customHeight="1">
      <c r="A140" s="1159"/>
      <c r="B140" s="1200"/>
      <c r="C140" s="1164"/>
      <c r="D140" s="1164"/>
      <c r="E140" s="1164"/>
      <c r="F140" s="1164"/>
      <c r="G140" s="1266"/>
      <c r="H140" s="1269"/>
      <c r="I140" s="1206"/>
      <c r="J140" s="1206"/>
      <c r="K140" s="1206"/>
      <c r="L140" s="1206"/>
      <c r="M140" s="1206"/>
      <c r="N140" s="242"/>
      <c r="O140" s="52"/>
      <c r="Q140" s="248"/>
      <c r="S140" s="276">
        <v>4.4000000000000004</v>
      </c>
      <c r="T140" s="240">
        <f>COUNTIF(N102:N137,S140)</f>
        <v>8</v>
      </c>
      <c r="U140" s="240" t="str">
        <f>IF($D$5=1,SUMIF($N$102:$N$137,S140,$U$102:$U$137),"")</f>
        <v/>
      </c>
      <c r="W140" s="52"/>
      <c r="AD140" s="1309"/>
      <c r="AE140" s="1202"/>
      <c r="AF140" s="1203"/>
      <c r="AG140" s="1203"/>
      <c r="AH140" s="1203"/>
      <c r="AI140" s="1203"/>
      <c r="AJ140" s="1204"/>
      <c r="AK140" s="1342"/>
      <c r="AL140" s="1291"/>
      <c r="AM140" s="1202"/>
      <c r="AN140" s="1203"/>
      <c r="AO140" s="1203"/>
      <c r="AP140" s="1203"/>
      <c r="AQ140" s="1203"/>
      <c r="AR140" s="1204"/>
      <c r="AS140" s="1342"/>
      <c r="AT140" s="1309"/>
      <c r="AU140" s="1202"/>
      <c r="AV140" s="1203"/>
      <c r="AW140" s="1203"/>
      <c r="AX140" s="1203"/>
      <c r="AY140" s="1203"/>
      <c r="AZ140" s="1204"/>
      <c r="BA140" s="1342"/>
      <c r="BB140" s="1309"/>
      <c r="BC140" s="1202"/>
      <c r="BD140" s="1203"/>
      <c r="BE140" s="1203"/>
      <c r="BF140" s="1203"/>
      <c r="BG140" s="1203"/>
      <c r="BH140" s="1204"/>
      <c r="BI140" s="1342"/>
    </row>
    <row r="141" spans="1:67" ht="15" customHeight="1">
      <c r="A141" s="1160"/>
      <c r="B141" s="1200"/>
      <c r="C141" s="1164"/>
      <c r="D141" s="1164"/>
      <c r="E141" s="1164"/>
      <c r="F141" s="1164"/>
      <c r="G141" s="1266"/>
      <c r="H141" s="1270"/>
      <c r="I141" s="1207"/>
      <c r="J141" s="1207"/>
      <c r="K141" s="1207"/>
      <c r="L141" s="1207"/>
      <c r="M141" s="1207"/>
      <c r="N141" s="242"/>
      <c r="O141" s="52"/>
      <c r="Q141" s="248"/>
      <c r="S141" s="332"/>
      <c r="T141" s="332"/>
      <c r="U141" s="332"/>
      <c r="W141" s="52"/>
      <c r="AD141" s="1307">
        <v>4.4000000000000004</v>
      </c>
      <c r="AE141" s="1198" t="s">
        <v>397</v>
      </c>
      <c r="AF141" s="1162"/>
      <c r="AG141" s="1162"/>
      <c r="AH141" s="1162"/>
      <c r="AI141" s="1162"/>
      <c r="AJ141" s="1199"/>
      <c r="AK141" s="1226" t="str">
        <f t="shared" ref="AK141" si="155">IF(ISBLANK(L$5),"",1)</f>
        <v/>
      </c>
      <c r="AM141" s="242"/>
      <c r="AO141" s="52"/>
      <c r="AQ141" s="273">
        <v>1.5</v>
      </c>
      <c r="AR141" s="240">
        <f>COUNTIF($AL$102:$AL$140,AQ141)</f>
        <v>1</v>
      </c>
      <c r="AS141" s="240" t="str">
        <f>IF($P$5=1,SUMIF($AL$102:$AL$140,AQ141,$AS$102:$AS$140),"")</f>
        <v/>
      </c>
      <c r="AT141" s="1307">
        <v>4.4000000000000004</v>
      </c>
      <c r="AU141" s="1198" t="s">
        <v>397</v>
      </c>
      <c r="AV141" s="1162"/>
      <c r="AW141" s="1162"/>
      <c r="AX141" s="1162"/>
      <c r="AY141" s="1162"/>
      <c r="AZ141" s="1199"/>
      <c r="BA141" s="1226" t="str">
        <f t="shared" ref="BA141" si="156">IF(ISBLANK(T$5),"",1)</f>
        <v/>
      </c>
      <c r="BB141" s="1307">
        <v>4.4000000000000004</v>
      </c>
      <c r="BC141" s="1198" t="s">
        <v>397</v>
      </c>
      <c r="BD141" s="1162"/>
      <c r="BE141" s="1162"/>
      <c r="BF141" s="1162"/>
      <c r="BG141" s="1162"/>
      <c r="BH141" s="1199"/>
      <c r="BI141" s="1226" t="str">
        <f t="shared" ref="BI141" si="157">IF(ISBLANK(X$5),"",1)</f>
        <v/>
      </c>
    </row>
    <row r="142" spans="1:67" ht="15" customHeight="1">
      <c r="A142" s="1168" t="s">
        <v>637</v>
      </c>
      <c r="B142" s="1168"/>
      <c r="C142" s="1168"/>
      <c r="D142" s="1168"/>
      <c r="E142" s="1169"/>
      <c r="F142" s="614">
        <v>3.1</v>
      </c>
      <c r="G142" s="620">
        <f>COUNTIF($A$136:$A$141,F142)</f>
        <v>1</v>
      </c>
      <c r="H142" s="240" t="str">
        <f>IF($D$5=1,SUMIF($A$136:$A$141,$F142,$H$136:$H$141),"")</f>
        <v/>
      </c>
      <c r="I142" s="240" t="str">
        <f>IF($H$5=1,SUMIF($A$136:$A$141,F142,$I$136:$I$141),"")</f>
        <v/>
      </c>
      <c r="J142" s="240" t="str">
        <f>IF($L$5=1,SUMIF($A$136:$A$141,F142,$J$136:$J$141),"")</f>
        <v/>
      </c>
      <c r="K142" s="240" t="str">
        <f>IF($P$5=1,SUMIF($A$136:$A$141,$F142,$K$136:$K$141),"")</f>
        <v/>
      </c>
      <c r="L142" s="240" t="str">
        <f>IF($T$5=1,SUMIF($A$136:$A$141,$F142,$L$136:$L$141),"")</f>
        <v/>
      </c>
      <c r="M142" s="240" t="str">
        <f>IF($X$5=1,SUMIF($A$136:$A$141,$F142,$M$136:$M$141),"")</f>
        <v/>
      </c>
      <c r="N142" s="332"/>
      <c r="O142" s="332"/>
      <c r="P142" s="332"/>
      <c r="Q142" s="332"/>
      <c r="R142" s="332"/>
      <c r="S142" s="332"/>
      <c r="T142" s="332"/>
      <c r="U142" s="332"/>
      <c r="W142" s="52"/>
      <c r="AD142" s="1308"/>
      <c r="AE142" s="1200"/>
      <c r="AF142" s="1164"/>
      <c r="AG142" s="1164"/>
      <c r="AH142" s="1164"/>
      <c r="AI142" s="1164"/>
      <c r="AJ142" s="1201"/>
      <c r="AK142" s="1342"/>
      <c r="AM142" s="242"/>
      <c r="AO142" s="52"/>
      <c r="AQ142" s="274">
        <v>4.3</v>
      </c>
      <c r="AR142" s="240">
        <f>COUNTIF($AL$102:$AL$140,AQ142)</f>
        <v>4</v>
      </c>
      <c r="AS142" s="240" t="str">
        <f>IF($P$5=1,SUMIF($AL$102:$AL$140,AQ142,$AS$102:$AS$140),"")</f>
        <v/>
      </c>
      <c r="AT142" s="1308"/>
      <c r="AU142" s="1200"/>
      <c r="AV142" s="1164"/>
      <c r="AW142" s="1164"/>
      <c r="AX142" s="1164"/>
      <c r="AY142" s="1164"/>
      <c r="AZ142" s="1201"/>
      <c r="BA142" s="1342"/>
      <c r="BB142" s="1308"/>
      <c r="BC142" s="1200"/>
      <c r="BD142" s="1164"/>
      <c r="BE142" s="1164"/>
      <c r="BF142" s="1164"/>
      <c r="BG142" s="1164"/>
      <c r="BH142" s="1201"/>
      <c r="BI142" s="1342"/>
    </row>
    <row r="143" spans="1:67" ht="15" customHeight="1">
      <c r="F143" s="614">
        <v>1.4</v>
      </c>
      <c r="G143" s="620">
        <f>COUNTIF($A$136:$A$141,F143)</f>
        <v>1</v>
      </c>
      <c r="H143" s="240" t="str">
        <f>IF($D$5=1,SUMIF($A$136:$A$141,$F143,$H$136:$H$141),"")</f>
        <v/>
      </c>
      <c r="I143" s="240" t="str">
        <f>IF($H$5=1,SUMIF($A$136:$A$141,F143,$I$136:$I$141),"")</f>
        <v/>
      </c>
      <c r="J143" s="240" t="str">
        <f>IF($L$5=1,SUMIF($A$136:$A$141,F143,$J$136:$J$141),"")</f>
        <v/>
      </c>
      <c r="K143" s="240" t="str">
        <f>IF($P$5=1,SUMIF($A$136:$A$141,$F143,$K$136:$K$141),"")</f>
        <v/>
      </c>
      <c r="L143" s="240" t="str">
        <f>IF($T$5=1,SUMIF($A$136:$A$141,$F143,$L$136:$L$141),"")</f>
        <v/>
      </c>
      <c r="M143" s="240" t="str">
        <f>IF($X$5=1,SUMIF($A$136:$A$141,$F143,$M$136:$M$141),"")</f>
        <v/>
      </c>
      <c r="N143" s="332"/>
      <c r="O143" s="332"/>
      <c r="P143" s="332"/>
      <c r="Q143" s="332"/>
      <c r="R143" s="332"/>
      <c r="S143" s="332"/>
      <c r="T143" s="332"/>
      <c r="U143" s="332"/>
      <c r="W143" s="52"/>
      <c r="AD143" s="1309"/>
      <c r="AE143" s="1202"/>
      <c r="AF143" s="1203"/>
      <c r="AG143" s="1203"/>
      <c r="AH143" s="1203"/>
      <c r="AI143" s="1203"/>
      <c r="AJ143" s="1204"/>
      <c r="AK143" s="1342"/>
      <c r="AM143" s="242"/>
      <c r="AO143" s="52"/>
      <c r="AQ143" s="274">
        <v>4.4000000000000004</v>
      </c>
      <c r="AR143" s="240">
        <f>COUNTIF($AL$102:$AL$140,AQ143)</f>
        <v>8</v>
      </c>
      <c r="AS143" s="240" t="str">
        <f>IF($P$5=1,SUMIF($AL$102:$AL$140,AQ143,$AS$102:$AS$140),"")</f>
        <v/>
      </c>
      <c r="AT143" s="1309"/>
      <c r="AU143" s="1202"/>
      <c r="AV143" s="1203"/>
      <c r="AW143" s="1203"/>
      <c r="AX143" s="1203"/>
      <c r="AY143" s="1203"/>
      <c r="AZ143" s="1204"/>
      <c r="BA143" s="1342"/>
      <c r="BB143" s="1309"/>
      <c r="BC143" s="1202"/>
      <c r="BD143" s="1203"/>
      <c r="BE143" s="1203"/>
      <c r="BF143" s="1203"/>
      <c r="BG143" s="1203"/>
      <c r="BH143" s="1204"/>
      <c r="BI143" s="1342"/>
    </row>
    <row r="144" spans="1:67" ht="15" customHeight="1">
      <c r="N144" s="332"/>
      <c r="O144" s="332"/>
      <c r="P144" s="332"/>
      <c r="Q144" s="332"/>
      <c r="R144" s="332"/>
      <c r="S144" s="332"/>
      <c r="T144" s="332"/>
      <c r="U144" s="332"/>
      <c r="W144" s="52"/>
      <c r="AD144" s="242"/>
      <c r="AF144" s="52"/>
      <c r="AG144" s="247"/>
      <c r="AI144" s="273">
        <v>1.5</v>
      </c>
      <c r="AJ144" s="240">
        <f>COUNTIF(AD102:AD143,AI144)</f>
        <v>1</v>
      </c>
      <c r="AK144" s="240" t="str">
        <f>IF($L$5=1,SUMIF($AD$102:$AD$143,AI144,$AK$102:$AK$143),"")</f>
        <v/>
      </c>
      <c r="AM144" s="242"/>
      <c r="AO144" s="52"/>
      <c r="AV144" s="242"/>
      <c r="AY144" s="273">
        <v>1.5</v>
      </c>
      <c r="AZ144" s="240">
        <f>COUNTIF($AT$102:$AT$143,AY144)</f>
        <v>1</v>
      </c>
      <c r="BA144" s="240" t="str">
        <f>IF($T$5=1,SUMIF($AT$102:$AT$143,AY144,$BA$102:$BA$143),"")</f>
        <v/>
      </c>
      <c r="BE144" s="242"/>
      <c r="BG144" s="273">
        <v>1.5</v>
      </c>
      <c r="BH144" s="240">
        <f>COUNTIF($BB$102:$BB$143,BG144)</f>
        <v>1</v>
      </c>
      <c r="BI144" s="240" t="str">
        <f>IF($X$5=1,SUMIF($BB$102:$BB$143,BG144,$BI$102:$BI$143),"")</f>
        <v/>
      </c>
    </row>
    <row r="145" spans="1:67" ht="15" customHeight="1">
      <c r="N145" s="332"/>
      <c r="O145" s="332"/>
      <c r="P145" s="332"/>
      <c r="Q145" s="332"/>
      <c r="R145" s="332"/>
      <c r="S145" s="332"/>
      <c r="T145" s="332"/>
      <c r="U145" s="332"/>
      <c r="W145" s="52"/>
      <c r="AD145" s="242"/>
      <c r="AF145" s="52"/>
      <c r="AG145" s="248"/>
      <c r="AI145" s="274">
        <v>4.3</v>
      </c>
      <c r="AJ145" s="240">
        <f>COUNTIF(AD102:AD143,AI145)</f>
        <v>6</v>
      </c>
      <c r="AK145" s="240" t="str">
        <f>IF($L$5=1,SUMIF($AD$102:$AD$143,AI145,$AK$102:$AK$143),"")</f>
        <v/>
      </c>
      <c r="AM145" s="242"/>
      <c r="AO145" s="52"/>
      <c r="AV145" s="242"/>
      <c r="AY145" s="274">
        <v>4.3</v>
      </c>
      <c r="AZ145" s="240">
        <f>COUNTIF($AT$102:$AT$143,AY145)</f>
        <v>6</v>
      </c>
      <c r="BA145" s="240" t="str">
        <f>IF($T$5=1,SUMIF($AT$102:$AT$143,AY145,$BA$102:$BA$143),"")</f>
        <v/>
      </c>
      <c r="BE145" s="242"/>
      <c r="BG145" s="274">
        <v>4.3</v>
      </c>
      <c r="BH145" s="240">
        <f>COUNTIF($BB$102:$BB$143,BG145)</f>
        <v>6</v>
      </c>
      <c r="BI145" s="240" t="str">
        <f>IF($X$5=1,SUMIF($BB$102:$BB$143,BG145,$BI$102:$BI$143),"")</f>
        <v/>
      </c>
    </row>
    <row r="146" spans="1:67" ht="15" customHeight="1">
      <c r="N146" s="332"/>
      <c r="O146" s="332"/>
      <c r="P146" s="332"/>
      <c r="Q146" s="332"/>
      <c r="R146" s="332"/>
      <c r="S146" s="332"/>
      <c r="T146" s="332"/>
      <c r="U146" s="332"/>
      <c r="W146" s="52"/>
      <c r="AD146" s="242"/>
      <c r="AF146" s="52"/>
      <c r="AG146" s="248"/>
      <c r="AI146" s="274">
        <v>4.4000000000000004</v>
      </c>
      <c r="AJ146" s="240">
        <f>COUNTIF(AD102:AD143,AI146)</f>
        <v>7</v>
      </c>
      <c r="AK146" s="240" t="str">
        <f>IF($L$5=1,SUMIF($AD$102:$AD$143,AI146,$AK$102:$AK$143),"")</f>
        <v/>
      </c>
      <c r="AM146" s="242"/>
      <c r="AO146" s="52"/>
      <c r="AV146" s="242"/>
      <c r="AY146" s="274">
        <v>4.4000000000000004</v>
      </c>
      <c r="AZ146" s="240">
        <f>COUNTIF($AT$102:$AT$143,AY146)</f>
        <v>7</v>
      </c>
      <c r="BA146" s="240" t="str">
        <f>IF($T$5=1,SUMIF($AT$102:$AT$143,AY146,$BA$102:$BA$143),"")</f>
        <v/>
      </c>
      <c r="BE146" s="242"/>
      <c r="BG146" s="274">
        <v>4.4000000000000004</v>
      </c>
      <c r="BH146" s="240">
        <f>COUNTIF($BB$102:$BB$143,BG146)</f>
        <v>7</v>
      </c>
      <c r="BI146" s="240" t="str">
        <f>IF($X$5=1,SUMIF($BB$102:$BB$143,BG146,$BI$102:$BI$143),"")</f>
        <v/>
      </c>
    </row>
    <row r="147" spans="1:67" ht="15" customHeight="1">
      <c r="A147" s="1171" t="s">
        <v>17</v>
      </c>
      <c r="B147" s="1171"/>
      <c r="C147" s="1171"/>
      <c r="D147" s="1171"/>
      <c r="E147" s="1171"/>
      <c r="F147" s="1171"/>
      <c r="G147" s="1171"/>
      <c r="H147" s="1171"/>
      <c r="I147" s="1171"/>
      <c r="J147" s="1171"/>
      <c r="K147" s="1171"/>
      <c r="L147" s="1171"/>
      <c r="M147" s="1171"/>
      <c r="N147" s="1171"/>
      <c r="O147" s="1171"/>
      <c r="P147" s="1171"/>
      <c r="Q147" s="1171"/>
      <c r="R147" s="1171"/>
      <c r="S147" s="1171"/>
      <c r="T147" s="1171"/>
      <c r="U147" s="1171"/>
      <c r="V147" s="1171"/>
      <c r="W147" s="1171"/>
      <c r="X147" s="1171"/>
      <c r="Y147" s="1171"/>
      <c r="Z147" s="1171"/>
      <c r="AA147" s="1171"/>
      <c r="AB147" s="1171"/>
      <c r="AC147" s="1171"/>
      <c r="AD147" s="1171"/>
      <c r="AE147" s="1171"/>
      <c r="AF147" s="1171"/>
      <c r="AG147" s="1171"/>
      <c r="AH147" s="1171"/>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row>
    <row r="148" spans="1:67" ht="15" customHeight="1">
      <c r="A148" s="1275"/>
      <c r="B148" s="1275"/>
      <c r="C148" s="1275"/>
      <c r="D148" s="1275"/>
      <c r="E148" s="1275"/>
      <c r="F148" s="1275"/>
      <c r="G148" s="1275"/>
      <c r="H148" s="1275"/>
      <c r="I148" s="1275"/>
      <c r="J148" s="1275"/>
      <c r="K148" s="1275"/>
      <c r="L148" s="1275"/>
      <c r="M148" s="1275"/>
      <c r="N148" s="1275"/>
      <c r="O148" s="1275"/>
      <c r="P148" s="1275"/>
      <c r="Q148" s="1275"/>
      <c r="R148" s="1275"/>
      <c r="S148" s="1275"/>
      <c r="T148" s="1275"/>
      <c r="U148" s="1275"/>
      <c r="V148" s="1275"/>
      <c r="W148" s="1275"/>
      <c r="X148" s="1275"/>
      <c r="Y148" s="1275"/>
      <c r="Z148" s="1275"/>
      <c r="AA148" s="1275"/>
      <c r="AB148" s="1275"/>
      <c r="AC148" s="1275"/>
      <c r="AD148" s="1275"/>
      <c r="AE148" s="1275"/>
      <c r="AF148" s="1275"/>
      <c r="AG148" s="1275"/>
      <c r="AH148" s="1275"/>
      <c r="AI148" s="1275"/>
      <c r="AJ148" s="1275"/>
      <c r="AK148" s="1275"/>
      <c r="AL148" s="1275"/>
      <c r="AM148" s="1275"/>
      <c r="AN148" s="1275"/>
      <c r="AO148" s="1275"/>
      <c r="AP148" s="1275"/>
      <c r="AQ148" s="1275"/>
      <c r="AR148" s="1275"/>
      <c r="AS148" s="1275"/>
      <c r="AT148" s="1275"/>
      <c r="AU148" s="1275"/>
      <c r="AV148" s="1275"/>
      <c r="AW148" s="1275"/>
      <c r="AX148" s="1275"/>
      <c r="AY148" s="1275"/>
      <c r="AZ148" s="1275"/>
      <c r="BA148" s="1275"/>
      <c r="BB148" s="1275"/>
      <c r="BC148" s="1275"/>
      <c r="BD148" s="1275"/>
      <c r="BE148" s="1275"/>
      <c r="BF148" s="1275"/>
      <c r="BG148" s="1275"/>
      <c r="BH148" s="1275"/>
      <c r="BI148" s="1275"/>
      <c r="BJ148" s="1275"/>
      <c r="BK148" s="1275"/>
      <c r="BL148" s="1275"/>
      <c r="BM148" s="1275"/>
    </row>
    <row r="149" spans="1:67" ht="15" customHeight="1">
      <c r="A149" s="1172"/>
      <c r="B149" s="1173" t="s">
        <v>608</v>
      </c>
      <c r="C149" s="1173"/>
      <c r="D149" s="1173"/>
      <c r="E149" s="1173"/>
      <c r="F149" s="1173"/>
      <c r="G149" s="1173"/>
      <c r="H149" s="1343">
        <v>7</v>
      </c>
      <c r="I149" s="1174">
        <v>8</v>
      </c>
      <c r="J149" s="1343">
        <v>9</v>
      </c>
      <c r="K149" s="1174">
        <v>10</v>
      </c>
      <c r="L149" s="1343">
        <v>11</v>
      </c>
      <c r="M149" s="1174">
        <v>12</v>
      </c>
      <c r="N149" s="1283"/>
      <c r="O149" s="1446" t="s">
        <v>915</v>
      </c>
      <c r="P149" s="1447"/>
      <c r="Q149" s="1447"/>
      <c r="R149" s="1447"/>
      <c r="S149" s="1447"/>
      <c r="T149" s="1447"/>
      <c r="U149" s="1448"/>
      <c r="V149" s="1285"/>
      <c r="W149" s="1437" t="s">
        <v>916</v>
      </c>
      <c r="X149" s="1438"/>
      <c r="Y149" s="1438"/>
      <c r="Z149" s="1438"/>
      <c r="AA149" s="1438"/>
      <c r="AB149" s="1438"/>
      <c r="AC149" s="1439"/>
      <c r="AD149" s="1287"/>
      <c r="AE149" s="1400" t="s">
        <v>917</v>
      </c>
      <c r="AF149" s="1401"/>
      <c r="AG149" s="1401"/>
      <c r="AH149" s="1401"/>
      <c r="AI149" s="1401"/>
      <c r="AJ149" s="1401"/>
      <c r="AK149" s="1402"/>
      <c r="AL149" s="1278"/>
      <c r="AM149" s="1409" t="s">
        <v>918</v>
      </c>
      <c r="AN149" s="1410"/>
      <c r="AO149" s="1410"/>
      <c r="AP149" s="1410"/>
      <c r="AQ149" s="1410"/>
      <c r="AR149" s="1410"/>
      <c r="AS149" s="1411"/>
      <c r="AT149" s="1418"/>
      <c r="AU149" s="1611" t="s">
        <v>919</v>
      </c>
      <c r="AV149" s="1612"/>
      <c r="AW149" s="1612"/>
      <c r="AX149" s="1612"/>
      <c r="AY149" s="1612"/>
      <c r="AZ149" s="1612"/>
      <c r="BA149" s="1613"/>
      <c r="BB149" s="1421"/>
      <c r="BC149" s="1424" t="s">
        <v>920</v>
      </c>
      <c r="BD149" s="1425"/>
      <c r="BE149" s="1425"/>
      <c r="BF149" s="1425"/>
      <c r="BG149" s="1425"/>
      <c r="BH149" s="1425"/>
      <c r="BI149" s="1426"/>
      <c r="BJ149" s="1182" t="s">
        <v>263</v>
      </c>
      <c r="BK149" s="1183"/>
      <c r="BL149" s="1183"/>
      <c r="BM149" s="1183"/>
      <c r="BN149" s="1183"/>
      <c r="BO149" s="1184"/>
    </row>
    <row r="150" spans="1:67" ht="15" customHeight="1">
      <c r="A150" s="1172"/>
      <c r="B150" s="1173"/>
      <c r="C150" s="1173"/>
      <c r="D150" s="1173"/>
      <c r="E150" s="1173"/>
      <c r="F150" s="1173"/>
      <c r="G150" s="1173"/>
      <c r="H150" s="1344"/>
      <c r="I150" s="1174"/>
      <c r="J150" s="1344"/>
      <c r="K150" s="1174"/>
      <c r="L150" s="1344"/>
      <c r="M150" s="1174"/>
      <c r="N150" s="1283"/>
      <c r="O150" s="1449"/>
      <c r="P150" s="1450"/>
      <c r="Q150" s="1450"/>
      <c r="R150" s="1450"/>
      <c r="S150" s="1450"/>
      <c r="T150" s="1450"/>
      <c r="U150" s="1451"/>
      <c r="V150" s="1285"/>
      <c r="W150" s="1440"/>
      <c r="X150" s="1441"/>
      <c r="Y150" s="1441"/>
      <c r="Z150" s="1441"/>
      <c r="AA150" s="1441"/>
      <c r="AB150" s="1441"/>
      <c r="AC150" s="1442"/>
      <c r="AD150" s="1287"/>
      <c r="AE150" s="1403"/>
      <c r="AF150" s="1404"/>
      <c r="AG150" s="1404"/>
      <c r="AH150" s="1404"/>
      <c r="AI150" s="1404"/>
      <c r="AJ150" s="1404"/>
      <c r="AK150" s="1405"/>
      <c r="AL150" s="1278"/>
      <c r="AM150" s="1412"/>
      <c r="AN150" s="1413"/>
      <c r="AO150" s="1413"/>
      <c r="AP150" s="1413"/>
      <c r="AQ150" s="1413"/>
      <c r="AR150" s="1413"/>
      <c r="AS150" s="1414"/>
      <c r="AT150" s="1419"/>
      <c r="AU150" s="1614"/>
      <c r="AV150" s="1615"/>
      <c r="AW150" s="1615"/>
      <c r="AX150" s="1615"/>
      <c r="AY150" s="1615"/>
      <c r="AZ150" s="1615"/>
      <c r="BA150" s="1616"/>
      <c r="BB150" s="1422"/>
      <c r="BC150" s="1427"/>
      <c r="BD150" s="1428"/>
      <c r="BE150" s="1428"/>
      <c r="BF150" s="1428"/>
      <c r="BG150" s="1428"/>
      <c r="BH150" s="1428"/>
      <c r="BI150" s="1429"/>
      <c r="BJ150" s="1219"/>
      <c r="BK150" s="1220"/>
      <c r="BL150" s="1220"/>
      <c r="BM150" s="1220"/>
      <c r="BN150" s="1220"/>
      <c r="BO150" s="1221"/>
    </row>
    <row r="151" spans="1:67" ht="15" customHeight="1">
      <c r="A151" s="1172"/>
      <c r="B151" s="1173"/>
      <c r="C151" s="1173"/>
      <c r="D151" s="1173"/>
      <c r="E151" s="1173"/>
      <c r="F151" s="1173"/>
      <c r="G151" s="1173"/>
      <c r="H151" s="1345"/>
      <c r="I151" s="1174"/>
      <c r="J151" s="1345"/>
      <c r="K151" s="1174"/>
      <c r="L151" s="1345"/>
      <c r="M151" s="1174"/>
      <c r="N151" s="1283"/>
      <c r="O151" s="1452"/>
      <c r="P151" s="1453"/>
      <c r="Q151" s="1453"/>
      <c r="R151" s="1453"/>
      <c r="S151" s="1453"/>
      <c r="T151" s="1453"/>
      <c r="U151" s="1454"/>
      <c r="V151" s="1285"/>
      <c r="W151" s="1443"/>
      <c r="X151" s="1444"/>
      <c r="Y151" s="1444"/>
      <c r="Z151" s="1444"/>
      <c r="AA151" s="1444"/>
      <c r="AB151" s="1444"/>
      <c r="AC151" s="1445"/>
      <c r="AD151" s="1287"/>
      <c r="AE151" s="1406"/>
      <c r="AF151" s="1407"/>
      <c r="AG151" s="1407"/>
      <c r="AH151" s="1407"/>
      <c r="AI151" s="1407"/>
      <c r="AJ151" s="1407"/>
      <c r="AK151" s="1408"/>
      <c r="AL151" s="1278"/>
      <c r="AM151" s="1415"/>
      <c r="AN151" s="1416"/>
      <c r="AO151" s="1416"/>
      <c r="AP151" s="1416"/>
      <c r="AQ151" s="1416"/>
      <c r="AR151" s="1416"/>
      <c r="AS151" s="1417"/>
      <c r="AT151" s="1420"/>
      <c r="AU151" s="1617"/>
      <c r="AV151" s="1618"/>
      <c r="AW151" s="1618"/>
      <c r="AX151" s="1618"/>
      <c r="AY151" s="1618"/>
      <c r="AZ151" s="1618"/>
      <c r="BA151" s="1619"/>
      <c r="BB151" s="1423"/>
      <c r="BC151" s="1430"/>
      <c r="BD151" s="1431"/>
      <c r="BE151" s="1431"/>
      <c r="BF151" s="1431"/>
      <c r="BG151" s="1431"/>
      <c r="BH151" s="1431"/>
      <c r="BI151" s="1432"/>
      <c r="BJ151" s="1337"/>
      <c r="BK151" s="1338"/>
      <c r="BL151" s="1338"/>
      <c r="BM151" s="1338"/>
      <c r="BN151" s="1338"/>
      <c r="BO151" s="1339"/>
    </row>
    <row r="152" spans="1:67" ht="15" customHeight="1">
      <c r="A152" s="1307">
        <v>1.1000000000000001</v>
      </c>
      <c r="B152" s="1161" t="s">
        <v>941</v>
      </c>
      <c r="C152" s="1162"/>
      <c r="D152" s="1162"/>
      <c r="E152" s="1162"/>
      <c r="F152" s="1162"/>
      <c r="G152" s="1199"/>
      <c r="H152" s="1205" t="str">
        <f>IF(ISBLANK(AB$5),"",1)</f>
        <v/>
      </c>
      <c r="I152" s="1205" t="str">
        <f>IF(ISBLANK(AF$5),"",1)</f>
        <v/>
      </c>
      <c r="J152" s="1205" t="str">
        <f>IF(ISBLANK(AJ$5),"",1)</f>
        <v/>
      </c>
      <c r="K152" s="1205" t="str">
        <f>IF(ISBLANK(AN$5),"",1)</f>
        <v/>
      </c>
      <c r="L152" s="1205" t="str">
        <f>IF(ISBLANK(AR$5),"",1)</f>
        <v/>
      </c>
      <c r="M152" s="1205" t="str">
        <f>IF(ISBLANK(AV$5),"",1)</f>
        <v/>
      </c>
      <c r="N152" s="1322">
        <v>4.3</v>
      </c>
      <c r="O152" s="1198" t="s">
        <v>387</v>
      </c>
      <c r="P152" s="1162"/>
      <c r="Q152" s="1162"/>
      <c r="R152" s="1162"/>
      <c r="S152" s="1162"/>
      <c r="T152" s="1265"/>
      <c r="U152" s="1205" t="str">
        <f>IF(ISBLANK(AB$5),"",1)</f>
        <v/>
      </c>
      <c r="V152" s="1322">
        <v>4.3</v>
      </c>
      <c r="W152" s="1198" t="s">
        <v>387</v>
      </c>
      <c r="X152" s="1162"/>
      <c r="Y152" s="1162"/>
      <c r="Z152" s="1162"/>
      <c r="AA152" s="1162"/>
      <c r="AB152" s="1265"/>
      <c r="AC152" s="1205" t="str">
        <f>IF(ISBLANK(AF$5),"",1)</f>
        <v/>
      </c>
      <c r="AD152" s="1258">
        <v>4.3</v>
      </c>
      <c r="AE152" s="1198" t="s">
        <v>409</v>
      </c>
      <c r="AF152" s="1162"/>
      <c r="AG152" s="1162"/>
      <c r="AH152" s="1162"/>
      <c r="AI152" s="1162"/>
      <c r="AJ152" s="1265"/>
      <c r="AK152" s="1205" t="str">
        <f>IF(ISBLANK(AJ$5),"",1)</f>
        <v/>
      </c>
      <c r="AL152" s="1258">
        <v>4.3</v>
      </c>
      <c r="AM152" s="1198" t="s">
        <v>387</v>
      </c>
      <c r="AN152" s="1162"/>
      <c r="AO152" s="1162"/>
      <c r="AP152" s="1162"/>
      <c r="AQ152" s="1162"/>
      <c r="AR152" s="1265"/>
      <c r="AS152" s="1205" t="str">
        <f>IF(ISBLANK(AN$5),"",1)</f>
        <v/>
      </c>
      <c r="AT152" s="1258">
        <v>4.3</v>
      </c>
      <c r="AU152" s="1198" t="s">
        <v>398</v>
      </c>
      <c r="AV152" s="1162"/>
      <c r="AW152" s="1162"/>
      <c r="AX152" s="1162"/>
      <c r="AY152" s="1162"/>
      <c r="AZ152" s="1199"/>
      <c r="BA152" s="1226" t="str">
        <f>IF(ISBLANK(AR$5),"",1)</f>
        <v/>
      </c>
      <c r="BB152" s="1258">
        <v>4.3</v>
      </c>
      <c r="BC152" s="1198" t="s">
        <v>398</v>
      </c>
      <c r="BD152" s="1162"/>
      <c r="BE152" s="1162"/>
      <c r="BF152" s="1162"/>
      <c r="BG152" s="1162"/>
      <c r="BH152" s="1199"/>
      <c r="BI152" s="1226" t="str">
        <f>IF(ISBLANK(AV$5),"",1)</f>
        <v/>
      </c>
      <c r="BJ152" s="1337"/>
      <c r="BK152" s="1338"/>
      <c r="BL152" s="1338"/>
      <c r="BM152" s="1338"/>
      <c r="BN152" s="1338"/>
      <c r="BO152" s="1339"/>
    </row>
    <row r="153" spans="1:67" ht="15" customHeight="1">
      <c r="A153" s="1308"/>
      <c r="B153" s="1163"/>
      <c r="C153" s="1164"/>
      <c r="D153" s="1164"/>
      <c r="E153" s="1164"/>
      <c r="F153" s="1164"/>
      <c r="G153" s="1201"/>
      <c r="H153" s="1206"/>
      <c r="I153" s="1206"/>
      <c r="J153" s="1206"/>
      <c r="K153" s="1206"/>
      <c r="L153" s="1206"/>
      <c r="M153" s="1206"/>
      <c r="N153" s="1293"/>
      <c r="O153" s="1200"/>
      <c r="P153" s="1164"/>
      <c r="Q153" s="1164"/>
      <c r="R153" s="1164"/>
      <c r="S153" s="1164"/>
      <c r="T153" s="1266"/>
      <c r="U153" s="1206"/>
      <c r="V153" s="1293"/>
      <c r="W153" s="1200"/>
      <c r="X153" s="1164"/>
      <c r="Y153" s="1164"/>
      <c r="Z153" s="1164"/>
      <c r="AA153" s="1164"/>
      <c r="AB153" s="1266"/>
      <c r="AC153" s="1206"/>
      <c r="AD153" s="1258"/>
      <c r="AE153" s="1200"/>
      <c r="AF153" s="1164"/>
      <c r="AG153" s="1164"/>
      <c r="AH153" s="1164"/>
      <c r="AI153" s="1164"/>
      <c r="AJ153" s="1266"/>
      <c r="AK153" s="1206"/>
      <c r="AL153" s="1258"/>
      <c r="AM153" s="1200"/>
      <c r="AN153" s="1164"/>
      <c r="AO153" s="1164"/>
      <c r="AP153" s="1164"/>
      <c r="AQ153" s="1164"/>
      <c r="AR153" s="1266"/>
      <c r="AS153" s="1206"/>
      <c r="AT153" s="1258"/>
      <c r="AU153" s="1200"/>
      <c r="AV153" s="1164"/>
      <c r="AW153" s="1164"/>
      <c r="AX153" s="1164"/>
      <c r="AY153" s="1164"/>
      <c r="AZ153" s="1201"/>
      <c r="BA153" s="1342"/>
      <c r="BB153" s="1258"/>
      <c r="BC153" s="1200"/>
      <c r="BD153" s="1164"/>
      <c r="BE153" s="1164"/>
      <c r="BF153" s="1164"/>
      <c r="BG153" s="1164"/>
      <c r="BH153" s="1201"/>
      <c r="BI153" s="1342"/>
      <c r="BJ153" s="1337"/>
      <c r="BK153" s="1338"/>
      <c r="BL153" s="1338"/>
      <c r="BM153" s="1338"/>
      <c r="BN153" s="1338"/>
      <c r="BO153" s="1339"/>
    </row>
    <row r="154" spans="1:67" ht="15" customHeight="1">
      <c r="A154" s="1309"/>
      <c r="B154" s="1165"/>
      <c r="C154" s="1166"/>
      <c r="D154" s="1166"/>
      <c r="E154" s="1166"/>
      <c r="F154" s="1166"/>
      <c r="G154" s="1292"/>
      <c r="H154" s="1207"/>
      <c r="I154" s="1207"/>
      <c r="J154" s="1207"/>
      <c r="K154" s="1207"/>
      <c r="L154" s="1207"/>
      <c r="M154" s="1207"/>
      <c r="N154" s="1294"/>
      <c r="O154" s="1202"/>
      <c r="P154" s="1203"/>
      <c r="Q154" s="1203"/>
      <c r="R154" s="1203"/>
      <c r="S154" s="1203"/>
      <c r="T154" s="1305"/>
      <c r="U154" s="1207"/>
      <c r="V154" s="1294"/>
      <c r="W154" s="1202"/>
      <c r="X154" s="1203"/>
      <c r="Y154" s="1203"/>
      <c r="Z154" s="1203"/>
      <c r="AA154" s="1203"/>
      <c r="AB154" s="1305"/>
      <c r="AC154" s="1207"/>
      <c r="AD154" s="1258"/>
      <c r="AE154" s="1202"/>
      <c r="AF154" s="1203"/>
      <c r="AG154" s="1203"/>
      <c r="AH154" s="1203"/>
      <c r="AI154" s="1203"/>
      <c r="AJ154" s="1305"/>
      <c r="AK154" s="1207"/>
      <c r="AL154" s="1258"/>
      <c r="AM154" s="1202"/>
      <c r="AN154" s="1203"/>
      <c r="AO154" s="1203"/>
      <c r="AP154" s="1203"/>
      <c r="AQ154" s="1203"/>
      <c r="AR154" s="1305"/>
      <c r="AS154" s="1207"/>
      <c r="AT154" s="1258"/>
      <c r="AU154" s="1202"/>
      <c r="AV154" s="1203"/>
      <c r="AW154" s="1203"/>
      <c r="AX154" s="1203"/>
      <c r="AY154" s="1203"/>
      <c r="AZ154" s="1204"/>
      <c r="BA154" s="1342"/>
      <c r="BB154" s="1258"/>
      <c r="BC154" s="1202"/>
      <c r="BD154" s="1203"/>
      <c r="BE154" s="1203"/>
      <c r="BF154" s="1203"/>
      <c r="BG154" s="1203"/>
      <c r="BH154" s="1204"/>
      <c r="BI154" s="1342"/>
      <c r="BJ154" s="1337"/>
      <c r="BK154" s="1338"/>
      <c r="BL154" s="1338"/>
      <c r="BM154" s="1338"/>
      <c r="BN154" s="1338"/>
      <c r="BO154" s="1339"/>
    </row>
    <row r="155" spans="1:67" ht="15" customHeight="1">
      <c r="A155" s="1304">
        <v>2.4</v>
      </c>
      <c r="B155" s="1161" t="s">
        <v>316</v>
      </c>
      <c r="C155" s="1162"/>
      <c r="D155" s="1162"/>
      <c r="E155" s="1162"/>
      <c r="F155" s="1162"/>
      <c r="G155" s="1199"/>
      <c r="H155" s="1205" t="str">
        <f t="shared" ref="H155" si="158">IF(ISBLANK(AB$5),"",1)</f>
        <v/>
      </c>
      <c r="I155" s="1205" t="str">
        <f t="shared" ref="I155" si="159">IF(ISBLANK(AF$5),"",1)</f>
        <v/>
      </c>
      <c r="J155" s="1205" t="str">
        <f t="shared" ref="J155" si="160">IF(ISBLANK(AJ$5),"",1)</f>
        <v/>
      </c>
      <c r="K155" s="1205" t="str">
        <f t="shared" ref="K155" si="161">IF(ISBLANK(AN$5),"",1)</f>
        <v/>
      </c>
      <c r="L155" s="1205" t="str">
        <f t="shared" ref="L155" si="162">IF(ISBLANK(AR$5),"",1)</f>
        <v/>
      </c>
      <c r="M155" s="1205" t="str">
        <f t="shared" ref="M155" si="163">IF(ISBLANK(AV$5),"",1)</f>
        <v/>
      </c>
      <c r="N155" s="1322">
        <v>4.3</v>
      </c>
      <c r="O155" s="1198" t="s">
        <v>388</v>
      </c>
      <c r="P155" s="1162"/>
      <c r="Q155" s="1162"/>
      <c r="R155" s="1162"/>
      <c r="S155" s="1162"/>
      <c r="T155" s="1265"/>
      <c r="U155" s="1205" t="str">
        <f t="shared" ref="U155" si="164">IF(ISBLANK(AB$5),"",1)</f>
        <v/>
      </c>
      <c r="V155" s="1322">
        <v>4.3</v>
      </c>
      <c r="W155" s="1198" t="s">
        <v>388</v>
      </c>
      <c r="X155" s="1162"/>
      <c r="Y155" s="1162"/>
      <c r="Z155" s="1162"/>
      <c r="AA155" s="1162"/>
      <c r="AB155" s="1265"/>
      <c r="AC155" s="1205" t="str">
        <f t="shared" ref="AC155" si="165">IF(ISBLANK(AF$5),"",1)</f>
        <v/>
      </c>
      <c r="AD155" s="1304">
        <v>4.3</v>
      </c>
      <c r="AE155" s="1455" t="s">
        <v>639</v>
      </c>
      <c r="AF155" s="1456"/>
      <c r="AG155" s="1456"/>
      <c r="AH155" s="1456"/>
      <c r="AI155" s="1456"/>
      <c r="AJ155" s="1457"/>
      <c r="AK155" s="1205" t="str">
        <f t="shared" ref="AK155" si="166">IF(ISBLANK(AJ$5),"",1)</f>
        <v/>
      </c>
      <c r="AL155" s="1258">
        <v>4.4000000000000004</v>
      </c>
      <c r="AM155" s="1198" t="s">
        <v>388</v>
      </c>
      <c r="AN155" s="1162"/>
      <c r="AO155" s="1162"/>
      <c r="AP155" s="1162"/>
      <c r="AQ155" s="1162"/>
      <c r="AR155" s="1265"/>
      <c r="AS155" s="1205" t="str">
        <f t="shared" ref="AS155" si="167">IF(ISBLANK(AN$5),"",1)</f>
        <v/>
      </c>
      <c r="AT155" s="1258">
        <v>4.3</v>
      </c>
      <c r="AU155" s="1198" t="s">
        <v>388</v>
      </c>
      <c r="AV155" s="1162"/>
      <c r="AW155" s="1162"/>
      <c r="AX155" s="1162"/>
      <c r="AY155" s="1162"/>
      <c r="AZ155" s="1199"/>
      <c r="BA155" s="1226" t="str">
        <f t="shared" ref="BA155" si="168">IF(ISBLANK(AR$5),"",1)</f>
        <v/>
      </c>
      <c r="BB155" s="1258">
        <v>4.3</v>
      </c>
      <c r="BC155" s="1198" t="s">
        <v>388</v>
      </c>
      <c r="BD155" s="1162"/>
      <c r="BE155" s="1162"/>
      <c r="BF155" s="1162"/>
      <c r="BG155" s="1162"/>
      <c r="BH155" s="1199"/>
      <c r="BI155" s="1226" t="str">
        <f t="shared" ref="BI155" si="169">IF(ISBLANK(AV$5),"",1)</f>
        <v/>
      </c>
      <c r="BJ155" s="1337"/>
      <c r="BK155" s="1338"/>
      <c r="BL155" s="1338"/>
      <c r="BM155" s="1338"/>
      <c r="BN155" s="1338"/>
      <c r="BO155" s="1339"/>
    </row>
    <row r="156" spans="1:67" ht="15" customHeight="1">
      <c r="A156" s="1290"/>
      <c r="B156" s="1163"/>
      <c r="C156" s="1164"/>
      <c r="D156" s="1164"/>
      <c r="E156" s="1164"/>
      <c r="F156" s="1164"/>
      <c r="G156" s="1201"/>
      <c r="H156" s="1206"/>
      <c r="I156" s="1206"/>
      <c r="J156" s="1206"/>
      <c r="K156" s="1206"/>
      <c r="L156" s="1206"/>
      <c r="M156" s="1206"/>
      <c r="N156" s="1293"/>
      <c r="O156" s="1200" t="s">
        <v>389</v>
      </c>
      <c r="P156" s="1164"/>
      <c r="Q156" s="1164"/>
      <c r="R156" s="1164"/>
      <c r="S156" s="1164"/>
      <c r="T156" s="1266"/>
      <c r="U156" s="1206"/>
      <c r="V156" s="1293"/>
      <c r="W156" s="1200"/>
      <c r="X156" s="1164"/>
      <c r="Y156" s="1164"/>
      <c r="Z156" s="1164"/>
      <c r="AA156" s="1164"/>
      <c r="AB156" s="1266"/>
      <c r="AC156" s="1206"/>
      <c r="AD156" s="1290"/>
      <c r="AE156" s="1458"/>
      <c r="AF156" s="1459"/>
      <c r="AG156" s="1459"/>
      <c r="AH156" s="1459"/>
      <c r="AI156" s="1459"/>
      <c r="AJ156" s="1460"/>
      <c r="AK156" s="1206"/>
      <c r="AL156" s="1258"/>
      <c r="AM156" s="1200"/>
      <c r="AN156" s="1164"/>
      <c r="AO156" s="1164"/>
      <c r="AP156" s="1164"/>
      <c r="AQ156" s="1164"/>
      <c r="AR156" s="1266"/>
      <c r="AS156" s="1206"/>
      <c r="AT156" s="1258"/>
      <c r="AU156" s="1200"/>
      <c r="AV156" s="1164"/>
      <c r="AW156" s="1164"/>
      <c r="AX156" s="1164"/>
      <c r="AY156" s="1164"/>
      <c r="AZ156" s="1201"/>
      <c r="BA156" s="1342"/>
      <c r="BB156" s="1258"/>
      <c r="BC156" s="1200"/>
      <c r="BD156" s="1164"/>
      <c r="BE156" s="1164"/>
      <c r="BF156" s="1164"/>
      <c r="BG156" s="1164"/>
      <c r="BH156" s="1201"/>
      <c r="BI156" s="1342"/>
      <c r="BJ156" s="1337"/>
      <c r="BK156" s="1338"/>
      <c r="BL156" s="1338"/>
      <c r="BM156" s="1338"/>
      <c r="BN156" s="1338"/>
      <c r="BO156" s="1339"/>
    </row>
    <row r="157" spans="1:67" ht="15" customHeight="1">
      <c r="A157" s="1291"/>
      <c r="B157" s="1165"/>
      <c r="C157" s="1166"/>
      <c r="D157" s="1166"/>
      <c r="E157" s="1166"/>
      <c r="F157" s="1166"/>
      <c r="G157" s="1292"/>
      <c r="H157" s="1207"/>
      <c r="I157" s="1207"/>
      <c r="J157" s="1207"/>
      <c r="K157" s="1207"/>
      <c r="L157" s="1207"/>
      <c r="M157" s="1207"/>
      <c r="N157" s="1294"/>
      <c r="O157" s="1202"/>
      <c r="P157" s="1203"/>
      <c r="Q157" s="1203"/>
      <c r="R157" s="1203"/>
      <c r="S157" s="1203"/>
      <c r="T157" s="1305"/>
      <c r="U157" s="1207"/>
      <c r="V157" s="1294"/>
      <c r="W157" s="1202"/>
      <c r="X157" s="1203"/>
      <c r="Y157" s="1203"/>
      <c r="Z157" s="1203"/>
      <c r="AA157" s="1203"/>
      <c r="AB157" s="1305"/>
      <c r="AC157" s="1207"/>
      <c r="AD157" s="1291"/>
      <c r="AE157" s="1461"/>
      <c r="AF157" s="1462"/>
      <c r="AG157" s="1462"/>
      <c r="AH157" s="1462"/>
      <c r="AI157" s="1462"/>
      <c r="AJ157" s="1463"/>
      <c r="AK157" s="1207"/>
      <c r="AL157" s="1258"/>
      <c r="AM157" s="1202"/>
      <c r="AN157" s="1203"/>
      <c r="AO157" s="1203"/>
      <c r="AP157" s="1203"/>
      <c r="AQ157" s="1203"/>
      <c r="AR157" s="1305"/>
      <c r="AS157" s="1207"/>
      <c r="AT157" s="1258"/>
      <c r="AU157" s="1202"/>
      <c r="AV157" s="1203"/>
      <c r="AW157" s="1203"/>
      <c r="AX157" s="1203"/>
      <c r="AY157" s="1203"/>
      <c r="AZ157" s="1204"/>
      <c r="BA157" s="1342"/>
      <c r="BB157" s="1258"/>
      <c r="BC157" s="1202"/>
      <c r="BD157" s="1203"/>
      <c r="BE157" s="1203"/>
      <c r="BF157" s="1203"/>
      <c r="BG157" s="1203"/>
      <c r="BH157" s="1204"/>
      <c r="BI157" s="1342"/>
      <c r="BJ157" s="1337"/>
      <c r="BK157" s="1338"/>
      <c r="BL157" s="1338"/>
      <c r="BM157" s="1338"/>
      <c r="BN157" s="1338"/>
      <c r="BO157" s="1339"/>
    </row>
    <row r="158" spans="1:67" ht="15" customHeight="1">
      <c r="A158" s="1307">
        <v>1.1000000000000001</v>
      </c>
      <c r="B158" s="1161" t="s">
        <v>320</v>
      </c>
      <c r="C158" s="1162"/>
      <c r="D158" s="1162"/>
      <c r="E158" s="1162"/>
      <c r="F158" s="1162"/>
      <c r="G158" s="1199"/>
      <c r="H158" s="1205" t="str">
        <f t="shared" ref="H158" si="170">IF(ISBLANK(AB$5),"",1)</f>
        <v/>
      </c>
      <c r="I158" s="1205" t="str">
        <f t="shared" ref="I158" si="171">IF(ISBLANK(AF$5),"",1)</f>
        <v/>
      </c>
      <c r="J158" s="1205" t="str">
        <f t="shared" ref="J158" si="172">IF(ISBLANK(AJ$5),"",1)</f>
        <v/>
      </c>
      <c r="K158" s="1205" t="str">
        <f t="shared" ref="K158" si="173">IF(ISBLANK(AN$5),"",1)</f>
        <v/>
      </c>
      <c r="L158" s="1205" t="str">
        <f t="shared" ref="L158" si="174">IF(ISBLANK(AR$5),"",1)</f>
        <v/>
      </c>
      <c r="M158" s="1205" t="str">
        <f t="shared" ref="M158" si="175">IF(ISBLANK(AV$5),"",1)</f>
        <v/>
      </c>
      <c r="N158" s="1322">
        <v>4.3</v>
      </c>
      <c r="O158" s="1198" t="s">
        <v>423</v>
      </c>
      <c r="P158" s="1162"/>
      <c r="Q158" s="1162"/>
      <c r="R158" s="1162"/>
      <c r="S158" s="1162"/>
      <c r="T158" s="1265"/>
      <c r="U158" s="1205" t="str">
        <f t="shared" ref="U158" si="176">IF(ISBLANK(AB$5),"",1)</f>
        <v/>
      </c>
      <c r="V158" s="1322">
        <v>4.3</v>
      </c>
      <c r="W158" s="1198" t="s">
        <v>390</v>
      </c>
      <c r="X158" s="1162"/>
      <c r="Y158" s="1162"/>
      <c r="Z158" s="1162"/>
      <c r="AA158" s="1162"/>
      <c r="AB158" s="1265"/>
      <c r="AC158" s="1205" t="str">
        <f t="shared" ref="AC158" si="177">IF(ISBLANK(AF$5),"",1)</f>
        <v/>
      </c>
      <c r="AD158" s="1398">
        <v>4.4000000000000004</v>
      </c>
      <c r="AE158" s="1198" t="s">
        <v>410</v>
      </c>
      <c r="AF158" s="1162"/>
      <c r="AG158" s="1162"/>
      <c r="AH158" s="1162"/>
      <c r="AI158" s="1162"/>
      <c r="AJ158" s="1265"/>
      <c r="AK158" s="1205" t="str">
        <f t="shared" ref="AK158" si="178">IF(ISBLANK(AJ$5),"",1)</f>
        <v/>
      </c>
      <c r="AL158" s="1322">
        <v>4.4000000000000004</v>
      </c>
      <c r="AM158" s="1198" t="s">
        <v>408</v>
      </c>
      <c r="AN158" s="1162"/>
      <c r="AO158" s="1162"/>
      <c r="AP158" s="1162"/>
      <c r="AQ158" s="1162"/>
      <c r="AR158" s="1265"/>
      <c r="AS158" s="1205" t="str">
        <f t="shared" ref="AS158" si="179">IF(ISBLANK(AN$5),"",1)</f>
        <v/>
      </c>
      <c r="AT158" s="1258">
        <v>4.3</v>
      </c>
      <c r="AU158" s="1198" t="s">
        <v>390</v>
      </c>
      <c r="AV158" s="1162"/>
      <c r="AW158" s="1162"/>
      <c r="AX158" s="1162"/>
      <c r="AY158" s="1162"/>
      <c r="AZ158" s="1199"/>
      <c r="BA158" s="1226" t="str">
        <f t="shared" ref="BA158" si="180">IF(ISBLANK(AR$5),"",1)</f>
        <v/>
      </c>
      <c r="BB158" s="1258">
        <v>4.3</v>
      </c>
      <c r="BC158" s="1198" t="s">
        <v>390</v>
      </c>
      <c r="BD158" s="1162"/>
      <c r="BE158" s="1162"/>
      <c r="BF158" s="1162"/>
      <c r="BG158" s="1162"/>
      <c r="BH158" s="1199"/>
      <c r="BI158" s="1226" t="str">
        <f t="shared" ref="BI158" si="181">IF(ISBLANK(AV$5),"",1)</f>
        <v/>
      </c>
      <c r="BJ158" s="1337"/>
      <c r="BK158" s="1338"/>
      <c r="BL158" s="1338"/>
      <c r="BM158" s="1338"/>
      <c r="BN158" s="1338"/>
      <c r="BO158" s="1339"/>
    </row>
    <row r="159" spans="1:67" ht="15" customHeight="1">
      <c r="A159" s="1308"/>
      <c r="B159" s="1163"/>
      <c r="C159" s="1164"/>
      <c r="D159" s="1164"/>
      <c r="E159" s="1164"/>
      <c r="F159" s="1164"/>
      <c r="G159" s="1201"/>
      <c r="H159" s="1206"/>
      <c r="I159" s="1206"/>
      <c r="J159" s="1206"/>
      <c r="K159" s="1206"/>
      <c r="L159" s="1206"/>
      <c r="M159" s="1206"/>
      <c r="N159" s="1293"/>
      <c r="O159" s="1200" t="s">
        <v>389</v>
      </c>
      <c r="P159" s="1164"/>
      <c r="Q159" s="1164"/>
      <c r="R159" s="1164"/>
      <c r="S159" s="1164"/>
      <c r="T159" s="1266"/>
      <c r="U159" s="1206"/>
      <c r="V159" s="1293"/>
      <c r="W159" s="1200"/>
      <c r="X159" s="1164"/>
      <c r="Y159" s="1164"/>
      <c r="Z159" s="1164"/>
      <c r="AA159" s="1164"/>
      <c r="AB159" s="1266"/>
      <c r="AC159" s="1206"/>
      <c r="AD159" s="1293"/>
      <c r="AE159" s="1200"/>
      <c r="AF159" s="1164"/>
      <c r="AG159" s="1164"/>
      <c r="AH159" s="1164"/>
      <c r="AI159" s="1164"/>
      <c r="AJ159" s="1266"/>
      <c r="AK159" s="1206"/>
      <c r="AL159" s="1293"/>
      <c r="AM159" s="1200"/>
      <c r="AN159" s="1164"/>
      <c r="AO159" s="1164"/>
      <c r="AP159" s="1164"/>
      <c r="AQ159" s="1164"/>
      <c r="AR159" s="1266"/>
      <c r="AS159" s="1206"/>
      <c r="AT159" s="1258"/>
      <c r="AU159" s="1200"/>
      <c r="AV159" s="1164"/>
      <c r="AW159" s="1164"/>
      <c r="AX159" s="1164"/>
      <c r="AY159" s="1164"/>
      <c r="AZ159" s="1201"/>
      <c r="BA159" s="1342"/>
      <c r="BB159" s="1258"/>
      <c r="BC159" s="1200"/>
      <c r="BD159" s="1164"/>
      <c r="BE159" s="1164"/>
      <c r="BF159" s="1164"/>
      <c r="BG159" s="1164"/>
      <c r="BH159" s="1201"/>
      <c r="BI159" s="1342"/>
      <c r="BJ159" s="1337"/>
      <c r="BK159" s="1338"/>
      <c r="BL159" s="1338"/>
      <c r="BM159" s="1338"/>
      <c r="BN159" s="1338"/>
      <c r="BO159" s="1339"/>
    </row>
    <row r="160" spans="1:67" ht="15" customHeight="1">
      <c r="A160" s="1309"/>
      <c r="B160" s="1165"/>
      <c r="C160" s="1166"/>
      <c r="D160" s="1166"/>
      <c r="E160" s="1166"/>
      <c r="F160" s="1166"/>
      <c r="G160" s="1292"/>
      <c r="H160" s="1207"/>
      <c r="I160" s="1207"/>
      <c r="J160" s="1207"/>
      <c r="K160" s="1207"/>
      <c r="L160" s="1207"/>
      <c r="M160" s="1207"/>
      <c r="N160" s="1294"/>
      <c r="O160" s="1202"/>
      <c r="P160" s="1203"/>
      <c r="Q160" s="1203"/>
      <c r="R160" s="1203"/>
      <c r="S160" s="1203"/>
      <c r="T160" s="1305"/>
      <c r="U160" s="1207"/>
      <c r="V160" s="1294"/>
      <c r="W160" s="1202"/>
      <c r="X160" s="1203"/>
      <c r="Y160" s="1203"/>
      <c r="Z160" s="1203"/>
      <c r="AA160" s="1203"/>
      <c r="AB160" s="1305"/>
      <c r="AC160" s="1207"/>
      <c r="AD160" s="1294"/>
      <c r="AE160" s="1202"/>
      <c r="AF160" s="1203"/>
      <c r="AG160" s="1203"/>
      <c r="AH160" s="1203"/>
      <c r="AI160" s="1203"/>
      <c r="AJ160" s="1305"/>
      <c r="AK160" s="1207"/>
      <c r="AL160" s="1306"/>
      <c r="AM160" s="1202"/>
      <c r="AN160" s="1203"/>
      <c r="AO160" s="1203"/>
      <c r="AP160" s="1203"/>
      <c r="AQ160" s="1203"/>
      <c r="AR160" s="1305"/>
      <c r="AS160" s="1207"/>
      <c r="AT160" s="1258"/>
      <c r="AU160" s="1202"/>
      <c r="AV160" s="1203"/>
      <c r="AW160" s="1203"/>
      <c r="AX160" s="1203"/>
      <c r="AY160" s="1203"/>
      <c r="AZ160" s="1204"/>
      <c r="BA160" s="1342"/>
      <c r="BB160" s="1258"/>
      <c r="BC160" s="1202"/>
      <c r="BD160" s="1203"/>
      <c r="BE160" s="1203"/>
      <c r="BF160" s="1203"/>
      <c r="BG160" s="1203"/>
      <c r="BH160" s="1204"/>
      <c r="BI160" s="1342"/>
      <c r="BJ160" s="1337"/>
      <c r="BK160" s="1338"/>
      <c r="BL160" s="1338"/>
      <c r="BM160" s="1338"/>
      <c r="BN160" s="1338"/>
      <c r="BO160" s="1339"/>
    </row>
    <row r="161" spans="1:67" ht="15" customHeight="1">
      <c r="A161" s="1304">
        <v>2.1</v>
      </c>
      <c r="B161" s="1161" t="s">
        <v>322</v>
      </c>
      <c r="C161" s="1162"/>
      <c r="D161" s="1162"/>
      <c r="E161" s="1162"/>
      <c r="F161" s="1162"/>
      <c r="G161" s="1199"/>
      <c r="H161" s="1205" t="str">
        <f t="shared" ref="H161" si="182">IF(ISBLANK(AB$5),"",1)</f>
        <v/>
      </c>
      <c r="I161" s="1205" t="str">
        <f t="shared" ref="I161" si="183">IF(ISBLANK(AF$5),"",1)</f>
        <v/>
      </c>
      <c r="J161" s="1205" t="str">
        <f t="shared" ref="J161" si="184">IF(ISBLANK(AJ$5),"",1)</f>
        <v/>
      </c>
      <c r="K161" s="1205" t="str">
        <f t="shared" ref="K161" si="185">IF(ISBLANK(AN$5),"",1)</f>
        <v/>
      </c>
      <c r="L161" s="1205" t="str">
        <f t="shared" ref="L161" si="186">IF(ISBLANK(AR$5),"",1)</f>
        <v/>
      </c>
      <c r="M161" s="1205" t="str">
        <f t="shared" ref="M161" si="187">IF(ISBLANK(AV$5),"",1)</f>
        <v/>
      </c>
      <c r="N161" s="1322">
        <v>4.4000000000000004</v>
      </c>
      <c r="O161" s="1198" t="s">
        <v>407</v>
      </c>
      <c r="P161" s="1162"/>
      <c r="Q161" s="1162"/>
      <c r="R161" s="1162"/>
      <c r="S161" s="1162"/>
      <c r="T161" s="1265"/>
      <c r="U161" s="1205" t="str">
        <f t="shared" ref="U161" si="188">IF(ISBLANK(AB$5),"",1)</f>
        <v/>
      </c>
      <c r="V161" s="1322">
        <v>4.4000000000000004</v>
      </c>
      <c r="W161" s="1198" t="s">
        <v>391</v>
      </c>
      <c r="X161" s="1162"/>
      <c r="Y161" s="1162"/>
      <c r="Z161" s="1162"/>
      <c r="AA161" s="1162"/>
      <c r="AB161" s="1265"/>
      <c r="AC161" s="1205" t="str">
        <f t="shared" ref="AC161" si="189">IF(ISBLANK(AF$5),"",1)</f>
        <v/>
      </c>
      <c r="AD161" s="1322">
        <v>4.4000000000000004</v>
      </c>
      <c r="AE161" s="1198" t="s">
        <v>411</v>
      </c>
      <c r="AF161" s="1162"/>
      <c r="AG161" s="1162"/>
      <c r="AH161" s="1162"/>
      <c r="AI161" s="1162"/>
      <c r="AJ161" s="1265"/>
      <c r="AK161" s="1205" t="str">
        <f t="shared" ref="AK161" si="190">IF(ISBLANK(AJ$5),"",1)</f>
        <v/>
      </c>
      <c r="AL161" s="1322">
        <v>4.4000000000000004</v>
      </c>
      <c r="AM161" s="1198" t="s">
        <v>393</v>
      </c>
      <c r="AN161" s="1162"/>
      <c r="AO161" s="1162"/>
      <c r="AP161" s="1162"/>
      <c r="AQ161" s="1162"/>
      <c r="AR161" s="1265"/>
      <c r="AS161" s="1205" t="str">
        <f t="shared" ref="AS161" si="191">IF(ISBLANK(AN$5),"",1)</f>
        <v/>
      </c>
      <c r="AT161" s="1258">
        <v>4.4000000000000004</v>
      </c>
      <c r="AU161" s="1198" t="s">
        <v>407</v>
      </c>
      <c r="AV161" s="1162"/>
      <c r="AW161" s="1162"/>
      <c r="AX161" s="1162"/>
      <c r="AY161" s="1162"/>
      <c r="AZ161" s="1199"/>
      <c r="BA161" s="1226" t="str">
        <f t="shared" ref="BA161" si="192">IF(ISBLANK(AR$5),"",1)</f>
        <v/>
      </c>
      <c r="BB161" s="1258">
        <v>4.4000000000000004</v>
      </c>
      <c r="BC161" s="1198" t="s">
        <v>407</v>
      </c>
      <c r="BD161" s="1162"/>
      <c r="BE161" s="1162"/>
      <c r="BF161" s="1162"/>
      <c r="BG161" s="1162"/>
      <c r="BH161" s="1199"/>
      <c r="BI161" s="1226" t="str">
        <f t="shared" ref="BI161" si="193">IF(ISBLANK(AV$5),"",1)</f>
        <v/>
      </c>
      <c r="BJ161" s="1337"/>
      <c r="BK161" s="1338"/>
      <c r="BL161" s="1338"/>
      <c r="BM161" s="1338"/>
      <c r="BN161" s="1338"/>
      <c r="BO161" s="1339"/>
    </row>
    <row r="162" spans="1:67" ht="15" customHeight="1">
      <c r="A162" s="1290"/>
      <c r="B162" s="1163"/>
      <c r="C162" s="1164"/>
      <c r="D162" s="1164"/>
      <c r="E162" s="1164"/>
      <c r="F162" s="1164"/>
      <c r="G162" s="1201"/>
      <c r="H162" s="1206"/>
      <c r="I162" s="1206"/>
      <c r="J162" s="1206"/>
      <c r="K162" s="1206"/>
      <c r="L162" s="1206"/>
      <c r="M162" s="1206"/>
      <c r="N162" s="1293"/>
      <c r="O162" s="1200" t="s">
        <v>368</v>
      </c>
      <c r="P162" s="1164"/>
      <c r="Q162" s="1164"/>
      <c r="R162" s="1164"/>
      <c r="S162" s="1164"/>
      <c r="T162" s="1266"/>
      <c r="U162" s="1206"/>
      <c r="V162" s="1293"/>
      <c r="W162" s="1200"/>
      <c r="X162" s="1164"/>
      <c r="Y162" s="1164"/>
      <c r="Z162" s="1164"/>
      <c r="AA162" s="1164"/>
      <c r="AB162" s="1266"/>
      <c r="AC162" s="1206"/>
      <c r="AD162" s="1293"/>
      <c r="AE162" s="1200"/>
      <c r="AF162" s="1164"/>
      <c r="AG162" s="1164"/>
      <c r="AH162" s="1164"/>
      <c r="AI162" s="1164"/>
      <c r="AJ162" s="1266"/>
      <c r="AK162" s="1206"/>
      <c r="AL162" s="1293"/>
      <c r="AM162" s="1200"/>
      <c r="AN162" s="1164"/>
      <c r="AO162" s="1164"/>
      <c r="AP162" s="1164"/>
      <c r="AQ162" s="1164"/>
      <c r="AR162" s="1266"/>
      <c r="AS162" s="1206"/>
      <c r="AT162" s="1258"/>
      <c r="AU162" s="1200"/>
      <c r="AV162" s="1164"/>
      <c r="AW162" s="1164"/>
      <c r="AX162" s="1164"/>
      <c r="AY162" s="1164"/>
      <c r="AZ162" s="1201"/>
      <c r="BA162" s="1342"/>
      <c r="BB162" s="1258"/>
      <c r="BC162" s="1200"/>
      <c r="BD162" s="1164"/>
      <c r="BE162" s="1164"/>
      <c r="BF162" s="1164"/>
      <c r="BG162" s="1164"/>
      <c r="BH162" s="1201"/>
      <c r="BI162" s="1342"/>
      <c r="BJ162" s="1337"/>
      <c r="BK162" s="1338"/>
      <c r="BL162" s="1338"/>
      <c r="BM162" s="1338"/>
      <c r="BN162" s="1338"/>
      <c r="BO162" s="1339"/>
    </row>
    <row r="163" spans="1:67" ht="15" customHeight="1">
      <c r="A163" s="1291"/>
      <c r="B163" s="1165"/>
      <c r="C163" s="1166"/>
      <c r="D163" s="1166"/>
      <c r="E163" s="1166"/>
      <c r="F163" s="1166"/>
      <c r="G163" s="1292"/>
      <c r="H163" s="1207"/>
      <c r="I163" s="1207"/>
      <c r="J163" s="1207"/>
      <c r="K163" s="1207"/>
      <c r="L163" s="1207"/>
      <c r="M163" s="1207"/>
      <c r="N163" s="1294"/>
      <c r="O163" s="1202" t="s">
        <v>392</v>
      </c>
      <c r="P163" s="1203"/>
      <c r="Q163" s="1203"/>
      <c r="R163" s="1203"/>
      <c r="S163" s="1203"/>
      <c r="T163" s="1305"/>
      <c r="U163" s="1207"/>
      <c r="V163" s="1294"/>
      <c r="W163" s="1202"/>
      <c r="X163" s="1203"/>
      <c r="Y163" s="1203"/>
      <c r="Z163" s="1203"/>
      <c r="AA163" s="1203"/>
      <c r="AB163" s="1305"/>
      <c r="AC163" s="1207"/>
      <c r="AD163" s="1294"/>
      <c r="AE163" s="1202"/>
      <c r="AF163" s="1203"/>
      <c r="AG163" s="1203"/>
      <c r="AH163" s="1203"/>
      <c r="AI163" s="1203"/>
      <c r="AJ163" s="1305"/>
      <c r="AK163" s="1207"/>
      <c r="AL163" s="1306"/>
      <c r="AM163" s="1202"/>
      <c r="AN163" s="1203"/>
      <c r="AO163" s="1203"/>
      <c r="AP163" s="1203"/>
      <c r="AQ163" s="1203"/>
      <c r="AR163" s="1305"/>
      <c r="AS163" s="1207"/>
      <c r="AT163" s="1258"/>
      <c r="AU163" s="1202"/>
      <c r="AV163" s="1203"/>
      <c r="AW163" s="1203"/>
      <c r="AX163" s="1203"/>
      <c r="AY163" s="1203"/>
      <c r="AZ163" s="1204"/>
      <c r="BA163" s="1342"/>
      <c r="BB163" s="1258"/>
      <c r="BC163" s="1202"/>
      <c r="BD163" s="1203"/>
      <c r="BE163" s="1203"/>
      <c r="BF163" s="1203"/>
      <c r="BG163" s="1203"/>
      <c r="BH163" s="1204"/>
      <c r="BI163" s="1342"/>
      <c r="BJ163" s="1337"/>
      <c r="BK163" s="1338"/>
      <c r="BL163" s="1338"/>
      <c r="BM163" s="1338"/>
      <c r="BN163" s="1338"/>
      <c r="BO163" s="1339"/>
    </row>
    <row r="164" spans="1:67" ht="15" customHeight="1">
      <c r="A164" s="1307">
        <v>1.1000000000000001</v>
      </c>
      <c r="B164" s="1161" t="s">
        <v>940</v>
      </c>
      <c r="C164" s="1162"/>
      <c r="D164" s="1162"/>
      <c r="E164" s="1162"/>
      <c r="F164" s="1162"/>
      <c r="G164" s="1199"/>
      <c r="H164" s="1205" t="str">
        <f t="shared" ref="H164" si="194">IF(ISBLANK(AB$5),"",1)</f>
        <v/>
      </c>
      <c r="I164" s="1205" t="str">
        <f t="shared" ref="I164" si="195">IF(ISBLANK(AF$5),"",1)</f>
        <v/>
      </c>
      <c r="J164" s="1205" t="str">
        <f t="shared" ref="J164" si="196">IF(ISBLANK(AJ$5),"",1)</f>
        <v/>
      </c>
      <c r="K164" s="1205" t="str">
        <f t="shared" ref="K164" si="197">IF(ISBLANK(AN$5),"",1)</f>
        <v/>
      </c>
      <c r="L164" s="1205" t="str">
        <f t="shared" ref="L164" si="198">IF(ISBLANK(AR$5),"",1)</f>
        <v/>
      </c>
      <c r="M164" s="1205" t="str">
        <f t="shared" ref="M164" si="199">IF(ISBLANK(AV$5),"",1)</f>
        <v/>
      </c>
      <c r="N164" s="1391">
        <v>4.3</v>
      </c>
      <c r="O164" s="1310" t="s">
        <v>879</v>
      </c>
      <c r="P164" s="1311"/>
      <c r="Q164" s="1311"/>
      <c r="R164" s="1311"/>
      <c r="S164" s="1311"/>
      <c r="T164" s="1312"/>
      <c r="U164" s="1205" t="str">
        <f t="shared" ref="U164" si="200">IF(ISBLANK(AB$5),"",1)</f>
        <v/>
      </c>
      <c r="V164" s="1322">
        <v>4.4000000000000004</v>
      </c>
      <c r="W164" s="1198" t="s">
        <v>880</v>
      </c>
      <c r="X164" s="1162"/>
      <c r="Y164" s="1162"/>
      <c r="Z164" s="1162"/>
      <c r="AA164" s="1162"/>
      <c r="AB164" s="1265"/>
      <c r="AC164" s="1205" t="str">
        <f t="shared" ref="AC164" si="201">IF(ISBLANK(AF$5),"",1)</f>
        <v/>
      </c>
      <c r="AD164" s="1322">
        <v>4.4000000000000004</v>
      </c>
      <c r="AE164" s="1198" t="s">
        <v>412</v>
      </c>
      <c r="AF164" s="1162"/>
      <c r="AG164" s="1162"/>
      <c r="AH164" s="1162"/>
      <c r="AI164" s="1162"/>
      <c r="AJ164" s="1265"/>
      <c r="AK164" s="1205" t="str">
        <f t="shared" ref="AK164" si="202">IF(ISBLANK(AJ$5),"",1)</f>
        <v/>
      </c>
      <c r="AL164" s="1304">
        <v>4.4000000000000004</v>
      </c>
      <c r="AM164" s="1198" t="s">
        <v>359</v>
      </c>
      <c r="AN164" s="1162"/>
      <c r="AO164" s="1162"/>
      <c r="AP164" s="1162"/>
      <c r="AQ164" s="1162"/>
      <c r="AR164" s="1265"/>
      <c r="AS164" s="1205" t="str">
        <f t="shared" ref="AS164" si="203">IF(ISBLANK(AN$5),"",1)</f>
        <v/>
      </c>
      <c r="AT164" s="1304">
        <v>4.3</v>
      </c>
      <c r="AU164" s="1310" t="s">
        <v>879</v>
      </c>
      <c r="AV164" s="1311"/>
      <c r="AW164" s="1311"/>
      <c r="AX164" s="1311"/>
      <c r="AY164" s="1311"/>
      <c r="AZ164" s="1316"/>
      <c r="BA164" s="1226" t="str">
        <f t="shared" ref="BA164" si="204">IF(ISBLANK(AR$5),"",1)</f>
        <v/>
      </c>
      <c r="BB164" s="1304">
        <v>4.3</v>
      </c>
      <c r="BC164" s="1310" t="s">
        <v>879</v>
      </c>
      <c r="BD164" s="1311"/>
      <c r="BE164" s="1311"/>
      <c r="BF164" s="1311"/>
      <c r="BG164" s="1311"/>
      <c r="BH164" s="1316"/>
      <c r="BI164" s="1226" t="str">
        <f t="shared" ref="BI164" si="205">IF(ISBLANK(AV$5),"",1)</f>
        <v/>
      </c>
      <c r="BJ164" s="1337"/>
      <c r="BK164" s="1338"/>
      <c r="BL164" s="1338"/>
      <c r="BM164" s="1338"/>
      <c r="BN164" s="1338"/>
      <c r="BO164" s="1339"/>
    </row>
    <row r="165" spans="1:67" ht="15" customHeight="1">
      <c r="A165" s="1308"/>
      <c r="B165" s="1163"/>
      <c r="C165" s="1164"/>
      <c r="D165" s="1164"/>
      <c r="E165" s="1164"/>
      <c r="F165" s="1164"/>
      <c r="G165" s="1201"/>
      <c r="H165" s="1206"/>
      <c r="I165" s="1206"/>
      <c r="J165" s="1206"/>
      <c r="K165" s="1206"/>
      <c r="L165" s="1206"/>
      <c r="M165" s="1206"/>
      <c r="N165" s="1392"/>
      <c r="O165" s="1295" t="s">
        <v>368</v>
      </c>
      <c r="P165" s="1296"/>
      <c r="Q165" s="1296"/>
      <c r="R165" s="1296"/>
      <c r="S165" s="1296"/>
      <c r="T165" s="1297"/>
      <c r="U165" s="1206"/>
      <c r="V165" s="1293"/>
      <c r="W165" s="1200"/>
      <c r="X165" s="1164"/>
      <c r="Y165" s="1164"/>
      <c r="Z165" s="1164"/>
      <c r="AA165" s="1164"/>
      <c r="AB165" s="1266"/>
      <c r="AC165" s="1206"/>
      <c r="AD165" s="1293"/>
      <c r="AE165" s="1200"/>
      <c r="AF165" s="1164"/>
      <c r="AG165" s="1164"/>
      <c r="AH165" s="1164"/>
      <c r="AI165" s="1164"/>
      <c r="AJ165" s="1266"/>
      <c r="AK165" s="1206"/>
      <c r="AL165" s="1290"/>
      <c r="AM165" s="1200"/>
      <c r="AN165" s="1164"/>
      <c r="AO165" s="1164"/>
      <c r="AP165" s="1164"/>
      <c r="AQ165" s="1164"/>
      <c r="AR165" s="1266"/>
      <c r="AS165" s="1206"/>
      <c r="AT165" s="1290"/>
      <c r="AU165" s="1295"/>
      <c r="AV165" s="1296"/>
      <c r="AW165" s="1296"/>
      <c r="AX165" s="1296"/>
      <c r="AY165" s="1296"/>
      <c r="AZ165" s="1318"/>
      <c r="BA165" s="1342"/>
      <c r="BB165" s="1290"/>
      <c r="BC165" s="1295"/>
      <c r="BD165" s="1296"/>
      <c r="BE165" s="1296"/>
      <c r="BF165" s="1296"/>
      <c r="BG165" s="1296"/>
      <c r="BH165" s="1318"/>
      <c r="BI165" s="1342"/>
      <c r="BJ165" s="1337"/>
      <c r="BK165" s="1338"/>
      <c r="BL165" s="1338"/>
      <c r="BM165" s="1338"/>
      <c r="BN165" s="1338"/>
      <c r="BO165" s="1339"/>
    </row>
    <row r="166" spans="1:67" ht="15" customHeight="1">
      <c r="A166" s="1309"/>
      <c r="B166" s="1165"/>
      <c r="C166" s="1166"/>
      <c r="D166" s="1166"/>
      <c r="E166" s="1166"/>
      <c r="F166" s="1166"/>
      <c r="G166" s="1292"/>
      <c r="H166" s="1207"/>
      <c r="I166" s="1207"/>
      <c r="J166" s="1207"/>
      <c r="K166" s="1207"/>
      <c r="L166" s="1207"/>
      <c r="M166" s="1207"/>
      <c r="N166" s="1393"/>
      <c r="O166" s="1298" t="s">
        <v>416</v>
      </c>
      <c r="P166" s="1299"/>
      <c r="Q166" s="1299"/>
      <c r="R166" s="1299"/>
      <c r="S166" s="1299"/>
      <c r="T166" s="1300"/>
      <c r="U166" s="1207"/>
      <c r="V166" s="1294"/>
      <c r="W166" s="1202"/>
      <c r="X166" s="1203"/>
      <c r="Y166" s="1203"/>
      <c r="Z166" s="1203"/>
      <c r="AA166" s="1203"/>
      <c r="AB166" s="1305"/>
      <c r="AC166" s="1207"/>
      <c r="AD166" s="1294"/>
      <c r="AE166" s="1202"/>
      <c r="AF166" s="1203"/>
      <c r="AG166" s="1203"/>
      <c r="AH166" s="1203"/>
      <c r="AI166" s="1203"/>
      <c r="AJ166" s="1305"/>
      <c r="AK166" s="1207"/>
      <c r="AL166" s="1291"/>
      <c r="AM166" s="1202"/>
      <c r="AN166" s="1203"/>
      <c r="AO166" s="1203"/>
      <c r="AP166" s="1203"/>
      <c r="AQ166" s="1203"/>
      <c r="AR166" s="1305"/>
      <c r="AS166" s="1207"/>
      <c r="AT166" s="1291"/>
      <c r="AU166" s="1298"/>
      <c r="AV166" s="1299"/>
      <c r="AW166" s="1299"/>
      <c r="AX166" s="1299"/>
      <c r="AY166" s="1299"/>
      <c r="AZ166" s="1335"/>
      <c r="BA166" s="1342"/>
      <c r="BB166" s="1291"/>
      <c r="BC166" s="1298"/>
      <c r="BD166" s="1299"/>
      <c r="BE166" s="1299"/>
      <c r="BF166" s="1299"/>
      <c r="BG166" s="1299"/>
      <c r="BH166" s="1335"/>
      <c r="BI166" s="1342"/>
      <c r="BJ166" s="1337"/>
      <c r="BK166" s="1338"/>
      <c r="BL166" s="1338"/>
      <c r="BM166" s="1338"/>
      <c r="BN166" s="1338"/>
      <c r="BO166" s="1339"/>
    </row>
    <row r="167" spans="1:67" ht="15" customHeight="1">
      <c r="A167" s="1307">
        <v>1.1000000000000001</v>
      </c>
      <c r="B167" s="1161" t="s">
        <v>330</v>
      </c>
      <c r="C167" s="1162"/>
      <c r="D167" s="1162"/>
      <c r="E167" s="1162"/>
      <c r="F167" s="1162"/>
      <c r="G167" s="1199"/>
      <c r="H167" s="1205" t="str">
        <f t="shared" ref="H167" si="206">IF(ISBLANK(AB$5),"",1)</f>
        <v/>
      </c>
      <c r="I167" s="1205" t="str">
        <f t="shared" ref="I167" si="207">IF(ISBLANK(AF$5),"",1)</f>
        <v/>
      </c>
      <c r="J167" s="1205" t="str">
        <f t="shared" ref="J167" si="208">IF(ISBLANK(AJ$5),"",1)</f>
        <v/>
      </c>
      <c r="K167" s="1205" t="str">
        <f t="shared" ref="K167" si="209">IF(ISBLANK(AN$5),"",1)</f>
        <v/>
      </c>
      <c r="L167" s="1205" t="str">
        <f t="shared" ref="L167" si="210">IF(ISBLANK(AR$5),"",1)</f>
        <v/>
      </c>
      <c r="M167" s="1205" t="str">
        <f t="shared" ref="M167" si="211">IF(ISBLANK(AV$5),"",1)</f>
        <v/>
      </c>
      <c r="N167" s="1322">
        <v>4.4000000000000004</v>
      </c>
      <c r="O167" s="1198" t="s">
        <v>393</v>
      </c>
      <c r="P167" s="1162"/>
      <c r="Q167" s="1162"/>
      <c r="R167" s="1162"/>
      <c r="S167" s="1162"/>
      <c r="T167" s="1265"/>
      <c r="U167" s="1205" t="str">
        <f t="shared" ref="U167" si="212">IF(ISBLANK(AB$5),"",1)</f>
        <v/>
      </c>
      <c r="V167" s="1304">
        <v>4.4000000000000004</v>
      </c>
      <c r="W167" s="1395" t="s">
        <v>359</v>
      </c>
      <c r="X167" s="1396"/>
      <c r="Y167" s="1396"/>
      <c r="Z167" s="1396"/>
      <c r="AA167" s="1396"/>
      <c r="AB167" s="1397"/>
      <c r="AC167" s="1205" t="str">
        <f t="shared" ref="AC167" si="213">IF(ISBLANK(AF$5),"",1)</f>
        <v/>
      </c>
      <c r="AD167" s="1322">
        <v>4.4000000000000004</v>
      </c>
      <c r="AE167" s="1198" t="s">
        <v>413</v>
      </c>
      <c r="AF167" s="1162"/>
      <c r="AG167" s="1162"/>
      <c r="AH167" s="1162"/>
      <c r="AI167" s="1162"/>
      <c r="AJ167" s="1265"/>
      <c r="AK167" s="1205" t="str">
        <f t="shared" ref="AK167" si="214">IF(ISBLANK(AJ$5),"",1)</f>
        <v/>
      </c>
      <c r="AL167" s="1322">
        <v>4.3</v>
      </c>
      <c r="AM167" s="1198" t="s">
        <v>395</v>
      </c>
      <c r="AN167" s="1162"/>
      <c r="AO167" s="1162"/>
      <c r="AP167" s="1162"/>
      <c r="AQ167" s="1162"/>
      <c r="AR167" s="1265"/>
      <c r="AS167" s="1205" t="str">
        <f t="shared" ref="AS167" si="215">IF(ISBLANK(AN$5),"",1)</f>
        <v/>
      </c>
      <c r="AT167" s="1258">
        <v>4.4000000000000004</v>
      </c>
      <c r="AU167" s="1198" t="s">
        <v>418</v>
      </c>
      <c r="AV167" s="1162"/>
      <c r="AW167" s="1162"/>
      <c r="AX167" s="1162"/>
      <c r="AY167" s="1162"/>
      <c r="AZ167" s="1199"/>
      <c r="BA167" s="1226" t="str">
        <f t="shared" ref="BA167" si="216">IF(ISBLANK(AR$5),"",1)</f>
        <v/>
      </c>
      <c r="BB167" s="1258">
        <v>4.3</v>
      </c>
      <c r="BC167" s="1198" t="s">
        <v>418</v>
      </c>
      <c r="BD167" s="1162"/>
      <c r="BE167" s="1162"/>
      <c r="BF167" s="1162"/>
      <c r="BG167" s="1162"/>
      <c r="BH167" s="1199"/>
      <c r="BI167" s="1226" t="str">
        <f t="shared" ref="BI167" si="217">IF(ISBLANK(AV$5),"",1)</f>
        <v/>
      </c>
      <c r="BJ167" s="1337"/>
      <c r="BK167" s="1338"/>
      <c r="BL167" s="1338"/>
      <c r="BM167" s="1338"/>
      <c r="BN167" s="1338"/>
      <c r="BO167" s="1339"/>
    </row>
    <row r="168" spans="1:67" ht="15" customHeight="1">
      <c r="A168" s="1308"/>
      <c r="B168" s="1163"/>
      <c r="C168" s="1164"/>
      <c r="D168" s="1164"/>
      <c r="E168" s="1164"/>
      <c r="F168" s="1164"/>
      <c r="G168" s="1201"/>
      <c r="H168" s="1206"/>
      <c r="I168" s="1206"/>
      <c r="J168" s="1206"/>
      <c r="K168" s="1206"/>
      <c r="L168" s="1206"/>
      <c r="M168" s="1206"/>
      <c r="N168" s="1293"/>
      <c r="O168" s="1200"/>
      <c r="P168" s="1164"/>
      <c r="Q168" s="1164"/>
      <c r="R168" s="1164"/>
      <c r="S168" s="1164"/>
      <c r="T168" s="1266"/>
      <c r="U168" s="1206"/>
      <c r="V168" s="1290"/>
      <c r="W168" s="1163"/>
      <c r="X168" s="1164"/>
      <c r="Y168" s="1164"/>
      <c r="Z168" s="1164"/>
      <c r="AA168" s="1164"/>
      <c r="AB168" s="1201"/>
      <c r="AC168" s="1206"/>
      <c r="AD168" s="1293"/>
      <c r="AE168" s="1200"/>
      <c r="AF168" s="1164"/>
      <c r="AG168" s="1164"/>
      <c r="AH168" s="1164"/>
      <c r="AI168" s="1164"/>
      <c r="AJ168" s="1266"/>
      <c r="AK168" s="1206"/>
      <c r="AL168" s="1293"/>
      <c r="AM168" s="1200"/>
      <c r="AN168" s="1164"/>
      <c r="AO168" s="1164"/>
      <c r="AP168" s="1164"/>
      <c r="AQ168" s="1164"/>
      <c r="AR168" s="1266"/>
      <c r="AS168" s="1206"/>
      <c r="AT168" s="1258"/>
      <c r="AU168" s="1200"/>
      <c r="AV168" s="1164"/>
      <c r="AW168" s="1164"/>
      <c r="AX168" s="1164"/>
      <c r="AY168" s="1164"/>
      <c r="AZ168" s="1201"/>
      <c r="BA168" s="1342"/>
      <c r="BB168" s="1258"/>
      <c r="BC168" s="1200"/>
      <c r="BD168" s="1164"/>
      <c r="BE168" s="1164"/>
      <c r="BF168" s="1164"/>
      <c r="BG168" s="1164"/>
      <c r="BH168" s="1201"/>
      <c r="BI168" s="1342"/>
      <c r="BJ168" s="1337"/>
      <c r="BK168" s="1338"/>
      <c r="BL168" s="1338"/>
      <c r="BM168" s="1338"/>
      <c r="BN168" s="1338"/>
      <c r="BO168" s="1339"/>
    </row>
    <row r="169" spans="1:67" ht="15" customHeight="1">
      <c r="A169" s="1309"/>
      <c r="B169" s="1165"/>
      <c r="C169" s="1166"/>
      <c r="D169" s="1166"/>
      <c r="E169" s="1166"/>
      <c r="F169" s="1166"/>
      <c r="G169" s="1292"/>
      <c r="H169" s="1207"/>
      <c r="I169" s="1207"/>
      <c r="J169" s="1207"/>
      <c r="K169" s="1207"/>
      <c r="L169" s="1207"/>
      <c r="M169" s="1207"/>
      <c r="N169" s="1294"/>
      <c r="O169" s="1202" t="s">
        <v>394</v>
      </c>
      <c r="P169" s="1203"/>
      <c r="Q169" s="1203"/>
      <c r="R169" s="1203"/>
      <c r="S169" s="1203"/>
      <c r="T169" s="1305"/>
      <c r="U169" s="1207"/>
      <c r="V169" s="1291"/>
      <c r="W169" s="1165"/>
      <c r="X169" s="1166"/>
      <c r="Y169" s="1166"/>
      <c r="Z169" s="1166"/>
      <c r="AA169" s="1166"/>
      <c r="AB169" s="1292"/>
      <c r="AC169" s="1207"/>
      <c r="AD169" s="1294"/>
      <c r="AE169" s="1202"/>
      <c r="AF169" s="1203"/>
      <c r="AG169" s="1203"/>
      <c r="AH169" s="1203"/>
      <c r="AI169" s="1203"/>
      <c r="AJ169" s="1305"/>
      <c r="AK169" s="1207"/>
      <c r="AL169" s="1306"/>
      <c r="AM169" s="1202"/>
      <c r="AN169" s="1203"/>
      <c r="AO169" s="1203"/>
      <c r="AP169" s="1203"/>
      <c r="AQ169" s="1203"/>
      <c r="AR169" s="1305"/>
      <c r="AS169" s="1207"/>
      <c r="AT169" s="1258"/>
      <c r="AU169" s="1202"/>
      <c r="AV169" s="1203"/>
      <c r="AW169" s="1203"/>
      <c r="AX169" s="1203"/>
      <c r="AY169" s="1203"/>
      <c r="AZ169" s="1204"/>
      <c r="BA169" s="1342"/>
      <c r="BB169" s="1258"/>
      <c r="BC169" s="1202"/>
      <c r="BD169" s="1203"/>
      <c r="BE169" s="1203"/>
      <c r="BF169" s="1203"/>
      <c r="BG169" s="1203"/>
      <c r="BH169" s="1204"/>
      <c r="BI169" s="1342"/>
      <c r="BJ169" s="1337"/>
      <c r="BK169" s="1338"/>
      <c r="BL169" s="1338"/>
      <c r="BM169" s="1338"/>
      <c r="BN169" s="1338"/>
      <c r="BO169" s="1339"/>
    </row>
    <row r="170" spans="1:67" ht="15" customHeight="1">
      <c r="A170" s="1304">
        <v>1.5</v>
      </c>
      <c r="B170" s="1161" t="s">
        <v>336</v>
      </c>
      <c r="C170" s="1162"/>
      <c r="D170" s="1162"/>
      <c r="E170" s="1162"/>
      <c r="F170" s="1162"/>
      <c r="G170" s="1199"/>
      <c r="H170" s="1205" t="str">
        <f t="shared" ref="H170" si="218">IF(ISBLANK(AB$5),"",1)</f>
        <v/>
      </c>
      <c r="I170" s="1205" t="str">
        <f t="shared" ref="I170" si="219">IF(ISBLANK(AF$5),"",1)</f>
        <v/>
      </c>
      <c r="J170" s="1205" t="str">
        <f t="shared" ref="J170" si="220">IF(ISBLANK(AJ$5),"",1)</f>
        <v/>
      </c>
      <c r="K170" s="1205" t="str">
        <f t="shared" ref="K170" si="221">IF(ISBLANK(AN$5),"",1)</f>
        <v/>
      </c>
      <c r="L170" s="1205" t="str">
        <f t="shared" ref="L170" si="222">IF(ISBLANK(AR$5),"",1)</f>
        <v/>
      </c>
      <c r="M170" s="1205" t="str">
        <f t="shared" ref="M170" si="223">IF(ISBLANK(AV$5),"",1)</f>
        <v/>
      </c>
      <c r="N170" s="1391">
        <v>4.4000000000000004</v>
      </c>
      <c r="O170" s="1198" t="s">
        <v>359</v>
      </c>
      <c r="P170" s="1162"/>
      <c r="Q170" s="1162"/>
      <c r="R170" s="1162"/>
      <c r="S170" s="1162"/>
      <c r="T170" s="1265"/>
      <c r="U170" s="1205" t="str">
        <f t="shared" ref="U170" si="224">IF(ISBLANK(AB$5),"",1)</f>
        <v/>
      </c>
      <c r="V170" s="1322">
        <v>4.4000000000000004</v>
      </c>
      <c r="W170" s="1198" t="s">
        <v>395</v>
      </c>
      <c r="X170" s="1162"/>
      <c r="Y170" s="1162"/>
      <c r="Z170" s="1162"/>
      <c r="AA170" s="1162"/>
      <c r="AB170" s="1265"/>
      <c r="AC170" s="1205" t="str">
        <f t="shared" ref="AC170" si="225">IF(ISBLANK(AF$5),"",1)</f>
        <v/>
      </c>
      <c r="AD170" s="1322">
        <v>4.4000000000000004</v>
      </c>
      <c r="AE170" s="1198" t="s">
        <v>414</v>
      </c>
      <c r="AF170" s="1162"/>
      <c r="AG170" s="1162"/>
      <c r="AH170" s="1162"/>
      <c r="AI170" s="1162"/>
      <c r="AJ170" s="1265"/>
      <c r="AK170" s="1205" t="str">
        <f t="shared" ref="AK170" si="226">IF(ISBLANK(AJ$5),"",1)</f>
        <v/>
      </c>
      <c r="AL170" s="1304">
        <v>4.4000000000000004</v>
      </c>
      <c r="AM170" s="1161" t="s">
        <v>878</v>
      </c>
      <c r="AN170" s="1162"/>
      <c r="AO170" s="1162"/>
      <c r="AP170" s="1162"/>
      <c r="AQ170" s="1162"/>
      <c r="AR170" s="1199"/>
      <c r="AS170" s="1205" t="str">
        <f t="shared" ref="AS170" si="227">IF(ISBLANK(AN$5),"",1)</f>
        <v/>
      </c>
      <c r="AT170" s="1258">
        <v>4.4000000000000004</v>
      </c>
      <c r="AU170" s="1198" t="s">
        <v>417</v>
      </c>
      <c r="AV170" s="1162"/>
      <c r="AW170" s="1162"/>
      <c r="AX170" s="1162"/>
      <c r="AY170" s="1162"/>
      <c r="AZ170" s="1199"/>
      <c r="BA170" s="1226" t="str">
        <f t="shared" ref="BA170" si="228">IF(ISBLANK(AR$5),"",1)</f>
        <v/>
      </c>
      <c r="BB170" s="1258">
        <v>4.4000000000000004</v>
      </c>
      <c r="BC170" s="1198" t="s">
        <v>417</v>
      </c>
      <c r="BD170" s="1162"/>
      <c r="BE170" s="1162"/>
      <c r="BF170" s="1162"/>
      <c r="BG170" s="1162"/>
      <c r="BH170" s="1199"/>
      <c r="BI170" s="1226" t="str">
        <f t="shared" ref="BI170" si="229">IF(ISBLANK(AV$5),"",1)</f>
        <v/>
      </c>
      <c r="BJ170" s="1337"/>
      <c r="BK170" s="1338"/>
      <c r="BL170" s="1338"/>
      <c r="BM170" s="1338"/>
      <c r="BN170" s="1338"/>
      <c r="BO170" s="1339"/>
    </row>
    <row r="171" spans="1:67" ht="15" customHeight="1">
      <c r="A171" s="1290"/>
      <c r="B171" s="1163"/>
      <c r="C171" s="1164"/>
      <c r="D171" s="1164"/>
      <c r="E171" s="1164"/>
      <c r="F171" s="1164"/>
      <c r="G171" s="1201"/>
      <c r="H171" s="1206"/>
      <c r="I171" s="1206"/>
      <c r="J171" s="1206"/>
      <c r="K171" s="1206"/>
      <c r="L171" s="1206"/>
      <c r="M171" s="1206"/>
      <c r="N171" s="1392"/>
      <c r="O171" s="1200" t="s">
        <v>370</v>
      </c>
      <c r="P171" s="1164"/>
      <c r="Q171" s="1164"/>
      <c r="R171" s="1164"/>
      <c r="S171" s="1164"/>
      <c r="T171" s="1266"/>
      <c r="U171" s="1206"/>
      <c r="V171" s="1293"/>
      <c r="W171" s="1200"/>
      <c r="X171" s="1164"/>
      <c r="Y171" s="1164"/>
      <c r="Z171" s="1164"/>
      <c r="AA171" s="1164"/>
      <c r="AB171" s="1266"/>
      <c r="AC171" s="1206"/>
      <c r="AD171" s="1293"/>
      <c r="AE171" s="1200"/>
      <c r="AF171" s="1164"/>
      <c r="AG171" s="1164"/>
      <c r="AH171" s="1164"/>
      <c r="AI171" s="1164"/>
      <c r="AJ171" s="1266"/>
      <c r="AK171" s="1206"/>
      <c r="AL171" s="1290"/>
      <c r="AM171" s="1163"/>
      <c r="AN171" s="1164"/>
      <c r="AO171" s="1164"/>
      <c r="AP171" s="1164"/>
      <c r="AQ171" s="1164"/>
      <c r="AR171" s="1201"/>
      <c r="AS171" s="1206"/>
      <c r="AT171" s="1258"/>
      <c r="AU171" s="1200"/>
      <c r="AV171" s="1164"/>
      <c r="AW171" s="1164"/>
      <c r="AX171" s="1164"/>
      <c r="AY171" s="1164"/>
      <c r="AZ171" s="1201"/>
      <c r="BA171" s="1342"/>
      <c r="BB171" s="1258"/>
      <c r="BC171" s="1200"/>
      <c r="BD171" s="1164"/>
      <c r="BE171" s="1164"/>
      <c r="BF171" s="1164"/>
      <c r="BG171" s="1164"/>
      <c r="BH171" s="1201"/>
      <c r="BI171" s="1342"/>
      <c r="BJ171" s="1337"/>
      <c r="BK171" s="1338"/>
      <c r="BL171" s="1338"/>
      <c r="BM171" s="1338"/>
      <c r="BN171" s="1338"/>
      <c r="BO171" s="1339"/>
    </row>
    <row r="172" spans="1:67" ht="15" customHeight="1">
      <c r="A172" s="1291"/>
      <c r="B172" s="1165"/>
      <c r="C172" s="1166"/>
      <c r="D172" s="1166"/>
      <c r="E172" s="1166"/>
      <c r="F172" s="1166"/>
      <c r="G172" s="1292"/>
      <c r="H172" s="1207"/>
      <c r="I172" s="1207"/>
      <c r="J172" s="1207"/>
      <c r="K172" s="1207"/>
      <c r="L172" s="1207"/>
      <c r="M172" s="1207"/>
      <c r="N172" s="1393"/>
      <c r="O172" s="1202" t="s">
        <v>384</v>
      </c>
      <c r="P172" s="1203"/>
      <c r="Q172" s="1203"/>
      <c r="R172" s="1203"/>
      <c r="S172" s="1203"/>
      <c r="T172" s="1305"/>
      <c r="U172" s="1207"/>
      <c r="V172" s="1294"/>
      <c r="W172" s="1202"/>
      <c r="X172" s="1203"/>
      <c r="Y172" s="1203"/>
      <c r="Z172" s="1203"/>
      <c r="AA172" s="1203"/>
      <c r="AB172" s="1305"/>
      <c r="AC172" s="1207"/>
      <c r="AD172" s="1306"/>
      <c r="AE172" s="1202"/>
      <c r="AF172" s="1203"/>
      <c r="AG172" s="1203"/>
      <c r="AH172" s="1203"/>
      <c r="AI172" s="1203"/>
      <c r="AJ172" s="1305"/>
      <c r="AK172" s="1207"/>
      <c r="AL172" s="1291"/>
      <c r="AM172" s="1165"/>
      <c r="AN172" s="1166"/>
      <c r="AO172" s="1166"/>
      <c r="AP172" s="1166"/>
      <c r="AQ172" s="1166"/>
      <c r="AR172" s="1292"/>
      <c r="AS172" s="1207"/>
      <c r="AT172" s="1258"/>
      <c r="AU172" s="1202"/>
      <c r="AV172" s="1203"/>
      <c r="AW172" s="1203"/>
      <c r="AX172" s="1203"/>
      <c r="AY172" s="1203"/>
      <c r="AZ172" s="1204"/>
      <c r="BA172" s="1342"/>
      <c r="BB172" s="1258"/>
      <c r="BC172" s="1202"/>
      <c r="BD172" s="1203"/>
      <c r="BE172" s="1203"/>
      <c r="BF172" s="1203"/>
      <c r="BG172" s="1203"/>
      <c r="BH172" s="1204"/>
      <c r="BI172" s="1342"/>
      <c r="BJ172" s="1337"/>
      <c r="BK172" s="1338"/>
      <c r="BL172" s="1338"/>
      <c r="BM172" s="1338"/>
      <c r="BN172" s="1338"/>
      <c r="BO172" s="1339"/>
    </row>
    <row r="173" spans="1:67" ht="15" customHeight="1">
      <c r="A173" s="1304">
        <v>2.1</v>
      </c>
      <c r="B173" s="1161" t="s">
        <v>360</v>
      </c>
      <c r="C173" s="1162"/>
      <c r="D173" s="1162"/>
      <c r="E173" s="1162"/>
      <c r="F173" s="1162"/>
      <c r="G173" s="1199"/>
      <c r="H173" s="1205" t="str">
        <f t="shared" ref="H173" si="230">IF(ISBLANK(AB$5),"",1)</f>
        <v/>
      </c>
      <c r="I173" s="1205" t="str">
        <f t="shared" ref="I173" si="231">IF(ISBLANK(AF$5),"",1)</f>
        <v/>
      </c>
      <c r="J173" s="1205" t="str">
        <f t="shared" ref="J173" si="232">IF(ISBLANK(AJ$5),"",1)</f>
        <v/>
      </c>
      <c r="K173" s="1205" t="str">
        <f t="shared" ref="K173" si="233">IF(ISBLANK(AN$5),"",1)</f>
        <v/>
      </c>
      <c r="L173" s="1205" t="str">
        <f t="shared" ref="L173" si="234">IF(ISBLANK(AR$5),"",1)</f>
        <v/>
      </c>
      <c r="M173" s="1205" t="str">
        <f t="shared" ref="M173" si="235">IF(ISBLANK(AV$5),"",1)</f>
        <v/>
      </c>
      <c r="N173" s="1322">
        <v>4.4000000000000004</v>
      </c>
      <c r="O173" s="1198" t="s">
        <v>395</v>
      </c>
      <c r="P173" s="1162"/>
      <c r="Q173" s="1162"/>
      <c r="R173" s="1162"/>
      <c r="S173" s="1162"/>
      <c r="T173" s="1265"/>
      <c r="U173" s="1205" t="str">
        <f t="shared" ref="U173" si="236">IF(ISBLANK(AB$5),"",1)</f>
        <v/>
      </c>
      <c r="V173" s="1391">
        <v>4.4000000000000004</v>
      </c>
      <c r="W173" s="1161" t="s">
        <v>878</v>
      </c>
      <c r="X173" s="1162"/>
      <c r="Y173" s="1162"/>
      <c r="Z173" s="1162"/>
      <c r="AA173" s="1162"/>
      <c r="AB173" s="1199"/>
      <c r="AC173" s="1205" t="str">
        <f t="shared" ref="AC173" si="237">IF(ISBLANK(AF$5),"",1)</f>
        <v/>
      </c>
      <c r="AD173" s="1322">
        <v>4.4000000000000004</v>
      </c>
      <c r="AE173" s="1198" t="s">
        <v>383</v>
      </c>
      <c r="AF173" s="1162"/>
      <c r="AG173" s="1162"/>
      <c r="AH173" s="1162"/>
      <c r="AI173" s="1162"/>
      <c r="AJ173" s="1265"/>
      <c r="AK173" s="1205" t="str">
        <f t="shared" ref="AK173" si="238">IF(ISBLANK(AJ$5),"",1)</f>
        <v/>
      </c>
      <c r="AL173" s="1307">
        <v>1.5</v>
      </c>
      <c r="AM173" s="1310" t="s">
        <v>373</v>
      </c>
      <c r="AN173" s="1311"/>
      <c r="AO173" s="1311"/>
      <c r="AP173" s="1311"/>
      <c r="AQ173" s="1311"/>
      <c r="AR173" s="1312"/>
      <c r="AS173" s="1205" t="str">
        <f t="shared" ref="AS173" si="239">IF(ISBLANK(AN$5),"",1)</f>
        <v/>
      </c>
      <c r="AT173" s="1258">
        <v>4.4000000000000004</v>
      </c>
      <c r="AU173" s="1198" t="s">
        <v>419</v>
      </c>
      <c r="AV173" s="1162"/>
      <c r="AW173" s="1162"/>
      <c r="AX173" s="1162"/>
      <c r="AY173" s="1162"/>
      <c r="AZ173" s="1199"/>
      <c r="BA173" s="1226" t="str">
        <f t="shared" ref="BA173" si="240">IF(ISBLANK(AR$5),"",1)</f>
        <v/>
      </c>
      <c r="BB173" s="1258">
        <v>4.4000000000000004</v>
      </c>
      <c r="BC173" s="1198" t="s">
        <v>419</v>
      </c>
      <c r="BD173" s="1162"/>
      <c r="BE173" s="1162"/>
      <c r="BF173" s="1162"/>
      <c r="BG173" s="1162"/>
      <c r="BH173" s="1199"/>
      <c r="BI173" s="1226" t="str">
        <f t="shared" ref="BI173" si="241">IF(ISBLANK(AV$5),"",1)</f>
        <v/>
      </c>
      <c r="BJ173" s="1337"/>
      <c r="BK173" s="1338"/>
      <c r="BL173" s="1338"/>
      <c r="BM173" s="1338"/>
      <c r="BN173" s="1338"/>
      <c r="BO173" s="1339"/>
    </row>
    <row r="174" spans="1:67" ht="15" customHeight="1">
      <c r="A174" s="1290"/>
      <c r="B174" s="1163"/>
      <c r="C174" s="1164"/>
      <c r="D174" s="1164"/>
      <c r="E174" s="1164"/>
      <c r="F174" s="1164"/>
      <c r="G174" s="1201"/>
      <c r="H174" s="1206"/>
      <c r="I174" s="1206"/>
      <c r="J174" s="1206"/>
      <c r="K174" s="1206"/>
      <c r="L174" s="1206"/>
      <c r="M174" s="1206"/>
      <c r="N174" s="1293"/>
      <c r="O174" s="1200" t="s">
        <v>370</v>
      </c>
      <c r="P174" s="1164"/>
      <c r="Q174" s="1164"/>
      <c r="R174" s="1164"/>
      <c r="S174" s="1164"/>
      <c r="T174" s="1266"/>
      <c r="U174" s="1206"/>
      <c r="V174" s="1392"/>
      <c r="W174" s="1163"/>
      <c r="X174" s="1164"/>
      <c r="Y174" s="1164"/>
      <c r="Z174" s="1164"/>
      <c r="AA174" s="1164"/>
      <c r="AB174" s="1201"/>
      <c r="AC174" s="1206"/>
      <c r="AD174" s="1293"/>
      <c r="AE174" s="1200"/>
      <c r="AF174" s="1164"/>
      <c r="AG174" s="1164"/>
      <c r="AH174" s="1164"/>
      <c r="AI174" s="1164"/>
      <c r="AJ174" s="1266"/>
      <c r="AK174" s="1206"/>
      <c r="AL174" s="1308"/>
      <c r="AM174" s="1295"/>
      <c r="AN174" s="1296"/>
      <c r="AO174" s="1296"/>
      <c r="AP174" s="1296"/>
      <c r="AQ174" s="1296"/>
      <c r="AR174" s="1297"/>
      <c r="AS174" s="1206"/>
      <c r="AT174" s="1258"/>
      <c r="AU174" s="1200"/>
      <c r="AV174" s="1164"/>
      <c r="AW174" s="1164"/>
      <c r="AX174" s="1164"/>
      <c r="AY174" s="1164"/>
      <c r="AZ174" s="1201"/>
      <c r="BA174" s="1342"/>
      <c r="BB174" s="1258"/>
      <c r="BC174" s="1200"/>
      <c r="BD174" s="1164"/>
      <c r="BE174" s="1164"/>
      <c r="BF174" s="1164"/>
      <c r="BG174" s="1164"/>
      <c r="BH174" s="1201"/>
      <c r="BI174" s="1342"/>
      <c r="BJ174" s="1337"/>
      <c r="BK174" s="1338"/>
      <c r="BL174" s="1338"/>
      <c r="BM174" s="1338"/>
      <c r="BN174" s="1338"/>
      <c r="BO174" s="1339"/>
    </row>
    <row r="175" spans="1:67" ht="15" customHeight="1">
      <c r="A175" s="1291"/>
      <c r="B175" s="1165"/>
      <c r="C175" s="1166"/>
      <c r="D175" s="1166"/>
      <c r="E175" s="1166"/>
      <c r="F175" s="1166"/>
      <c r="G175" s="1292"/>
      <c r="H175" s="1207"/>
      <c r="I175" s="1207"/>
      <c r="J175" s="1207"/>
      <c r="K175" s="1207"/>
      <c r="L175" s="1207"/>
      <c r="M175" s="1207"/>
      <c r="N175" s="1294"/>
      <c r="O175" s="1202" t="s">
        <v>396</v>
      </c>
      <c r="P175" s="1203"/>
      <c r="Q175" s="1203"/>
      <c r="R175" s="1203"/>
      <c r="S175" s="1203"/>
      <c r="T175" s="1305"/>
      <c r="U175" s="1207"/>
      <c r="V175" s="1393"/>
      <c r="W175" s="1165"/>
      <c r="X175" s="1166"/>
      <c r="Y175" s="1166"/>
      <c r="Z175" s="1166"/>
      <c r="AA175" s="1166"/>
      <c r="AB175" s="1292"/>
      <c r="AC175" s="1207"/>
      <c r="AD175" s="1306"/>
      <c r="AE175" s="1202"/>
      <c r="AF175" s="1203"/>
      <c r="AG175" s="1203"/>
      <c r="AH175" s="1203"/>
      <c r="AI175" s="1203"/>
      <c r="AJ175" s="1305"/>
      <c r="AK175" s="1207"/>
      <c r="AL175" s="1309"/>
      <c r="AM175" s="1298"/>
      <c r="AN175" s="1299"/>
      <c r="AO175" s="1299"/>
      <c r="AP175" s="1299"/>
      <c r="AQ175" s="1299"/>
      <c r="AR175" s="1300"/>
      <c r="AS175" s="1207"/>
      <c r="AT175" s="1258"/>
      <c r="AU175" s="1202"/>
      <c r="AV175" s="1203"/>
      <c r="AW175" s="1203"/>
      <c r="AX175" s="1203"/>
      <c r="AY175" s="1203"/>
      <c r="AZ175" s="1204"/>
      <c r="BA175" s="1342"/>
      <c r="BB175" s="1258"/>
      <c r="BC175" s="1202"/>
      <c r="BD175" s="1203"/>
      <c r="BE175" s="1203"/>
      <c r="BF175" s="1203"/>
      <c r="BG175" s="1203"/>
      <c r="BH175" s="1204"/>
      <c r="BI175" s="1342"/>
      <c r="BJ175" s="1337"/>
      <c r="BK175" s="1338"/>
      <c r="BL175" s="1338"/>
      <c r="BM175" s="1338"/>
      <c r="BN175" s="1338"/>
      <c r="BO175" s="1339"/>
    </row>
    <row r="176" spans="1:67" ht="15" customHeight="1">
      <c r="A176" s="1304">
        <v>2.4</v>
      </c>
      <c r="B176" s="1161" t="s">
        <v>942</v>
      </c>
      <c r="C176" s="1162"/>
      <c r="D176" s="1162"/>
      <c r="E176" s="1162"/>
      <c r="F176" s="1162"/>
      <c r="G176" s="1199"/>
      <c r="H176" s="1205" t="str">
        <f t="shared" ref="H176" si="242">IF(ISBLANK(AB$5),"",1)</f>
        <v/>
      </c>
      <c r="I176" s="1205" t="str">
        <f t="shared" ref="I176" si="243">IF(ISBLANK(AF$5),"",1)</f>
        <v/>
      </c>
      <c r="J176" s="1205" t="str">
        <f t="shared" ref="J176" si="244">IF(ISBLANK(AJ$5),"",1)</f>
        <v/>
      </c>
      <c r="K176" s="1205" t="str">
        <f t="shared" ref="K176" si="245">IF(ISBLANK(AN$5),"",1)</f>
        <v/>
      </c>
      <c r="L176" s="1205" t="str">
        <f t="shared" ref="L176" si="246">IF(ISBLANK(AR$5),"",1)</f>
        <v/>
      </c>
      <c r="M176" s="1205" t="str">
        <f t="shared" ref="M176" si="247">IF(ISBLANK(AV$5),"",1)</f>
        <v/>
      </c>
      <c r="N176" s="1391">
        <v>4.4000000000000004</v>
      </c>
      <c r="O176" s="1161" t="s">
        <v>878</v>
      </c>
      <c r="P176" s="1162"/>
      <c r="Q176" s="1162"/>
      <c r="R176" s="1162"/>
      <c r="S176" s="1162"/>
      <c r="T176" s="1199"/>
      <c r="U176" s="1205" t="str">
        <f t="shared" ref="U176" si="248">IF(ISBLANK(AB$5),"",1)</f>
        <v/>
      </c>
      <c r="V176" s="1394">
        <v>1.5</v>
      </c>
      <c r="W176" s="1310" t="s">
        <v>373</v>
      </c>
      <c r="X176" s="1311"/>
      <c r="Y176" s="1311"/>
      <c r="Z176" s="1311"/>
      <c r="AA176" s="1311"/>
      <c r="AB176" s="1312"/>
      <c r="AC176" s="1205" t="str">
        <f t="shared" ref="AC176" si="249">IF(ISBLANK(AF$5),"",1)</f>
        <v/>
      </c>
      <c r="AD176" s="1307">
        <v>1.5</v>
      </c>
      <c r="AE176" s="1310" t="s">
        <v>373</v>
      </c>
      <c r="AF176" s="1311"/>
      <c r="AG176" s="1311"/>
      <c r="AH176" s="1311"/>
      <c r="AI176" s="1311"/>
      <c r="AJ176" s="1312"/>
      <c r="AK176" s="1205" t="str">
        <f t="shared" ref="AK176" si="250">IF(ISBLANK(AJ$5),"",1)</f>
        <v/>
      </c>
      <c r="AL176" s="1322">
        <v>4.4000000000000004</v>
      </c>
      <c r="AM176" s="1198" t="s">
        <v>397</v>
      </c>
      <c r="AN176" s="1162"/>
      <c r="AO176" s="1162"/>
      <c r="AP176" s="1162"/>
      <c r="AQ176" s="1162"/>
      <c r="AR176" s="1265"/>
      <c r="AS176" s="1205" t="str">
        <f t="shared" ref="AS176" si="251">IF(ISBLANK(AN$5),"",1)</f>
        <v/>
      </c>
      <c r="AT176" s="1258">
        <v>4.4000000000000004</v>
      </c>
      <c r="AU176" s="1198" t="s">
        <v>420</v>
      </c>
      <c r="AV176" s="1162"/>
      <c r="AW176" s="1162"/>
      <c r="AX176" s="1162"/>
      <c r="AY176" s="1162"/>
      <c r="AZ176" s="1199"/>
      <c r="BA176" s="1226" t="str">
        <f t="shared" ref="BA176" si="252">IF(ISBLANK(AR$5),"",1)</f>
        <v/>
      </c>
      <c r="BB176" s="1258">
        <v>4.4000000000000004</v>
      </c>
      <c r="BC176" s="1198" t="s">
        <v>420</v>
      </c>
      <c r="BD176" s="1162"/>
      <c r="BE176" s="1162"/>
      <c r="BF176" s="1162"/>
      <c r="BG176" s="1162"/>
      <c r="BH176" s="1199"/>
      <c r="BI176" s="1226" t="str">
        <f t="shared" ref="BI176" si="253">IF(ISBLANK(AV$5),"",1)</f>
        <v/>
      </c>
      <c r="BJ176" s="1337"/>
      <c r="BK176" s="1338"/>
      <c r="BL176" s="1338"/>
      <c r="BM176" s="1338"/>
      <c r="BN176" s="1338"/>
      <c r="BO176" s="1339"/>
    </row>
    <row r="177" spans="1:67" ht="15" customHeight="1">
      <c r="A177" s="1290"/>
      <c r="B177" s="1163"/>
      <c r="C177" s="1164"/>
      <c r="D177" s="1164"/>
      <c r="E177" s="1164"/>
      <c r="F177" s="1164"/>
      <c r="G177" s="1201"/>
      <c r="H177" s="1206"/>
      <c r="I177" s="1206"/>
      <c r="J177" s="1206"/>
      <c r="K177" s="1206"/>
      <c r="L177" s="1206"/>
      <c r="M177" s="1206"/>
      <c r="N177" s="1392"/>
      <c r="O177" s="1163"/>
      <c r="P177" s="1164"/>
      <c r="Q177" s="1164"/>
      <c r="R177" s="1164"/>
      <c r="S177" s="1164"/>
      <c r="T177" s="1201"/>
      <c r="U177" s="1206"/>
      <c r="V177" s="1313"/>
      <c r="W177" s="1295"/>
      <c r="X177" s="1296"/>
      <c r="Y177" s="1296"/>
      <c r="Z177" s="1296"/>
      <c r="AA177" s="1296"/>
      <c r="AB177" s="1297"/>
      <c r="AC177" s="1206"/>
      <c r="AD177" s="1308"/>
      <c r="AE177" s="1295"/>
      <c r="AF177" s="1296"/>
      <c r="AG177" s="1296"/>
      <c r="AH177" s="1296"/>
      <c r="AI177" s="1296"/>
      <c r="AJ177" s="1297"/>
      <c r="AK177" s="1206"/>
      <c r="AL177" s="1293"/>
      <c r="AM177" s="1200"/>
      <c r="AN177" s="1164"/>
      <c r="AO177" s="1164"/>
      <c r="AP177" s="1164"/>
      <c r="AQ177" s="1164"/>
      <c r="AR177" s="1266"/>
      <c r="AS177" s="1206"/>
      <c r="AT177" s="1258"/>
      <c r="AU177" s="1200"/>
      <c r="AV177" s="1164"/>
      <c r="AW177" s="1164"/>
      <c r="AX177" s="1164"/>
      <c r="AY177" s="1164"/>
      <c r="AZ177" s="1201"/>
      <c r="BA177" s="1342"/>
      <c r="BB177" s="1258"/>
      <c r="BC177" s="1200"/>
      <c r="BD177" s="1164"/>
      <c r="BE177" s="1164"/>
      <c r="BF177" s="1164"/>
      <c r="BG177" s="1164"/>
      <c r="BH177" s="1201"/>
      <c r="BI177" s="1342"/>
      <c r="BJ177" s="1337"/>
      <c r="BK177" s="1338"/>
      <c r="BL177" s="1338"/>
      <c r="BM177" s="1338"/>
      <c r="BN177" s="1338"/>
      <c r="BO177" s="1339"/>
    </row>
    <row r="178" spans="1:67" ht="15" customHeight="1">
      <c r="A178" s="1291"/>
      <c r="B178" s="1165"/>
      <c r="C178" s="1166"/>
      <c r="D178" s="1166"/>
      <c r="E178" s="1166"/>
      <c r="F178" s="1166"/>
      <c r="G178" s="1292"/>
      <c r="H178" s="1207"/>
      <c r="I178" s="1207"/>
      <c r="J178" s="1207"/>
      <c r="K178" s="1207"/>
      <c r="L178" s="1207"/>
      <c r="M178" s="1207"/>
      <c r="N178" s="1393"/>
      <c r="O178" s="1165"/>
      <c r="P178" s="1166"/>
      <c r="Q178" s="1166"/>
      <c r="R178" s="1166"/>
      <c r="S178" s="1166"/>
      <c r="T178" s="1292"/>
      <c r="U178" s="1207"/>
      <c r="V178" s="1314"/>
      <c r="W178" s="1298"/>
      <c r="X178" s="1299"/>
      <c r="Y178" s="1299"/>
      <c r="Z178" s="1299"/>
      <c r="AA178" s="1299"/>
      <c r="AB178" s="1300"/>
      <c r="AC178" s="1207"/>
      <c r="AD178" s="1309"/>
      <c r="AE178" s="1298"/>
      <c r="AF178" s="1299"/>
      <c r="AG178" s="1299"/>
      <c r="AH178" s="1299"/>
      <c r="AI178" s="1299"/>
      <c r="AJ178" s="1300"/>
      <c r="AK178" s="1207"/>
      <c r="AL178" s="1306"/>
      <c r="AM178" s="1202"/>
      <c r="AN178" s="1203"/>
      <c r="AO178" s="1203"/>
      <c r="AP178" s="1203"/>
      <c r="AQ178" s="1203"/>
      <c r="AR178" s="1305"/>
      <c r="AS178" s="1207"/>
      <c r="AT178" s="1258"/>
      <c r="AU178" s="1202"/>
      <c r="AV178" s="1203"/>
      <c r="AW178" s="1203"/>
      <c r="AX178" s="1203"/>
      <c r="AY178" s="1203"/>
      <c r="AZ178" s="1204"/>
      <c r="BA178" s="1342"/>
      <c r="BB178" s="1258"/>
      <c r="BC178" s="1202"/>
      <c r="BD178" s="1203"/>
      <c r="BE178" s="1203"/>
      <c r="BF178" s="1203"/>
      <c r="BG178" s="1203"/>
      <c r="BH178" s="1204"/>
      <c r="BI178" s="1342"/>
      <c r="BJ178" s="1337"/>
      <c r="BK178" s="1338"/>
      <c r="BL178" s="1338"/>
      <c r="BM178" s="1338"/>
      <c r="BN178" s="1338"/>
      <c r="BO178" s="1339"/>
    </row>
    <row r="179" spans="1:67" ht="15" customHeight="1">
      <c r="A179" s="252"/>
      <c r="B179" s="243"/>
      <c r="C179" s="242"/>
      <c r="D179" s="242"/>
      <c r="F179" s="278">
        <v>1.1000000000000001</v>
      </c>
      <c r="G179" s="311">
        <f>COUNTIF($A$152:$A$178,F179)</f>
        <v>4</v>
      </c>
      <c r="H179" s="240" t="str">
        <f>IF($AB$5=1,SUMIF($A152:$A178,$F179,$H152:$H178),"")</f>
        <v/>
      </c>
      <c r="I179" s="240" t="str">
        <f>IF($AF$5=1,SUMIF(A$152:A$178,$F179,$I$152:$I$178),"")</f>
        <v/>
      </c>
      <c r="J179" s="240" t="str">
        <f>IF($AJ$5=1,SUMIF($A$152:$A$178,$F179,$J$152:$J$178),"")</f>
        <v/>
      </c>
      <c r="K179" s="240" t="str">
        <f>IF($AN$5=1,SUMIF($A$152:$A$178,$F179,$K$152:$K$178),"")</f>
        <v/>
      </c>
      <c r="L179" s="240" t="str">
        <f>IF($AR$5=1,SUMIF($A$152:$A$178,$F179,$L$152:$L$178),"")</f>
        <v/>
      </c>
      <c r="M179" s="240" t="str">
        <f>IF($AV$5=1,SUMIF($A$152:$A$178,$F179,$M$152:$M$178),"")</f>
        <v/>
      </c>
      <c r="N179" s="1394">
        <v>1.5</v>
      </c>
      <c r="O179" s="1310" t="s">
        <v>373</v>
      </c>
      <c r="P179" s="1311"/>
      <c r="Q179" s="1311"/>
      <c r="R179" s="1311"/>
      <c r="S179" s="1311"/>
      <c r="T179" s="1312"/>
      <c r="U179" s="1205" t="str">
        <f t="shared" ref="U179" si="254">IF(ISBLANK(AB$5),"",1)</f>
        <v/>
      </c>
      <c r="V179" s="1322">
        <v>4.4000000000000004</v>
      </c>
      <c r="W179" s="1198" t="s">
        <v>397</v>
      </c>
      <c r="X179" s="1162"/>
      <c r="Y179" s="1162"/>
      <c r="Z179" s="1162"/>
      <c r="AA179" s="1162"/>
      <c r="AB179" s="1265"/>
      <c r="AC179" s="1205" t="str">
        <f t="shared" ref="AC179" si="255">IF(ISBLANK(AF$5),"",1)</f>
        <v/>
      </c>
      <c r="AD179" s="1322">
        <v>4.4000000000000004</v>
      </c>
      <c r="AE179" s="1198" t="s">
        <v>425</v>
      </c>
      <c r="AF179" s="1162"/>
      <c r="AG179" s="1162"/>
      <c r="AH179" s="1162"/>
      <c r="AI179" s="1162"/>
      <c r="AJ179" s="1265"/>
      <c r="AK179" s="1205" t="str">
        <f t="shared" ref="AK179" si="256">IF(ISBLANK(AJ$5),"",1)</f>
        <v/>
      </c>
      <c r="AL179" s="248"/>
      <c r="AO179" s="52"/>
      <c r="AQ179" s="273">
        <v>1.5</v>
      </c>
      <c r="AR179" s="240">
        <f>COUNTIF($AL$152:$AL$178,AQ179)</f>
        <v>1</v>
      </c>
      <c r="AS179" s="240" t="str">
        <f>IF($AN$5=1,SUMIF($AL$152:$AL$178,AQ179,$AS$152:$AS$178),"")</f>
        <v/>
      </c>
      <c r="AT179" s="1304">
        <v>4.4000000000000004</v>
      </c>
      <c r="AU179" s="1198" t="s">
        <v>359</v>
      </c>
      <c r="AV179" s="1162"/>
      <c r="AW179" s="1162"/>
      <c r="AX179" s="1162"/>
      <c r="AY179" s="1162"/>
      <c r="AZ179" s="1199"/>
      <c r="BA179" s="1226" t="str">
        <f t="shared" ref="BA179" si="257">IF(ISBLANK(AR$5),"",1)</f>
        <v/>
      </c>
      <c r="BB179" s="1304">
        <v>4.4000000000000004</v>
      </c>
      <c r="BC179" s="1198" t="s">
        <v>359</v>
      </c>
      <c r="BD179" s="1162"/>
      <c r="BE179" s="1162"/>
      <c r="BF179" s="1162"/>
      <c r="BG179" s="1162"/>
      <c r="BH179" s="1199"/>
      <c r="BI179" s="1226" t="str">
        <f t="shared" ref="BI179" si="258">IF(ISBLANK(AV$5),"",1)</f>
        <v/>
      </c>
      <c r="BJ179" s="1337"/>
      <c r="BK179" s="1338"/>
      <c r="BL179" s="1338"/>
      <c r="BM179" s="1338"/>
      <c r="BN179" s="1338"/>
      <c r="BO179" s="1339"/>
    </row>
    <row r="180" spans="1:67" ht="15" customHeight="1">
      <c r="A180" s="252"/>
      <c r="B180" s="243"/>
      <c r="C180" s="242"/>
      <c r="D180" s="242"/>
      <c r="F180" s="278">
        <v>1.5</v>
      </c>
      <c r="G180" s="311">
        <f t="shared" ref="G180:G182" si="259">COUNTIF($A$152:$A$178,F180)</f>
        <v>1</v>
      </c>
      <c r="H180" s="240" t="str">
        <f t="shared" ref="H180:H182" si="260">IF($AB$5=1,SUMIF($A$152:$A$178,$F180,$H$152:$H$178),"")</f>
        <v/>
      </c>
      <c r="I180" s="240" t="str">
        <f t="shared" ref="I180:I182" si="261">IF($AF$5=1,SUMIF(A$152:A$178,$F180,$I$152:$I$178),"")</f>
        <v/>
      </c>
      <c r="J180" s="240" t="str">
        <f>IF($AJ$5=1,SUMIF($A$152:$A$178,$F180,$J$152:$J$178),"")</f>
        <v/>
      </c>
      <c r="K180" s="240" t="str">
        <f t="shared" ref="K180:K182" si="262">IF($AN$5=1,SUMIF($A$152:$A$178,$F180,$K$152:$K$178),"")</f>
        <v/>
      </c>
      <c r="L180" s="240" t="str">
        <f t="shared" ref="L180:L182" si="263">IF($AR$5=1,SUMIF($A$152:$A$178,$F180,$L$152:$L$178),"")</f>
        <v/>
      </c>
      <c r="M180" s="240" t="str">
        <f t="shared" ref="M180:M182" si="264">IF($AV$5=1,SUMIF($A$152:$A$178,$F180,$M$152:$M$178),"")</f>
        <v/>
      </c>
      <c r="N180" s="1313"/>
      <c r="O180" s="1295"/>
      <c r="P180" s="1296"/>
      <c r="Q180" s="1296"/>
      <c r="R180" s="1296"/>
      <c r="S180" s="1296"/>
      <c r="T180" s="1297"/>
      <c r="U180" s="1206"/>
      <c r="V180" s="1293"/>
      <c r="W180" s="1200"/>
      <c r="X180" s="1164"/>
      <c r="Y180" s="1164"/>
      <c r="Z180" s="1164"/>
      <c r="AA180" s="1164"/>
      <c r="AB180" s="1266"/>
      <c r="AC180" s="1206"/>
      <c r="AD180" s="1293"/>
      <c r="AE180" s="1200"/>
      <c r="AF180" s="1164"/>
      <c r="AG180" s="1164"/>
      <c r="AH180" s="1164"/>
      <c r="AI180" s="1164"/>
      <c r="AJ180" s="1266"/>
      <c r="AK180" s="1206"/>
      <c r="AL180" s="248"/>
      <c r="AO180" s="52"/>
      <c r="AQ180" s="275">
        <v>4.3</v>
      </c>
      <c r="AR180" s="240">
        <f>COUNTIF($AL$152:$AL$178,AQ180)</f>
        <v>2</v>
      </c>
      <c r="AS180" s="240" t="str">
        <f>IF($AN$5=1,SUMIF($AL$152:$AL$178,AQ180,$AS$152:$AS$178),"")</f>
        <v/>
      </c>
      <c r="AT180" s="1290"/>
      <c r="AU180" s="1200"/>
      <c r="AV180" s="1164"/>
      <c r="AW180" s="1164"/>
      <c r="AX180" s="1164"/>
      <c r="AY180" s="1164"/>
      <c r="AZ180" s="1201"/>
      <c r="BA180" s="1342"/>
      <c r="BB180" s="1290"/>
      <c r="BC180" s="1200"/>
      <c r="BD180" s="1164"/>
      <c r="BE180" s="1164"/>
      <c r="BF180" s="1164"/>
      <c r="BG180" s="1164"/>
      <c r="BH180" s="1201"/>
      <c r="BI180" s="1342"/>
      <c r="BJ180" s="1222"/>
      <c r="BK180" s="1223"/>
      <c r="BL180" s="1223"/>
      <c r="BM180" s="1223"/>
      <c r="BN180" s="1223"/>
      <c r="BO180" s="1224"/>
    </row>
    <row r="181" spans="1:67" ht="15" customHeight="1">
      <c r="A181" s="249"/>
      <c r="B181" s="249"/>
      <c r="C181" s="249"/>
      <c r="D181" s="249"/>
      <c r="F181" s="277">
        <v>2.1</v>
      </c>
      <c r="G181" s="311">
        <f t="shared" si="259"/>
        <v>2</v>
      </c>
      <c r="H181" s="240" t="str">
        <f t="shared" si="260"/>
        <v/>
      </c>
      <c r="I181" s="240" t="str">
        <f t="shared" si="261"/>
        <v/>
      </c>
      <c r="J181" s="240" t="str">
        <f>IF($AJ$5=1,SUMIF($A$152:$A$178,$F181,$J$152:$J$178),"")</f>
        <v/>
      </c>
      <c r="K181" s="240" t="str">
        <f t="shared" si="262"/>
        <v/>
      </c>
      <c r="L181" s="240" t="str">
        <f t="shared" si="263"/>
        <v/>
      </c>
      <c r="M181" s="240" t="str">
        <f t="shared" si="264"/>
        <v/>
      </c>
      <c r="N181" s="1314"/>
      <c r="O181" s="1298"/>
      <c r="P181" s="1299"/>
      <c r="Q181" s="1299"/>
      <c r="R181" s="1299"/>
      <c r="S181" s="1299"/>
      <c r="T181" s="1300"/>
      <c r="U181" s="1207"/>
      <c r="V181" s="1306"/>
      <c r="W181" s="1202"/>
      <c r="X181" s="1203"/>
      <c r="Y181" s="1203"/>
      <c r="Z181" s="1203"/>
      <c r="AA181" s="1203"/>
      <c r="AB181" s="1305"/>
      <c r="AC181" s="1207"/>
      <c r="AD181" s="1306"/>
      <c r="AE181" s="1202"/>
      <c r="AF181" s="1203"/>
      <c r="AG181" s="1203"/>
      <c r="AH181" s="1203"/>
      <c r="AI181" s="1203"/>
      <c r="AJ181" s="1305"/>
      <c r="AK181" s="1207"/>
      <c r="AL181" s="248"/>
      <c r="AO181" s="52"/>
      <c r="AQ181" s="276">
        <v>4.4000000000000004</v>
      </c>
      <c r="AR181" s="240">
        <f>COUNTIF($AL$152:$AL$178,AQ181)</f>
        <v>6</v>
      </c>
      <c r="AS181" s="240" t="str">
        <f>IF($AN$5=1,SUMIF($AL$152:$AL$178,AQ181,$AS$152:$AS$178),"")</f>
        <v/>
      </c>
      <c r="AT181" s="1291"/>
      <c r="AU181" s="1202"/>
      <c r="AV181" s="1203"/>
      <c r="AW181" s="1203"/>
      <c r="AX181" s="1203"/>
      <c r="AY181" s="1203"/>
      <c r="AZ181" s="1204"/>
      <c r="BA181" s="1342"/>
      <c r="BB181" s="1291"/>
      <c r="BC181" s="1202"/>
      <c r="BD181" s="1203"/>
      <c r="BE181" s="1203"/>
      <c r="BF181" s="1203"/>
      <c r="BG181" s="1203"/>
      <c r="BH181" s="1204"/>
      <c r="BI181" s="1342"/>
    </row>
    <row r="182" spans="1:67" ht="15" customHeight="1">
      <c r="F182" s="277">
        <v>2.4</v>
      </c>
      <c r="G182" s="311">
        <f t="shared" si="259"/>
        <v>2</v>
      </c>
      <c r="H182" s="240" t="str">
        <f t="shared" si="260"/>
        <v/>
      </c>
      <c r="I182" s="240" t="str">
        <f t="shared" si="261"/>
        <v/>
      </c>
      <c r="J182" s="240" t="str">
        <f>IF($AJ$5=1,SUMIF($A$152:$A$178,$F182,$J$152:$J$178),"")</f>
        <v/>
      </c>
      <c r="K182" s="240" t="str">
        <f t="shared" si="262"/>
        <v/>
      </c>
      <c r="L182" s="240" t="str">
        <f t="shared" si="263"/>
        <v/>
      </c>
      <c r="M182" s="240" t="str">
        <f t="shared" si="264"/>
        <v/>
      </c>
      <c r="N182" s="1322">
        <v>4.4000000000000004</v>
      </c>
      <c r="O182" s="1198" t="s">
        <v>397</v>
      </c>
      <c r="P182" s="1162"/>
      <c r="Q182" s="1162"/>
      <c r="R182" s="1162"/>
      <c r="S182" s="1162"/>
      <c r="T182" s="1265"/>
      <c r="U182" s="1205" t="str">
        <f t="shared" ref="U182" si="265">IF(ISBLANK(AB$5),"",1)</f>
        <v/>
      </c>
      <c r="W182" s="52"/>
      <c r="Y182" s="247"/>
      <c r="AA182" s="273">
        <v>1.5</v>
      </c>
      <c r="AB182" s="240">
        <f>COUNTIF($V$152:$V$181,AA182)</f>
        <v>1</v>
      </c>
      <c r="AC182" s="240" t="str">
        <f>IF($AF$5=1,SUMIF($V$152:$V$181,AA182,$AC$152:$AC$181),"")</f>
        <v/>
      </c>
      <c r="AF182" s="52"/>
      <c r="AG182" s="247"/>
      <c r="AI182" s="273">
        <v>1.5</v>
      </c>
      <c r="AJ182" s="240">
        <f>COUNTIF($AD$152:$AD$181,AI182)</f>
        <v>1</v>
      </c>
      <c r="AK182" s="240" t="str">
        <f>IF($AJ$5=1,SUMIF($AD$152:$AD$181,AI182,$AK$152:$AK$181),"")</f>
        <v/>
      </c>
      <c r="AO182" s="52"/>
      <c r="AT182" s="1258">
        <v>4.4000000000000004</v>
      </c>
      <c r="AU182" s="1198" t="s">
        <v>395</v>
      </c>
      <c r="AV182" s="1162"/>
      <c r="AW182" s="1162"/>
      <c r="AX182" s="1162"/>
      <c r="AY182" s="1162"/>
      <c r="AZ182" s="1199"/>
      <c r="BA182" s="1226" t="str">
        <f t="shared" ref="BA182" si="266">IF(ISBLANK(AR$5),"",1)</f>
        <v/>
      </c>
      <c r="BB182" s="1258">
        <v>4.4000000000000004</v>
      </c>
      <c r="BC182" s="1198" t="s">
        <v>395</v>
      </c>
      <c r="BD182" s="1162"/>
      <c r="BE182" s="1162"/>
      <c r="BF182" s="1162"/>
      <c r="BG182" s="1162"/>
      <c r="BH182" s="1199"/>
      <c r="BI182" s="1226" t="str">
        <f t="shared" ref="BI182" si="267">IF(ISBLANK(AV$5),"",1)</f>
        <v/>
      </c>
    </row>
    <row r="183" spans="1:67" ht="15" customHeight="1">
      <c r="N183" s="1293"/>
      <c r="O183" s="1200"/>
      <c r="P183" s="1164"/>
      <c r="Q183" s="1164"/>
      <c r="R183" s="1164"/>
      <c r="S183" s="1164"/>
      <c r="T183" s="1266"/>
      <c r="U183" s="1206"/>
      <c r="W183" s="52"/>
      <c r="Y183" s="248"/>
      <c r="AA183" s="275">
        <v>4.3</v>
      </c>
      <c r="AB183" s="240">
        <f>COUNTIF($V$152:$V$181,AA183)</f>
        <v>3</v>
      </c>
      <c r="AC183" s="240" t="str">
        <f>IF($AF$5=1,SUMIF($V$152:$V$181,AA183,$AC$152:$AC$181),"")</f>
        <v/>
      </c>
      <c r="AF183" s="52"/>
      <c r="AI183" s="275">
        <v>4.3</v>
      </c>
      <c r="AJ183" s="240">
        <f>COUNTIF($AD$152:$AD$181,AI183)</f>
        <v>2</v>
      </c>
      <c r="AK183" s="240" t="str">
        <f>IF($AJ$5=1,SUMIF($AD$152:$AD$181,AI183,$AK$152:$AK$181),"")</f>
        <v/>
      </c>
      <c r="AO183" s="52"/>
      <c r="AT183" s="1258"/>
      <c r="AU183" s="1200"/>
      <c r="AV183" s="1164"/>
      <c r="AW183" s="1164"/>
      <c r="AX183" s="1164"/>
      <c r="AY183" s="1164"/>
      <c r="AZ183" s="1201"/>
      <c r="BA183" s="1342"/>
      <c r="BB183" s="1258"/>
      <c r="BC183" s="1200"/>
      <c r="BD183" s="1164"/>
      <c r="BE183" s="1164"/>
      <c r="BF183" s="1164"/>
      <c r="BG183" s="1164"/>
      <c r="BH183" s="1201"/>
      <c r="BI183" s="1342"/>
    </row>
    <row r="184" spans="1:67" ht="15" customHeight="1">
      <c r="A184" s="1209"/>
      <c r="B184" s="1210" t="s">
        <v>609</v>
      </c>
      <c r="C184" s="1211"/>
      <c r="D184" s="1211"/>
      <c r="E184" s="1211"/>
      <c r="F184" s="1211"/>
      <c r="G184" s="1211"/>
      <c r="H184" s="1174">
        <v>7</v>
      </c>
      <c r="I184" s="1174">
        <v>8</v>
      </c>
      <c r="J184" s="1174">
        <v>9</v>
      </c>
      <c r="K184" s="1174">
        <v>10</v>
      </c>
      <c r="L184" s="1174">
        <v>11</v>
      </c>
      <c r="M184" s="1174">
        <v>12</v>
      </c>
      <c r="N184" s="1306"/>
      <c r="O184" s="1202"/>
      <c r="P184" s="1203"/>
      <c r="Q184" s="1203"/>
      <c r="R184" s="1203"/>
      <c r="S184" s="1203"/>
      <c r="T184" s="1305"/>
      <c r="U184" s="1207"/>
      <c r="W184" s="52"/>
      <c r="Y184" s="248"/>
      <c r="AA184" s="276">
        <v>4.4000000000000004</v>
      </c>
      <c r="AB184" s="240">
        <f>COUNTIF($V$152:$V$181,AA184)</f>
        <v>6</v>
      </c>
      <c r="AC184" s="240" t="str">
        <f>IF($AF$5=1,SUMIF($V$152:$V$181,AA184,$AC$152:$AC$181),"")</f>
        <v/>
      </c>
      <c r="AF184" s="52"/>
      <c r="AI184" s="276">
        <v>4.4000000000000004</v>
      </c>
      <c r="AJ184" s="240">
        <f>COUNTIF($AD$152:$AD$181,AI184)</f>
        <v>7</v>
      </c>
      <c r="AK184" s="240" t="str">
        <f>IF($AJ$5=1,SUMIF($AD$152:$AD$181,AI184,$AK$152:$AK$181),"")</f>
        <v/>
      </c>
      <c r="AO184" s="52"/>
      <c r="AT184" s="1258"/>
      <c r="AU184" s="1202"/>
      <c r="AV184" s="1203"/>
      <c r="AW184" s="1203"/>
      <c r="AX184" s="1203"/>
      <c r="AY184" s="1203"/>
      <c r="AZ184" s="1204"/>
      <c r="BA184" s="1342"/>
      <c r="BB184" s="1258"/>
      <c r="BC184" s="1202"/>
      <c r="BD184" s="1203"/>
      <c r="BE184" s="1203"/>
      <c r="BF184" s="1203"/>
      <c r="BG184" s="1203"/>
      <c r="BH184" s="1204"/>
      <c r="BI184" s="1342"/>
    </row>
    <row r="185" spans="1:67" ht="15" customHeight="1">
      <c r="A185" s="1209"/>
      <c r="B185" s="1212"/>
      <c r="C185" s="1213"/>
      <c r="D185" s="1213"/>
      <c r="E185" s="1213"/>
      <c r="F185" s="1213"/>
      <c r="G185" s="1213"/>
      <c r="H185" s="1174"/>
      <c r="I185" s="1174"/>
      <c r="J185" s="1174"/>
      <c r="K185" s="1174"/>
      <c r="L185" s="1174"/>
      <c r="M185" s="1174"/>
      <c r="N185" s="247"/>
      <c r="O185" s="52"/>
      <c r="S185" s="273">
        <v>1.5</v>
      </c>
      <c r="T185" s="240">
        <f>COUNTIF($N$152:$N$184,S185)</f>
        <v>1</v>
      </c>
      <c r="U185" s="240" t="str">
        <f>IF($AB$5=1,SUMIF($N$152:$N$184,S185,$U$152:$U$184),"")</f>
        <v/>
      </c>
      <c r="W185" s="52"/>
      <c r="AF185" s="52"/>
      <c r="AO185" s="52"/>
      <c r="AT185" s="1304">
        <v>4.4000000000000004</v>
      </c>
      <c r="AU185" s="1198" t="s">
        <v>878</v>
      </c>
      <c r="AV185" s="1162"/>
      <c r="AW185" s="1162"/>
      <c r="AX185" s="1162"/>
      <c r="AY185" s="1162"/>
      <c r="AZ185" s="1199"/>
      <c r="BA185" s="1226" t="str">
        <f t="shared" ref="BA185" si="268">IF(ISBLANK(AR$5),"",1)</f>
        <v/>
      </c>
      <c r="BB185" s="1304">
        <v>4.4000000000000004</v>
      </c>
      <c r="BC185" s="1198" t="s">
        <v>878</v>
      </c>
      <c r="BD185" s="1162"/>
      <c r="BE185" s="1162"/>
      <c r="BF185" s="1162"/>
      <c r="BG185" s="1162"/>
      <c r="BH185" s="1199"/>
      <c r="BI185" s="1226" t="str">
        <f t="shared" ref="BI185" si="269">IF(ISBLANK(AV$5),"",1)</f>
        <v/>
      </c>
    </row>
    <row r="186" spans="1:67" ht="15" customHeight="1">
      <c r="A186" s="1336">
        <v>3.1</v>
      </c>
      <c r="B186" s="1198" t="s">
        <v>366</v>
      </c>
      <c r="C186" s="1162"/>
      <c r="D186" s="1162"/>
      <c r="E186" s="1162"/>
      <c r="F186" s="1162"/>
      <c r="G186" s="1265"/>
      <c r="H186" s="1205" t="str">
        <f t="shared" ref="H186" si="270">IF(ISBLANK(AB$5),"",1)</f>
        <v/>
      </c>
      <c r="I186" s="1205" t="str">
        <f t="shared" ref="I186" si="271">IF(ISBLANK(AF$5),"",1)</f>
        <v/>
      </c>
      <c r="J186" s="1205" t="str">
        <f t="shared" ref="J186" si="272">IF(ISBLANK(AJ$5),"",1)</f>
        <v/>
      </c>
      <c r="K186" s="1205" t="str">
        <f t="shared" ref="K186" si="273">IF(ISBLANK(AN$5),"",1)</f>
        <v/>
      </c>
      <c r="L186" s="1205" t="str">
        <f t="shared" ref="L186" si="274">IF(ISBLANK(AR$5),"",1)</f>
        <v/>
      </c>
      <c r="M186" s="1205" t="str">
        <f t="shared" ref="M186" si="275">IF(ISBLANK(AV$5),"",1)</f>
        <v/>
      </c>
      <c r="N186" s="248"/>
      <c r="O186" s="52"/>
      <c r="S186" s="275">
        <v>4.3</v>
      </c>
      <c r="T186" s="240">
        <f>COUNTIF($N$152:$N$184,S186)</f>
        <v>4</v>
      </c>
      <c r="U186" s="240" t="str">
        <f>IF($AB$5=1,SUMIF($N$152:$N$184,S186,$U$152:$U$184),"")</f>
        <v/>
      </c>
      <c r="W186" s="52"/>
      <c r="AF186" s="52"/>
      <c r="AO186" s="52"/>
      <c r="AT186" s="1290"/>
      <c r="AU186" s="1200"/>
      <c r="AV186" s="1164"/>
      <c r="AW186" s="1164"/>
      <c r="AX186" s="1164"/>
      <c r="AY186" s="1164"/>
      <c r="AZ186" s="1201"/>
      <c r="BA186" s="1342"/>
      <c r="BB186" s="1290"/>
      <c r="BC186" s="1200"/>
      <c r="BD186" s="1164"/>
      <c r="BE186" s="1164"/>
      <c r="BF186" s="1164"/>
      <c r="BG186" s="1164"/>
      <c r="BH186" s="1201"/>
      <c r="BI186" s="1342"/>
    </row>
    <row r="187" spans="1:67" ht="15" customHeight="1">
      <c r="A187" s="1159"/>
      <c r="B187" s="1200"/>
      <c r="C187" s="1164"/>
      <c r="D187" s="1164"/>
      <c r="E187" s="1164"/>
      <c r="F187" s="1164"/>
      <c r="G187" s="1266"/>
      <c r="H187" s="1206"/>
      <c r="I187" s="1206"/>
      <c r="J187" s="1206"/>
      <c r="K187" s="1206"/>
      <c r="L187" s="1206"/>
      <c r="M187" s="1206"/>
      <c r="N187" s="248"/>
      <c r="O187" s="52"/>
      <c r="S187" s="276">
        <v>4.4000000000000004</v>
      </c>
      <c r="T187" s="240">
        <f>COUNTIF($N$152:$N$184,S187)</f>
        <v>6</v>
      </c>
      <c r="U187" s="240" t="str">
        <f>IF($AB$5=1,SUMIF($N$152:$N$184,S187,$U$152:$U$184),"")</f>
        <v/>
      </c>
      <c r="W187" s="52"/>
      <c r="AF187" s="52"/>
      <c r="AO187" s="52"/>
      <c r="AT187" s="1291"/>
      <c r="AU187" s="1202"/>
      <c r="AV187" s="1203"/>
      <c r="AW187" s="1203"/>
      <c r="AX187" s="1203"/>
      <c r="AY187" s="1203"/>
      <c r="AZ187" s="1204"/>
      <c r="BA187" s="1342"/>
      <c r="BB187" s="1291"/>
      <c r="BC187" s="1202"/>
      <c r="BD187" s="1203"/>
      <c r="BE187" s="1203"/>
      <c r="BF187" s="1203"/>
      <c r="BG187" s="1203"/>
      <c r="BH187" s="1204"/>
      <c r="BI187" s="1342"/>
    </row>
    <row r="188" spans="1:67" ht="15" customHeight="1">
      <c r="A188" s="1160"/>
      <c r="B188" s="1200"/>
      <c r="C188" s="1164"/>
      <c r="D188" s="1164"/>
      <c r="E188" s="1164"/>
      <c r="F188" s="1164"/>
      <c r="G188" s="1266"/>
      <c r="H188" s="1207"/>
      <c r="I188" s="1207"/>
      <c r="J188" s="1207"/>
      <c r="K188" s="1207"/>
      <c r="L188" s="1207"/>
      <c r="M188" s="1207"/>
      <c r="W188" s="52"/>
      <c r="AF188" s="52"/>
      <c r="AO188" s="52"/>
      <c r="AT188" s="1307">
        <v>1.5</v>
      </c>
      <c r="AU188" s="1310" t="s">
        <v>373</v>
      </c>
      <c r="AV188" s="1311"/>
      <c r="AW188" s="1311"/>
      <c r="AX188" s="1311"/>
      <c r="AY188" s="1311"/>
      <c r="AZ188" s="1316"/>
      <c r="BA188" s="1226" t="str">
        <f t="shared" ref="BA188" si="276">IF(ISBLANK(AR$5),"",1)</f>
        <v/>
      </c>
      <c r="BB188" s="1307">
        <v>1.5</v>
      </c>
      <c r="BC188" s="1198" t="s">
        <v>373</v>
      </c>
      <c r="BD188" s="1162"/>
      <c r="BE188" s="1162"/>
      <c r="BF188" s="1162"/>
      <c r="BG188" s="1162"/>
      <c r="BH188" s="1199"/>
      <c r="BI188" s="1226" t="str">
        <f t="shared" ref="BI188" si="277">IF(ISBLANK(AV$5),"",1)</f>
        <v/>
      </c>
    </row>
    <row r="189" spans="1:67" ht="15" customHeight="1">
      <c r="A189" s="1336">
        <v>1.4</v>
      </c>
      <c r="B189" s="1198" t="s">
        <v>943</v>
      </c>
      <c r="C189" s="1162"/>
      <c r="D189" s="1162"/>
      <c r="E189" s="1162"/>
      <c r="F189" s="1162"/>
      <c r="G189" s="1265"/>
      <c r="H189" s="1205" t="str">
        <f t="shared" ref="H189" si="278">IF(ISBLANK(AB$5),"",1)</f>
        <v/>
      </c>
      <c r="I189" s="1205" t="str">
        <f t="shared" ref="I189" si="279">IF(ISBLANK(AF$5),"",1)</f>
        <v/>
      </c>
      <c r="J189" s="1205" t="str">
        <f t="shared" ref="J189" si="280">IF(ISBLANK(AJ$5),"",1)</f>
        <v/>
      </c>
      <c r="K189" s="1205" t="str">
        <f t="shared" ref="K189" si="281">IF(ISBLANK(AN$5),"",1)</f>
        <v/>
      </c>
      <c r="L189" s="1205" t="str">
        <f t="shared" ref="L189" si="282">IF(ISBLANK(AR$5),"",1)</f>
        <v/>
      </c>
      <c r="M189" s="1205" t="str">
        <f t="shared" ref="M189" si="283">IF(ISBLANK(AV$5),"",1)</f>
        <v/>
      </c>
      <c r="W189" s="52"/>
      <c r="AF189" s="52"/>
      <c r="AO189" s="52"/>
      <c r="AT189" s="1308"/>
      <c r="AU189" s="1295"/>
      <c r="AV189" s="1296"/>
      <c r="AW189" s="1296"/>
      <c r="AX189" s="1296"/>
      <c r="AY189" s="1296"/>
      <c r="AZ189" s="1318"/>
      <c r="BA189" s="1342"/>
      <c r="BB189" s="1308"/>
      <c r="BC189" s="1200"/>
      <c r="BD189" s="1164"/>
      <c r="BE189" s="1164"/>
      <c r="BF189" s="1164"/>
      <c r="BG189" s="1164"/>
      <c r="BH189" s="1201"/>
      <c r="BI189" s="1342"/>
    </row>
    <row r="190" spans="1:67" ht="15" customHeight="1">
      <c r="A190" s="1159"/>
      <c r="B190" s="1200"/>
      <c r="C190" s="1164"/>
      <c r="D190" s="1164"/>
      <c r="E190" s="1164"/>
      <c r="F190" s="1164"/>
      <c r="G190" s="1266"/>
      <c r="H190" s="1206"/>
      <c r="I190" s="1206"/>
      <c r="J190" s="1206"/>
      <c r="K190" s="1206"/>
      <c r="L190" s="1206"/>
      <c r="M190" s="1206"/>
      <c r="O190" s="52"/>
      <c r="W190" s="52"/>
      <c r="AF190" s="52"/>
      <c r="AO190" s="52"/>
      <c r="AT190" s="1309"/>
      <c r="AU190" s="1298"/>
      <c r="AV190" s="1299"/>
      <c r="AW190" s="1299"/>
      <c r="AX190" s="1299"/>
      <c r="AY190" s="1299"/>
      <c r="AZ190" s="1335"/>
      <c r="BA190" s="1342"/>
      <c r="BB190" s="1309"/>
      <c r="BC190" s="1202"/>
      <c r="BD190" s="1203"/>
      <c r="BE190" s="1203"/>
      <c r="BF190" s="1203"/>
      <c r="BG190" s="1203"/>
      <c r="BH190" s="1204"/>
      <c r="BI190" s="1342"/>
    </row>
    <row r="191" spans="1:67" ht="15" customHeight="1">
      <c r="A191" s="1160"/>
      <c r="B191" s="1200"/>
      <c r="C191" s="1164"/>
      <c r="D191" s="1164"/>
      <c r="E191" s="1164"/>
      <c r="F191" s="1164"/>
      <c r="G191" s="1266"/>
      <c r="H191" s="1207"/>
      <c r="I191" s="1207"/>
      <c r="J191" s="1207"/>
      <c r="K191" s="1207"/>
      <c r="L191" s="1207"/>
      <c r="M191" s="1207"/>
      <c r="O191" s="52"/>
      <c r="U191" s="608"/>
      <c r="W191" s="52"/>
      <c r="AF191" s="52"/>
      <c r="AO191" s="52"/>
      <c r="AT191" s="1307">
        <v>4.4000000000000004</v>
      </c>
      <c r="AU191" s="1310" t="s">
        <v>397</v>
      </c>
      <c r="AV191" s="1311"/>
      <c r="AW191" s="1311"/>
      <c r="AX191" s="1311"/>
      <c r="AY191" s="1311"/>
      <c r="AZ191" s="1316"/>
      <c r="BA191" s="1226" t="str">
        <f t="shared" ref="BA191" si="284">IF(ISBLANK(AR$5),"",1)</f>
        <v/>
      </c>
      <c r="BB191" s="1307">
        <v>4.4000000000000004</v>
      </c>
      <c r="BC191" s="1310" t="s">
        <v>397</v>
      </c>
      <c r="BD191" s="1311"/>
      <c r="BE191" s="1311"/>
      <c r="BF191" s="1311"/>
      <c r="BG191" s="1311"/>
      <c r="BH191" s="1316"/>
      <c r="BI191" s="1226" t="str">
        <f t="shared" ref="BI191" si="285">IF(ISBLANK(AV$5),"",1)</f>
        <v/>
      </c>
    </row>
    <row r="192" spans="1:67" ht="15" customHeight="1">
      <c r="A192" s="1168" t="s">
        <v>637</v>
      </c>
      <c r="B192" s="1168"/>
      <c r="C192" s="1168"/>
      <c r="D192" s="1168"/>
      <c r="E192" s="1169"/>
      <c r="F192" s="614">
        <v>3.1</v>
      </c>
      <c r="G192" s="620">
        <f>COUNTIF($A$186:$A$191,F192)</f>
        <v>1</v>
      </c>
      <c r="H192" s="240" t="str">
        <f>IF($AB$5=1,SUMIF($A$186:$A$191,$F192,$H$186:$H$191),"")</f>
        <v/>
      </c>
      <c r="I192" s="240" t="str">
        <f>IF($AF$5=1,SUMIF($A$186:$A$191,$F192,$I$186:$I$191),"")</f>
        <v/>
      </c>
      <c r="J192" s="240" t="str">
        <f>IF($AJ$5=1,SUMIF($A$186:$A$191,$F192,$J$186:$J$191),"")</f>
        <v/>
      </c>
      <c r="K192" s="240" t="str">
        <f>IF($AN$5=1,SUMIF($A$186:$A$191,$F192,$K$186:$K$191),"")</f>
        <v/>
      </c>
      <c r="L192" s="240" t="str">
        <f>IF($AR$5=1,SUMIF($A$186:$A$191,$F192,$L$186:$L$191),"")</f>
        <v/>
      </c>
      <c r="M192" s="240" t="str">
        <f>IF($AV$5=1,SUMIF($A$186:$A$191,$F192,$M$186:$M$191),"")</f>
        <v/>
      </c>
      <c r="O192" s="52"/>
      <c r="W192" s="52"/>
      <c r="AF192" s="52"/>
      <c r="AO192" s="52"/>
      <c r="AT192" s="1308"/>
      <c r="AU192" s="1295"/>
      <c r="AV192" s="1296"/>
      <c r="AW192" s="1296"/>
      <c r="AX192" s="1296"/>
      <c r="AY192" s="1296"/>
      <c r="AZ192" s="1318"/>
      <c r="BA192" s="1342"/>
      <c r="BB192" s="1308"/>
      <c r="BC192" s="1295"/>
      <c r="BD192" s="1296"/>
      <c r="BE192" s="1296"/>
      <c r="BF192" s="1296"/>
      <c r="BG192" s="1296"/>
      <c r="BH192" s="1318"/>
      <c r="BI192" s="1342"/>
    </row>
    <row r="193" spans="1:67" ht="15" customHeight="1">
      <c r="F193" s="614">
        <v>1.4</v>
      </c>
      <c r="G193" s="620">
        <f>COUNTIF($A$186:$A$191,F193)</f>
        <v>1</v>
      </c>
      <c r="H193" s="240" t="str">
        <f>IF($AB$5=1,SUMIF($A$186:$A$191,$F193,$H$186:$H$191),"")</f>
        <v/>
      </c>
      <c r="I193" s="240" t="str">
        <f>IF($AF$5=1,SUMIF($A$186:$A$191,$F193,$I$186:$I$191),"")</f>
        <v/>
      </c>
      <c r="J193" s="240" t="str">
        <f>IF($AJ$5=1,SUMIF($A$186:$A$191,$F193,$J$186:$J$191),"")</f>
        <v/>
      </c>
      <c r="K193" s="240" t="str">
        <f>IF($AN$5=1,SUMIF($A$186:$A$191,$F193,$K$186:$K$191),"")</f>
        <v/>
      </c>
      <c r="L193" s="240" t="str">
        <f>IF($AR$5=1,SUMIF($A$186:$A$191,$F193,$L$186:$L$191),"")</f>
        <v/>
      </c>
      <c r="M193" s="240" t="str">
        <f>IF($AV$5=1,SUMIF($A$186:$A$191,$F193,$M$186:$M$191),"")</f>
        <v/>
      </c>
      <c r="O193" s="52"/>
      <c r="W193" s="52"/>
      <c r="AF193" s="52"/>
      <c r="AO193" s="52"/>
      <c r="AT193" s="1309"/>
      <c r="AU193" s="1298"/>
      <c r="AV193" s="1299"/>
      <c r="AW193" s="1299"/>
      <c r="AX193" s="1299"/>
      <c r="AY193" s="1299"/>
      <c r="AZ193" s="1335"/>
      <c r="BA193" s="1342"/>
      <c r="BB193" s="1309"/>
      <c r="BC193" s="1298"/>
      <c r="BD193" s="1299"/>
      <c r="BE193" s="1299"/>
      <c r="BF193" s="1299"/>
      <c r="BG193" s="1299"/>
      <c r="BH193" s="1335"/>
      <c r="BI193" s="1342"/>
    </row>
    <row r="194" spans="1:67" ht="15" customHeight="1">
      <c r="O194" s="52"/>
      <c r="W194" s="52"/>
      <c r="AF194" s="52"/>
      <c r="AO194" s="52"/>
      <c r="AT194" s="247"/>
      <c r="AY194" s="273">
        <v>1.5</v>
      </c>
      <c r="AZ194" s="240">
        <f>COUNTIF($AT$152:$AT$193,AY194)</f>
        <v>1</v>
      </c>
      <c r="BA194" s="240" t="str">
        <f>IF($AR$5=1,SUMIF($AT$152:$AT$193,AY194,$BA$152:$BA$193),"")</f>
        <v/>
      </c>
      <c r="BB194" s="247"/>
      <c r="BC194" s="247"/>
      <c r="BG194" s="273">
        <v>1.5</v>
      </c>
      <c r="BH194" s="240">
        <f>COUNTIF($BB$152:$BB$193,BG194)</f>
        <v>1</v>
      </c>
      <c r="BI194" s="240" t="str">
        <f>IF($AV$5=1,SUMIF($BB$152:$BB$193,BG194,$BI$152:$BI$193),"")</f>
        <v/>
      </c>
    </row>
    <row r="195" spans="1:67" ht="15" customHeight="1">
      <c r="O195" s="52"/>
      <c r="W195" s="52"/>
      <c r="AF195" s="52"/>
      <c r="AO195" s="52"/>
      <c r="AT195" s="248"/>
      <c r="AY195" s="274">
        <v>4.3</v>
      </c>
      <c r="AZ195" s="240">
        <f>COUNTIF($AT$152:$AT$193,AY195)</f>
        <v>4</v>
      </c>
      <c r="BA195" s="240" t="str">
        <f>IF($AR$5=1,SUMIF($AT$152:$AT$193,AY195,$BA$152:$BA$193),"")</f>
        <v/>
      </c>
      <c r="BB195" s="248"/>
      <c r="BC195" s="248"/>
      <c r="BG195" s="274">
        <v>4.3</v>
      </c>
      <c r="BH195" s="240">
        <f>COUNTIF($BB$152:$BB$193,BG195)</f>
        <v>5</v>
      </c>
      <c r="BI195" s="240" t="str">
        <f>IF($AV$5=1,SUMIF($BB$152:$BB$193,BG195,$BI$152:$BI$193),"")</f>
        <v/>
      </c>
    </row>
    <row r="196" spans="1:67" ht="15" customHeight="1">
      <c r="O196" s="52"/>
      <c r="W196" s="52"/>
      <c r="AF196" s="52"/>
      <c r="AO196" s="52"/>
      <c r="AT196" s="248"/>
      <c r="AY196" s="274">
        <v>4.4000000000000004</v>
      </c>
      <c r="AZ196" s="240">
        <f>COUNTIF($AT$152:$AT$193,AY196)</f>
        <v>9</v>
      </c>
      <c r="BA196" s="240" t="str">
        <f>IF($AR$5=1,SUMIF($AT$152:$AT$193,AY196,$BA$152:$BA$193),"")</f>
        <v/>
      </c>
      <c r="BB196" s="248"/>
      <c r="BC196" s="248"/>
      <c r="BG196" s="274">
        <v>4.4000000000000004</v>
      </c>
      <c r="BH196" s="240">
        <f>COUNTIF($BB$152:$BB$193,BG196)</f>
        <v>8</v>
      </c>
      <c r="BI196" s="240" t="str">
        <f>IF($AV$5=1,SUMIF($BB$152:$BB$193,BG196,$BI$152:$BI$193),"")</f>
        <v/>
      </c>
    </row>
    <row r="197" spans="1:67" ht="15" customHeight="1">
      <c r="A197" s="1171" t="s">
        <v>17</v>
      </c>
      <c r="B197" s="1171"/>
      <c r="C197" s="1171"/>
      <c r="D197" s="1171"/>
      <c r="E197" s="1171"/>
      <c r="F197" s="1171"/>
      <c r="G197" s="1171"/>
      <c r="H197" s="1171"/>
      <c r="I197" s="1171"/>
      <c r="J197" s="1171"/>
      <c r="K197" s="1171"/>
      <c r="L197" s="1171"/>
      <c r="M197" s="1171"/>
      <c r="N197" s="1171"/>
      <c r="O197" s="1171"/>
      <c r="P197" s="1171"/>
      <c r="Q197" s="1171"/>
      <c r="R197" s="1171"/>
      <c r="S197" s="1171"/>
      <c r="T197" s="1171"/>
      <c r="U197" s="1171"/>
      <c r="V197" s="1171"/>
      <c r="W197" s="1171"/>
      <c r="X197" s="1171"/>
      <c r="Y197" s="1171"/>
      <c r="Z197" s="1171"/>
      <c r="AA197" s="1171"/>
      <c r="AB197" s="1171"/>
      <c r="AC197" s="1171"/>
      <c r="AD197" s="1171"/>
      <c r="AE197" s="1171"/>
      <c r="AF197" s="1171"/>
      <c r="AG197" s="1171"/>
      <c r="AH197" s="1171"/>
      <c r="AI197" s="117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580"/>
    </row>
    <row r="198" spans="1:67" ht="15" customHeight="1">
      <c r="A198" s="1171"/>
      <c r="B198" s="1171"/>
      <c r="C198" s="1171"/>
      <c r="D198" s="1171"/>
      <c r="E198" s="1171"/>
      <c r="F198" s="1171"/>
      <c r="G198" s="1171"/>
      <c r="H198" s="1171"/>
      <c r="I198" s="1171"/>
      <c r="J198" s="1171"/>
      <c r="K198" s="1171"/>
      <c r="L198" s="1171"/>
      <c r="M198" s="1171"/>
      <c r="N198" s="1171"/>
      <c r="O198" s="1171"/>
      <c r="P198" s="1171"/>
      <c r="Q198" s="1171"/>
      <c r="R198" s="1171"/>
      <c r="S198" s="1171"/>
      <c r="T198" s="1171"/>
      <c r="U198" s="1171"/>
      <c r="V198" s="1171"/>
      <c r="W198" s="1171"/>
      <c r="X198" s="1171"/>
      <c r="Y198" s="1171"/>
      <c r="Z198" s="1171"/>
      <c r="AA198" s="1171"/>
      <c r="AB198" s="1171"/>
      <c r="AC198" s="1171"/>
      <c r="AD198" s="1171"/>
      <c r="AE198" s="1171"/>
      <c r="AF198" s="1171"/>
      <c r="AG198" s="1171"/>
      <c r="AH198" s="1171"/>
      <c r="AI198" s="117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580"/>
    </row>
    <row r="199" spans="1:67" ht="15" customHeight="1">
      <c r="A199" s="1172"/>
      <c r="B199" s="1173" t="s">
        <v>608</v>
      </c>
      <c r="C199" s="1173"/>
      <c r="D199" s="1173"/>
      <c r="E199" s="1173"/>
      <c r="F199" s="1173"/>
      <c r="G199" s="1173"/>
      <c r="H199" s="1343">
        <v>13</v>
      </c>
      <c r="I199" s="1174">
        <v>14</v>
      </c>
      <c r="J199" s="1343">
        <v>15</v>
      </c>
      <c r="K199" s="1343">
        <v>16</v>
      </c>
      <c r="N199" s="1346"/>
      <c r="O199" s="1349" t="s">
        <v>921</v>
      </c>
      <c r="P199" s="1350"/>
      <c r="Q199" s="1350"/>
      <c r="R199" s="1350"/>
      <c r="S199" s="1350"/>
      <c r="T199" s="1350"/>
      <c r="U199" s="1351"/>
      <c r="V199" s="1358"/>
      <c r="W199" s="1361" t="s">
        <v>922</v>
      </c>
      <c r="X199" s="1362"/>
      <c r="Y199" s="1362"/>
      <c r="Z199" s="1362"/>
      <c r="AA199" s="1362"/>
      <c r="AB199" s="1362"/>
      <c r="AC199" s="1363"/>
      <c r="AD199" s="1370"/>
      <c r="AE199" s="1373" t="s">
        <v>923</v>
      </c>
      <c r="AF199" s="1374"/>
      <c r="AG199" s="1374"/>
      <c r="AH199" s="1374"/>
      <c r="AI199" s="1374"/>
      <c r="AJ199" s="1374"/>
      <c r="AK199" s="1375"/>
      <c r="AL199" s="1175"/>
      <c r="AM199" s="1382" t="s">
        <v>924</v>
      </c>
      <c r="AN199" s="1383"/>
      <c r="AO199" s="1383"/>
      <c r="AP199" s="1383"/>
      <c r="AQ199" s="1383"/>
      <c r="AR199" s="1383"/>
      <c r="AS199" s="1384"/>
      <c r="BJ199" s="1182" t="s">
        <v>263</v>
      </c>
      <c r="BK199" s="1183"/>
      <c r="BL199" s="1183"/>
      <c r="BM199" s="1183"/>
      <c r="BN199" s="1183"/>
      <c r="BO199" s="1184"/>
    </row>
    <row r="200" spans="1:67" ht="15" customHeight="1">
      <c r="A200" s="1172"/>
      <c r="B200" s="1173"/>
      <c r="C200" s="1173"/>
      <c r="D200" s="1173"/>
      <c r="E200" s="1173"/>
      <c r="F200" s="1173"/>
      <c r="G200" s="1173"/>
      <c r="H200" s="1344"/>
      <c r="I200" s="1174"/>
      <c r="J200" s="1344"/>
      <c r="K200" s="1344"/>
      <c r="N200" s="1347"/>
      <c r="O200" s="1352"/>
      <c r="P200" s="1353"/>
      <c r="Q200" s="1353"/>
      <c r="R200" s="1353"/>
      <c r="S200" s="1353"/>
      <c r="T200" s="1353"/>
      <c r="U200" s="1354"/>
      <c r="V200" s="1359"/>
      <c r="W200" s="1364"/>
      <c r="X200" s="1365"/>
      <c r="Y200" s="1365"/>
      <c r="Z200" s="1365"/>
      <c r="AA200" s="1365"/>
      <c r="AB200" s="1365"/>
      <c r="AC200" s="1366"/>
      <c r="AD200" s="1371"/>
      <c r="AE200" s="1376"/>
      <c r="AF200" s="1377"/>
      <c r="AG200" s="1377"/>
      <c r="AH200" s="1377"/>
      <c r="AI200" s="1377"/>
      <c r="AJ200" s="1377"/>
      <c r="AK200" s="1378"/>
      <c r="AL200" s="1175"/>
      <c r="AM200" s="1385"/>
      <c r="AN200" s="1386"/>
      <c r="AO200" s="1386"/>
      <c r="AP200" s="1386"/>
      <c r="AQ200" s="1386"/>
      <c r="AR200" s="1386"/>
      <c r="AS200" s="1387"/>
      <c r="BJ200" s="1219"/>
      <c r="BK200" s="1220"/>
      <c r="BL200" s="1220"/>
      <c r="BM200" s="1220"/>
      <c r="BN200" s="1220"/>
      <c r="BO200" s="1221"/>
    </row>
    <row r="201" spans="1:67" ht="15" customHeight="1">
      <c r="A201" s="1172"/>
      <c r="B201" s="1173"/>
      <c r="C201" s="1173"/>
      <c r="D201" s="1173"/>
      <c r="E201" s="1173"/>
      <c r="F201" s="1173"/>
      <c r="G201" s="1173"/>
      <c r="H201" s="1345"/>
      <c r="I201" s="1174"/>
      <c r="J201" s="1345"/>
      <c r="K201" s="1345"/>
      <c r="N201" s="1348"/>
      <c r="O201" s="1355"/>
      <c r="P201" s="1356"/>
      <c r="Q201" s="1356"/>
      <c r="R201" s="1356"/>
      <c r="S201" s="1356"/>
      <c r="T201" s="1356"/>
      <c r="U201" s="1357"/>
      <c r="V201" s="1360"/>
      <c r="W201" s="1367"/>
      <c r="X201" s="1368"/>
      <c r="Y201" s="1368"/>
      <c r="Z201" s="1368"/>
      <c r="AA201" s="1368"/>
      <c r="AB201" s="1368"/>
      <c r="AC201" s="1369"/>
      <c r="AD201" s="1372"/>
      <c r="AE201" s="1379"/>
      <c r="AF201" s="1380"/>
      <c r="AG201" s="1380"/>
      <c r="AH201" s="1380"/>
      <c r="AI201" s="1380"/>
      <c r="AJ201" s="1380"/>
      <c r="AK201" s="1381"/>
      <c r="AL201" s="1175"/>
      <c r="AM201" s="1388"/>
      <c r="AN201" s="1389"/>
      <c r="AO201" s="1389"/>
      <c r="AP201" s="1389"/>
      <c r="AQ201" s="1389"/>
      <c r="AR201" s="1389"/>
      <c r="AS201" s="1390"/>
      <c r="BJ201" s="1337"/>
      <c r="BK201" s="1338"/>
      <c r="BL201" s="1338"/>
      <c r="BM201" s="1338"/>
      <c r="BN201" s="1338"/>
      <c r="BO201" s="1339"/>
    </row>
    <row r="202" spans="1:67" ht="15" customHeight="1">
      <c r="A202" s="1307">
        <v>1.1000000000000001</v>
      </c>
      <c r="B202" s="1161" t="s">
        <v>941</v>
      </c>
      <c r="C202" s="1162"/>
      <c r="D202" s="1162"/>
      <c r="E202" s="1162"/>
      <c r="F202" s="1162"/>
      <c r="G202" s="1199"/>
      <c r="H202" s="1268" t="str">
        <f>IF(ISBLANK(AZ$5),"",1)</f>
        <v/>
      </c>
      <c r="I202" s="1205" t="str">
        <f>IF(ISBLANK(BD$5),"",1)</f>
        <v/>
      </c>
      <c r="J202" s="1205" t="str">
        <f>IF(ISBLANK(BH$5),"",1)</f>
        <v/>
      </c>
      <c r="K202" s="1205" t="str">
        <f>IF(ISBLANK(BL$5),"",1)</f>
        <v/>
      </c>
      <c r="N202" s="1258">
        <v>4.3</v>
      </c>
      <c r="O202" s="1198" t="s">
        <v>398</v>
      </c>
      <c r="P202" s="1162"/>
      <c r="Q202" s="1162"/>
      <c r="R202" s="1162"/>
      <c r="S202" s="1162"/>
      <c r="T202" s="1199"/>
      <c r="U202" s="1226" t="str">
        <f>IF(ISBLANK(AZ$5),"",1)</f>
        <v/>
      </c>
      <c r="V202" s="1258">
        <v>4.3</v>
      </c>
      <c r="W202" s="1198" t="s">
        <v>398</v>
      </c>
      <c r="X202" s="1162"/>
      <c r="Y202" s="1162"/>
      <c r="Z202" s="1162"/>
      <c r="AA202" s="1162"/>
      <c r="AB202" s="1199"/>
      <c r="AC202" s="1226" t="str">
        <f>IF(ISBLANK(BD$5),"",1)</f>
        <v/>
      </c>
      <c r="AD202" s="1258">
        <v>4.3</v>
      </c>
      <c r="AE202" s="1198" t="s">
        <v>387</v>
      </c>
      <c r="AF202" s="1162"/>
      <c r="AG202" s="1162"/>
      <c r="AH202" s="1162"/>
      <c r="AI202" s="1162"/>
      <c r="AJ202" s="1199"/>
      <c r="AK202" s="1226" t="str">
        <f>IF(ISBLANK(BH$5),"",1)</f>
        <v/>
      </c>
      <c r="AL202" s="1196">
        <v>4.3</v>
      </c>
      <c r="AM202" s="1198" t="s">
        <v>398</v>
      </c>
      <c r="AN202" s="1162"/>
      <c r="AO202" s="1162"/>
      <c r="AP202" s="1162"/>
      <c r="AQ202" s="1162"/>
      <c r="AR202" s="1199"/>
      <c r="AS202" s="1226" t="str">
        <f>IF(ISBLANK(BL$5),"",1)</f>
        <v/>
      </c>
      <c r="BJ202" s="1337"/>
      <c r="BK202" s="1338"/>
      <c r="BL202" s="1338"/>
      <c r="BM202" s="1338"/>
      <c r="BN202" s="1338"/>
      <c r="BO202" s="1339"/>
    </row>
    <row r="203" spans="1:67" ht="15" customHeight="1">
      <c r="A203" s="1308"/>
      <c r="B203" s="1163"/>
      <c r="C203" s="1164"/>
      <c r="D203" s="1164"/>
      <c r="E203" s="1164"/>
      <c r="F203" s="1164"/>
      <c r="G203" s="1201"/>
      <c r="H203" s="1269"/>
      <c r="I203" s="1206"/>
      <c r="J203" s="1206"/>
      <c r="K203" s="1206"/>
      <c r="N203" s="1258"/>
      <c r="O203" s="1200"/>
      <c r="P203" s="1164"/>
      <c r="Q203" s="1164"/>
      <c r="R203" s="1164"/>
      <c r="S203" s="1164"/>
      <c r="T203" s="1201"/>
      <c r="U203" s="1342"/>
      <c r="V203" s="1258"/>
      <c r="W203" s="1200"/>
      <c r="X203" s="1164"/>
      <c r="Y203" s="1164"/>
      <c r="Z203" s="1164"/>
      <c r="AA203" s="1164"/>
      <c r="AB203" s="1201"/>
      <c r="AC203" s="1342"/>
      <c r="AD203" s="1258"/>
      <c r="AE203" s="1200"/>
      <c r="AF203" s="1164"/>
      <c r="AG203" s="1164"/>
      <c r="AH203" s="1164"/>
      <c r="AI203" s="1164"/>
      <c r="AJ203" s="1201"/>
      <c r="AK203" s="1342"/>
      <c r="AL203" s="1197"/>
      <c r="AM203" s="1200"/>
      <c r="AN203" s="1164"/>
      <c r="AO203" s="1164"/>
      <c r="AP203" s="1164"/>
      <c r="AQ203" s="1164"/>
      <c r="AR203" s="1201"/>
      <c r="AS203" s="1342"/>
      <c r="BJ203" s="1337"/>
      <c r="BK203" s="1338"/>
      <c r="BL203" s="1338"/>
      <c r="BM203" s="1338"/>
      <c r="BN203" s="1338"/>
      <c r="BO203" s="1339"/>
    </row>
    <row r="204" spans="1:67" ht="15" customHeight="1">
      <c r="A204" s="1309"/>
      <c r="B204" s="1165"/>
      <c r="C204" s="1166"/>
      <c r="D204" s="1166"/>
      <c r="E204" s="1166"/>
      <c r="F204" s="1166"/>
      <c r="G204" s="1292"/>
      <c r="H204" s="1270"/>
      <c r="I204" s="1207"/>
      <c r="J204" s="1207"/>
      <c r="K204" s="1207"/>
      <c r="N204" s="1258"/>
      <c r="O204" s="1202"/>
      <c r="P204" s="1203"/>
      <c r="Q204" s="1203"/>
      <c r="R204" s="1203"/>
      <c r="S204" s="1203"/>
      <c r="T204" s="1204"/>
      <c r="U204" s="1342"/>
      <c r="V204" s="1258"/>
      <c r="W204" s="1202"/>
      <c r="X204" s="1203"/>
      <c r="Y204" s="1203"/>
      <c r="Z204" s="1203"/>
      <c r="AA204" s="1203"/>
      <c r="AB204" s="1204"/>
      <c r="AC204" s="1342"/>
      <c r="AD204" s="1258"/>
      <c r="AE204" s="1202"/>
      <c r="AF204" s="1203"/>
      <c r="AG204" s="1203"/>
      <c r="AH204" s="1203"/>
      <c r="AI204" s="1203"/>
      <c r="AJ204" s="1204"/>
      <c r="AK204" s="1342"/>
      <c r="AL204" s="1197"/>
      <c r="AM204" s="1202"/>
      <c r="AN204" s="1203"/>
      <c r="AO204" s="1203"/>
      <c r="AP204" s="1203"/>
      <c r="AQ204" s="1203"/>
      <c r="AR204" s="1204"/>
      <c r="AS204" s="1342"/>
      <c r="BJ204" s="1337"/>
      <c r="BK204" s="1338"/>
      <c r="BL204" s="1338"/>
      <c r="BM204" s="1338"/>
      <c r="BN204" s="1338"/>
      <c r="BO204" s="1339"/>
    </row>
    <row r="205" spans="1:67" ht="15" customHeight="1">
      <c r="A205" s="1304">
        <v>2.4</v>
      </c>
      <c r="B205" s="1161" t="s">
        <v>316</v>
      </c>
      <c r="C205" s="1162"/>
      <c r="D205" s="1162"/>
      <c r="E205" s="1162"/>
      <c r="F205" s="1162"/>
      <c r="G205" s="1199"/>
      <c r="H205" s="1268" t="str">
        <f t="shared" ref="H205" si="286">IF(ISBLANK(AZ$5),"",1)</f>
        <v/>
      </c>
      <c r="I205" s="1205" t="str">
        <f t="shared" ref="I205" si="287">IF(ISBLANK(BD$5),"",1)</f>
        <v/>
      </c>
      <c r="J205" s="1205" t="str">
        <f t="shared" ref="J205" si="288">IF(ISBLANK(BH$5),"",1)</f>
        <v/>
      </c>
      <c r="K205" s="1205" t="str">
        <f t="shared" ref="K205" si="289">IF(ISBLANK(BL$5),"",1)</f>
        <v/>
      </c>
      <c r="N205" s="1258">
        <v>4.3</v>
      </c>
      <c r="O205" s="1198" t="s">
        <v>388</v>
      </c>
      <c r="P205" s="1162"/>
      <c r="Q205" s="1162"/>
      <c r="R205" s="1162"/>
      <c r="S205" s="1162"/>
      <c r="T205" s="1199"/>
      <c r="U205" s="1226" t="str">
        <f t="shared" ref="U205" si="290">IF(ISBLANK(AZ$5),"",1)</f>
        <v/>
      </c>
      <c r="V205" s="1258">
        <v>4.3</v>
      </c>
      <c r="W205" s="1198" t="s">
        <v>388</v>
      </c>
      <c r="X205" s="1162"/>
      <c r="Y205" s="1162"/>
      <c r="Z205" s="1162"/>
      <c r="AA205" s="1162"/>
      <c r="AB205" s="1199"/>
      <c r="AC205" s="1226" t="str">
        <f t="shared" ref="AC205" si="291">IF(ISBLANK(BD$5),"",1)</f>
        <v/>
      </c>
      <c r="AD205" s="1258">
        <v>4.3</v>
      </c>
      <c r="AE205" s="1198" t="s">
        <v>388</v>
      </c>
      <c r="AF205" s="1162"/>
      <c r="AG205" s="1162"/>
      <c r="AH205" s="1162"/>
      <c r="AI205" s="1162"/>
      <c r="AJ205" s="1199"/>
      <c r="AK205" s="1226" t="str">
        <f t="shared" ref="AK205" si="292">IF(ISBLANK(BH$5),"",1)</f>
        <v/>
      </c>
      <c r="AL205" s="1196">
        <v>4.3</v>
      </c>
      <c r="AM205" s="1198" t="s">
        <v>388</v>
      </c>
      <c r="AN205" s="1162"/>
      <c r="AO205" s="1162"/>
      <c r="AP205" s="1162"/>
      <c r="AQ205" s="1162"/>
      <c r="AR205" s="1199"/>
      <c r="AS205" s="1226" t="str">
        <f t="shared" ref="AS205" si="293">IF(ISBLANK(BL$5),"",1)</f>
        <v/>
      </c>
      <c r="BJ205" s="1337"/>
      <c r="BK205" s="1338"/>
      <c r="BL205" s="1338"/>
      <c r="BM205" s="1338"/>
      <c r="BN205" s="1338"/>
      <c r="BO205" s="1339"/>
    </row>
    <row r="206" spans="1:67" ht="15" customHeight="1">
      <c r="A206" s="1290"/>
      <c r="B206" s="1163"/>
      <c r="C206" s="1164"/>
      <c r="D206" s="1164"/>
      <c r="E206" s="1164"/>
      <c r="F206" s="1164"/>
      <c r="G206" s="1201"/>
      <c r="H206" s="1269"/>
      <c r="I206" s="1206"/>
      <c r="J206" s="1206"/>
      <c r="K206" s="1206"/>
      <c r="N206" s="1258"/>
      <c r="O206" s="1200"/>
      <c r="P206" s="1164"/>
      <c r="Q206" s="1164"/>
      <c r="R206" s="1164"/>
      <c r="S206" s="1164"/>
      <c r="T206" s="1201"/>
      <c r="U206" s="1342"/>
      <c r="V206" s="1258"/>
      <c r="W206" s="1200"/>
      <c r="X206" s="1164"/>
      <c r="Y206" s="1164"/>
      <c r="Z206" s="1164"/>
      <c r="AA206" s="1164"/>
      <c r="AB206" s="1201"/>
      <c r="AC206" s="1342"/>
      <c r="AD206" s="1258"/>
      <c r="AE206" s="1200"/>
      <c r="AF206" s="1164"/>
      <c r="AG206" s="1164"/>
      <c r="AH206" s="1164"/>
      <c r="AI206" s="1164"/>
      <c r="AJ206" s="1201"/>
      <c r="AK206" s="1342"/>
      <c r="AL206" s="1197"/>
      <c r="AM206" s="1200"/>
      <c r="AN206" s="1164"/>
      <c r="AO206" s="1164"/>
      <c r="AP206" s="1164"/>
      <c r="AQ206" s="1164"/>
      <c r="AR206" s="1201"/>
      <c r="AS206" s="1342"/>
      <c r="BJ206" s="1337"/>
      <c r="BK206" s="1338"/>
      <c r="BL206" s="1338"/>
      <c r="BM206" s="1338"/>
      <c r="BN206" s="1338"/>
      <c r="BO206" s="1339"/>
    </row>
    <row r="207" spans="1:67" ht="15" customHeight="1">
      <c r="A207" s="1291"/>
      <c r="B207" s="1165"/>
      <c r="C207" s="1166"/>
      <c r="D207" s="1166"/>
      <c r="E207" s="1166"/>
      <c r="F207" s="1166"/>
      <c r="G207" s="1292"/>
      <c r="H207" s="1270"/>
      <c r="I207" s="1207"/>
      <c r="J207" s="1207"/>
      <c r="K207" s="1207"/>
      <c r="N207" s="1258"/>
      <c r="O207" s="1202"/>
      <c r="P207" s="1203"/>
      <c r="Q207" s="1203"/>
      <c r="R207" s="1203"/>
      <c r="S207" s="1203"/>
      <c r="T207" s="1204"/>
      <c r="U207" s="1342"/>
      <c r="V207" s="1258"/>
      <c r="W207" s="1202"/>
      <c r="X207" s="1203"/>
      <c r="Y207" s="1203"/>
      <c r="Z207" s="1203"/>
      <c r="AA207" s="1203"/>
      <c r="AB207" s="1204"/>
      <c r="AC207" s="1342"/>
      <c r="AD207" s="1258"/>
      <c r="AE207" s="1202"/>
      <c r="AF207" s="1203"/>
      <c r="AG207" s="1203"/>
      <c r="AH207" s="1203"/>
      <c r="AI207" s="1203"/>
      <c r="AJ207" s="1204"/>
      <c r="AK207" s="1342"/>
      <c r="AL207" s="1197"/>
      <c r="AM207" s="1202"/>
      <c r="AN207" s="1203"/>
      <c r="AO207" s="1203"/>
      <c r="AP207" s="1203"/>
      <c r="AQ207" s="1203"/>
      <c r="AR207" s="1204"/>
      <c r="AS207" s="1342"/>
      <c r="BJ207" s="1337"/>
      <c r="BK207" s="1338"/>
      <c r="BL207" s="1338"/>
      <c r="BM207" s="1338"/>
      <c r="BN207" s="1338"/>
      <c r="BO207" s="1339"/>
    </row>
    <row r="208" spans="1:67" ht="15" customHeight="1">
      <c r="A208" s="1307">
        <v>1.1000000000000001</v>
      </c>
      <c r="B208" s="1161" t="s">
        <v>320</v>
      </c>
      <c r="C208" s="1162"/>
      <c r="D208" s="1162"/>
      <c r="E208" s="1162"/>
      <c r="F208" s="1162"/>
      <c r="G208" s="1199"/>
      <c r="H208" s="1268" t="str">
        <f t="shared" ref="H208" si="294">IF(ISBLANK(AZ$5),"",1)</f>
        <v/>
      </c>
      <c r="I208" s="1205" t="str">
        <f t="shared" ref="I208" si="295">IF(ISBLANK(BD$5),"",1)</f>
        <v/>
      </c>
      <c r="J208" s="1205" t="str">
        <f t="shared" ref="J208" si="296">IF(ISBLANK(BH$5),"",1)</f>
        <v/>
      </c>
      <c r="K208" s="1205" t="str">
        <f t="shared" ref="K208" si="297">IF(ISBLANK(BL$5),"",1)</f>
        <v/>
      </c>
      <c r="N208" s="1258">
        <v>4.3</v>
      </c>
      <c r="O208" s="1198" t="s">
        <v>390</v>
      </c>
      <c r="P208" s="1162"/>
      <c r="Q208" s="1162"/>
      <c r="R208" s="1162"/>
      <c r="S208" s="1162"/>
      <c r="T208" s="1199"/>
      <c r="U208" s="1226" t="str">
        <f t="shared" ref="U208" si="298">IF(ISBLANK(AZ$5),"",1)</f>
        <v/>
      </c>
      <c r="V208" s="1258">
        <v>4.3</v>
      </c>
      <c r="W208" s="1198" t="s">
        <v>390</v>
      </c>
      <c r="X208" s="1162"/>
      <c r="Y208" s="1162"/>
      <c r="Z208" s="1162"/>
      <c r="AA208" s="1162"/>
      <c r="AB208" s="1199"/>
      <c r="AC208" s="1226" t="str">
        <f t="shared" ref="AC208" si="299">IF(ISBLANK(BD$5),"",1)</f>
        <v/>
      </c>
      <c r="AD208" s="1258">
        <v>4.3</v>
      </c>
      <c r="AE208" s="1198" t="s">
        <v>390</v>
      </c>
      <c r="AF208" s="1162"/>
      <c r="AG208" s="1162"/>
      <c r="AH208" s="1162"/>
      <c r="AI208" s="1162"/>
      <c r="AJ208" s="1199"/>
      <c r="AK208" s="1226" t="str">
        <f t="shared" ref="AK208" si="300">IF(ISBLANK(BH$5),"",1)</f>
        <v/>
      </c>
      <c r="AL208" s="1196">
        <v>4.3</v>
      </c>
      <c r="AM208" s="1198" t="s">
        <v>390</v>
      </c>
      <c r="AN208" s="1162"/>
      <c r="AO208" s="1162"/>
      <c r="AP208" s="1162"/>
      <c r="AQ208" s="1162"/>
      <c r="AR208" s="1199"/>
      <c r="AS208" s="1226" t="str">
        <f t="shared" ref="AS208" si="301">IF(ISBLANK(BL$5),"",1)</f>
        <v/>
      </c>
      <c r="BJ208" s="1337"/>
      <c r="BK208" s="1338"/>
      <c r="BL208" s="1338"/>
      <c r="BM208" s="1338"/>
      <c r="BN208" s="1338"/>
      <c r="BO208" s="1339"/>
    </row>
    <row r="209" spans="1:67" ht="15" customHeight="1">
      <c r="A209" s="1308"/>
      <c r="B209" s="1163"/>
      <c r="C209" s="1164"/>
      <c r="D209" s="1164"/>
      <c r="E209" s="1164"/>
      <c r="F209" s="1164"/>
      <c r="G209" s="1201"/>
      <c r="H209" s="1269"/>
      <c r="I209" s="1206"/>
      <c r="J209" s="1206"/>
      <c r="K209" s="1206"/>
      <c r="N209" s="1258"/>
      <c r="O209" s="1200"/>
      <c r="P209" s="1164"/>
      <c r="Q209" s="1164"/>
      <c r="R209" s="1164"/>
      <c r="S209" s="1164"/>
      <c r="T209" s="1201"/>
      <c r="U209" s="1342"/>
      <c r="V209" s="1258"/>
      <c r="W209" s="1200"/>
      <c r="X209" s="1164"/>
      <c r="Y209" s="1164"/>
      <c r="Z209" s="1164"/>
      <c r="AA209" s="1164"/>
      <c r="AB209" s="1201"/>
      <c r="AC209" s="1342"/>
      <c r="AD209" s="1258"/>
      <c r="AE209" s="1200"/>
      <c r="AF209" s="1164"/>
      <c r="AG209" s="1164"/>
      <c r="AH209" s="1164"/>
      <c r="AI209" s="1164"/>
      <c r="AJ209" s="1201"/>
      <c r="AK209" s="1342"/>
      <c r="AL209" s="1196"/>
      <c r="AM209" s="1200"/>
      <c r="AN209" s="1164"/>
      <c r="AO209" s="1164"/>
      <c r="AP209" s="1164"/>
      <c r="AQ209" s="1164"/>
      <c r="AR209" s="1201"/>
      <c r="AS209" s="1342"/>
      <c r="BJ209" s="1337"/>
      <c r="BK209" s="1338"/>
      <c r="BL209" s="1338"/>
      <c r="BM209" s="1338"/>
      <c r="BN209" s="1338"/>
      <c r="BO209" s="1339"/>
    </row>
    <row r="210" spans="1:67" ht="15" customHeight="1">
      <c r="A210" s="1309"/>
      <c r="B210" s="1165"/>
      <c r="C210" s="1166"/>
      <c r="D210" s="1166"/>
      <c r="E210" s="1166"/>
      <c r="F210" s="1166"/>
      <c r="G210" s="1292"/>
      <c r="H210" s="1270"/>
      <c r="I210" s="1207"/>
      <c r="J210" s="1207"/>
      <c r="K210" s="1207"/>
      <c r="N210" s="1258"/>
      <c r="O210" s="1202"/>
      <c r="P210" s="1203"/>
      <c r="Q210" s="1203"/>
      <c r="R210" s="1203"/>
      <c r="S210" s="1203"/>
      <c r="T210" s="1204"/>
      <c r="U210" s="1342"/>
      <c r="V210" s="1258"/>
      <c r="W210" s="1202"/>
      <c r="X210" s="1203"/>
      <c r="Y210" s="1203"/>
      <c r="Z210" s="1203"/>
      <c r="AA210" s="1203"/>
      <c r="AB210" s="1204"/>
      <c r="AC210" s="1342"/>
      <c r="AD210" s="1258"/>
      <c r="AE210" s="1202"/>
      <c r="AF210" s="1203"/>
      <c r="AG210" s="1203"/>
      <c r="AH210" s="1203"/>
      <c r="AI210" s="1203"/>
      <c r="AJ210" s="1204"/>
      <c r="AK210" s="1342"/>
      <c r="AL210" s="1197"/>
      <c r="AM210" s="1202"/>
      <c r="AN210" s="1203"/>
      <c r="AO210" s="1203"/>
      <c r="AP210" s="1203"/>
      <c r="AQ210" s="1203"/>
      <c r="AR210" s="1204"/>
      <c r="AS210" s="1342"/>
      <c r="BJ210" s="1337"/>
      <c r="BK210" s="1338"/>
      <c r="BL210" s="1338"/>
      <c r="BM210" s="1338"/>
      <c r="BN210" s="1338"/>
      <c r="BO210" s="1339"/>
    </row>
    <row r="211" spans="1:67" ht="15" customHeight="1">
      <c r="A211" s="1304">
        <v>2.1</v>
      </c>
      <c r="B211" s="1161" t="s">
        <v>322</v>
      </c>
      <c r="C211" s="1162"/>
      <c r="D211" s="1162"/>
      <c r="E211" s="1162"/>
      <c r="F211" s="1162"/>
      <c r="G211" s="1199"/>
      <c r="H211" s="1268" t="str">
        <f t="shared" ref="H211" si="302">IF(ISBLANK(AZ$5),"",1)</f>
        <v/>
      </c>
      <c r="I211" s="1205" t="str">
        <f t="shared" ref="I211" si="303">IF(ISBLANK(BD$5),"",1)</f>
        <v/>
      </c>
      <c r="J211" s="1205" t="str">
        <f t="shared" ref="J211" si="304">IF(ISBLANK(BH$5),"",1)</f>
        <v/>
      </c>
      <c r="K211" s="1205" t="str">
        <f t="shared" ref="K211" si="305">IF(ISBLANK(BL$5),"",1)</f>
        <v/>
      </c>
      <c r="N211" s="1258">
        <v>4.4000000000000004</v>
      </c>
      <c r="O211" s="1198" t="s">
        <v>415</v>
      </c>
      <c r="P211" s="1162"/>
      <c r="Q211" s="1162"/>
      <c r="R211" s="1162"/>
      <c r="S211" s="1162"/>
      <c r="T211" s="1199"/>
      <c r="U211" s="1226" t="str">
        <f t="shared" ref="U211" si="306">IF(ISBLANK(AZ$5),"",1)</f>
        <v/>
      </c>
      <c r="V211" s="1258">
        <v>4.4000000000000004</v>
      </c>
      <c r="W211" s="1198" t="s">
        <v>415</v>
      </c>
      <c r="X211" s="1162"/>
      <c r="Y211" s="1162"/>
      <c r="Z211" s="1162"/>
      <c r="AA211" s="1162"/>
      <c r="AB211" s="1199"/>
      <c r="AC211" s="1226" t="str">
        <f t="shared" ref="AC211" si="307">IF(ISBLANK(BD$5),"",1)</f>
        <v/>
      </c>
      <c r="AD211" s="1258">
        <v>4.4000000000000004</v>
      </c>
      <c r="AE211" s="1198" t="s">
        <v>415</v>
      </c>
      <c r="AF211" s="1162"/>
      <c r="AG211" s="1162"/>
      <c r="AH211" s="1162"/>
      <c r="AI211" s="1162"/>
      <c r="AJ211" s="1199"/>
      <c r="AK211" s="1226" t="str">
        <f t="shared" ref="AK211" si="308">IF(ISBLANK(BH$5),"",1)</f>
        <v/>
      </c>
      <c r="AL211" s="1196">
        <v>4.4000000000000004</v>
      </c>
      <c r="AM211" s="1198" t="s">
        <v>407</v>
      </c>
      <c r="AN211" s="1162"/>
      <c r="AO211" s="1162"/>
      <c r="AP211" s="1162"/>
      <c r="AQ211" s="1162"/>
      <c r="AR211" s="1199"/>
      <c r="AS211" s="1226" t="str">
        <f t="shared" ref="AS211" si="309">IF(ISBLANK(BL$5),"",1)</f>
        <v/>
      </c>
      <c r="BJ211" s="1337"/>
      <c r="BK211" s="1338"/>
      <c r="BL211" s="1338"/>
      <c r="BM211" s="1338"/>
      <c r="BN211" s="1338"/>
      <c r="BO211" s="1339"/>
    </row>
    <row r="212" spans="1:67" ht="15" customHeight="1">
      <c r="A212" s="1290"/>
      <c r="B212" s="1163"/>
      <c r="C212" s="1164"/>
      <c r="D212" s="1164"/>
      <c r="E212" s="1164"/>
      <c r="F212" s="1164"/>
      <c r="G212" s="1201"/>
      <c r="H212" s="1269"/>
      <c r="I212" s="1206"/>
      <c r="J212" s="1206"/>
      <c r="K212" s="1206"/>
      <c r="N212" s="1258"/>
      <c r="O212" s="1200"/>
      <c r="P212" s="1164"/>
      <c r="Q212" s="1164"/>
      <c r="R212" s="1164"/>
      <c r="S212" s="1164"/>
      <c r="T212" s="1201"/>
      <c r="U212" s="1342"/>
      <c r="V212" s="1258"/>
      <c r="W212" s="1200"/>
      <c r="X212" s="1164"/>
      <c r="Y212" s="1164"/>
      <c r="Z212" s="1164"/>
      <c r="AA212" s="1164"/>
      <c r="AB212" s="1201"/>
      <c r="AC212" s="1342"/>
      <c r="AD212" s="1258"/>
      <c r="AE212" s="1200"/>
      <c r="AF212" s="1164"/>
      <c r="AG212" s="1164"/>
      <c r="AH212" s="1164"/>
      <c r="AI212" s="1164"/>
      <c r="AJ212" s="1201"/>
      <c r="AK212" s="1342"/>
      <c r="AL212" s="1197"/>
      <c r="AM212" s="1200"/>
      <c r="AN212" s="1164"/>
      <c r="AO212" s="1164"/>
      <c r="AP212" s="1164"/>
      <c r="AQ212" s="1164"/>
      <c r="AR212" s="1201"/>
      <c r="AS212" s="1342"/>
      <c r="BJ212" s="1337"/>
      <c r="BK212" s="1338"/>
      <c r="BL212" s="1338"/>
      <c r="BM212" s="1338"/>
      <c r="BN212" s="1338"/>
      <c r="BO212" s="1339"/>
    </row>
    <row r="213" spans="1:67" ht="15" customHeight="1">
      <c r="A213" s="1291"/>
      <c r="B213" s="1165"/>
      <c r="C213" s="1166"/>
      <c r="D213" s="1166"/>
      <c r="E213" s="1166"/>
      <c r="F213" s="1166"/>
      <c r="G213" s="1292"/>
      <c r="H213" s="1270"/>
      <c r="I213" s="1207"/>
      <c r="J213" s="1207"/>
      <c r="K213" s="1207"/>
      <c r="N213" s="1258"/>
      <c r="O213" s="1202"/>
      <c r="P213" s="1203"/>
      <c r="Q213" s="1203"/>
      <c r="R213" s="1203"/>
      <c r="S213" s="1203"/>
      <c r="T213" s="1204"/>
      <c r="U213" s="1342"/>
      <c r="V213" s="1258"/>
      <c r="W213" s="1202"/>
      <c r="X213" s="1203"/>
      <c r="Y213" s="1203"/>
      <c r="Z213" s="1203"/>
      <c r="AA213" s="1203"/>
      <c r="AB213" s="1204"/>
      <c r="AC213" s="1342"/>
      <c r="AD213" s="1258"/>
      <c r="AE213" s="1202"/>
      <c r="AF213" s="1203"/>
      <c r="AG213" s="1203"/>
      <c r="AH213" s="1203"/>
      <c r="AI213" s="1203"/>
      <c r="AJ213" s="1204"/>
      <c r="AK213" s="1342"/>
      <c r="AL213" s="1197"/>
      <c r="AM213" s="1202"/>
      <c r="AN213" s="1203"/>
      <c r="AO213" s="1203"/>
      <c r="AP213" s="1203"/>
      <c r="AQ213" s="1203"/>
      <c r="AR213" s="1204"/>
      <c r="AS213" s="1342"/>
      <c r="BJ213" s="1337"/>
      <c r="BK213" s="1338"/>
      <c r="BL213" s="1338"/>
      <c r="BM213" s="1338"/>
      <c r="BN213" s="1338"/>
      <c r="BO213" s="1339"/>
    </row>
    <row r="214" spans="1:67" ht="15" customHeight="1">
      <c r="A214" s="1307">
        <v>1.1000000000000001</v>
      </c>
      <c r="B214" s="1161" t="s">
        <v>940</v>
      </c>
      <c r="C214" s="1162"/>
      <c r="D214" s="1162"/>
      <c r="E214" s="1162"/>
      <c r="F214" s="1162"/>
      <c r="G214" s="1199"/>
      <c r="H214" s="1268" t="str">
        <f t="shared" ref="H214" si="310">IF(ISBLANK(AZ$5),"",1)</f>
        <v/>
      </c>
      <c r="I214" s="1205" t="str">
        <f t="shared" ref="I214" si="311">IF(ISBLANK(BD$5),"",1)</f>
        <v/>
      </c>
      <c r="J214" s="1205" t="str">
        <f t="shared" ref="J214" si="312">IF(ISBLANK(BH$5),"",1)</f>
        <v/>
      </c>
      <c r="K214" s="1205" t="str">
        <f t="shared" ref="K214" si="313">IF(ISBLANK(BL$5),"",1)</f>
        <v/>
      </c>
      <c r="N214" s="1304">
        <v>4.3</v>
      </c>
      <c r="O214" s="1310" t="s">
        <v>879</v>
      </c>
      <c r="P214" s="1311"/>
      <c r="Q214" s="1311"/>
      <c r="R214" s="1311"/>
      <c r="S214" s="1311"/>
      <c r="T214" s="1316"/>
      <c r="U214" s="1226" t="str">
        <f t="shared" ref="U214" si="314">IF(ISBLANK(AZ$5),"",1)</f>
        <v/>
      </c>
      <c r="V214" s="1304">
        <v>4.3</v>
      </c>
      <c r="W214" s="1310" t="s">
        <v>879</v>
      </c>
      <c r="X214" s="1311"/>
      <c r="Y214" s="1311"/>
      <c r="Z214" s="1311"/>
      <c r="AA214" s="1311"/>
      <c r="AB214" s="1316"/>
      <c r="AC214" s="1226" t="str">
        <f t="shared" ref="AC214" si="315">IF(ISBLANK(BD$5),"",1)</f>
        <v/>
      </c>
      <c r="AD214" s="1304">
        <v>4.3</v>
      </c>
      <c r="AE214" s="1310" t="s">
        <v>879</v>
      </c>
      <c r="AF214" s="1311"/>
      <c r="AG214" s="1311"/>
      <c r="AH214" s="1311"/>
      <c r="AI214" s="1311"/>
      <c r="AJ214" s="1316"/>
      <c r="AK214" s="1226" t="str">
        <f t="shared" ref="AK214" si="316">IF(ISBLANK(BH$5),"",1)</f>
        <v/>
      </c>
      <c r="AL214" s="1304">
        <v>4.3</v>
      </c>
      <c r="AM214" s="1310" t="s">
        <v>879</v>
      </c>
      <c r="AN214" s="1311"/>
      <c r="AO214" s="1311"/>
      <c r="AP214" s="1311"/>
      <c r="AQ214" s="1311"/>
      <c r="AR214" s="1316"/>
      <c r="AS214" s="1226" t="str">
        <f t="shared" ref="AS214" si="317">IF(ISBLANK(BL$5),"",1)</f>
        <v/>
      </c>
      <c r="BJ214" s="1337"/>
      <c r="BK214" s="1338"/>
      <c r="BL214" s="1338"/>
      <c r="BM214" s="1338"/>
      <c r="BN214" s="1338"/>
      <c r="BO214" s="1339"/>
    </row>
    <row r="215" spans="1:67" ht="15" customHeight="1">
      <c r="A215" s="1308"/>
      <c r="B215" s="1163"/>
      <c r="C215" s="1164"/>
      <c r="D215" s="1164"/>
      <c r="E215" s="1164"/>
      <c r="F215" s="1164"/>
      <c r="G215" s="1201"/>
      <c r="H215" s="1269"/>
      <c r="I215" s="1206"/>
      <c r="J215" s="1206"/>
      <c r="K215" s="1206"/>
      <c r="N215" s="1290"/>
      <c r="O215" s="1295"/>
      <c r="P215" s="1296"/>
      <c r="Q215" s="1296"/>
      <c r="R215" s="1296"/>
      <c r="S215" s="1296"/>
      <c r="T215" s="1318"/>
      <c r="U215" s="1342"/>
      <c r="V215" s="1290"/>
      <c r="W215" s="1295"/>
      <c r="X215" s="1296"/>
      <c r="Y215" s="1296"/>
      <c r="Z215" s="1296"/>
      <c r="AA215" s="1296"/>
      <c r="AB215" s="1318"/>
      <c r="AC215" s="1342"/>
      <c r="AD215" s="1290"/>
      <c r="AE215" s="1295"/>
      <c r="AF215" s="1296"/>
      <c r="AG215" s="1296"/>
      <c r="AH215" s="1296"/>
      <c r="AI215" s="1296"/>
      <c r="AJ215" s="1318"/>
      <c r="AK215" s="1342"/>
      <c r="AL215" s="1290"/>
      <c r="AM215" s="1295"/>
      <c r="AN215" s="1296"/>
      <c r="AO215" s="1296"/>
      <c r="AP215" s="1296"/>
      <c r="AQ215" s="1296"/>
      <c r="AR215" s="1318"/>
      <c r="AS215" s="1342"/>
      <c r="BJ215" s="1337"/>
      <c r="BK215" s="1338"/>
      <c r="BL215" s="1338"/>
      <c r="BM215" s="1338"/>
      <c r="BN215" s="1338"/>
      <c r="BO215" s="1339"/>
    </row>
    <row r="216" spans="1:67" ht="15" customHeight="1">
      <c r="A216" s="1309"/>
      <c r="B216" s="1165"/>
      <c r="C216" s="1166"/>
      <c r="D216" s="1166"/>
      <c r="E216" s="1166"/>
      <c r="F216" s="1166"/>
      <c r="G216" s="1292"/>
      <c r="H216" s="1270"/>
      <c r="I216" s="1207"/>
      <c r="J216" s="1207"/>
      <c r="K216" s="1207"/>
      <c r="N216" s="1291"/>
      <c r="O216" s="1298"/>
      <c r="P216" s="1299"/>
      <c r="Q216" s="1299"/>
      <c r="R216" s="1299"/>
      <c r="S216" s="1299"/>
      <c r="T216" s="1335"/>
      <c r="U216" s="1342"/>
      <c r="V216" s="1291"/>
      <c r="W216" s="1298"/>
      <c r="X216" s="1299"/>
      <c r="Y216" s="1299"/>
      <c r="Z216" s="1299"/>
      <c r="AA216" s="1299"/>
      <c r="AB216" s="1335"/>
      <c r="AC216" s="1342"/>
      <c r="AD216" s="1291"/>
      <c r="AE216" s="1298"/>
      <c r="AF216" s="1299"/>
      <c r="AG216" s="1299"/>
      <c r="AH216" s="1299"/>
      <c r="AI216" s="1299"/>
      <c r="AJ216" s="1335"/>
      <c r="AK216" s="1342"/>
      <c r="AL216" s="1291"/>
      <c r="AM216" s="1298"/>
      <c r="AN216" s="1299"/>
      <c r="AO216" s="1299"/>
      <c r="AP216" s="1299"/>
      <c r="AQ216" s="1299"/>
      <c r="AR216" s="1335"/>
      <c r="AS216" s="1342"/>
      <c r="BJ216" s="1337"/>
      <c r="BK216" s="1338"/>
      <c r="BL216" s="1338"/>
      <c r="BM216" s="1338"/>
      <c r="BN216" s="1338"/>
      <c r="BO216" s="1339"/>
    </row>
    <row r="217" spans="1:67" ht="15" customHeight="1">
      <c r="A217" s="1307">
        <v>1.1000000000000001</v>
      </c>
      <c r="B217" s="1161" t="s">
        <v>330</v>
      </c>
      <c r="C217" s="1162"/>
      <c r="D217" s="1162"/>
      <c r="E217" s="1162"/>
      <c r="F217" s="1162"/>
      <c r="G217" s="1199"/>
      <c r="H217" s="1268" t="str">
        <f t="shared" ref="H217" si="318">IF(ISBLANK(AZ$5),"",1)</f>
        <v/>
      </c>
      <c r="I217" s="1205" t="str">
        <f t="shared" ref="I217" si="319">IF(ISBLANK(BD$5),"",1)</f>
        <v/>
      </c>
      <c r="J217" s="1205" t="str">
        <f t="shared" ref="J217" si="320">IF(ISBLANK(BH$5),"",1)</f>
        <v/>
      </c>
      <c r="K217" s="1205" t="str">
        <f t="shared" ref="K217" si="321">IF(ISBLANK(BL$5),"",1)</f>
        <v/>
      </c>
      <c r="N217" s="1304">
        <v>4.3</v>
      </c>
      <c r="O217" s="1198" t="s">
        <v>883</v>
      </c>
      <c r="P217" s="1162"/>
      <c r="Q217" s="1162"/>
      <c r="R217" s="1162"/>
      <c r="S217" s="1162"/>
      <c r="T217" s="1199"/>
      <c r="U217" s="1226" t="str">
        <f t="shared" ref="U217" si="322">IF(ISBLANK(AZ$5),"",1)</f>
        <v/>
      </c>
      <c r="V217" s="1304">
        <v>4.3</v>
      </c>
      <c r="W217" s="1198" t="s">
        <v>883</v>
      </c>
      <c r="X217" s="1162"/>
      <c r="Y217" s="1162"/>
      <c r="Z217" s="1162"/>
      <c r="AA217" s="1162"/>
      <c r="AB217" s="1199"/>
      <c r="AC217" s="1226" t="str">
        <f t="shared" ref="AC217" si="323">IF(ISBLANK(BD$5),"",1)</f>
        <v/>
      </c>
      <c r="AD217" s="1258">
        <v>4.4000000000000004</v>
      </c>
      <c r="AE217" s="1198" t="s">
        <v>393</v>
      </c>
      <c r="AF217" s="1162"/>
      <c r="AG217" s="1162"/>
      <c r="AH217" s="1162"/>
      <c r="AI217" s="1162"/>
      <c r="AJ217" s="1199"/>
      <c r="AK217" s="1226" t="str">
        <f t="shared" ref="AK217" si="324">IF(ISBLANK(BH$5),"",1)</f>
        <v/>
      </c>
      <c r="AL217" s="1304">
        <v>4.3</v>
      </c>
      <c r="AM217" s="1198" t="s">
        <v>883</v>
      </c>
      <c r="AN217" s="1162"/>
      <c r="AO217" s="1162"/>
      <c r="AP217" s="1162"/>
      <c r="AQ217" s="1162"/>
      <c r="AR217" s="1199"/>
      <c r="AS217" s="1226" t="str">
        <f t="shared" ref="AS217" si="325">IF(ISBLANK(BL$5),"",1)</f>
        <v/>
      </c>
      <c r="BJ217" s="1337"/>
      <c r="BK217" s="1338"/>
      <c r="BL217" s="1338"/>
      <c r="BM217" s="1338"/>
      <c r="BN217" s="1338"/>
      <c r="BO217" s="1339"/>
    </row>
    <row r="218" spans="1:67" ht="15" customHeight="1">
      <c r="A218" s="1308"/>
      <c r="B218" s="1163"/>
      <c r="C218" s="1164"/>
      <c r="D218" s="1164"/>
      <c r="E218" s="1164"/>
      <c r="F218" s="1164"/>
      <c r="G218" s="1201"/>
      <c r="H218" s="1269"/>
      <c r="I218" s="1206"/>
      <c r="J218" s="1206"/>
      <c r="K218" s="1206"/>
      <c r="N218" s="1290"/>
      <c r="O218" s="1200"/>
      <c r="P218" s="1164"/>
      <c r="Q218" s="1164"/>
      <c r="R218" s="1164"/>
      <c r="S218" s="1164"/>
      <c r="T218" s="1201"/>
      <c r="U218" s="1342"/>
      <c r="V218" s="1290"/>
      <c r="W218" s="1200"/>
      <c r="X218" s="1164"/>
      <c r="Y218" s="1164"/>
      <c r="Z218" s="1164"/>
      <c r="AA218" s="1164"/>
      <c r="AB218" s="1201"/>
      <c r="AC218" s="1342"/>
      <c r="AD218" s="1258"/>
      <c r="AE218" s="1200"/>
      <c r="AF218" s="1164"/>
      <c r="AG218" s="1164"/>
      <c r="AH218" s="1164"/>
      <c r="AI218" s="1164"/>
      <c r="AJ218" s="1201"/>
      <c r="AK218" s="1342"/>
      <c r="AL218" s="1290"/>
      <c r="AM218" s="1200"/>
      <c r="AN218" s="1164"/>
      <c r="AO218" s="1164"/>
      <c r="AP218" s="1164"/>
      <c r="AQ218" s="1164"/>
      <c r="AR218" s="1201"/>
      <c r="AS218" s="1342"/>
      <c r="BJ218" s="1337"/>
      <c r="BK218" s="1338"/>
      <c r="BL218" s="1338"/>
      <c r="BM218" s="1338"/>
      <c r="BN218" s="1338"/>
      <c r="BO218" s="1339"/>
    </row>
    <row r="219" spans="1:67" ht="15" customHeight="1">
      <c r="A219" s="1309"/>
      <c r="B219" s="1165"/>
      <c r="C219" s="1166"/>
      <c r="D219" s="1166"/>
      <c r="E219" s="1166"/>
      <c r="F219" s="1166"/>
      <c r="G219" s="1292"/>
      <c r="H219" s="1270"/>
      <c r="I219" s="1207"/>
      <c r="J219" s="1207"/>
      <c r="K219" s="1207"/>
      <c r="N219" s="1291"/>
      <c r="O219" s="1202"/>
      <c r="P219" s="1203"/>
      <c r="Q219" s="1203"/>
      <c r="R219" s="1203"/>
      <c r="S219" s="1203"/>
      <c r="T219" s="1204"/>
      <c r="U219" s="1342"/>
      <c r="V219" s="1291"/>
      <c r="W219" s="1202"/>
      <c r="X219" s="1203"/>
      <c r="Y219" s="1203"/>
      <c r="Z219" s="1203"/>
      <c r="AA219" s="1203"/>
      <c r="AB219" s="1204"/>
      <c r="AC219" s="1342"/>
      <c r="AD219" s="1258"/>
      <c r="AE219" s="1202"/>
      <c r="AF219" s="1203"/>
      <c r="AG219" s="1203"/>
      <c r="AH219" s="1203"/>
      <c r="AI219" s="1203"/>
      <c r="AJ219" s="1204"/>
      <c r="AK219" s="1342"/>
      <c r="AL219" s="1291"/>
      <c r="AM219" s="1202"/>
      <c r="AN219" s="1203"/>
      <c r="AO219" s="1203"/>
      <c r="AP219" s="1203"/>
      <c r="AQ219" s="1203"/>
      <c r="AR219" s="1204"/>
      <c r="AS219" s="1342"/>
      <c r="BJ219" s="1337"/>
      <c r="BK219" s="1338"/>
      <c r="BL219" s="1338"/>
      <c r="BM219" s="1338"/>
      <c r="BN219" s="1338"/>
      <c r="BO219" s="1339"/>
    </row>
    <row r="220" spans="1:67" ht="15" customHeight="1">
      <c r="A220" s="1304">
        <v>1.5</v>
      </c>
      <c r="B220" s="1161" t="s">
        <v>336</v>
      </c>
      <c r="C220" s="1162"/>
      <c r="D220" s="1162"/>
      <c r="E220" s="1162"/>
      <c r="F220" s="1162"/>
      <c r="G220" s="1199"/>
      <c r="H220" s="1268" t="str">
        <f t="shared" ref="H220" si="326">IF(ISBLANK(AZ$5),"",1)</f>
        <v/>
      </c>
      <c r="I220" s="1205" t="str">
        <f t="shared" ref="I220" si="327">IF(ISBLANK(BD$5),"",1)</f>
        <v/>
      </c>
      <c r="J220" s="1205" t="str">
        <f t="shared" ref="J220" si="328">IF(ISBLANK(BH$5),"",1)</f>
        <v/>
      </c>
      <c r="K220" s="1205" t="str">
        <f t="shared" ref="K220" si="329">IF(ISBLANK(BL$5),"",1)</f>
        <v/>
      </c>
      <c r="N220" s="1322">
        <v>4.4000000000000004</v>
      </c>
      <c r="O220" s="1198" t="s">
        <v>884</v>
      </c>
      <c r="P220" s="1162"/>
      <c r="Q220" s="1162"/>
      <c r="R220" s="1162"/>
      <c r="S220" s="1162"/>
      <c r="T220" s="1199"/>
      <c r="U220" s="1226" t="str">
        <f t="shared" ref="U220" si="330">IF(ISBLANK(AZ$5),"",1)</f>
        <v/>
      </c>
      <c r="V220" s="1322">
        <v>4.3</v>
      </c>
      <c r="W220" s="1198" t="s">
        <v>393</v>
      </c>
      <c r="X220" s="1162"/>
      <c r="Y220" s="1162"/>
      <c r="Z220" s="1162"/>
      <c r="AA220" s="1162"/>
      <c r="AB220" s="1199"/>
      <c r="AC220" s="1226" t="str">
        <f t="shared" ref="AC220" si="331">IF(ISBLANK(BD$5),"",1)</f>
        <v/>
      </c>
      <c r="AD220" s="1322">
        <v>4.4000000000000004</v>
      </c>
      <c r="AE220" s="1198" t="s">
        <v>417</v>
      </c>
      <c r="AF220" s="1162"/>
      <c r="AG220" s="1162"/>
      <c r="AH220" s="1162"/>
      <c r="AI220" s="1162"/>
      <c r="AJ220" s="1199"/>
      <c r="AK220" s="1226" t="str">
        <f t="shared" ref="AK220" si="332">IF(ISBLANK(BH$5),"",1)</f>
        <v/>
      </c>
      <c r="AL220" s="1196">
        <v>4.3</v>
      </c>
      <c r="AM220" s="1198" t="s">
        <v>421</v>
      </c>
      <c r="AN220" s="1162"/>
      <c r="AO220" s="1162"/>
      <c r="AP220" s="1162"/>
      <c r="AQ220" s="1162"/>
      <c r="AR220" s="1199"/>
      <c r="AS220" s="1226" t="str">
        <f t="shared" ref="AS220" si="333">IF(ISBLANK(BL$5),"",1)</f>
        <v/>
      </c>
      <c r="BJ220" s="1337"/>
      <c r="BK220" s="1338"/>
      <c r="BL220" s="1338"/>
      <c r="BM220" s="1338"/>
      <c r="BN220" s="1338"/>
      <c r="BO220" s="1339"/>
    </row>
    <row r="221" spans="1:67" ht="15" customHeight="1">
      <c r="A221" s="1290"/>
      <c r="B221" s="1163"/>
      <c r="C221" s="1164"/>
      <c r="D221" s="1164"/>
      <c r="E221" s="1164"/>
      <c r="F221" s="1164"/>
      <c r="G221" s="1201"/>
      <c r="H221" s="1269"/>
      <c r="I221" s="1206"/>
      <c r="J221" s="1206"/>
      <c r="K221" s="1206"/>
      <c r="N221" s="1293"/>
      <c r="O221" s="1200"/>
      <c r="P221" s="1164"/>
      <c r="Q221" s="1164"/>
      <c r="R221" s="1164"/>
      <c r="S221" s="1164"/>
      <c r="T221" s="1201"/>
      <c r="U221" s="1342"/>
      <c r="V221" s="1293"/>
      <c r="W221" s="1200"/>
      <c r="X221" s="1164"/>
      <c r="Y221" s="1164"/>
      <c r="Z221" s="1164"/>
      <c r="AA221" s="1164"/>
      <c r="AB221" s="1201"/>
      <c r="AC221" s="1342"/>
      <c r="AD221" s="1293"/>
      <c r="AE221" s="1200"/>
      <c r="AF221" s="1164"/>
      <c r="AG221" s="1164"/>
      <c r="AH221" s="1164"/>
      <c r="AI221" s="1164"/>
      <c r="AJ221" s="1201"/>
      <c r="AK221" s="1342"/>
      <c r="AL221" s="1197"/>
      <c r="AM221" s="1200"/>
      <c r="AN221" s="1164"/>
      <c r="AO221" s="1164"/>
      <c r="AP221" s="1164"/>
      <c r="AQ221" s="1164"/>
      <c r="AR221" s="1201"/>
      <c r="AS221" s="1342"/>
      <c r="BJ221" s="1337"/>
      <c r="BK221" s="1338"/>
      <c r="BL221" s="1338"/>
      <c r="BM221" s="1338"/>
      <c r="BN221" s="1338"/>
      <c r="BO221" s="1339"/>
    </row>
    <row r="222" spans="1:67" ht="15" customHeight="1">
      <c r="A222" s="1291"/>
      <c r="B222" s="1165"/>
      <c r="C222" s="1166"/>
      <c r="D222" s="1166"/>
      <c r="E222" s="1166"/>
      <c r="F222" s="1166"/>
      <c r="G222" s="1292"/>
      <c r="H222" s="1270"/>
      <c r="I222" s="1207"/>
      <c r="J222" s="1207"/>
      <c r="K222" s="1207"/>
      <c r="N222" s="1294"/>
      <c r="O222" s="1202"/>
      <c r="P222" s="1203"/>
      <c r="Q222" s="1203"/>
      <c r="R222" s="1203"/>
      <c r="S222" s="1203"/>
      <c r="T222" s="1204"/>
      <c r="U222" s="1342"/>
      <c r="V222" s="1294"/>
      <c r="W222" s="1202"/>
      <c r="X222" s="1203"/>
      <c r="Y222" s="1203"/>
      <c r="Z222" s="1203"/>
      <c r="AA222" s="1203"/>
      <c r="AB222" s="1204"/>
      <c r="AC222" s="1342"/>
      <c r="AD222" s="1294"/>
      <c r="AE222" s="1202"/>
      <c r="AF222" s="1203"/>
      <c r="AG222" s="1203"/>
      <c r="AH222" s="1203"/>
      <c r="AI222" s="1203"/>
      <c r="AJ222" s="1204"/>
      <c r="AK222" s="1342"/>
      <c r="AL222" s="1197"/>
      <c r="AM222" s="1202"/>
      <c r="AN222" s="1203"/>
      <c r="AO222" s="1203"/>
      <c r="AP222" s="1203"/>
      <c r="AQ222" s="1203"/>
      <c r="AR222" s="1204"/>
      <c r="AS222" s="1342"/>
      <c r="BJ222" s="1337"/>
      <c r="BK222" s="1338"/>
      <c r="BL222" s="1338"/>
      <c r="BM222" s="1338"/>
      <c r="BN222" s="1338"/>
      <c r="BO222" s="1339"/>
    </row>
    <row r="223" spans="1:67" ht="15" customHeight="1">
      <c r="A223" s="1304">
        <v>2.1</v>
      </c>
      <c r="B223" s="1161" t="s">
        <v>360</v>
      </c>
      <c r="C223" s="1162"/>
      <c r="D223" s="1162"/>
      <c r="E223" s="1162"/>
      <c r="F223" s="1162"/>
      <c r="G223" s="1199"/>
      <c r="H223" s="1268" t="str">
        <f t="shared" ref="H223" si="334">IF(ISBLANK(AZ$5),"",1)</f>
        <v/>
      </c>
      <c r="I223" s="1205" t="str">
        <f t="shared" ref="I223" si="335">IF(ISBLANK(BD$5),"",1)</f>
        <v/>
      </c>
      <c r="J223" s="1205" t="str">
        <f t="shared" ref="J223" si="336">IF(ISBLANK(BH$5),"",1)</f>
        <v/>
      </c>
      <c r="K223" s="1205" t="str">
        <f t="shared" ref="K223" si="337">IF(ISBLANK(BL$5),"",1)</f>
        <v/>
      </c>
      <c r="N223" s="1258">
        <v>4.4000000000000004</v>
      </c>
      <c r="O223" s="1198" t="s">
        <v>417</v>
      </c>
      <c r="P223" s="1162"/>
      <c r="Q223" s="1162"/>
      <c r="R223" s="1162"/>
      <c r="S223" s="1162"/>
      <c r="T223" s="1199"/>
      <c r="U223" s="1226" t="str">
        <f t="shared" ref="U223" si="338">IF(ISBLANK(AZ$5),"",1)</f>
        <v/>
      </c>
      <c r="V223" s="1322">
        <v>4.4000000000000004</v>
      </c>
      <c r="W223" s="1198" t="s">
        <v>417</v>
      </c>
      <c r="X223" s="1162"/>
      <c r="Y223" s="1162"/>
      <c r="Z223" s="1162"/>
      <c r="AA223" s="1162"/>
      <c r="AB223" s="1199"/>
      <c r="AC223" s="1226" t="str">
        <f t="shared" ref="AC223" si="339">IF(ISBLANK(BD$5),"",1)</f>
        <v/>
      </c>
      <c r="AD223" s="1304">
        <v>4.4000000000000004</v>
      </c>
      <c r="AE223" s="1198" t="s">
        <v>359</v>
      </c>
      <c r="AF223" s="1162"/>
      <c r="AG223" s="1162"/>
      <c r="AH223" s="1162"/>
      <c r="AI223" s="1162"/>
      <c r="AJ223" s="1199"/>
      <c r="AK223" s="1226" t="str">
        <f t="shared" ref="AK223" si="340">IF(ISBLANK(BH$5),"",1)</f>
        <v/>
      </c>
      <c r="AL223" s="1196">
        <v>4.4000000000000004</v>
      </c>
      <c r="AM223" s="1198" t="s">
        <v>418</v>
      </c>
      <c r="AN223" s="1162"/>
      <c r="AO223" s="1162"/>
      <c r="AP223" s="1162"/>
      <c r="AQ223" s="1162"/>
      <c r="AR223" s="1199"/>
      <c r="AS223" s="1226" t="str">
        <f t="shared" ref="AS223" si="341">IF(ISBLANK(BL$5),"",1)</f>
        <v/>
      </c>
      <c r="BJ223" s="1337"/>
      <c r="BK223" s="1338"/>
      <c r="BL223" s="1338"/>
      <c r="BM223" s="1338"/>
      <c r="BN223" s="1338"/>
      <c r="BO223" s="1339"/>
    </row>
    <row r="224" spans="1:67" ht="15" customHeight="1">
      <c r="A224" s="1290"/>
      <c r="B224" s="1163"/>
      <c r="C224" s="1164"/>
      <c r="D224" s="1164"/>
      <c r="E224" s="1164"/>
      <c r="F224" s="1164"/>
      <c r="G224" s="1201"/>
      <c r="H224" s="1269"/>
      <c r="I224" s="1206"/>
      <c r="J224" s="1206"/>
      <c r="K224" s="1206"/>
      <c r="N224" s="1258"/>
      <c r="O224" s="1200"/>
      <c r="P224" s="1164"/>
      <c r="Q224" s="1164"/>
      <c r="R224" s="1164"/>
      <c r="S224" s="1164"/>
      <c r="T224" s="1201"/>
      <c r="U224" s="1342"/>
      <c r="V224" s="1293"/>
      <c r="W224" s="1200"/>
      <c r="X224" s="1164"/>
      <c r="Y224" s="1164"/>
      <c r="Z224" s="1164"/>
      <c r="AA224" s="1164"/>
      <c r="AB224" s="1201"/>
      <c r="AC224" s="1342"/>
      <c r="AD224" s="1290"/>
      <c r="AE224" s="1200"/>
      <c r="AF224" s="1164"/>
      <c r="AG224" s="1164"/>
      <c r="AH224" s="1164"/>
      <c r="AI224" s="1164"/>
      <c r="AJ224" s="1201"/>
      <c r="AK224" s="1342"/>
      <c r="AL224" s="1197"/>
      <c r="AM224" s="1200"/>
      <c r="AN224" s="1164"/>
      <c r="AO224" s="1164"/>
      <c r="AP224" s="1164"/>
      <c r="AQ224" s="1164"/>
      <c r="AR224" s="1201"/>
      <c r="AS224" s="1342"/>
      <c r="BJ224" s="1337"/>
      <c r="BK224" s="1338"/>
      <c r="BL224" s="1338"/>
      <c r="BM224" s="1338"/>
      <c r="BN224" s="1338"/>
      <c r="BO224" s="1339"/>
    </row>
    <row r="225" spans="1:67" ht="15" customHeight="1">
      <c r="A225" s="1291"/>
      <c r="B225" s="1165"/>
      <c r="C225" s="1166"/>
      <c r="D225" s="1166"/>
      <c r="E225" s="1166"/>
      <c r="F225" s="1166"/>
      <c r="G225" s="1292"/>
      <c r="H225" s="1270"/>
      <c r="I225" s="1207"/>
      <c r="J225" s="1207"/>
      <c r="K225" s="1207"/>
      <c r="N225" s="1258"/>
      <c r="O225" s="1202"/>
      <c r="P225" s="1203"/>
      <c r="Q225" s="1203"/>
      <c r="R225" s="1203"/>
      <c r="S225" s="1203"/>
      <c r="T225" s="1204"/>
      <c r="U225" s="1342"/>
      <c r="V225" s="1294"/>
      <c r="W225" s="1202"/>
      <c r="X225" s="1203"/>
      <c r="Y225" s="1203"/>
      <c r="Z225" s="1203"/>
      <c r="AA225" s="1203"/>
      <c r="AB225" s="1204"/>
      <c r="AC225" s="1342"/>
      <c r="AD225" s="1291"/>
      <c r="AE225" s="1202"/>
      <c r="AF225" s="1203"/>
      <c r="AG225" s="1203"/>
      <c r="AH225" s="1203"/>
      <c r="AI225" s="1203"/>
      <c r="AJ225" s="1204"/>
      <c r="AK225" s="1342"/>
      <c r="AL225" s="1197"/>
      <c r="AM225" s="1202"/>
      <c r="AN225" s="1203"/>
      <c r="AO225" s="1203"/>
      <c r="AP225" s="1203"/>
      <c r="AQ225" s="1203"/>
      <c r="AR225" s="1204"/>
      <c r="AS225" s="1342"/>
      <c r="BJ225" s="1337"/>
      <c r="BK225" s="1338"/>
      <c r="BL225" s="1338"/>
      <c r="BM225" s="1338"/>
      <c r="BN225" s="1338"/>
      <c r="BO225" s="1339"/>
    </row>
    <row r="226" spans="1:67" ht="15" customHeight="1">
      <c r="A226" s="1304">
        <v>2.4</v>
      </c>
      <c r="B226" s="1161" t="s">
        <v>942</v>
      </c>
      <c r="C226" s="1162"/>
      <c r="D226" s="1162"/>
      <c r="E226" s="1162"/>
      <c r="F226" s="1162"/>
      <c r="G226" s="1199"/>
      <c r="H226" s="1268" t="str">
        <f t="shared" ref="H226" si="342">IF(ISBLANK(AZ$5),"",1)</f>
        <v/>
      </c>
      <c r="I226" s="1205" t="str">
        <f t="shared" ref="I226" si="343">IF(ISBLANK(BD$5),"",1)</f>
        <v/>
      </c>
      <c r="J226" s="1205" t="str">
        <f t="shared" ref="J226" si="344">IF(ISBLANK(BH$5),"",1)</f>
        <v/>
      </c>
      <c r="K226" s="1205" t="str">
        <f t="shared" ref="K226" si="345">IF(ISBLANK(BL$5),"",1)</f>
        <v/>
      </c>
      <c r="N226" s="1304">
        <v>4.4000000000000004</v>
      </c>
      <c r="O226" s="1198" t="s">
        <v>885</v>
      </c>
      <c r="P226" s="1162"/>
      <c r="Q226" s="1162"/>
      <c r="R226" s="1162"/>
      <c r="S226" s="1162"/>
      <c r="T226" s="1199"/>
      <c r="U226" s="1226" t="str">
        <f t="shared" ref="U226" si="346">IF(ISBLANK(AZ$5),"",1)</f>
        <v/>
      </c>
      <c r="V226" s="1304">
        <v>4.4000000000000004</v>
      </c>
      <c r="W226" s="1198" t="s">
        <v>359</v>
      </c>
      <c r="X226" s="1162"/>
      <c r="Y226" s="1162"/>
      <c r="Z226" s="1162"/>
      <c r="AA226" s="1162"/>
      <c r="AB226" s="1199"/>
      <c r="AC226" s="1226" t="str">
        <f t="shared" ref="AC226" si="347">IF(ISBLANK(BD$5),"",1)</f>
        <v/>
      </c>
      <c r="AD226" s="1258">
        <v>4.4000000000000004</v>
      </c>
      <c r="AE226" s="1198" t="s">
        <v>395</v>
      </c>
      <c r="AF226" s="1162"/>
      <c r="AG226" s="1162"/>
      <c r="AH226" s="1162"/>
      <c r="AI226" s="1162"/>
      <c r="AJ226" s="1199"/>
      <c r="AK226" s="1226" t="str">
        <f t="shared" ref="AK226" si="348">IF(ISBLANK(BH$5),"",1)</f>
        <v/>
      </c>
      <c r="AL226" s="1196">
        <v>4.4000000000000004</v>
      </c>
      <c r="AM226" s="1198" t="s">
        <v>417</v>
      </c>
      <c r="AN226" s="1162"/>
      <c r="AO226" s="1162"/>
      <c r="AP226" s="1162"/>
      <c r="AQ226" s="1162"/>
      <c r="AR226" s="1199"/>
      <c r="AS226" s="1226" t="str">
        <f t="shared" ref="AS226" si="349">IF(ISBLANK(BL$5),"",1)</f>
        <v/>
      </c>
      <c r="BJ226" s="1337"/>
      <c r="BK226" s="1338"/>
      <c r="BL226" s="1338"/>
      <c r="BM226" s="1338"/>
      <c r="BN226" s="1338"/>
      <c r="BO226" s="1339"/>
    </row>
    <row r="227" spans="1:67" ht="15" customHeight="1">
      <c r="A227" s="1290"/>
      <c r="B227" s="1163"/>
      <c r="C227" s="1164"/>
      <c r="D227" s="1164"/>
      <c r="E227" s="1164"/>
      <c r="F227" s="1164"/>
      <c r="G227" s="1201"/>
      <c r="H227" s="1269"/>
      <c r="I227" s="1206"/>
      <c r="J227" s="1206"/>
      <c r="K227" s="1206"/>
      <c r="N227" s="1290"/>
      <c r="O227" s="1200"/>
      <c r="P227" s="1164"/>
      <c r="Q227" s="1164"/>
      <c r="R227" s="1164"/>
      <c r="S227" s="1164"/>
      <c r="T227" s="1201"/>
      <c r="U227" s="1342"/>
      <c r="V227" s="1290"/>
      <c r="W227" s="1200"/>
      <c r="X227" s="1164"/>
      <c r="Y227" s="1164"/>
      <c r="Z227" s="1164"/>
      <c r="AA227" s="1164"/>
      <c r="AB227" s="1201"/>
      <c r="AC227" s="1342"/>
      <c r="AD227" s="1258"/>
      <c r="AE227" s="1200"/>
      <c r="AF227" s="1164"/>
      <c r="AG227" s="1164"/>
      <c r="AH227" s="1164"/>
      <c r="AI227" s="1164"/>
      <c r="AJ227" s="1201"/>
      <c r="AK227" s="1342"/>
      <c r="AL227" s="1197"/>
      <c r="AM227" s="1200"/>
      <c r="AN227" s="1164"/>
      <c r="AO227" s="1164"/>
      <c r="AP227" s="1164"/>
      <c r="AQ227" s="1164"/>
      <c r="AR227" s="1201"/>
      <c r="AS227" s="1342"/>
      <c r="BJ227" s="1337"/>
      <c r="BK227" s="1338"/>
      <c r="BL227" s="1338"/>
      <c r="BM227" s="1338"/>
      <c r="BN227" s="1338"/>
      <c r="BO227" s="1339"/>
    </row>
    <row r="228" spans="1:67" ht="15" customHeight="1">
      <c r="A228" s="1291"/>
      <c r="B228" s="1165"/>
      <c r="C228" s="1166"/>
      <c r="D228" s="1166"/>
      <c r="E228" s="1166"/>
      <c r="F228" s="1166"/>
      <c r="G228" s="1292"/>
      <c r="H228" s="1270"/>
      <c r="I228" s="1207"/>
      <c r="J228" s="1207"/>
      <c r="K228" s="1207"/>
      <c r="N228" s="1291"/>
      <c r="O228" s="1202"/>
      <c r="P228" s="1203"/>
      <c r="Q228" s="1203"/>
      <c r="R228" s="1203"/>
      <c r="S228" s="1203"/>
      <c r="T228" s="1204"/>
      <c r="U228" s="1342"/>
      <c r="V228" s="1291"/>
      <c r="W228" s="1202"/>
      <c r="X228" s="1203"/>
      <c r="Y228" s="1203"/>
      <c r="Z228" s="1203"/>
      <c r="AA228" s="1203"/>
      <c r="AB228" s="1204"/>
      <c r="AC228" s="1342"/>
      <c r="AD228" s="1258"/>
      <c r="AE228" s="1202"/>
      <c r="AF228" s="1203"/>
      <c r="AG228" s="1203"/>
      <c r="AH228" s="1203"/>
      <c r="AI228" s="1203"/>
      <c r="AJ228" s="1204"/>
      <c r="AK228" s="1342"/>
      <c r="AL228" s="1197"/>
      <c r="AM228" s="1202"/>
      <c r="AN228" s="1203"/>
      <c r="AO228" s="1203"/>
      <c r="AP228" s="1203"/>
      <c r="AQ228" s="1203"/>
      <c r="AR228" s="1204"/>
      <c r="AS228" s="1342"/>
      <c r="BJ228" s="1337"/>
      <c r="BK228" s="1338"/>
      <c r="BL228" s="1338"/>
      <c r="BM228" s="1338"/>
      <c r="BN228" s="1338"/>
      <c r="BO228" s="1339"/>
    </row>
    <row r="229" spans="1:67" ht="15" customHeight="1">
      <c r="A229" s="252"/>
      <c r="B229" s="243"/>
      <c r="C229" s="242"/>
      <c r="D229" s="242"/>
      <c r="F229" s="278">
        <v>1.1000000000000001</v>
      </c>
      <c r="G229" s="311">
        <f>COUNTIF($A$202:$A$228,F229)</f>
        <v>4</v>
      </c>
      <c r="H229" s="240" t="str">
        <f>IF($AZ$5=1,SUMIF($A$202:$A$228,$F229,$H$202:$H$228),"")</f>
        <v/>
      </c>
      <c r="I229" s="240" t="str">
        <f>IF($BD$5=1,SUMIF($A$202:$A$228,$F229,$I$202:$I$228),"")</f>
        <v/>
      </c>
      <c r="J229" s="240" t="str">
        <f>IF($BH$5=1,SUMIF($A$202:$A$228,$F229,$J$202:$J$228),"")</f>
        <v/>
      </c>
      <c r="K229" s="240" t="str">
        <f>IF($BL$5=1,SUMIF($A$202:$A$228,$F229,$K$202:$K$228),"")</f>
        <v/>
      </c>
      <c r="N229" s="1258">
        <v>4.4000000000000004</v>
      </c>
      <c r="O229" s="1198" t="s">
        <v>395</v>
      </c>
      <c r="P229" s="1162"/>
      <c r="Q229" s="1162"/>
      <c r="R229" s="1162"/>
      <c r="S229" s="1162"/>
      <c r="T229" s="1199"/>
      <c r="U229" s="1226" t="str">
        <f t="shared" ref="U229" si="350">IF(ISBLANK(AZ$5),"",1)</f>
        <v/>
      </c>
      <c r="V229" s="1258">
        <v>4.4000000000000004</v>
      </c>
      <c r="W229" s="1198" t="s">
        <v>395</v>
      </c>
      <c r="X229" s="1162"/>
      <c r="Y229" s="1162"/>
      <c r="Z229" s="1162"/>
      <c r="AA229" s="1162"/>
      <c r="AB229" s="1199"/>
      <c r="AC229" s="1226" t="str">
        <f t="shared" ref="AC229" si="351">IF(ISBLANK(BD$5),"",1)</f>
        <v/>
      </c>
      <c r="AD229" s="1304">
        <v>4.4000000000000004</v>
      </c>
      <c r="AE229" s="1198" t="s">
        <v>878</v>
      </c>
      <c r="AF229" s="1162"/>
      <c r="AG229" s="1162"/>
      <c r="AH229" s="1162"/>
      <c r="AI229" s="1162"/>
      <c r="AJ229" s="1199"/>
      <c r="AK229" s="1226" t="str">
        <f t="shared" ref="AK229" si="352">IF(ISBLANK(BH$5),"",1)</f>
        <v/>
      </c>
      <c r="AL229" s="1196">
        <v>4.4000000000000004</v>
      </c>
      <c r="AM229" s="1198" t="s">
        <v>422</v>
      </c>
      <c r="AN229" s="1162"/>
      <c r="AO229" s="1162"/>
      <c r="AP229" s="1162"/>
      <c r="AQ229" s="1162"/>
      <c r="AR229" s="1199"/>
      <c r="AS229" s="1226" t="str">
        <f t="shared" ref="AS229" si="353">IF(ISBLANK(BL$5),"",1)</f>
        <v/>
      </c>
      <c r="BJ229" s="1337"/>
      <c r="BK229" s="1338"/>
      <c r="BL229" s="1338"/>
      <c r="BM229" s="1338"/>
      <c r="BN229" s="1338"/>
      <c r="BO229" s="1339"/>
    </row>
    <row r="230" spans="1:67" ht="15" customHeight="1">
      <c r="A230" s="252"/>
      <c r="B230" s="243"/>
      <c r="C230" s="242"/>
      <c r="D230" s="242"/>
      <c r="F230" s="278">
        <v>1.5</v>
      </c>
      <c r="G230" s="311">
        <f t="shared" ref="G230:G232" si="354">COUNTIF($A$202:$A$228,F230)</f>
        <v>1</v>
      </c>
      <c r="H230" s="240" t="str">
        <f t="shared" ref="H230:H231" si="355">IF($AZ$5=1,SUMIF($A$202:$A$228,$F230,$H$202:$H$228),"")</f>
        <v/>
      </c>
      <c r="I230" s="240" t="str">
        <f t="shared" ref="I230:I232" si="356">IF($BD$5=1,SUMIF($A$202:$A$228,$F230,$I$202:$I$228),"")</f>
        <v/>
      </c>
      <c r="J230" s="240" t="str">
        <f t="shared" ref="J230:J232" si="357">IF($BH$5=1,SUMIF($A$202:$A$228,$F230,$J$202:$J$228),"")</f>
        <v/>
      </c>
      <c r="K230" s="240" t="str">
        <f t="shared" ref="K230:K232" si="358">IF($BL$5=1,SUMIF($A$202:$A$228,$F230,$K$202:$K$228),"")</f>
        <v/>
      </c>
      <c r="N230" s="1258"/>
      <c r="O230" s="1200"/>
      <c r="P230" s="1164"/>
      <c r="Q230" s="1164"/>
      <c r="R230" s="1164"/>
      <c r="S230" s="1164"/>
      <c r="T230" s="1201"/>
      <c r="U230" s="1342"/>
      <c r="V230" s="1258"/>
      <c r="W230" s="1200"/>
      <c r="X230" s="1164"/>
      <c r="Y230" s="1164"/>
      <c r="Z230" s="1164"/>
      <c r="AA230" s="1164"/>
      <c r="AB230" s="1201"/>
      <c r="AC230" s="1342"/>
      <c r="AD230" s="1290"/>
      <c r="AE230" s="1200"/>
      <c r="AF230" s="1164"/>
      <c r="AG230" s="1164"/>
      <c r="AH230" s="1164"/>
      <c r="AI230" s="1164"/>
      <c r="AJ230" s="1201"/>
      <c r="AK230" s="1342"/>
      <c r="AL230" s="1197"/>
      <c r="AM230" s="1200"/>
      <c r="AN230" s="1164"/>
      <c r="AO230" s="1164"/>
      <c r="AP230" s="1164"/>
      <c r="AQ230" s="1164"/>
      <c r="AR230" s="1201"/>
      <c r="AS230" s="1342"/>
      <c r="BJ230" s="1222"/>
      <c r="BK230" s="1223"/>
      <c r="BL230" s="1223"/>
      <c r="BM230" s="1223"/>
      <c r="BN230" s="1223"/>
      <c r="BO230" s="1224"/>
    </row>
    <row r="231" spans="1:67" ht="15" customHeight="1">
      <c r="A231" s="249"/>
      <c r="B231" s="249"/>
      <c r="C231" s="249"/>
      <c r="D231" s="249"/>
      <c r="F231" s="277">
        <v>2.1</v>
      </c>
      <c r="G231" s="311">
        <f t="shared" si="354"/>
        <v>2</v>
      </c>
      <c r="H231" s="240" t="str">
        <f t="shared" si="355"/>
        <v/>
      </c>
      <c r="I231" s="240" t="str">
        <f t="shared" si="356"/>
        <v/>
      </c>
      <c r="J231" s="240" t="str">
        <f t="shared" si="357"/>
        <v/>
      </c>
      <c r="K231" s="240" t="str">
        <f t="shared" si="358"/>
        <v/>
      </c>
      <c r="N231" s="1258"/>
      <c r="O231" s="1202"/>
      <c r="P231" s="1203"/>
      <c r="Q231" s="1203"/>
      <c r="R231" s="1203"/>
      <c r="S231" s="1203"/>
      <c r="T231" s="1204"/>
      <c r="U231" s="1342"/>
      <c r="V231" s="1258"/>
      <c r="W231" s="1202"/>
      <c r="X231" s="1203"/>
      <c r="Y231" s="1203"/>
      <c r="Z231" s="1203"/>
      <c r="AA231" s="1203"/>
      <c r="AB231" s="1204"/>
      <c r="AC231" s="1342"/>
      <c r="AD231" s="1291"/>
      <c r="AE231" s="1202"/>
      <c r="AF231" s="1203"/>
      <c r="AG231" s="1203"/>
      <c r="AH231" s="1203"/>
      <c r="AI231" s="1203"/>
      <c r="AJ231" s="1204"/>
      <c r="AK231" s="1342"/>
      <c r="AL231" s="1197"/>
      <c r="AM231" s="1202"/>
      <c r="AN231" s="1203"/>
      <c r="AO231" s="1203"/>
      <c r="AP231" s="1203"/>
      <c r="AQ231" s="1203"/>
      <c r="AR231" s="1204"/>
      <c r="AS231" s="1342"/>
    </row>
    <row r="232" spans="1:67" ht="15" customHeight="1">
      <c r="F232" s="277">
        <v>2.4</v>
      </c>
      <c r="G232" s="311">
        <f t="shared" si="354"/>
        <v>2</v>
      </c>
      <c r="H232" s="240" t="str">
        <f>IF($AZ$5=1,SUMIF($A$202:$A$228,$F232,$H$202:$H$228),"")</f>
        <v/>
      </c>
      <c r="I232" s="240" t="str">
        <f t="shared" si="356"/>
        <v/>
      </c>
      <c r="J232" s="240" t="str">
        <f t="shared" si="357"/>
        <v/>
      </c>
      <c r="K232" s="240" t="str">
        <f t="shared" si="358"/>
        <v/>
      </c>
      <c r="N232" s="1304">
        <v>4.4000000000000004</v>
      </c>
      <c r="O232" s="1198" t="s">
        <v>878</v>
      </c>
      <c r="P232" s="1162"/>
      <c r="Q232" s="1162"/>
      <c r="R232" s="1162"/>
      <c r="S232" s="1162"/>
      <c r="T232" s="1199"/>
      <c r="U232" s="1226" t="str">
        <f t="shared" ref="U232" si="359">IF(ISBLANK(AZ$5),"",1)</f>
        <v/>
      </c>
      <c r="V232" s="1304">
        <v>4.4000000000000004</v>
      </c>
      <c r="W232" s="1198" t="s">
        <v>878</v>
      </c>
      <c r="X232" s="1162"/>
      <c r="Y232" s="1162"/>
      <c r="Z232" s="1162"/>
      <c r="AA232" s="1162"/>
      <c r="AB232" s="1199"/>
      <c r="AC232" s="1226" t="str">
        <f t="shared" ref="AC232" si="360">IF(ISBLANK(BD$5),"",1)</f>
        <v/>
      </c>
      <c r="AD232" s="1307">
        <v>1.5</v>
      </c>
      <c r="AE232" s="1198" t="s">
        <v>373</v>
      </c>
      <c r="AF232" s="1162"/>
      <c r="AG232" s="1162"/>
      <c r="AH232" s="1162"/>
      <c r="AI232" s="1162"/>
      <c r="AJ232" s="1199"/>
      <c r="AK232" s="1226" t="str">
        <f t="shared" ref="AK232" si="361">IF(ISBLANK(BH$5),"",1)</f>
        <v/>
      </c>
      <c r="AL232" s="1196">
        <v>4.4000000000000004</v>
      </c>
      <c r="AM232" s="1198" t="s">
        <v>420</v>
      </c>
      <c r="AN232" s="1162"/>
      <c r="AO232" s="1162"/>
      <c r="AP232" s="1162"/>
      <c r="AQ232" s="1162"/>
      <c r="AR232" s="1199"/>
      <c r="AS232" s="1226" t="str">
        <f t="shared" ref="AS232" si="362">IF(ISBLANK(BL$5),"",1)</f>
        <v/>
      </c>
    </row>
    <row r="233" spans="1:67" ht="15" customHeight="1">
      <c r="N233" s="1290"/>
      <c r="O233" s="1200"/>
      <c r="P233" s="1164"/>
      <c r="Q233" s="1164"/>
      <c r="R233" s="1164"/>
      <c r="S233" s="1164"/>
      <c r="T233" s="1201"/>
      <c r="U233" s="1342"/>
      <c r="V233" s="1290"/>
      <c r="W233" s="1200"/>
      <c r="X233" s="1164"/>
      <c r="Y233" s="1164"/>
      <c r="Z233" s="1164"/>
      <c r="AA233" s="1164"/>
      <c r="AB233" s="1201"/>
      <c r="AC233" s="1342"/>
      <c r="AD233" s="1308"/>
      <c r="AE233" s="1200"/>
      <c r="AF233" s="1164"/>
      <c r="AG233" s="1164"/>
      <c r="AH233" s="1164"/>
      <c r="AI233" s="1164"/>
      <c r="AJ233" s="1201"/>
      <c r="AK233" s="1342"/>
      <c r="AL233" s="1197"/>
      <c r="AM233" s="1200"/>
      <c r="AN233" s="1164"/>
      <c r="AO233" s="1164"/>
      <c r="AP233" s="1164"/>
      <c r="AQ233" s="1164"/>
      <c r="AR233" s="1201"/>
      <c r="AS233" s="1342"/>
    </row>
    <row r="234" spans="1:67" ht="15" customHeight="1">
      <c r="A234" s="1209"/>
      <c r="B234" s="1210" t="s">
        <v>609</v>
      </c>
      <c r="C234" s="1211"/>
      <c r="D234" s="1211"/>
      <c r="E234" s="1211"/>
      <c r="F234" s="1211"/>
      <c r="G234" s="1211"/>
      <c r="H234" s="1174">
        <v>13</v>
      </c>
      <c r="I234" s="1174">
        <v>14</v>
      </c>
      <c r="J234" s="1174">
        <v>15</v>
      </c>
      <c r="K234" s="1174">
        <v>16</v>
      </c>
      <c r="N234" s="1291"/>
      <c r="O234" s="1202"/>
      <c r="P234" s="1203"/>
      <c r="Q234" s="1203"/>
      <c r="R234" s="1203"/>
      <c r="S234" s="1203"/>
      <c r="T234" s="1204"/>
      <c r="U234" s="1342"/>
      <c r="V234" s="1291"/>
      <c r="W234" s="1202"/>
      <c r="X234" s="1203"/>
      <c r="Y234" s="1203"/>
      <c r="Z234" s="1203"/>
      <c r="AA234" s="1203"/>
      <c r="AB234" s="1204"/>
      <c r="AC234" s="1342"/>
      <c r="AD234" s="1309"/>
      <c r="AE234" s="1202"/>
      <c r="AF234" s="1203"/>
      <c r="AG234" s="1203"/>
      <c r="AH234" s="1203"/>
      <c r="AI234" s="1203"/>
      <c r="AJ234" s="1204"/>
      <c r="AK234" s="1342"/>
      <c r="AL234" s="1197"/>
      <c r="AM234" s="1202"/>
      <c r="AN234" s="1203"/>
      <c r="AO234" s="1203"/>
      <c r="AP234" s="1203"/>
      <c r="AQ234" s="1203"/>
      <c r="AR234" s="1204"/>
      <c r="AS234" s="1342"/>
    </row>
    <row r="235" spans="1:67" ht="15" customHeight="1">
      <c r="A235" s="1209"/>
      <c r="B235" s="1212"/>
      <c r="C235" s="1213"/>
      <c r="D235" s="1213"/>
      <c r="E235" s="1213"/>
      <c r="F235" s="1213"/>
      <c r="G235" s="1213"/>
      <c r="H235" s="1174"/>
      <c r="I235" s="1174"/>
      <c r="J235" s="1174"/>
      <c r="K235" s="1174"/>
      <c r="N235" s="1307">
        <v>1.5</v>
      </c>
      <c r="O235" s="1198" t="s">
        <v>373</v>
      </c>
      <c r="P235" s="1162"/>
      <c r="Q235" s="1162"/>
      <c r="R235" s="1162"/>
      <c r="S235" s="1162"/>
      <c r="T235" s="1199"/>
      <c r="U235" s="1226" t="str">
        <f t="shared" ref="U235" si="363">IF(ISBLANK(AZ$5),"",1)</f>
        <v/>
      </c>
      <c r="V235" s="1307">
        <v>1.5</v>
      </c>
      <c r="W235" s="1198" t="s">
        <v>373</v>
      </c>
      <c r="X235" s="1162"/>
      <c r="Y235" s="1162"/>
      <c r="Z235" s="1162"/>
      <c r="AA235" s="1162"/>
      <c r="AB235" s="1199"/>
      <c r="AC235" s="1226" t="str">
        <f t="shared" ref="AC235" si="364">IF(ISBLANK(BD$5),"",1)</f>
        <v/>
      </c>
      <c r="AD235" s="1258">
        <v>4.4000000000000004</v>
      </c>
      <c r="AE235" s="1198" t="s">
        <v>397</v>
      </c>
      <c r="AF235" s="1162"/>
      <c r="AG235" s="1162"/>
      <c r="AH235" s="1162"/>
      <c r="AI235" s="1162"/>
      <c r="AJ235" s="1199"/>
      <c r="AK235" s="1226" t="str">
        <f t="shared" ref="AK235" si="365">IF(ISBLANK(BH$5),"",1)</f>
        <v/>
      </c>
      <c r="AL235" s="1304">
        <v>4.4000000000000004</v>
      </c>
      <c r="AM235" s="1198" t="s">
        <v>359</v>
      </c>
      <c r="AN235" s="1162"/>
      <c r="AO235" s="1162"/>
      <c r="AP235" s="1162"/>
      <c r="AQ235" s="1162"/>
      <c r="AR235" s="1199"/>
      <c r="AS235" s="1226" t="str">
        <f t="shared" ref="AS235" si="366">IF(ISBLANK(BL$5),"",1)</f>
        <v/>
      </c>
    </row>
    <row r="236" spans="1:67" ht="15" customHeight="1">
      <c r="A236" s="1336">
        <v>3.1</v>
      </c>
      <c r="B236" s="1198" t="s">
        <v>366</v>
      </c>
      <c r="C236" s="1162"/>
      <c r="D236" s="1162"/>
      <c r="E236" s="1162"/>
      <c r="F236" s="1162"/>
      <c r="G236" s="1265"/>
      <c r="H236" s="1268" t="str">
        <f t="shared" ref="H236" si="367">IF(ISBLANK(AZ$5),"",1)</f>
        <v/>
      </c>
      <c r="I236" s="1205" t="str">
        <f t="shared" ref="I236" si="368">IF(ISBLANK(BD$5),"",1)</f>
        <v/>
      </c>
      <c r="J236" s="1205" t="str">
        <f t="shared" ref="J236" si="369">IF(ISBLANK(BH$5),"",1)</f>
        <v/>
      </c>
      <c r="K236" s="1205" t="str">
        <f t="shared" ref="K236" si="370">IF(ISBLANK(BL$5),"",1)</f>
        <v/>
      </c>
      <c r="N236" s="1308"/>
      <c r="O236" s="1200"/>
      <c r="P236" s="1164"/>
      <c r="Q236" s="1164"/>
      <c r="R236" s="1164"/>
      <c r="S236" s="1164"/>
      <c r="T236" s="1201"/>
      <c r="U236" s="1342"/>
      <c r="V236" s="1308"/>
      <c r="W236" s="1200"/>
      <c r="X236" s="1164"/>
      <c r="Y236" s="1164"/>
      <c r="Z236" s="1164"/>
      <c r="AA236" s="1164"/>
      <c r="AB236" s="1201"/>
      <c r="AC236" s="1342"/>
      <c r="AD236" s="1258"/>
      <c r="AE236" s="1200"/>
      <c r="AF236" s="1164"/>
      <c r="AG236" s="1164"/>
      <c r="AH236" s="1164"/>
      <c r="AI236" s="1164"/>
      <c r="AJ236" s="1201"/>
      <c r="AK236" s="1342"/>
      <c r="AL236" s="1290"/>
      <c r="AM236" s="1200"/>
      <c r="AN236" s="1164"/>
      <c r="AO236" s="1164"/>
      <c r="AP236" s="1164"/>
      <c r="AQ236" s="1164"/>
      <c r="AR236" s="1201"/>
      <c r="AS236" s="1342"/>
    </row>
    <row r="237" spans="1:67" ht="15" customHeight="1">
      <c r="A237" s="1159"/>
      <c r="B237" s="1200"/>
      <c r="C237" s="1164"/>
      <c r="D237" s="1164"/>
      <c r="E237" s="1164"/>
      <c r="F237" s="1164"/>
      <c r="G237" s="1266"/>
      <c r="H237" s="1269"/>
      <c r="I237" s="1206"/>
      <c r="J237" s="1206"/>
      <c r="K237" s="1206"/>
      <c r="N237" s="1309"/>
      <c r="O237" s="1202"/>
      <c r="P237" s="1203"/>
      <c r="Q237" s="1203"/>
      <c r="R237" s="1203"/>
      <c r="S237" s="1203"/>
      <c r="T237" s="1204"/>
      <c r="U237" s="1342"/>
      <c r="V237" s="1309"/>
      <c r="W237" s="1202"/>
      <c r="X237" s="1203"/>
      <c r="Y237" s="1203"/>
      <c r="Z237" s="1203"/>
      <c r="AA237" s="1203"/>
      <c r="AB237" s="1204"/>
      <c r="AC237" s="1342"/>
      <c r="AD237" s="1258"/>
      <c r="AE237" s="1202"/>
      <c r="AF237" s="1203"/>
      <c r="AG237" s="1203"/>
      <c r="AH237" s="1203"/>
      <c r="AI237" s="1203"/>
      <c r="AJ237" s="1204"/>
      <c r="AK237" s="1342"/>
      <c r="AL237" s="1291"/>
      <c r="AM237" s="1202"/>
      <c r="AN237" s="1203"/>
      <c r="AO237" s="1203"/>
      <c r="AP237" s="1203"/>
      <c r="AQ237" s="1203"/>
      <c r="AR237" s="1204"/>
      <c r="AS237" s="1342"/>
    </row>
    <row r="238" spans="1:67" ht="15" customHeight="1">
      <c r="A238" s="1160"/>
      <c r="B238" s="1200"/>
      <c r="C238" s="1164"/>
      <c r="D238" s="1164"/>
      <c r="E238" s="1164"/>
      <c r="F238" s="1164"/>
      <c r="G238" s="1266"/>
      <c r="H238" s="1270"/>
      <c r="I238" s="1207"/>
      <c r="J238" s="1207"/>
      <c r="K238" s="1207"/>
      <c r="N238" s="1258">
        <v>4.4000000000000004</v>
      </c>
      <c r="O238" s="1198" t="s">
        <v>397</v>
      </c>
      <c r="P238" s="1162"/>
      <c r="Q238" s="1162"/>
      <c r="R238" s="1162"/>
      <c r="S238" s="1162"/>
      <c r="T238" s="1199"/>
      <c r="U238" s="1226" t="str">
        <f t="shared" ref="U238" si="371">IF(ISBLANK(AZ$5),"",1)</f>
        <v/>
      </c>
      <c r="V238" s="1258">
        <v>4.4000000000000004</v>
      </c>
      <c r="W238" s="1198" t="s">
        <v>397</v>
      </c>
      <c r="X238" s="1162"/>
      <c r="Y238" s="1162"/>
      <c r="Z238" s="1162"/>
      <c r="AA238" s="1162"/>
      <c r="AB238" s="1199"/>
      <c r="AC238" s="1226" t="str">
        <f t="shared" ref="AC238" si="372">IF(ISBLANK(BD$5),"",1)</f>
        <v/>
      </c>
      <c r="AF238" s="52"/>
      <c r="AG238" s="247"/>
      <c r="AI238" s="273">
        <v>1.5</v>
      </c>
      <c r="AJ238" s="240">
        <f>COUNTIF($AD$202:$AD$237,AI238)</f>
        <v>1</v>
      </c>
      <c r="AK238" s="240" t="str">
        <f>IF($BH$5=1,SUMIF($AD$202:$AD$237,AI238,$AK$202:$AK$237),"")</f>
        <v/>
      </c>
      <c r="AL238" s="1196">
        <v>4.4000000000000004</v>
      </c>
      <c r="AM238" s="1198" t="s">
        <v>395</v>
      </c>
      <c r="AN238" s="1162"/>
      <c r="AO238" s="1162"/>
      <c r="AP238" s="1162"/>
      <c r="AQ238" s="1162"/>
      <c r="AR238" s="1199"/>
      <c r="AS238" s="1226" t="str">
        <f t="shared" ref="AS238" si="373">IF(ISBLANK(BL$5),"",1)</f>
        <v/>
      </c>
    </row>
    <row r="239" spans="1:67" ht="15" customHeight="1">
      <c r="A239" s="1336">
        <v>1.4</v>
      </c>
      <c r="B239" s="1198" t="s">
        <v>943</v>
      </c>
      <c r="C239" s="1162"/>
      <c r="D239" s="1162"/>
      <c r="E239" s="1162"/>
      <c r="F239" s="1162"/>
      <c r="G239" s="1265"/>
      <c r="H239" s="1268" t="str">
        <f t="shared" ref="H239" si="374">IF(ISBLANK(AZ$5),"",1)</f>
        <v/>
      </c>
      <c r="I239" s="1205" t="str">
        <f t="shared" ref="I239" si="375">IF(ISBLANK(BD$5),"",1)</f>
        <v/>
      </c>
      <c r="J239" s="1205" t="str">
        <f t="shared" ref="J239" si="376">IF(ISBLANK(BH$5),"",1)</f>
        <v/>
      </c>
      <c r="K239" s="1205" t="str">
        <f t="shared" ref="K239" si="377">IF(ISBLANK(BL$5),"",1)</f>
        <v/>
      </c>
      <c r="N239" s="1258"/>
      <c r="O239" s="1200"/>
      <c r="P239" s="1164"/>
      <c r="Q239" s="1164"/>
      <c r="R239" s="1164"/>
      <c r="S239" s="1164"/>
      <c r="T239" s="1201"/>
      <c r="U239" s="1342"/>
      <c r="V239" s="1258"/>
      <c r="W239" s="1200"/>
      <c r="X239" s="1164"/>
      <c r="Y239" s="1164"/>
      <c r="Z239" s="1164"/>
      <c r="AA239" s="1164"/>
      <c r="AB239" s="1201"/>
      <c r="AC239" s="1342"/>
      <c r="AF239" s="52"/>
      <c r="AG239" s="248"/>
      <c r="AI239" s="274">
        <v>4.3</v>
      </c>
      <c r="AJ239" s="240">
        <f>COUNTIF($AD$202:$AD$237,AI239)</f>
        <v>4</v>
      </c>
      <c r="AK239" s="240" t="str">
        <f>IF($BH$5=1,SUMIF($AD$202:$AD$237,AI239,$AK$202:$AK$237),"")</f>
        <v/>
      </c>
      <c r="AL239" s="1197"/>
      <c r="AM239" s="1200"/>
      <c r="AN239" s="1164"/>
      <c r="AO239" s="1164"/>
      <c r="AP239" s="1164"/>
      <c r="AQ239" s="1164"/>
      <c r="AR239" s="1201"/>
      <c r="AS239" s="1342"/>
    </row>
    <row r="240" spans="1:67" ht="15" customHeight="1">
      <c r="A240" s="1159"/>
      <c r="B240" s="1200"/>
      <c r="C240" s="1164"/>
      <c r="D240" s="1164"/>
      <c r="E240" s="1164"/>
      <c r="F240" s="1164"/>
      <c r="G240" s="1266"/>
      <c r="H240" s="1269"/>
      <c r="I240" s="1206"/>
      <c r="J240" s="1206"/>
      <c r="K240" s="1206"/>
      <c r="N240" s="1258"/>
      <c r="O240" s="1202"/>
      <c r="P240" s="1203"/>
      <c r="Q240" s="1203"/>
      <c r="R240" s="1203"/>
      <c r="S240" s="1203"/>
      <c r="T240" s="1204"/>
      <c r="U240" s="1342"/>
      <c r="V240" s="1258"/>
      <c r="W240" s="1202"/>
      <c r="X240" s="1203"/>
      <c r="Y240" s="1203"/>
      <c r="Z240" s="1203"/>
      <c r="AA240" s="1203"/>
      <c r="AB240" s="1204"/>
      <c r="AC240" s="1342"/>
      <c r="AF240" s="52"/>
      <c r="AG240" s="248"/>
      <c r="AI240" s="274">
        <v>4.4000000000000004</v>
      </c>
      <c r="AJ240" s="240">
        <f>COUNTIF($AD$202:$AD$237,AI240)</f>
        <v>7</v>
      </c>
      <c r="AK240" s="240" t="str">
        <f>IF($BH$5=1,SUMIF($AD$202:$AD$237,AI240,$AK$202:$AK$237),"")</f>
        <v/>
      </c>
      <c r="AL240" s="1197"/>
      <c r="AM240" s="1202"/>
      <c r="AN240" s="1203"/>
      <c r="AO240" s="1203"/>
      <c r="AP240" s="1203"/>
      <c r="AQ240" s="1203"/>
      <c r="AR240" s="1204"/>
      <c r="AS240" s="1342"/>
    </row>
    <row r="241" spans="1:45" ht="15" customHeight="1">
      <c r="A241" s="1160"/>
      <c r="B241" s="1200"/>
      <c r="C241" s="1164"/>
      <c r="D241" s="1164"/>
      <c r="E241" s="1164"/>
      <c r="F241" s="1164"/>
      <c r="G241" s="1266"/>
      <c r="H241" s="1270"/>
      <c r="I241" s="1207"/>
      <c r="J241" s="1207"/>
      <c r="K241" s="1207"/>
      <c r="O241" s="52"/>
      <c r="Q241" s="247"/>
      <c r="S241" s="273">
        <v>1.5</v>
      </c>
      <c r="T241" s="240">
        <f>COUNTIF($N$202:$N$240,S241)</f>
        <v>1</v>
      </c>
      <c r="U241" s="240" t="str">
        <f>IF($AZ$5=1,SUMIF($N$202:$N$240,S241,$U$202:$U$240),"")</f>
        <v/>
      </c>
      <c r="W241" s="52"/>
      <c r="Y241" s="247"/>
      <c r="AA241" s="273">
        <v>1.5</v>
      </c>
      <c r="AB241" s="240">
        <f>COUNTIF($V$202:$V$240,AA241)</f>
        <v>1</v>
      </c>
      <c r="AC241" s="240" t="str">
        <f>IF($BD$5=1,SUMIF($V$202:$V$240,AA241,$AC$202:$AC$240),"")</f>
        <v/>
      </c>
      <c r="AF241" s="52"/>
      <c r="AL241" s="1307">
        <v>4.4000000000000004</v>
      </c>
      <c r="AM241" s="1310" t="s">
        <v>363</v>
      </c>
      <c r="AN241" s="1311"/>
      <c r="AO241" s="1311"/>
      <c r="AP241" s="1311"/>
      <c r="AQ241" s="1311"/>
      <c r="AR241" s="1316"/>
      <c r="AS241" s="1226" t="str">
        <f t="shared" ref="AS241" si="378">IF(ISBLANK(BL$5),"",1)</f>
        <v/>
      </c>
    </row>
    <row r="242" spans="1:45" ht="15" customHeight="1">
      <c r="A242" s="1168" t="s">
        <v>637</v>
      </c>
      <c r="B242" s="1168"/>
      <c r="C242" s="1168"/>
      <c r="D242" s="1168"/>
      <c r="E242" s="1169"/>
      <c r="F242" s="614">
        <v>3.1</v>
      </c>
      <c r="G242" s="620">
        <f>COUNTIF($A$236:$A$241,F242)</f>
        <v>1</v>
      </c>
      <c r="H242" s="240" t="str">
        <f>IF($AZ$5=1,SUMIF($A$236:$A$241,$F242,$H$236:$H$241),"")</f>
        <v/>
      </c>
      <c r="I242" s="240" t="str">
        <f>IF($BD$5=1,SUMIF($A$236:$A$241,$F242,$I$236:$I$241),"")</f>
        <v/>
      </c>
      <c r="J242" s="240" t="str">
        <f>IF($BH$5=1,SUMIF($A$236:$A$241,$F242,$J$236:$J$241),"")</f>
        <v/>
      </c>
      <c r="K242" s="240" t="str">
        <f>IF($BL$5=1,SUMIF($A$236:$A$241,$F242,$K$236:$K$241),"")</f>
        <v/>
      </c>
      <c r="O242" s="52"/>
      <c r="Q242" s="242"/>
      <c r="S242" s="274">
        <v>4.3</v>
      </c>
      <c r="T242" s="240">
        <f>COUNTIF($N$202:$N$240,S242)</f>
        <v>5</v>
      </c>
      <c r="U242" s="240" t="str">
        <f>IF($AZ$5=1,SUMIF($N$202:$N$240,S242,$U$202:$U$240),"")</f>
        <v/>
      </c>
      <c r="W242" s="52"/>
      <c r="AA242" s="274">
        <v>4.3</v>
      </c>
      <c r="AB242" s="240">
        <f>COUNTIF($V$202:$V$240,AA242)</f>
        <v>6</v>
      </c>
      <c r="AC242" s="240" t="str">
        <f>IF($BD$5=1,SUMIF($V$202:$V$240,AA242,$AC$202:$AC$240),"")</f>
        <v/>
      </c>
      <c r="AF242" s="52"/>
      <c r="AL242" s="1308"/>
      <c r="AM242" s="1295"/>
      <c r="AN242" s="1296"/>
      <c r="AO242" s="1296"/>
      <c r="AP242" s="1296"/>
      <c r="AQ242" s="1296"/>
      <c r="AR242" s="1318"/>
      <c r="AS242" s="1342"/>
    </row>
    <row r="243" spans="1:45" ht="15" customHeight="1">
      <c r="F243" s="614">
        <v>1.4</v>
      </c>
      <c r="G243" s="620">
        <f>COUNTIF($A$236:$A$241,F243)</f>
        <v>1</v>
      </c>
      <c r="H243" s="240" t="str">
        <f>IF($AZ$5=1,SUMIF($A$236:$A$241,$F243,$H$236:$H$241),"")</f>
        <v/>
      </c>
      <c r="I243" s="240" t="str">
        <f>IF($BD$5=1,SUMIF($A$236:$A$241,$F243,$I$236:$I$241),"")</f>
        <v/>
      </c>
      <c r="J243" s="240" t="str">
        <f>IF($BH$5=1,SUMIF($A$236:$A$241,$F243,$J$236:$J$241),"")</f>
        <v/>
      </c>
      <c r="K243" s="240" t="str">
        <f>IF($BL$5=1,SUMIF($A$236:$A$241,$F243,$K$236:$K$241),"")</f>
        <v/>
      </c>
      <c r="O243" s="52"/>
      <c r="Q243" s="242"/>
      <c r="S243" s="274">
        <v>4.4000000000000004</v>
      </c>
      <c r="T243" s="240">
        <f>COUNTIF($N$202:$N$240,S243)</f>
        <v>7</v>
      </c>
      <c r="U243" s="240" t="str">
        <f>IF($AZ$5=1,SUMIF($N$202:$N$240,S243,$U$202:$U$240),"")</f>
        <v/>
      </c>
      <c r="W243" s="52"/>
      <c r="AA243" s="274">
        <v>4.4000000000000004</v>
      </c>
      <c r="AB243" s="240">
        <f>COUNTIF($V$202:$V$240,AA243)</f>
        <v>6</v>
      </c>
      <c r="AC243" s="240" t="str">
        <f>IF($BD$5=1,SUMIF($V$202:$V$240,AA243,$AC$202:$AC$240),"")</f>
        <v/>
      </c>
      <c r="AF243" s="52"/>
      <c r="AL243" s="1309"/>
      <c r="AM243" s="1298"/>
      <c r="AN243" s="1299"/>
      <c r="AO243" s="1299"/>
      <c r="AP243" s="1299"/>
      <c r="AQ243" s="1299"/>
      <c r="AR243" s="1335"/>
      <c r="AS243" s="1342"/>
    </row>
    <row r="244" spans="1:45" ht="15" customHeight="1">
      <c r="O244" s="52"/>
      <c r="Q244" s="242"/>
      <c r="W244" s="52"/>
      <c r="AF244" s="52"/>
      <c r="AL244" s="1307">
        <v>1.5</v>
      </c>
      <c r="AM244" s="1198" t="s">
        <v>373</v>
      </c>
      <c r="AN244" s="1162"/>
      <c r="AO244" s="1162"/>
      <c r="AP244" s="1162"/>
      <c r="AQ244" s="1162"/>
      <c r="AR244" s="1199"/>
      <c r="AS244" s="1226" t="str">
        <f t="shared" ref="AS244" si="379">IF(ISBLANK(BL$5),"",1)</f>
        <v/>
      </c>
    </row>
    <row r="245" spans="1:45" ht="15" customHeight="1">
      <c r="O245" s="52"/>
      <c r="Q245" s="242"/>
      <c r="W245" s="52"/>
      <c r="AF245" s="52"/>
      <c r="AL245" s="1308"/>
      <c r="AM245" s="1200"/>
      <c r="AN245" s="1164"/>
      <c r="AO245" s="1164"/>
      <c r="AP245" s="1164"/>
      <c r="AQ245" s="1164"/>
      <c r="AR245" s="1201"/>
      <c r="AS245" s="1342"/>
    </row>
    <row r="246" spans="1:45" ht="15" customHeight="1">
      <c r="O246" s="52"/>
      <c r="Q246" s="242"/>
      <c r="W246" s="52"/>
      <c r="AF246" s="52"/>
      <c r="AL246" s="1309"/>
      <c r="AM246" s="1202"/>
      <c r="AN246" s="1203"/>
      <c r="AO246" s="1203"/>
      <c r="AP246" s="1203"/>
      <c r="AQ246" s="1203"/>
      <c r="AR246" s="1204"/>
      <c r="AS246" s="1342"/>
    </row>
    <row r="247" spans="1:45" ht="15" customHeight="1">
      <c r="O247" s="52"/>
      <c r="W247" s="52"/>
      <c r="AF247" s="52"/>
      <c r="AL247" s="1196">
        <v>4.4000000000000004</v>
      </c>
      <c r="AM247" s="1198" t="s">
        <v>397</v>
      </c>
      <c r="AN247" s="1162"/>
      <c r="AO247" s="1162"/>
      <c r="AP247" s="1162"/>
      <c r="AQ247" s="1162"/>
      <c r="AR247" s="1199"/>
      <c r="AS247" s="1226" t="str">
        <f t="shared" ref="AS247" si="380">IF(ISBLANK(BL$5),"",1)</f>
        <v/>
      </c>
    </row>
    <row r="248" spans="1:45" ht="15" customHeight="1">
      <c r="O248" s="52"/>
      <c r="W248" s="52"/>
      <c r="AF248" s="52"/>
      <c r="AL248" s="1197"/>
      <c r="AM248" s="1200"/>
      <c r="AN248" s="1164"/>
      <c r="AO248" s="1164"/>
      <c r="AP248" s="1164"/>
      <c r="AQ248" s="1164"/>
      <c r="AR248" s="1201"/>
      <c r="AS248" s="1342"/>
    </row>
    <row r="249" spans="1:45" ht="15" customHeight="1">
      <c r="O249" s="52"/>
      <c r="W249" s="52"/>
      <c r="AF249" s="52"/>
      <c r="AL249" s="1197"/>
      <c r="AM249" s="1202"/>
      <c r="AN249" s="1203"/>
      <c r="AO249" s="1203"/>
      <c r="AP249" s="1203"/>
      <c r="AQ249" s="1203"/>
      <c r="AR249" s="1204"/>
      <c r="AS249" s="1342"/>
    </row>
    <row r="250" spans="1:45" ht="15" customHeight="1">
      <c r="O250" s="52"/>
      <c r="W250" s="52"/>
      <c r="AF250" s="52"/>
      <c r="AL250" s="242"/>
      <c r="AO250" s="52"/>
      <c r="AQ250" s="273">
        <v>1.5</v>
      </c>
      <c r="AR250" s="240">
        <f>COUNTIF($AL$202:$AL$249,AQ250)</f>
        <v>1</v>
      </c>
      <c r="AS250" s="240" t="str">
        <f>IF($BL$5=1,SUMIF($AL$202:$AL$249,AQ250,$AS$202:$AS$249),"")</f>
        <v/>
      </c>
    </row>
    <row r="251" spans="1:45" ht="15" customHeight="1">
      <c r="O251" s="52"/>
      <c r="W251" s="52"/>
      <c r="AF251" s="52"/>
      <c r="AL251" s="242"/>
      <c r="AO251" s="52"/>
      <c r="AQ251" s="274">
        <v>4.3</v>
      </c>
      <c r="AR251" s="240">
        <f t="shared" ref="AR251:AR252" si="381">COUNTIF($AL$202:$AL$249,AQ251)</f>
        <v>6</v>
      </c>
      <c r="AS251" s="240" t="str">
        <f>IF($BL$5=1,SUMIF($AL$202:$AL$249,AQ251,$AS$202:$AS$249),"")</f>
        <v/>
      </c>
    </row>
    <row r="252" spans="1:45" ht="15" customHeight="1">
      <c r="O252" s="52"/>
      <c r="W252" s="52"/>
      <c r="AF252" s="52"/>
      <c r="AL252" s="242"/>
      <c r="AO252" s="52"/>
      <c r="AQ252" s="274">
        <v>4.4000000000000004</v>
      </c>
      <c r="AR252" s="240">
        <f t="shared" si="381"/>
        <v>9</v>
      </c>
      <c r="AS252" s="240" t="str">
        <f>IF($BL$5=1,SUMIF($AL$202:$AL$249,AQ252,$AS$202:$AS$249),"")</f>
        <v/>
      </c>
    </row>
  </sheetData>
  <sheetProtection sheet="1" objects="1" scenarios="1"/>
  <customSheetViews>
    <customSheetView guid="{B4419C5D-1877-4ABB-A46F-9E0AFFC75B59}" scale="85" showPageBreaks="1" showGridLines="0" fitToPage="1" printArea="1" view="pageBreakPreview">
      <pane ySplit="6" topLeftCell="A7" activePane="bottomLeft" state="frozen"/>
      <selection pane="bottomLeft" activeCell="BP236" sqref="A1:BP236"/>
      <rowBreaks count="5" manualBreakCount="5">
        <brk id="44" max="16383" man="1"/>
        <brk id="83" max="16383" man="1"/>
        <brk id="133" max="16383" man="1"/>
        <brk id="183" max="16383" man="1"/>
        <brk id="236" max="67" man="1"/>
      </rowBreaks>
      <colBreaks count="3" manualBreakCount="3">
        <brk id="10" max="1048575" man="1"/>
        <brk id="15" max="1048575" man="1"/>
        <brk id="41" max="1048575" man="1"/>
      </colBreaks>
      <pageMargins left="0.70866141732283472" right="0.70866141732283472" top="0" bottom="0.74803149606299213" header="0.31496062992125984" footer="0.31496062992125984"/>
      <pageSetup paperSize="9" scale="69" fitToHeight="0" orientation="landscape" r:id="rId1"/>
    </customSheetView>
  </customSheetViews>
  <mergeCells count="1309">
    <mergeCell ref="AL244:AL246"/>
    <mergeCell ref="AM244:AR246"/>
    <mergeCell ref="AS244:AS246"/>
    <mergeCell ref="AL247:AL249"/>
    <mergeCell ref="AM247:AR249"/>
    <mergeCell ref="AS247:AS249"/>
    <mergeCell ref="BA5:BC6"/>
    <mergeCell ref="BD5:BD6"/>
    <mergeCell ref="V232:V234"/>
    <mergeCell ref="W232:AB234"/>
    <mergeCell ref="AC232:AC234"/>
    <mergeCell ref="AD232:AD234"/>
    <mergeCell ref="AE232:AJ234"/>
    <mergeCell ref="AK232:AK234"/>
    <mergeCell ref="AL232:AL234"/>
    <mergeCell ref="AM232:AR234"/>
    <mergeCell ref="AS232:AS234"/>
    <mergeCell ref="V235:V237"/>
    <mergeCell ref="W235:AB237"/>
    <mergeCell ref="AC235:AC237"/>
    <mergeCell ref="AD235:AD237"/>
    <mergeCell ref="AE235:AJ237"/>
    <mergeCell ref="W229:AB231"/>
    <mergeCell ref="AC229:AC231"/>
    <mergeCell ref="AD229:AD231"/>
    <mergeCell ref="AE229:AJ231"/>
    <mergeCell ref="AK229:AK231"/>
    <mergeCell ref="AL229:AL231"/>
    <mergeCell ref="AM229:AR231"/>
    <mergeCell ref="AS229:AS231"/>
    <mergeCell ref="A197:BL198"/>
    <mergeCell ref="V238:V240"/>
    <mergeCell ref="W238:AB240"/>
    <mergeCell ref="AC238:AC240"/>
    <mergeCell ref="AL238:AL240"/>
    <mergeCell ref="AM238:AR240"/>
    <mergeCell ref="AS238:AS240"/>
    <mergeCell ref="AL241:AL243"/>
    <mergeCell ref="AM241:AR243"/>
    <mergeCell ref="AS241:AS243"/>
    <mergeCell ref="V220:V222"/>
    <mergeCell ref="W220:AB222"/>
    <mergeCell ref="AC220:AC222"/>
    <mergeCell ref="AD220:AD222"/>
    <mergeCell ref="AE220:AJ222"/>
    <mergeCell ref="AK220:AK222"/>
    <mergeCell ref="AL220:AL222"/>
    <mergeCell ref="AM220:AR222"/>
    <mergeCell ref="AS220:AS222"/>
    <mergeCell ref="AK235:AK237"/>
    <mergeCell ref="V223:V225"/>
    <mergeCell ref="W223:AB225"/>
    <mergeCell ref="AC223:AC225"/>
    <mergeCell ref="AD223:AD225"/>
    <mergeCell ref="AE223:AJ225"/>
    <mergeCell ref="AK223:AK225"/>
    <mergeCell ref="AL223:AL225"/>
    <mergeCell ref="AM223:AR225"/>
    <mergeCell ref="AS223:AS225"/>
    <mergeCell ref="AL235:AL237"/>
    <mergeCell ref="AM235:AR237"/>
    <mergeCell ref="AS235:AS237"/>
    <mergeCell ref="V226:V228"/>
    <mergeCell ref="W226:AB228"/>
    <mergeCell ref="AC226:AC228"/>
    <mergeCell ref="AD226:AD228"/>
    <mergeCell ref="AE226:AJ228"/>
    <mergeCell ref="AK226:AK228"/>
    <mergeCell ref="AL226:AL228"/>
    <mergeCell ref="AM226:AR228"/>
    <mergeCell ref="AS226:AS228"/>
    <mergeCell ref="V229:V231"/>
    <mergeCell ref="V214:V216"/>
    <mergeCell ref="W214:AB216"/>
    <mergeCell ref="AC214:AC216"/>
    <mergeCell ref="AD214:AD216"/>
    <mergeCell ref="AE214:AJ216"/>
    <mergeCell ref="AK214:AK216"/>
    <mergeCell ref="AL214:AL216"/>
    <mergeCell ref="AM214:AR216"/>
    <mergeCell ref="AS214:AS216"/>
    <mergeCell ref="V217:V219"/>
    <mergeCell ref="W217:AB219"/>
    <mergeCell ref="AC217:AC219"/>
    <mergeCell ref="AD217:AD219"/>
    <mergeCell ref="AE217:AJ219"/>
    <mergeCell ref="AK217:AK219"/>
    <mergeCell ref="AL217:AL219"/>
    <mergeCell ref="AM217:AR219"/>
    <mergeCell ref="AS217:AS219"/>
    <mergeCell ref="V208:V210"/>
    <mergeCell ref="W208:AB210"/>
    <mergeCell ref="AC208:AC210"/>
    <mergeCell ref="AD208:AD210"/>
    <mergeCell ref="AE208:AJ210"/>
    <mergeCell ref="AK208:AK210"/>
    <mergeCell ref="AL208:AL210"/>
    <mergeCell ref="AM208:AR210"/>
    <mergeCell ref="AS208:AS210"/>
    <mergeCell ref="V211:V213"/>
    <mergeCell ref="W211:AB213"/>
    <mergeCell ref="AC211:AC213"/>
    <mergeCell ref="AD211:AD213"/>
    <mergeCell ref="AE211:AJ213"/>
    <mergeCell ref="AK211:AK213"/>
    <mergeCell ref="AL211:AL213"/>
    <mergeCell ref="AM211:AR213"/>
    <mergeCell ref="AS211:AS213"/>
    <mergeCell ref="W202:AB204"/>
    <mergeCell ref="AC202:AC204"/>
    <mergeCell ref="AD202:AD204"/>
    <mergeCell ref="AE202:AJ204"/>
    <mergeCell ref="AK202:AK204"/>
    <mergeCell ref="AL202:AL204"/>
    <mergeCell ref="AM202:AR204"/>
    <mergeCell ref="AS202:AS204"/>
    <mergeCell ref="V205:V207"/>
    <mergeCell ref="W205:AB207"/>
    <mergeCell ref="AC205:AC207"/>
    <mergeCell ref="AD205:AD207"/>
    <mergeCell ref="AE205:AJ207"/>
    <mergeCell ref="AK205:AK207"/>
    <mergeCell ref="AL205:AL207"/>
    <mergeCell ref="AM205:AR207"/>
    <mergeCell ref="AS205:AS207"/>
    <mergeCell ref="AS138:AS140"/>
    <mergeCell ref="AT138:AT140"/>
    <mergeCell ref="AU138:AZ140"/>
    <mergeCell ref="BA138:BA140"/>
    <mergeCell ref="BB138:BB140"/>
    <mergeCell ref="BC138:BH140"/>
    <mergeCell ref="BI138:BI140"/>
    <mergeCell ref="AD141:AD143"/>
    <mergeCell ref="AE141:AJ143"/>
    <mergeCell ref="AK141:AK143"/>
    <mergeCell ref="AT141:AT143"/>
    <mergeCell ref="AU141:AZ143"/>
    <mergeCell ref="O152:T154"/>
    <mergeCell ref="K149:K151"/>
    <mergeCell ref="V149:V151"/>
    <mergeCell ref="AU149:BA151"/>
    <mergeCell ref="A136:A138"/>
    <mergeCell ref="B136:G138"/>
    <mergeCell ref="H136:H138"/>
    <mergeCell ref="I136:I138"/>
    <mergeCell ref="J136:J138"/>
    <mergeCell ref="K136:K138"/>
    <mergeCell ref="L136:L138"/>
    <mergeCell ref="A139:A141"/>
    <mergeCell ref="B139:G141"/>
    <mergeCell ref="H139:H141"/>
    <mergeCell ref="I139:I141"/>
    <mergeCell ref="J139:J141"/>
    <mergeCell ref="K139:K141"/>
    <mergeCell ref="L139:L141"/>
    <mergeCell ref="A142:E142"/>
    <mergeCell ref="AE70:AJ72"/>
    <mergeCell ref="BA141:BA143"/>
    <mergeCell ref="BB141:BB143"/>
    <mergeCell ref="BC141:BH143"/>
    <mergeCell ref="BI141:BI143"/>
    <mergeCell ref="BB129:BB131"/>
    <mergeCell ref="BC129:BH131"/>
    <mergeCell ref="BI129:BI131"/>
    <mergeCell ref="AL132:AL134"/>
    <mergeCell ref="AM132:AR134"/>
    <mergeCell ref="AS132:AS134"/>
    <mergeCell ref="AT132:AT134"/>
    <mergeCell ref="AU132:AZ134"/>
    <mergeCell ref="BA132:BA134"/>
    <mergeCell ref="BB132:BB134"/>
    <mergeCell ref="BC132:BH134"/>
    <mergeCell ref="BI132:BI134"/>
    <mergeCell ref="AE135:AJ137"/>
    <mergeCell ref="AK135:AK137"/>
    <mergeCell ref="AL135:AL137"/>
    <mergeCell ref="AM135:AR137"/>
    <mergeCell ref="AS135:AS137"/>
    <mergeCell ref="AT135:AT137"/>
    <mergeCell ref="AU135:AZ137"/>
    <mergeCell ref="BA135:BA137"/>
    <mergeCell ref="BB135:BB137"/>
    <mergeCell ref="BC135:BH137"/>
    <mergeCell ref="BI135:BI137"/>
    <mergeCell ref="AE129:AJ131"/>
    <mergeCell ref="AK129:AK131"/>
    <mergeCell ref="AE138:AJ140"/>
    <mergeCell ref="AK138:AK140"/>
    <mergeCell ref="V70:V72"/>
    <mergeCell ref="AD76:AD78"/>
    <mergeCell ref="AE76:AJ78"/>
    <mergeCell ref="AK76:AK78"/>
    <mergeCell ref="AU70:AZ72"/>
    <mergeCell ref="AE73:AJ75"/>
    <mergeCell ref="AK73:AK75"/>
    <mergeCell ref="AL73:AL75"/>
    <mergeCell ref="AM73:AR75"/>
    <mergeCell ref="AS73:AS75"/>
    <mergeCell ref="W70:AB72"/>
    <mergeCell ref="AC70:AC72"/>
    <mergeCell ref="AD70:AD72"/>
    <mergeCell ref="BJ9:BO9"/>
    <mergeCell ref="BJ49:BO49"/>
    <mergeCell ref="A47:BM48"/>
    <mergeCell ref="A49:A51"/>
    <mergeCell ref="B49:G51"/>
    <mergeCell ref="H49:H51"/>
    <mergeCell ref="I49:I51"/>
    <mergeCell ref="J49:J51"/>
    <mergeCell ref="K49:K51"/>
    <mergeCell ref="L49:L51"/>
    <mergeCell ref="N49:N51"/>
    <mergeCell ref="O49:U51"/>
    <mergeCell ref="V49:V51"/>
    <mergeCell ref="W49:AC51"/>
    <mergeCell ref="AL49:AL51"/>
    <mergeCell ref="AM49:AS51"/>
    <mergeCell ref="AT49:AT51"/>
    <mergeCell ref="AU49:BA51"/>
    <mergeCell ref="AU67:AZ69"/>
    <mergeCell ref="BA70:BA72"/>
    <mergeCell ref="A76:A78"/>
    <mergeCell ref="B76:G78"/>
    <mergeCell ref="H76:H78"/>
    <mergeCell ref="I76:I78"/>
    <mergeCell ref="V73:V75"/>
    <mergeCell ref="W73:AB75"/>
    <mergeCell ref="AC73:AC75"/>
    <mergeCell ref="AD73:AD75"/>
    <mergeCell ref="A67:A69"/>
    <mergeCell ref="B67:G69"/>
    <mergeCell ref="H67:H69"/>
    <mergeCell ref="I67:I69"/>
    <mergeCell ref="J67:J69"/>
    <mergeCell ref="K67:K69"/>
    <mergeCell ref="L67:L69"/>
    <mergeCell ref="V67:V69"/>
    <mergeCell ref="W67:AB69"/>
    <mergeCell ref="AC67:AC69"/>
    <mergeCell ref="AD67:AD69"/>
    <mergeCell ref="AK70:AK72"/>
    <mergeCell ref="AL70:AL72"/>
    <mergeCell ref="AM70:AR72"/>
    <mergeCell ref="AS70:AS72"/>
    <mergeCell ref="AT70:AT72"/>
    <mergeCell ref="A70:A72"/>
    <mergeCell ref="B70:G72"/>
    <mergeCell ref="H70:H72"/>
    <mergeCell ref="I70:I72"/>
    <mergeCell ref="J70:J72"/>
    <mergeCell ref="K70:K72"/>
    <mergeCell ref="L70:L72"/>
    <mergeCell ref="AE49:AK51"/>
    <mergeCell ref="AE67:AJ69"/>
    <mergeCell ref="AK67:AK69"/>
    <mergeCell ref="AL67:AL69"/>
    <mergeCell ref="AM67:AR69"/>
    <mergeCell ref="AS67:AS69"/>
    <mergeCell ref="AT67:AT69"/>
    <mergeCell ref="AU61:AZ63"/>
    <mergeCell ref="BA61:BA63"/>
    <mergeCell ref="A64:A66"/>
    <mergeCell ref="B64:G66"/>
    <mergeCell ref="H64:H66"/>
    <mergeCell ref="I64:I66"/>
    <mergeCell ref="J64:J66"/>
    <mergeCell ref="K64:K66"/>
    <mergeCell ref="L64:L66"/>
    <mergeCell ref="N64:N66"/>
    <mergeCell ref="O64:T66"/>
    <mergeCell ref="U64:U66"/>
    <mergeCell ref="V64:V66"/>
    <mergeCell ref="W64:AB66"/>
    <mergeCell ref="AC64:AC66"/>
    <mergeCell ref="AD64:AD66"/>
    <mergeCell ref="AE64:AJ66"/>
    <mergeCell ref="AK64:AK66"/>
    <mergeCell ref="AL64:AL66"/>
    <mergeCell ref="AM64:AR66"/>
    <mergeCell ref="AS64:AS66"/>
    <mergeCell ref="AT64:AT66"/>
    <mergeCell ref="AU64:AZ66"/>
    <mergeCell ref="BA64:BA66"/>
    <mergeCell ref="BA67:BA69"/>
    <mergeCell ref="U58:U60"/>
    <mergeCell ref="V58:V60"/>
    <mergeCell ref="W58:AB60"/>
    <mergeCell ref="AC58:AC60"/>
    <mergeCell ref="AD58:AD60"/>
    <mergeCell ref="AE58:AJ60"/>
    <mergeCell ref="AK58:AK60"/>
    <mergeCell ref="AL58:AL60"/>
    <mergeCell ref="AM58:AR60"/>
    <mergeCell ref="AS58:AS60"/>
    <mergeCell ref="AT58:AT60"/>
    <mergeCell ref="AU58:AZ60"/>
    <mergeCell ref="BA58:BA60"/>
    <mergeCell ref="A61:A63"/>
    <mergeCell ref="B61:G63"/>
    <mergeCell ref="H61:H63"/>
    <mergeCell ref="I61:I63"/>
    <mergeCell ref="J61:J63"/>
    <mergeCell ref="K61:K63"/>
    <mergeCell ref="L61:L63"/>
    <mergeCell ref="N61:N63"/>
    <mergeCell ref="U61:U63"/>
    <mergeCell ref="V61:V63"/>
    <mergeCell ref="W61:AB63"/>
    <mergeCell ref="AC61:AC63"/>
    <mergeCell ref="AD61:AD63"/>
    <mergeCell ref="AE61:AJ63"/>
    <mergeCell ref="AK61:AK63"/>
    <mergeCell ref="AL61:AL63"/>
    <mergeCell ref="AM61:AR63"/>
    <mergeCell ref="AS61:AS63"/>
    <mergeCell ref="AT61:AT63"/>
    <mergeCell ref="AM52:AR54"/>
    <mergeCell ref="AS52:AS54"/>
    <mergeCell ref="AT52:AT54"/>
    <mergeCell ref="AU52:AZ54"/>
    <mergeCell ref="BA52:BA54"/>
    <mergeCell ref="A55:A57"/>
    <mergeCell ref="B55:G57"/>
    <mergeCell ref="H55:H57"/>
    <mergeCell ref="I55:I57"/>
    <mergeCell ref="J55:J57"/>
    <mergeCell ref="K55:K57"/>
    <mergeCell ref="L55:L57"/>
    <mergeCell ref="N55:N57"/>
    <mergeCell ref="O55:T57"/>
    <mergeCell ref="U55:U57"/>
    <mergeCell ref="V55:V57"/>
    <mergeCell ref="W55:AB57"/>
    <mergeCell ref="AC55:AC57"/>
    <mergeCell ref="AD55:AD57"/>
    <mergeCell ref="AE55:AJ57"/>
    <mergeCell ref="AK55:AK57"/>
    <mergeCell ref="AL55:AL57"/>
    <mergeCell ref="AM55:AR57"/>
    <mergeCell ref="AS55:AS57"/>
    <mergeCell ref="AT55:AT57"/>
    <mergeCell ref="AU55:AZ57"/>
    <mergeCell ref="BA55:BA57"/>
    <mergeCell ref="O52:T54"/>
    <mergeCell ref="AE52:AJ54"/>
    <mergeCell ref="AK52:AK54"/>
    <mergeCell ref="AL52:AL54"/>
    <mergeCell ref="A52:A54"/>
    <mergeCell ref="N58:N60"/>
    <mergeCell ref="O58:T60"/>
    <mergeCell ref="O61:T63"/>
    <mergeCell ref="A43:F43"/>
    <mergeCell ref="A3:D4"/>
    <mergeCell ref="A7:BP8"/>
    <mergeCell ref="E3:G4"/>
    <mergeCell ref="H3:H4"/>
    <mergeCell ref="I3:K4"/>
    <mergeCell ref="L3:L4"/>
    <mergeCell ref="M3:O4"/>
    <mergeCell ref="P3:P4"/>
    <mergeCell ref="Q3:S4"/>
    <mergeCell ref="T3:T4"/>
    <mergeCell ref="U3:W4"/>
    <mergeCell ref="X3:X4"/>
    <mergeCell ref="Y3:AA4"/>
    <mergeCell ref="AB3:AB4"/>
    <mergeCell ref="AC3:AE4"/>
    <mergeCell ref="AF3:AF4"/>
    <mergeCell ref="A30:A32"/>
    <mergeCell ref="U27:U29"/>
    <mergeCell ref="V27:V29"/>
    <mergeCell ref="W27:AC29"/>
    <mergeCell ref="AD27:AD29"/>
    <mergeCell ref="U30:U32"/>
    <mergeCell ref="V30:V32"/>
    <mergeCell ref="A38:A39"/>
    <mergeCell ref="B38:H39"/>
    <mergeCell ref="I38:I39"/>
    <mergeCell ref="J38:J39"/>
    <mergeCell ref="V39:V41"/>
    <mergeCell ref="A40:A42"/>
    <mergeCell ref="B40:H42"/>
    <mergeCell ref="I40:I42"/>
    <mergeCell ref="J40:J42"/>
    <mergeCell ref="V42:AA42"/>
    <mergeCell ref="W15:AC17"/>
    <mergeCell ref="AD15:AD17"/>
    <mergeCell ref="M24:M26"/>
    <mergeCell ref="N24:S26"/>
    <mergeCell ref="T24:T26"/>
    <mergeCell ref="U24:U26"/>
    <mergeCell ref="V24:V26"/>
    <mergeCell ref="W24:AC26"/>
    <mergeCell ref="AD24:AD26"/>
    <mergeCell ref="AD21:AD23"/>
    <mergeCell ref="M15:S17"/>
    <mergeCell ref="T15:T17"/>
    <mergeCell ref="U15:U17"/>
    <mergeCell ref="V15:V17"/>
    <mergeCell ref="M27:M29"/>
    <mergeCell ref="N27:S29"/>
    <mergeCell ref="T27:T29"/>
    <mergeCell ref="M18:S20"/>
    <mergeCell ref="T18:T20"/>
    <mergeCell ref="U18:U20"/>
    <mergeCell ref="J15:J17"/>
    <mergeCell ref="L15:L17"/>
    <mergeCell ref="V18:V20"/>
    <mergeCell ref="W18:AC20"/>
    <mergeCell ref="AD18:AD20"/>
    <mergeCell ref="A15:A17"/>
    <mergeCell ref="B15:H17"/>
    <mergeCell ref="I15:I17"/>
    <mergeCell ref="W21:AC23"/>
    <mergeCell ref="A27:A29"/>
    <mergeCell ref="B27:H29"/>
    <mergeCell ref="I27:I29"/>
    <mergeCell ref="J27:J29"/>
    <mergeCell ref="L27:L29"/>
    <mergeCell ref="A24:A26"/>
    <mergeCell ref="B24:H26"/>
    <mergeCell ref="I24:I26"/>
    <mergeCell ref="J24:J26"/>
    <mergeCell ref="L24:L26"/>
    <mergeCell ref="V33:V35"/>
    <mergeCell ref="W33:AC35"/>
    <mergeCell ref="AD33:AD35"/>
    <mergeCell ref="L33:Q33"/>
    <mergeCell ref="A33:F33"/>
    <mergeCell ref="B30:H32"/>
    <mergeCell ref="I30:I32"/>
    <mergeCell ref="J30:J32"/>
    <mergeCell ref="L30:L32"/>
    <mergeCell ref="M30:S32"/>
    <mergeCell ref="T30:T32"/>
    <mergeCell ref="W30:AC32"/>
    <mergeCell ref="AD30:AD32"/>
    <mergeCell ref="A12:A14"/>
    <mergeCell ref="B12:H14"/>
    <mergeCell ref="I12:I14"/>
    <mergeCell ref="J12:J14"/>
    <mergeCell ref="L12:L14"/>
    <mergeCell ref="M12:S14"/>
    <mergeCell ref="T12:T14"/>
    <mergeCell ref="U12:U14"/>
    <mergeCell ref="V12:V14"/>
    <mergeCell ref="W12:AC14"/>
    <mergeCell ref="AD12:AD14"/>
    <mergeCell ref="A9:A11"/>
    <mergeCell ref="B9:H11"/>
    <mergeCell ref="I9:I11"/>
    <mergeCell ref="J9:J11"/>
    <mergeCell ref="A21:A23"/>
    <mergeCell ref="B21:H23"/>
    <mergeCell ref="I21:I23"/>
    <mergeCell ref="J21:J23"/>
    <mergeCell ref="L21:L23"/>
    <mergeCell ref="M21:S23"/>
    <mergeCell ref="T21:T23"/>
    <mergeCell ref="U21:U23"/>
    <mergeCell ref="V21:V23"/>
    <mergeCell ref="A18:A20"/>
    <mergeCell ref="B18:H20"/>
    <mergeCell ref="I18:I20"/>
    <mergeCell ref="J18:J20"/>
    <mergeCell ref="L18:L20"/>
    <mergeCell ref="L9:L11"/>
    <mergeCell ref="M9:S11"/>
    <mergeCell ref="T9:T11"/>
    <mergeCell ref="U9:U11"/>
    <mergeCell ref="V9:V11"/>
    <mergeCell ref="W9:AC11"/>
    <mergeCell ref="AD9:AD11"/>
    <mergeCell ref="V36:V38"/>
    <mergeCell ref="W36:AC38"/>
    <mergeCell ref="AD36:AD38"/>
    <mergeCell ref="L52:L54"/>
    <mergeCell ref="N52:N54"/>
    <mergeCell ref="U52:U54"/>
    <mergeCell ref="V52:V54"/>
    <mergeCell ref="W52:AB54"/>
    <mergeCell ref="AC52:AC54"/>
    <mergeCell ref="AD52:AD54"/>
    <mergeCell ref="W39:AC41"/>
    <mergeCell ref="AD39:AD41"/>
    <mergeCell ref="AD49:AD51"/>
    <mergeCell ref="BK1:BM2"/>
    <mergeCell ref="BN1:BP2"/>
    <mergeCell ref="M5:O6"/>
    <mergeCell ref="P5:P6"/>
    <mergeCell ref="Q5:S6"/>
    <mergeCell ref="T5:T6"/>
    <mergeCell ref="U5:W6"/>
    <mergeCell ref="X5:X6"/>
    <mergeCell ref="A5:C6"/>
    <mergeCell ref="D5:D6"/>
    <mergeCell ref="E5:G6"/>
    <mergeCell ref="H5:H6"/>
    <mergeCell ref="I5:K6"/>
    <mergeCell ref="L5:L6"/>
    <mergeCell ref="AW5:AY6"/>
    <mergeCell ref="AZ5:AZ6"/>
    <mergeCell ref="AK5:AM6"/>
    <mergeCell ref="AN5:AN6"/>
    <mergeCell ref="AC5:AE6"/>
    <mergeCell ref="AF5:AF6"/>
    <mergeCell ref="AG5:AI6"/>
    <mergeCell ref="AJ5:AJ6"/>
    <mergeCell ref="AO5:AQ6"/>
    <mergeCell ref="AR5:AR6"/>
    <mergeCell ref="AS5:AU6"/>
    <mergeCell ref="AV5:AV6"/>
    <mergeCell ref="Y5:AA6"/>
    <mergeCell ref="AB5:AB6"/>
    <mergeCell ref="BE5:BG6"/>
    <mergeCell ref="BH5:BH6"/>
    <mergeCell ref="BI5:BK6"/>
    <mergeCell ref="BL5:BL6"/>
    <mergeCell ref="H99:H101"/>
    <mergeCell ref="I99:I101"/>
    <mergeCell ref="J99:J101"/>
    <mergeCell ref="K99:K101"/>
    <mergeCell ref="L99:L101"/>
    <mergeCell ref="BJ99:BO99"/>
    <mergeCell ref="A102:A104"/>
    <mergeCell ref="B102:G104"/>
    <mergeCell ref="H102:H104"/>
    <mergeCell ref="I102:I104"/>
    <mergeCell ref="J102:J104"/>
    <mergeCell ref="K102:K104"/>
    <mergeCell ref="L102:L104"/>
    <mergeCell ref="M99:M101"/>
    <mergeCell ref="BC99:BI101"/>
    <mergeCell ref="AE99:AK101"/>
    <mergeCell ref="AL99:AL101"/>
    <mergeCell ref="AU99:BA101"/>
    <mergeCell ref="BB99:BB101"/>
    <mergeCell ref="O99:U101"/>
    <mergeCell ref="M102:M104"/>
    <mergeCell ref="N102:N104"/>
    <mergeCell ref="O102:T104"/>
    <mergeCell ref="U102:U104"/>
    <mergeCell ref="V102:V104"/>
    <mergeCell ref="W102:AB104"/>
    <mergeCell ref="N99:N101"/>
    <mergeCell ref="AS102:AS104"/>
    <mergeCell ref="AT102:AT104"/>
    <mergeCell ref="V99:V101"/>
    <mergeCell ref="AM102:AR104"/>
    <mergeCell ref="BA105:BA107"/>
    <mergeCell ref="BB105:BB107"/>
    <mergeCell ref="BC105:BH107"/>
    <mergeCell ref="BI105:BI107"/>
    <mergeCell ref="AS105:AS107"/>
    <mergeCell ref="AT105:AT107"/>
    <mergeCell ref="BI102:BI104"/>
    <mergeCell ref="BA102:BA104"/>
    <mergeCell ref="BB102:BB104"/>
    <mergeCell ref="AE102:AJ104"/>
    <mergeCell ref="AK102:AK104"/>
    <mergeCell ref="AL102:AL104"/>
    <mergeCell ref="AU105:AZ107"/>
    <mergeCell ref="BC102:BH104"/>
    <mergeCell ref="W99:AC101"/>
    <mergeCell ref="AD99:AD101"/>
    <mergeCell ref="AU102:AZ104"/>
    <mergeCell ref="AC102:AC104"/>
    <mergeCell ref="AD102:AD104"/>
    <mergeCell ref="AM99:AS101"/>
    <mergeCell ref="AT99:AT101"/>
    <mergeCell ref="M105:M107"/>
    <mergeCell ref="N105:N107"/>
    <mergeCell ref="A108:A110"/>
    <mergeCell ref="B108:G110"/>
    <mergeCell ref="H108:H110"/>
    <mergeCell ref="I108:I110"/>
    <mergeCell ref="J108:J110"/>
    <mergeCell ref="AE105:AJ107"/>
    <mergeCell ref="AK105:AK107"/>
    <mergeCell ref="AL105:AL107"/>
    <mergeCell ref="AM105:AR107"/>
    <mergeCell ref="O105:T107"/>
    <mergeCell ref="U105:U107"/>
    <mergeCell ref="V105:V107"/>
    <mergeCell ref="W105:AB107"/>
    <mergeCell ref="AC105:AC107"/>
    <mergeCell ref="K108:K110"/>
    <mergeCell ref="L108:L110"/>
    <mergeCell ref="M108:M110"/>
    <mergeCell ref="N108:N110"/>
    <mergeCell ref="O108:T110"/>
    <mergeCell ref="U108:U110"/>
    <mergeCell ref="AD105:AD107"/>
    <mergeCell ref="AE108:AJ110"/>
    <mergeCell ref="AK108:AK110"/>
    <mergeCell ref="A105:A107"/>
    <mergeCell ref="B105:G107"/>
    <mergeCell ref="H105:H107"/>
    <mergeCell ref="I105:I107"/>
    <mergeCell ref="J105:J107"/>
    <mergeCell ref="K105:K107"/>
    <mergeCell ref="BB108:BB110"/>
    <mergeCell ref="BC108:BH110"/>
    <mergeCell ref="BI108:BI110"/>
    <mergeCell ref="A111:A113"/>
    <mergeCell ref="B111:G113"/>
    <mergeCell ref="H111:H113"/>
    <mergeCell ref="I111:I113"/>
    <mergeCell ref="J111:J113"/>
    <mergeCell ref="K111:K113"/>
    <mergeCell ref="L111:L113"/>
    <mergeCell ref="AL108:AL110"/>
    <mergeCell ref="AM108:AR110"/>
    <mergeCell ref="AS108:AS110"/>
    <mergeCell ref="AT108:AT110"/>
    <mergeCell ref="AU108:AZ110"/>
    <mergeCell ref="BA108:BA110"/>
    <mergeCell ref="V108:V110"/>
    <mergeCell ref="W108:AB110"/>
    <mergeCell ref="AC108:AC110"/>
    <mergeCell ref="AD108:AD110"/>
    <mergeCell ref="BI111:BI113"/>
    <mergeCell ref="AS111:AS113"/>
    <mergeCell ref="AT111:AT113"/>
    <mergeCell ref="AU111:AZ113"/>
    <mergeCell ref="O111:T113"/>
    <mergeCell ref="U111:U113"/>
    <mergeCell ref="V111:V113"/>
    <mergeCell ref="W111:AB113"/>
    <mergeCell ref="M111:M113"/>
    <mergeCell ref="N111:N113"/>
    <mergeCell ref="BA111:BA113"/>
    <mergeCell ref="BB111:BB113"/>
    <mergeCell ref="BI117:BI119"/>
    <mergeCell ref="BA117:BA119"/>
    <mergeCell ref="V117:V119"/>
    <mergeCell ref="W117:AB119"/>
    <mergeCell ref="AC117:AC119"/>
    <mergeCell ref="AD117:AD119"/>
    <mergeCell ref="BC111:BH113"/>
    <mergeCell ref="AC111:AC113"/>
    <mergeCell ref="AD111:AD113"/>
    <mergeCell ref="AE111:AJ113"/>
    <mergeCell ref="AK111:AK113"/>
    <mergeCell ref="AL111:AL113"/>
    <mergeCell ref="AM111:AR113"/>
    <mergeCell ref="A114:A116"/>
    <mergeCell ref="B114:G116"/>
    <mergeCell ref="H114:H116"/>
    <mergeCell ref="I114:I116"/>
    <mergeCell ref="J114:J116"/>
    <mergeCell ref="K114:K116"/>
    <mergeCell ref="L114:L116"/>
    <mergeCell ref="M114:M116"/>
    <mergeCell ref="N114:N116"/>
    <mergeCell ref="AU114:AZ116"/>
    <mergeCell ref="BA114:BA116"/>
    <mergeCell ref="BB114:BB116"/>
    <mergeCell ref="BC114:BH116"/>
    <mergeCell ref="AE114:AJ116"/>
    <mergeCell ref="AK114:AK116"/>
    <mergeCell ref="AL114:AL116"/>
    <mergeCell ref="AM114:AR116"/>
    <mergeCell ref="AS114:AS116"/>
    <mergeCell ref="AT114:AT116"/>
    <mergeCell ref="O114:T116"/>
    <mergeCell ref="U114:U116"/>
    <mergeCell ref="V114:V116"/>
    <mergeCell ref="W114:AB116"/>
    <mergeCell ref="AC114:AC116"/>
    <mergeCell ref="AD114:AD116"/>
    <mergeCell ref="AE117:AJ119"/>
    <mergeCell ref="AK117:AK119"/>
    <mergeCell ref="K117:K119"/>
    <mergeCell ref="BB117:BB119"/>
    <mergeCell ref="BC117:BH119"/>
    <mergeCell ref="W123:AB125"/>
    <mergeCell ref="AC123:AC125"/>
    <mergeCell ref="AD123:AD125"/>
    <mergeCell ref="AE123:AJ125"/>
    <mergeCell ref="O120:T122"/>
    <mergeCell ref="U120:U122"/>
    <mergeCell ref="V120:V122"/>
    <mergeCell ref="W120:AB122"/>
    <mergeCell ref="BA123:BA125"/>
    <mergeCell ref="BB123:BB125"/>
    <mergeCell ref="BC123:BH125"/>
    <mergeCell ref="I120:I122"/>
    <mergeCell ref="J120:J122"/>
    <mergeCell ref="K120:K122"/>
    <mergeCell ref="L120:L122"/>
    <mergeCell ref="AL117:AL119"/>
    <mergeCell ref="AM117:AR119"/>
    <mergeCell ref="AS117:AS119"/>
    <mergeCell ref="AT117:AT119"/>
    <mergeCell ref="AU117:AZ119"/>
    <mergeCell ref="M123:M125"/>
    <mergeCell ref="AS120:AS122"/>
    <mergeCell ref="AT120:AT122"/>
    <mergeCell ref="AU120:AZ122"/>
    <mergeCell ref="L117:L119"/>
    <mergeCell ref="M117:M119"/>
    <mergeCell ref="N117:N119"/>
    <mergeCell ref="O117:T119"/>
    <mergeCell ref="U117:U119"/>
    <mergeCell ref="AC120:AC122"/>
    <mergeCell ref="AD120:AD122"/>
    <mergeCell ref="AE120:AJ122"/>
    <mergeCell ref="AK120:AK122"/>
    <mergeCell ref="AL120:AL122"/>
    <mergeCell ref="AM120:AR122"/>
    <mergeCell ref="BI123:BI125"/>
    <mergeCell ref="N126:N128"/>
    <mergeCell ref="O126:T128"/>
    <mergeCell ref="U126:U128"/>
    <mergeCell ref="V126:V128"/>
    <mergeCell ref="W126:AB128"/>
    <mergeCell ref="AK123:AK125"/>
    <mergeCell ref="AL123:AL125"/>
    <mergeCell ref="AM123:AR125"/>
    <mergeCell ref="AS123:AS125"/>
    <mergeCell ref="AT123:AT125"/>
    <mergeCell ref="AU123:AZ125"/>
    <mergeCell ref="BI126:BI128"/>
    <mergeCell ref="AS126:AS128"/>
    <mergeCell ref="AT126:AT128"/>
    <mergeCell ref="AU126:AZ128"/>
    <mergeCell ref="BA126:BA128"/>
    <mergeCell ref="BB126:BB128"/>
    <mergeCell ref="BC126:BH128"/>
    <mergeCell ref="AC126:AC128"/>
    <mergeCell ref="AD126:AD128"/>
    <mergeCell ref="AE126:AJ128"/>
    <mergeCell ref="AK126:AK128"/>
    <mergeCell ref="AL126:AL128"/>
    <mergeCell ref="AM126:AR128"/>
    <mergeCell ref="N123:N125"/>
    <mergeCell ref="O123:T125"/>
    <mergeCell ref="U123:U125"/>
    <mergeCell ref="V123:V125"/>
    <mergeCell ref="AS129:AS131"/>
    <mergeCell ref="AT129:AT131"/>
    <mergeCell ref="AU129:AZ131"/>
    <mergeCell ref="V132:V134"/>
    <mergeCell ref="W132:AB134"/>
    <mergeCell ref="AC132:AC134"/>
    <mergeCell ref="AD132:AD134"/>
    <mergeCell ref="AL129:AL131"/>
    <mergeCell ref="AM129:AR131"/>
    <mergeCell ref="AE132:AJ134"/>
    <mergeCell ref="AK132:AK134"/>
    <mergeCell ref="N129:N131"/>
    <mergeCell ref="O129:T131"/>
    <mergeCell ref="U129:U131"/>
    <mergeCell ref="V129:V131"/>
    <mergeCell ref="W129:AB131"/>
    <mergeCell ref="AC129:AC131"/>
    <mergeCell ref="AD129:AD131"/>
    <mergeCell ref="BA129:BA131"/>
    <mergeCell ref="N135:N137"/>
    <mergeCell ref="O135:T137"/>
    <mergeCell ref="U135:U137"/>
    <mergeCell ref="W149:AC151"/>
    <mergeCell ref="AD149:AD151"/>
    <mergeCell ref="AD135:AD137"/>
    <mergeCell ref="AD138:AD140"/>
    <mergeCell ref="AL138:AL140"/>
    <mergeCell ref="AM138:AR140"/>
    <mergeCell ref="O149:U151"/>
    <mergeCell ref="AU158:AZ160"/>
    <mergeCell ref="L161:L163"/>
    <mergeCell ref="BI155:BI157"/>
    <mergeCell ref="A158:A160"/>
    <mergeCell ref="B158:G160"/>
    <mergeCell ref="H158:H160"/>
    <mergeCell ref="I158:I160"/>
    <mergeCell ref="J158:J160"/>
    <mergeCell ref="K158:K160"/>
    <mergeCell ref="L158:L160"/>
    <mergeCell ref="M158:M160"/>
    <mergeCell ref="N158:N160"/>
    <mergeCell ref="AS155:AS157"/>
    <mergeCell ref="AT155:AT157"/>
    <mergeCell ref="AU155:AZ157"/>
    <mergeCell ref="BA155:BA157"/>
    <mergeCell ref="BB155:BB157"/>
    <mergeCell ref="BC155:BH157"/>
    <mergeCell ref="AC155:AC157"/>
    <mergeCell ref="AD155:AD157"/>
    <mergeCell ref="AE155:AJ157"/>
    <mergeCell ref="BA158:BA160"/>
    <mergeCell ref="BB158:BB160"/>
    <mergeCell ref="BI161:BI163"/>
    <mergeCell ref="K152:K154"/>
    <mergeCell ref="L152:L154"/>
    <mergeCell ref="O132:T134"/>
    <mergeCell ref="U132:U134"/>
    <mergeCell ref="W155:AB157"/>
    <mergeCell ref="BB152:BB154"/>
    <mergeCell ref="BC152:BH154"/>
    <mergeCell ref="U152:U154"/>
    <mergeCell ref="AD152:AD154"/>
    <mergeCell ref="AE149:AK151"/>
    <mergeCell ref="AL149:AL151"/>
    <mergeCell ref="AM149:AS151"/>
    <mergeCell ref="AT149:AT151"/>
    <mergeCell ref="BI152:BI154"/>
    <mergeCell ref="L149:L151"/>
    <mergeCell ref="M149:M151"/>
    <mergeCell ref="A147:BM148"/>
    <mergeCell ref="A149:A151"/>
    <mergeCell ref="B149:G151"/>
    <mergeCell ref="H149:H151"/>
    <mergeCell ref="I149:I151"/>
    <mergeCell ref="J149:J151"/>
    <mergeCell ref="BB149:BB151"/>
    <mergeCell ref="BC149:BI151"/>
    <mergeCell ref="BJ149:BO149"/>
    <mergeCell ref="A152:A154"/>
    <mergeCell ref="B152:G154"/>
    <mergeCell ref="H152:H154"/>
    <mergeCell ref="I152:I154"/>
    <mergeCell ref="H155:H157"/>
    <mergeCell ref="I155:I157"/>
    <mergeCell ref="J155:J157"/>
    <mergeCell ref="K155:K157"/>
    <mergeCell ref="L155:L157"/>
    <mergeCell ref="AL152:AL154"/>
    <mergeCell ref="AM152:AR154"/>
    <mergeCell ref="AS152:AS154"/>
    <mergeCell ref="AT152:AT154"/>
    <mergeCell ref="AU152:AZ154"/>
    <mergeCell ref="BA152:BA154"/>
    <mergeCell ref="V152:V154"/>
    <mergeCell ref="W152:AB154"/>
    <mergeCell ref="AC152:AC154"/>
    <mergeCell ref="AE152:AJ154"/>
    <mergeCell ref="AK152:AK154"/>
    <mergeCell ref="O155:T157"/>
    <mergeCell ref="U155:U157"/>
    <mergeCell ref="V155:V157"/>
    <mergeCell ref="AK155:AK157"/>
    <mergeCell ref="AL155:AL157"/>
    <mergeCell ref="AM155:AR157"/>
    <mergeCell ref="M155:M157"/>
    <mergeCell ref="N155:N157"/>
    <mergeCell ref="J152:J154"/>
    <mergeCell ref="BI164:BI166"/>
    <mergeCell ref="AS164:AS166"/>
    <mergeCell ref="AT164:AT166"/>
    <mergeCell ref="AU164:AZ166"/>
    <mergeCell ref="M161:M163"/>
    <mergeCell ref="N161:N163"/>
    <mergeCell ref="O161:T163"/>
    <mergeCell ref="U161:U163"/>
    <mergeCell ref="BA164:BA166"/>
    <mergeCell ref="BB164:BB166"/>
    <mergeCell ref="BC164:BH166"/>
    <mergeCell ref="AC164:AC166"/>
    <mergeCell ref="AD164:AD166"/>
    <mergeCell ref="AE164:AJ166"/>
    <mergeCell ref="AK164:AK166"/>
    <mergeCell ref="AL164:AL166"/>
    <mergeCell ref="BC158:BH160"/>
    <mergeCell ref="BI158:BI160"/>
    <mergeCell ref="AS158:AS160"/>
    <mergeCell ref="AT158:AT160"/>
    <mergeCell ref="AE158:AJ160"/>
    <mergeCell ref="AK158:AK160"/>
    <mergeCell ref="AL158:AL160"/>
    <mergeCell ref="AM158:AR160"/>
    <mergeCell ref="O158:T160"/>
    <mergeCell ref="U158:U160"/>
    <mergeCell ref="V158:V160"/>
    <mergeCell ref="W158:AB160"/>
    <mergeCell ref="AC158:AC160"/>
    <mergeCell ref="AD158:AD160"/>
    <mergeCell ref="BB161:BB163"/>
    <mergeCell ref="BC161:BH163"/>
    <mergeCell ref="AL161:AL163"/>
    <mergeCell ref="AM161:AR163"/>
    <mergeCell ref="AS161:AS163"/>
    <mergeCell ref="AT161:AT163"/>
    <mergeCell ref="AU161:AZ163"/>
    <mergeCell ref="BA161:BA163"/>
    <mergeCell ref="V161:V163"/>
    <mergeCell ref="W161:AB163"/>
    <mergeCell ref="AC161:AC163"/>
    <mergeCell ref="AD161:AD163"/>
    <mergeCell ref="O164:T166"/>
    <mergeCell ref="U164:U166"/>
    <mergeCell ref="V164:V166"/>
    <mergeCell ref="W164:AB166"/>
    <mergeCell ref="M164:M166"/>
    <mergeCell ref="N164:N166"/>
    <mergeCell ref="A161:A163"/>
    <mergeCell ref="B161:G163"/>
    <mergeCell ref="H161:H163"/>
    <mergeCell ref="I161:I163"/>
    <mergeCell ref="AE161:AJ163"/>
    <mergeCell ref="AM164:AR166"/>
    <mergeCell ref="AK161:AK163"/>
    <mergeCell ref="K161:K163"/>
    <mergeCell ref="V167:V169"/>
    <mergeCell ref="W167:AB169"/>
    <mergeCell ref="AC167:AC169"/>
    <mergeCell ref="AD167:AD169"/>
    <mergeCell ref="M170:M172"/>
    <mergeCell ref="N170:N172"/>
    <mergeCell ref="O170:T172"/>
    <mergeCell ref="U170:U172"/>
    <mergeCell ref="V170:V172"/>
    <mergeCell ref="W170:AB172"/>
    <mergeCell ref="AC170:AC172"/>
    <mergeCell ref="BB170:BB172"/>
    <mergeCell ref="BC170:BH172"/>
    <mergeCell ref="K170:K172"/>
    <mergeCell ref="L170:L172"/>
    <mergeCell ref="AD170:AD172"/>
    <mergeCell ref="AE170:AJ172"/>
    <mergeCell ref="AK170:AK172"/>
    <mergeCell ref="K167:K169"/>
    <mergeCell ref="L167:L169"/>
    <mergeCell ref="M167:M169"/>
    <mergeCell ref="N167:N169"/>
    <mergeCell ref="AE167:AJ169"/>
    <mergeCell ref="AK167:AK169"/>
    <mergeCell ref="AL167:AL169"/>
    <mergeCell ref="O167:T169"/>
    <mergeCell ref="U167:U169"/>
    <mergeCell ref="W179:AB181"/>
    <mergeCell ref="AC179:AC181"/>
    <mergeCell ref="AD179:AD181"/>
    <mergeCell ref="AL176:AL178"/>
    <mergeCell ref="AM176:AR178"/>
    <mergeCell ref="AS176:AS178"/>
    <mergeCell ref="AT176:AT178"/>
    <mergeCell ref="AU176:AZ178"/>
    <mergeCell ref="BA176:BA178"/>
    <mergeCell ref="AU179:AZ181"/>
    <mergeCell ref="BA179:BA181"/>
    <mergeCell ref="BB179:BB181"/>
    <mergeCell ref="BC179:BH181"/>
    <mergeCell ref="BI179:BI181"/>
    <mergeCell ref="AT179:AT181"/>
    <mergeCell ref="BB167:BB169"/>
    <mergeCell ref="BC167:BH169"/>
    <mergeCell ref="BI167:BI169"/>
    <mergeCell ref="AS167:AS169"/>
    <mergeCell ref="AT167:AT169"/>
    <mergeCell ref="AS170:AS172"/>
    <mergeCell ref="AT170:AT172"/>
    <mergeCell ref="AU170:AZ172"/>
    <mergeCell ref="BA170:BA172"/>
    <mergeCell ref="AL170:AL172"/>
    <mergeCell ref="AM170:AR172"/>
    <mergeCell ref="AM167:AR169"/>
    <mergeCell ref="BI170:BI172"/>
    <mergeCell ref="AU167:AZ169"/>
    <mergeCell ref="BA167:BA169"/>
    <mergeCell ref="O173:T175"/>
    <mergeCell ref="U173:U175"/>
    <mergeCell ref="V173:V175"/>
    <mergeCell ref="W173:AB175"/>
    <mergeCell ref="BI173:BI175"/>
    <mergeCell ref="AS173:AS175"/>
    <mergeCell ref="AT173:AT175"/>
    <mergeCell ref="AU173:AZ175"/>
    <mergeCell ref="BI182:BI184"/>
    <mergeCell ref="AT182:AT184"/>
    <mergeCell ref="AU182:AZ184"/>
    <mergeCell ref="BA182:BA184"/>
    <mergeCell ref="BB182:BB184"/>
    <mergeCell ref="BC182:BH184"/>
    <mergeCell ref="N182:N184"/>
    <mergeCell ref="O182:T184"/>
    <mergeCell ref="U182:U184"/>
    <mergeCell ref="AK176:AK178"/>
    <mergeCell ref="BA173:BA175"/>
    <mergeCell ref="BB173:BB175"/>
    <mergeCell ref="BC173:BH175"/>
    <mergeCell ref="AC173:AC175"/>
    <mergeCell ref="AD173:AD175"/>
    <mergeCell ref="AE173:AJ175"/>
    <mergeCell ref="AK173:AK175"/>
    <mergeCell ref="AL173:AL175"/>
    <mergeCell ref="AM173:AR175"/>
    <mergeCell ref="BI176:BI178"/>
    <mergeCell ref="N179:N181"/>
    <mergeCell ref="O179:T181"/>
    <mergeCell ref="U179:U181"/>
    <mergeCell ref="V179:V181"/>
    <mergeCell ref="O211:T213"/>
    <mergeCell ref="U211:U213"/>
    <mergeCell ref="N205:N207"/>
    <mergeCell ref="O205:T207"/>
    <mergeCell ref="U205:U207"/>
    <mergeCell ref="A208:A210"/>
    <mergeCell ref="B208:G210"/>
    <mergeCell ref="H208:H210"/>
    <mergeCell ref="N208:N210"/>
    <mergeCell ref="I202:I204"/>
    <mergeCell ref="N176:N178"/>
    <mergeCell ref="O176:T178"/>
    <mergeCell ref="U176:U178"/>
    <mergeCell ref="AE179:AJ181"/>
    <mergeCell ref="AK179:AK181"/>
    <mergeCell ref="BB176:BB178"/>
    <mergeCell ref="BC176:BH178"/>
    <mergeCell ref="V176:V178"/>
    <mergeCell ref="W176:AB178"/>
    <mergeCell ref="AC176:AC178"/>
    <mergeCell ref="AD176:AD178"/>
    <mergeCell ref="AE176:AJ178"/>
    <mergeCell ref="BB185:BB187"/>
    <mergeCell ref="BC185:BH187"/>
    <mergeCell ref="AT188:AT190"/>
    <mergeCell ref="AU188:AZ190"/>
    <mergeCell ref="BA188:BA190"/>
    <mergeCell ref="BB188:BB190"/>
    <mergeCell ref="BC188:BH190"/>
    <mergeCell ref="AT191:AT193"/>
    <mergeCell ref="AU191:AZ193"/>
    <mergeCell ref="BA191:BA193"/>
    <mergeCell ref="AU185:AZ187"/>
    <mergeCell ref="BA185:BA187"/>
    <mergeCell ref="A199:A201"/>
    <mergeCell ref="B199:G201"/>
    <mergeCell ref="H199:H201"/>
    <mergeCell ref="N199:N201"/>
    <mergeCell ref="O199:U201"/>
    <mergeCell ref="BJ199:BO199"/>
    <mergeCell ref="A202:A204"/>
    <mergeCell ref="B202:G204"/>
    <mergeCell ref="H202:H204"/>
    <mergeCell ref="N202:N204"/>
    <mergeCell ref="O202:T204"/>
    <mergeCell ref="U202:U204"/>
    <mergeCell ref="A205:A207"/>
    <mergeCell ref="B205:G207"/>
    <mergeCell ref="H205:H207"/>
    <mergeCell ref="BI185:BI187"/>
    <mergeCell ref="BI188:BI190"/>
    <mergeCell ref="BB191:BB193"/>
    <mergeCell ref="BC191:BH193"/>
    <mergeCell ref="BI191:BI193"/>
    <mergeCell ref="V199:V201"/>
    <mergeCell ref="W199:AC201"/>
    <mergeCell ref="AD199:AD201"/>
    <mergeCell ref="AE199:AK201"/>
    <mergeCell ref="AL199:AL201"/>
    <mergeCell ref="AM199:AS201"/>
    <mergeCell ref="I199:I201"/>
    <mergeCell ref="J199:J201"/>
    <mergeCell ref="K199:K201"/>
    <mergeCell ref="V202:V204"/>
    <mergeCell ref="O208:T210"/>
    <mergeCell ref="U208:U210"/>
    <mergeCell ref="A217:A219"/>
    <mergeCell ref="B217:G219"/>
    <mergeCell ref="H217:H219"/>
    <mergeCell ref="N217:N219"/>
    <mergeCell ref="O217:T219"/>
    <mergeCell ref="U217:U219"/>
    <mergeCell ref="A214:A216"/>
    <mergeCell ref="B214:G216"/>
    <mergeCell ref="H214:H216"/>
    <mergeCell ref="N214:N216"/>
    <mergeCell ref="O214:T216"/>
    <mergeCell ref="U214:U216"/>
    <mergeCell ref="I214:I216"/>
    <mergeCell ref="AT185:AT187"/>
    <mergeCell ref="J202:J204"/>
    <mergeCell ref="K202:K204"/>
    <mergeCell ref="I205:I207"/>
    <mergeCell ref="J205:J207"/>
    <mergeCell ref="K205:K207"/>
    <mergeCell ref="I208:I210"/>
    <mergeCell ref="J208:J210"/>
    <mergeCell ref="K208:K210"/>
    <mergeCell ref="I211:I213"/>
    <mergeCell ref="J211:J213"/>
    <mergeCell ref="K211:K213"/>
    <mergeCell ref="K214:K216"/>
    <mergeCell ref="I217:I219"/>
    <mergeCell ref="J217:J219"/>
    <mergeCell ref="K217:K219"/>
    <mergeCell ref="A211:A213"/>
    <mergeCell ref="O238:T240"/>
    <mergeCell ref="U238:U240"/>
    <mergeCell ref="U232:U234"/>
    <mergeCell ref="N235:N237"/>
    <mergeCell ref="O235:T237"/>
    <mergeCell ref="U235:U237"/>
    <mergeCell ref="N226:N228"/>
    <mergeCell ref="O226:T228"/>
    <mergeCell ref="U226:U228"/>
    <mergeCell ref="N229:N231"/>
    <mergeCell ref="O229:T231"/>
    <mergeCell ref="U229:U231"/>
    <mergeCell ref="N232:N234"/>
    <mergeCell ref="O232:T234"/>
    <mergeCell ref="J214:J216"/>
    <mergeCell ref="A87:A89"/>
    <mergeCell ref="B87:G89"/>
    <mergeCell ref="H87:H89"/>
    <mergeCell ref="I87:I89"/>
    <mergeCell ref="J87:J89"/>
    <mergeCell ref="K87:K89"/>
    <mergeCell ref="L87:L89"/>
    <mergeCell ref="A93:E93"/>
    <mergeCell ref="N223:N225"/>
    <mergeCell ref="O223:T225"/>
    <mergeCell ref="U223:U225"/>
    <mergeCell ref="A220:A222"/>
    <mergeCell ref="B220:G222"/>
    <mergeCell ref="H220:H222"/>
    <mergeCell ref="N220:N222"/>
    <mergeCell ref="O220:T222"/>
    <mergeCell ref="U220:U222"/>
    <mergeCell ref="N238:N240"/>
    <mergeCell ref="B211:G213"/>
    <mergeCell ref="H211:H213"/>
    <mergeCell ref="N211:N213"/>
    <mergeCell ref="A167:A169"/>
    <mergeCell ref="B167:G169"/>
    <mergeCell ref="H167:H169"/>
    <mergeCell ref="I167:I169"/>
    <mergeCell ref="J167:J169"/>
    <mergeCell ref="J161:J163"/>
    <mergeCell ref="N132:N134"/>
    <mergeCell ref="N149:N151"/>
    <mergeCell ref="M152:M154"/>
    <mergeCell ref="N152:N154"/>
    <mergeCell ref="A120:A122"/>
    <mergeCell ref="B120:G122"/>
    <mergeCell ref="K126:K128"/>
    <mergeCell ref="N173:N175"/>
    <mergeCell ref="A170:A172"/>
    <mergeCell ref="B170:G172"/>
    <mergeCell ref="H170:H172"/>
    <mergeCell ref="I170:I172"/>
    <mergeCell ref="J170:J172"/>
    <mergeCell ref="A164:A166"/>
    <mergeCell ref="B164:G166"/>
    <mergeCell ref="H164:H166"/>
    <mergeCell ref="I164:I166"/>
    <mergeCell ref="J164:J166"/>
    <mergeCell ref="K164:K166"/>
    <mergeCell ref="L164:L166"/>
    <mergeCell ref="A155:A157"/>
    <mergeCell ref="B155:G157"/>
    <mergeCell ref="H120:H122"/>
    <mergeCell ref="L105:L107"/>
    <mergeCell ref="A97:BM98"/>
    <mergeCell ref="A99:A101"/>
    <mergeCell ref="B99:G101"/>
    <mergeCell ref="B52:G54"/>
    <mergeCell ref="H52:H54"/>
    <mergeCell ref="I52:I54"/>
    <mergeCell ref="J52:J54"/>
    <mergeCell ref="K52:K54"/>
    <mergeCell ref="A58:A60"/>
    <mergeCell ref="B58:G60"/>
    <mergeCell ref="H58:H60"/>
    <mergeCell ref="I58:I60"/>
    <mergeCell ref="J58:J60"/>
    <mergeCell ref="K58:K60"/>
    <mergeCell ref="L58:L60"/>
    <mergeCell ref="J76:J78"/>
    <mergeCell ref="K76:K78"/>
    <mergeCell ref="L76:L78"/>
    <mergeCell ref="BI120:BI122"/>
    <mergeCell ref="BA120:BA122"/>
    <mergeCell ref="BB120:BB122"/>
    <mergeCell ref="BC120:BH122"/>
    <mergeCell ref="M120:M122"/>
    <mergeCell ref="N120:N122"/>
    <mergeCell ref="BI114:BI116"/>
    <mergeCell ref="A117:A119"/>
    <mergeCell ref="B117:G119"/>
    <mergeCell ref="H117:H119"/>
    <mergeCell ref="I117:I119"/>
    <mergeCell ref="J117:J119"/>
    <mergeCell ref="A73:A75"/>
    <mergeCell ref="B73:G75"/>
    <mergeCell ref="H73:H75"/>
    <mergeCell ref="I73:I75"/>
    <mergeCell ref="J73:J75"/>
    <mergeCell ref="K73:K75"/>
    <mergeCell ref="L73:L75"/>
    <mergeCell ref="A90:A92"/>
    <mergeCell ref="B90:G92"/>
    <mergeCell ref="H90:H92"/>
    <mergeCell ref="I90:I92"/>
    <mergeCell ref="J90:J92"/>
    <mergeCell ref="K90:K92"/>
    <mergeCell ref="L90:L92"/>
    <mergeCell ref="A84:A86"/>
    <mergeCell ref="B84:G86"/>
    <mergeCell ref="H84:H86"/>
    <mergeCell ref="I84:I86"/>
    <mergeCell ref="J84:J86"/>
    <mergeCell ref="K84:K86"/>
    <mergeCell ref="L84:L86"/>
    <mergeCell ref="M126:M128"/>
    <mergeCell ref="M134:M135"/>
    <mergeCell ref="M136:M138"/>
    <mergeCell ref="M139:M141"/>
    <mergeCell ref="A123:A125"/>
    <mergeCell ref="B123:G125"/>
    <mergeCell ref="H123:H125"/>
    <mergeCell ref="I123:I125"/>
    <mergeCell ref="J123:J125"/>
    <mergeCell ref="K123:K125"/>
    <mergeCell ref="L123:L125"/>
    <mergeCell ref="A126:A128"/>
    <mergeCell ref="B126:G128"/>
    <mergeCell ref="H126:H128"/>
    <mergeCell ref="I126:I128"/>
    <mergeCell ref="J126:J128"/>
    <mergeCell ref="L126:L128"/>
    <mergeCell ref="A134:A135"/>
    <mergeCell ref="B134:G135"/>
    <mergeCell ref="H134:H135"/>
    <mergeCell ref="I134:I135"/>
    <mergeCell ref="J134:J135"/>
    <mergeCell ref="K134:K135"/>
    <mergeCell ref="L134:L135"/>
    <mergeCell ref="A173:A175"/>
    <mergeCell ref="B173:G175"/>
    <mergeCell ref="H173:H175"/>
    <mergeCell ref="I173:I175"/>
    <mergeCell ref="J173:J175"/>
    <mergeCell ref="K173:K175"/>
    <mergeCell ref="L173:L175"/>
    <mergeCell ref="M173:M175"/>
    <mergeCell ref="A176:A178"/>
    <mergeCell ref="B176:G178"/>
    <mergeCell ref="H176:H178"/>
    <mergeCell ref="I176:I178"/>
    <mergeCell ref="J176:J178"/>
    <mergeCell ref="K176:K178"/>
    <mergeCell ref="L176:L178"/>
    <mergeCell ref="M176:M178"/>
    <mergeCell ref="A184:A185"/>
    <mergeCell ref="B184:G185"/>
    <mergeCell ref="H184:H185"/>
    <mergeCell ref="I184:I185"/>
    <mergeCell ref="J184:J185"/>
    <mergeCell ref="K184:K185"/>
    <mergeCell ref="L184:L185"/>
    <mergeCell ref="M184:M185"/>
    <mergeCell ref="H234:H235"/>
    <mergeCell ref="I234:I235"/>
    <mergeCell ref="J234:J235"/>
    <mergeCell ref="K234:K235"/>
    <mergeCell ref="A186:A188"/>
    <mergeCell ref="B186:G188"/>
    <mergeCell ref="H186:H188"/>
    <mergeCell ref="I186:I188"/>
    <mergeCell ref="J186:J188"/>
    <mergeCell ref="K186:K188"/>
    <mergeCell ref="L186:L188"/>
    <mergeCell ref="M186:M188"/>
    <mergeCell ref="A189:A191"/>
    <mergeCell ref="B189:G191"/>
    <mergeCell ref="H189:H191"/>
    <mergeCell ref="I189:I191"/>
    <mergeCell ref="J189:J191"/>
    <mergeCell ref="K189:K191"/>
    <mergeCell ref="L189:L191"/>
    <mergeCell ref="M189:M191"/>
    <mergeCell ref="A192:E192"/>
    <mergeCell ref="I220:I222"/>
    <mergeCell ref="J220:J222"/>
    <mergeCell ref="K220:K222"/>
    <mergeCell ref="A236:A238"/>
    <mergeCell ref="B236:G238"/>
    <mergeCell ref="H236:H238"/>
    <mergeCell ref="I236:I238"/>
    <mergeCell ref="J236:J238"/>
    <mergeCell ref="K236:K238"/>
    <mergeCell ref="A239:A241"/>
    <mergeCell ref="B239:G241"/>
    <mergeCell ref="H239:H241"/>
    <mergeCell ref="I239:I241"/>
    <mergeCell ref="J239:J241"/>
    <mergeCell ref="K239:K241"/>
    <mergeCell ref="A242:E242"/>
    <mergeCell ref="BJ10:BO40"/>
    <mergeCell ref="BJ50:BO80"/>
    <mergeCell ref="BJ100:BO130"/>
    <mergeCell ref="BJ150:BO180"/>
    <mergeCell ref="BJ200:BO230"/>
    <mergeCell ref="A223:A225"/>
    <mergeCell ref="B223:G225"/>
    <mergeCell ref="H223:H225"/>
    <mergeCell ref="I223:I225"/>
    <mergeCell ref="J223:J225"/>
    <mergeCell ref="K223:K225"/>
    <mergeCell ref="A226:A228"/>
    <mergeCell ref="B226:G228"/>
    <mergeCell ref="H226:H228"/>
    <mergeCell ref="I226:I228"/>
    <mergeCell ref="J226:J228"/>
    <mergeCell ref="K226:K228"/>
    <mergeCell ref="A234:A235"/>
    <mergeCell ref="B234:G235"/>
  </mergeCells>
  <conditionalFormatting sqref="T5:T6 X5:X6 AB5:AB6 AF5:AF6 AJ5:AJ6 AN5:AN6 AR5:AR6 AZ5:AZ6 AV5:AV6 P5:P6 AS76:AS77 L5:L6 H5:H6 D5:D6 H52:L72 H76:L82">
    <cfRule type="containsBlanks" dxfId="10346" priority="1812">
      <formula>LEN(TRIM(D5))=0</formula>
    </cfRule>
  </conditionalFormatting>
  <conditionalFormatting sqref="I43:J43">
    <cfRule type="containsBlanks" dxfId="10345" priority="1689">
      <formula>LEN(TRIM(I43))=0</formula>
    </cfRule>
  </conditionalFormatting>
  <conditionalFormatting sqref="L3:L4">
    <cfRule type="containsBlanks" dxfId="10344" priority="1725">
      <formula>LEN(TRIM(L3))=0</formula>
    </cfRule>
  </conditionalFormatting>
  <conditionalFormatting sqref="H87:L89">
    <cfRule type="containsBlanks" dxfId="10343" priority="1610">
      <formula>LEN(TRIM(H87))=0</formula>
    </cfRule>
  </conditionalFormatting>
  <conditionalFormatting sqref="H3:H4">
    <cfRule type="containsBlanks" dxfId="10342" priority="1726">
      <formula>LEN(TRIM(H3))=0</formula>
    </cfRule>
  </conditionalFormatting>
  <conditionalFormatting sqref="P3">
    <cfRule type="containsBlanks" dxfId="10341" priority="1698">
      <formula>LEN(TRIM(P3))=0</formula>
    </cfRule>
  </conditionalFormatting>
  <conditionalFormatting sqref="T3 X3 AB3 AF3">
    <cfRule type="containsBlanks" dxfId="10340" priority="1697">
      <formula>LEN(TRIM(T3))=0</formula>
    </cfRule>
  </conditionalFormatting>
  <conditionalFormatting sqref="U67:U70 AC76:AC78 AK79:AK81">
    <cfRule type="containsBlanks" dxfId="10339" priority="1713">
      <formula>LEN(TRIM(U67))=0</formula>
    </cfRule>
  </conditionalFormatting>
  <conditionalFormatting sqref="BA73:BA74">
    <cfRule type="containsBlanks" dxfId="10338" priority="1711">
      <formula>LEN(TRIM(BA73))=0</formula>
    </cfRule>
  </conditionalFormatting>
  <conditionalFormatting sqref="I12:J32">
    <cfRule type="containsBlanks" dxfId="10337" priority="1682">
      <formula>LEN(TRIM(I12))=0</formula>
    </cfRule>
  </conditionalFormatting>
  <conditionalFormatting sqref="BA52:BA72">
    <cfRule type="containsBlanks" dxfId="10336" priority="1674">
      <formula>LEN(TRIM(BA52))=0</formula>
    </cfRule>
  </conditionalFormatting>
  <conditionalFormatting sqref="AD42:AD45">
    <cfRule type="containsBlanks" dxfId="10335" priority="1688">
      <formula>LEN(TRIM(AD42))=0</formula>
    </cfRule>
  </conditionalFormatting>
  <conditionalFormatting sqref="I33:J36">
    <cfRule type="containsBlanks" dxfId="10334" priority="1687">
      <formula>LEN(TRIM(I33))=0</formula>
    </cfRule>
  </conditionalFormatting>
  <conditionalFormatting sqref="AC52:AC75">
    <cfRule type="containsBlanks" dxfId="10333" priority="1677">
      <formula>LEN(TRIM(AC52))=0</formula>
    </cfRule>
  </conditionalFormatting>
  <conditionalFormatting sqref="AK52:AK78">
    <cfRule type="containsBlanks" dxfId="10332" priority="1676">
      <formula>LEN(TRIM(AK52))=0</formula>
    </cfRule>
  </conditionalFormatting>
  <conditionalFormatting sqref="T33:T35">
    <cfRule type="containsBlanks" dxfId="10331" priority="1683">
      <formula>LEN(TRIM(T33))=0</formula>
    </cfRule>
  </conditionalFormatting>
  <conditionalFormatting sqref="T12:T32">
    <cfRule type="containsBlanks" dxfId="10330" priority="1681">
      <formula>LEN(TRIM(T12))=0</formula>
    </cfRule>
  </conditionalFormatting>
  <conditionalFormatting sqref="AD12:AD41">
    <cfRule type="containsBlanks" dxfId="10329" priority="1680">
      <formula>LEN(TRIM(AD12))=0</formula>
    </cfRule>
  </conditionalFormatting>
  <conditionalFormatting sqref="U52:U66">
    <cfRule type="containsBlanks" dxfId="10328" priority="1678">
      <formula>LEN(TRIM(U52))=0</formula>
    </cfRule>
  </conditionalFormatting>
  <conditionalFormatting sqref="AS52:AS75">
    <cfRule type="containsBlanks" dxfId="10327" priority="1675">
      <formula>LEN(TRIM(AS52))=0</formula>
    </cfRule>
  </conditionalFormatting>
  <conditionalFormatting sqref="I40:J42">
    <cfRule type="containsBlanks" dxfId="10326" priority="1673">
      <formula>LEN(TRIM(I40))=0</formula>
    </cfRule>
  </conditionalFormatting>
  <conditionalFormatting sqref="M102:M128">
    <cfRule type="containsBlanks" dxfId="10325" priority="1672">
      <formula>LEN(TRIM(M102))=0</formula>
    </cfRule>
  </conditionalFormatting>
  <conditionalFormatting sqref="M81:M96 A12:U20 A40:U41 I38:U39 AD12:BI13 Z81:XFD96 A42:XFD48 H49:BI51 A253:XFD2019 AD41:XFD41 I9:BI11 A24:U37 A21:L23 T21:U23 AD14:AN14 AP14:AQ14 AS14:BI14 A147:XFD148 A144:M146 BJ131:XFD146 A194:M196 BJ181:XFD196 AT231:XFD252 A7:XFD8 A5:AZ6 A1:XFD4 BI5:XFD6 A244:M252 BY13:CO14 CW12:XFD19 CP13:CV19 BY12:CV12 A197 BM197:XFD198 A97:XFD98 CE74:XFD79 A52:BI72 M73:BI80 H76:L78 A79:L79 A80:E81 F80:L82 M99:M128 M133 L199:M243 BP15:CO19 BP9:XFD11 AD15:BI40 BP20:XFD40 BP12:BX14 BP74:BR79 BP49:XFD73 BP80:XFD80 BP99:XFD130 BP149:XFD180 AT199:BI230 BP199:XFD230">
    <cfRule type="cellIs" dxfId="10324" priority="1649" operator="equal">
      <formula>4.4</formula>
    </cfRule>
    <cfRule type="cellIs" dxfId="10323" priority="1650" operator="equal">
      <formula>4.3</formula>
    </cfRule>
    <cfRule type="cellIs" dxfId="10322" priority="1651" operator="equal">
      <formula>4.2</formula>
    </cfRule>
    <cfRule type="cellIs" dxfId="10321" priority="1652" operator="equal">
      <formula>4.1</formula>
    </cfRule>
    <cfRule type="cellIs" dxfId="10320" priority="1653" operator="equal">
      <formula>3.4</formula>
    </cfRule>
    <cfRule type="cellIs" dxfId="10319" priority="1654" operator="equal">
      <formula>3.3</formula>
    </cfRule>
    <cfRule type="cellIs" dxfId="10318" priority="1655" operator="equal">
      <formula>3.2</formula>
    </cfRule>
    <cfRule type="cellIs" dxfId="10317" priority="1656" operator="equal">
      <formula>3.1</formula>
    </cfRule>
    <cfRule type="cellIs" dxfId="10316" priority="1657" operator="equal">
      <formula>2.4</formula>
    </cfRule>
    <cfRule type="cellIs" dxfId="10315" priority="1658" operator="equal">
      <formula>2.3</formula>
    </cfRule>
    <cfRule type="cellIs" dxfId="10314" priority="1659" operator="equal">
      <formula>2.2</formula>
    </cfRule>
    <cfRule type="cellIs" dxfId="10313" priority="1660" operator="equal">
      <formula>2.1</formula>
    </cfRule>
    <cfRule type="cellIs" dxfId="10312" priority="1661" operator="equal">
      <formula>1.5</formula>
    </cfRule>
    <cfRule type="cellIs" dxfId="10311" priority="1662" operator="equal">
      <formula>1.4</formula>
    </cfRule>
    <cfRule type="cellIs" dxfId="10310" priority="1663" operator="equal">
      <formula>1.3</formula>
    </cfRule>
    <cfRule type="cellIs" dxfId="10309" priority="1664" operator="equal">
      <formula>1.2</formula>
    </cfRule>
    <cfRule type="containsText" dxfId="10308" priority="1665" operator="containsText" text="1.1">
      <formula>NOT(ISERROR(SEARCH("1.1",A1)))</formula>
    </cfRule>
  </conditionalFormatting>
  <conditionalFormatting sqref="A87:A89 A84:L86 A93 F93:L94">
    <cfRule type="cellIs" dxfId="10307" priority="1631" operator="equal">
      <formula>4.4</formula>
    </cfRule>
    <cfRule type="cellIs" dxfId="10306" priority="1632" operator="equal">
      <formula>4.3</formula>
    </cfRule>
    <cfRule type="cellIs" dxfId="10305" priority="1633" operator="equal">
      <formula>4.2</formula>
    </cfRule>
    <cfRule type="cellIs" dxfId="10304" priority="1634" operator="equal">
      <formula>4.1</formula>
    </cfRule>
    <cfRule type="cellIs" dxfId="10303" priority="1635" operator="equal">
      <formula>3.4</formula>
    </cfRule>
    <cfRule type="cellIs" dxfId="10302" priority="1636" operator="equal">
      <formula>3.3</formula>
    </cfRule>
    <cfRule type="cellIs" dxfId="10301" priority="1637" operator="equal">
      <formula>3.2</formula>
    </cfRule>
    <cfRule type="cellIs" dxfId="10300" priority="1638" operator="equal">
      <formula>3.1</formula>
    </cfRule>
    <cfRule type="cellIs" dxfId="10299" priority="1639" operator="equal">
      <formula>2.4</formula>
    </cfRule>
    <cfRule type="cellIs" dxfId="10298" priority="1640" operator="equal">
      <formula>2.3</formula>
    </cfRule>
    <cfRule type="cellIs" dxfId="10297" priority="1641" operator="equal">
      <formula>2.2</formula>
    </cfRule>
    <cfRule type="cellIs" dxfId="10296" priority="1642" operator="equal">
      <formula>2.1</formula>
    </cfRule>
    <cfRule type="cellIs" dxfId="10295" priority="1643" operator="equal">
      <formula>1.5</formula>
    </cfRule>
    <cfRule type="cellIs" dxfId="10294" priority="1644" operator="equal">
      <formula>1.4</formula>
    </cfRule>
    <cfRule type="cellIs" dxfId="10293" priority="1645" operator="equal">
      <formula>1.3</formula>
    </cfRule>
    <cfRule type="cellIs" dxfId="10292" priority="1646" operator="equal">
      <formula>1.2</formula>
    </cfRule>
    <cfRule type="containsText" dxfId="10291" priority="1647" operator="containsText" text="1.1">
      <formula>NOT(ISERROR(SEARCH("1.1",A84)))</formula>
    </cfRule>
  </conditionalFormatting>
  <conditionalFormatting sqref="H93:L94">
    <cfRule type="containsBlanks" dxfId="10290" priority="1630">
      <formula>LEN(TRIM(H93))=0</formula>
    </cfRule>
  </conditionalFormatting>
  <conditionalFormatting sqref="B87:G89">
    <cfRule type="cellIs" dxfId="10289" priority="1612" operator="equal">
      <formula>4.4</formula>
    </cfRule>
    <cfRule type="cellIs" dxfId="10288" priority="1613" operator="equal">
      <formula>4.3</formula>
    </cfRule>
    <cfRule type="cellIs" dxfId="10287" priority="1614" operator="equal">
      <formula>4.2</formula>
    </cfRule>
    <cfRule type="cellIs" dxfId="10286" priority="1615" operator="equal">
      <formula>4.1</formula>
    </cfRule>
    <cfRule type="cellIs" dxfId="10285" priority="1616" operator="equal">
      <formula>3.4</formula>
    </cfRule>
    <cfRule type="cellIs" dxfId="10284" priority="1617" operator="equal">
      <formula>3.3</formula>
    </cfRule>
    <cfRule type="cellIs" dxfId="10283" priority="1618" operator="equal">
      <formula>3.2</formula>
    </cfRule>
    <cfRule type="cellIs" dxfId="10282" priority="1619" operator="equal">
      <formula>3.1</formula>
    </cfRule>
    <cfRule type="cellIs" dxfId="10281" priority="1620" operator="equal">
      <formula>2.4</formula>
    </cfRule>
    <cfRule type="cellIs" dxfId="10280" priority="1621" operator="equal">
      <formula>2.3</formula>
    </cfRule>
    <cfRule type="cellIs" dxfId="10279" priority="1622" operator="equal">
      <formula>2.2</formula>
    </cfRule>
    <cfRule type="cellIs" dxfId="10278" priority="1623" operator="equal">
      <formula>2.1</formula>
    </cfRule>
    <cfRule type="cellIs" dxfId="10277" priority="1624" operator="equal">
      <formula>1.5</formula>
    </cfRule>
    <cfRule type="cellIs" dxfId="10276" priority="1625" operator="equal">
      <formula>1.4</formula>
    </cfRule>
    <cfRule type="cellIs" dxfId="10275" priority="1626" operator="equal">
      <formula>1.3</formula>
    </cfRule>
    <cfRule type="cellIs" dxfId="10274" priority="1627" operator="equal">
      <formula>1.2</formula>
    </cfRule>
    <cfRule type="containsText" dxfId="10273" priority="1628" operator="containsText" text="1.1">
      <formula>NOT(ISERROR(SEARCH("1.1",B87)))</formula>
    </cfRule>
  </conditionalFormatting>
  <conditionalFormatting sqref="H87:L89">
    <cfRule type="cellIs" dxfId="10272" priority="1593" operator="equal">
      <formula>4.4</formula>
    </cfRule>
    <cfRule type="cellIs" dxfId="10271" priority="1594" operator="equal">
      <formula>4.3</formula>
    </cfRule>
    <cfRule type="cellIs" dxfId="10270" priority="1595" operator="equal">
      <formula>4.2</formula>
    </cfRule>
    <cfRule type="cellIs" dxfId="10269" priority="1596" operator="equal">
      <formula>4.1</formula>
    </cfRule>
    <cfRule type="cellIs" dxfId="10268" priority="1597" operator="equal">
      <formula>3.4</formula>
    </cfRule>
    <cfRule type="cellIs" dxfId="10267" priority="1598" operator="equal">
      <formula>3.3</formula>
    </cfRule>
    <cfRule type="cellIs" dxfId="10266" priority="1599" operator="equal">
      <formula>3.2</formula>
    </cfRule>
    <cfRule type="cellIs" dxfId="10265" priority="1600" operator="equal">
      <formula>3.1</formula>
    </cfRule>
    <cfRule type="cellIs" dxfId="10264" priority="1601" operator="equal">
      <formula>2.4</formula>
    </cfRule>
    <cfRule type="cellIs" dxfId="10263" priority="1602" operator="equal">
      <formula>2.3</formula>
    </cfRule>
    <cfRule type="cellIs" dxfId="10262" priority="1603" operator="equal">
      <formula>2.2</formula>
    </cfRule>
    <cfRule type="cellIs" dxfId="10261" priority="1604" operator="equal">
      <formula>2.1</formula>
    </cfRule>
    <cfRule type="cellIs" dxfId="10260" priority="1605" operator="equal">
      <formula>1.5</formula>
    </cfRule>
    <cfRule type="cellIs" dxfId="10259" priority="1606" operator="equal">
      <formula>1.4</formula>
    </cfRule>
    <cfRule type="cellIs" dxfId="10258" priority="1607" operator="equal">
      <formula>1.3</formula>
    </cfRule>
    <cfRule type="cellIs" dxfId="10257" priority="1608" operator="equal">
      <formula>1.2</formula>
    </cfRule>
    <cfRule type="containsText" dxfId="10256" priority="1609" operator="containsText" text="1.1">
      <formula>NOT(ISERROR(SEARCH("1.1",H87)))</formula>
    </cfRule>
  </conditionalFormatting>
  <conditionalFormatting sqref="V12:V41">
    <cfRule type="cellIs" dxfId="10255" priority="1576" operator="equal">
      <formula>4.4</formula>
    </cfRule>
    <cfRule type="cellIs" dxfId="10254" priority="1577" operator="equal">
      <formula>4.3</formula>
    </cfRule>
    <cfRule type="cellIs" dxfId="10253" priority="1578" operator="equal">
      <formula>4.2</formula>
    </cfRule>
    <cfRule type="cellIs" dxfId="10252" priority="1579" operator="equal">
      <formula>4.1</formula>
    </cfRule>
    <cfRule type="cellIs" dxfId="10251" priority="1580" operator="equal">
      <formula>3.4</formula>
    </cfRule>
    <cfRule type="cellIs" dxfId="10250" priority="1581" operator="equal">
      <formula>3.3</formula>
    </cfRule>
    <cfRule type="cellIs" dxfId="10249" priority="1582" operator="equal">
      <formula>3.2</formula>
    </cfRule>
    <cfRule type="cellIs" dxfId="10248" priority="1583" operator="equal">
      <formula>3.1</formula>
    </cfRule>
    <cfRule type="cellIs" dxfId="10247" priority="1584" operator="equal">
      <formula>2.4</formula>
    </cfRule>
    <cfRule type="cellIs" dxfId="10246" priority="1585" operator="equal">
      <formula>2.3</formula>
    </cfRule>
    <cfRule type="cellIs" dxfId="10245" priority="1586" operator="equal">
      <formula>2.2</formula>
    </cfRule>
    <cfRule type="cellIs" dxfId="10244" priority="1587" operator="equal">
      <formula>2.1</formula>
    </cfRule>
    <cfRule type="cellIs" dxfId="10243" priority="1588" operator="equal">
      <formula>1.5</formula>
    </cfRule>
    <cfRule type="cellIs" dxfId="10242" priority="1589" operator="equal">
      <formula>1.4</formula>
    </cfRule>
    <cfRule type="cellIs" dxfId="10241" priority="1590" operator="equal">
      <formula>1.3</formula>
    </cfRule>
    <cfRule type="cellIs" dxfId="10240" priority="1591" operator="equal">
      <formula>1.2</formula>
    </cfRule>
    <cfRule type="containsText" dxfId="10239" priority="1592" operator="containsText" text="1.1">
      <formula>NOT(ISERROR(SEARCH("1.1",V12)))</formula>
    </cfRule>
  </conditionalFormatting>
  <conditionalFormatting sqref="A9:H11">
    <cfRule type="cellIs" dxfId="10238" priority="1559" operator="equal">
      <formula>4.4</formula>
    </cfRule>
    <cfRule type="cellIs" dxfId="10237" priority="1560" operator="equal">
      <formula>4.3</formula>
    </cfRule>
    <cfRule type="cellIs" dxfId="10236" priority="1561" operator="equal">
      <formula>4.2</formula>
    </cfRule>
    <cfRule type="cellIs" dxfId="10235" priority="1562" operator="equal">
      <formula>4.1</formula>
    </cfRule>
    <cfRule type="cellIs" dxfId="10234" priority="1563" operator="equal">
      <formula>3.4</formula>
    </cfRule>
    <cfRule type="cellIs" dxfId="10233" priority="1564" operator="equal">
      <formula>3.3</formula>
    </cfRule>
    <cfRule type="cellIs" dxfId="10232" priority="1565" operator="equal">
      <formula>3.2</formula>
    </cfRule>
    <cfRule type="cellIs" dxfId="10231" priority="1566" operator="equal">
      <formula>3.1</formula>
    </cfRule>
    <cfRule type="cellIs" dxfId="10230" priority="1567" operator="equal">
      <formula>2.4</formula>
    </cfRule>
    <cfRule type="cellIs" dxfId="10229" priority="1568" operator="equal">
      <formula>2.3</formula>
    </cfRule>
    <cfRule type="cellIs" dxfId="10228" priority="1569" operator="equal">
      <formula>2.2</formula>
    </cfRule>
    <cfRule type="cellIs" dxfId="10227" priority="1570" operator="equal">
      <formula>2.1</formula>
    </cfRule>
    <cfRule type="cellIs" dxfId="10226" priority="1571" operator="equal">
      <formula>1.5</formula>
    </cfRule>
    <cfRule type="cellIs" dxfId="10225" priority="1572" operator="equal">
      <formula>1.4</formula>
    </cfRule>
    <cfRule type="cellIs" dxfId="10224" priority="1573" operator="equal">
      <formula>1.3</formula>
    </cfRule>
    <cfRule type="cellIs" dxfId="10223" priority="1574" operator="equal">
      <formula>1.2</formula>
    </cfRule>
    <cfRule type="containsText" dxfId="10222" priority="1575" operator="containsText" text="1.1">
      <formula>NOT(ISERROR(SEARCH("1.1",A9)))</formula>
    </cfRule>
  </conditionalFormatting>
  <conditionalFormatting sqref="A38:H39">
    <cfRule type="cellIs" dxfId="10221" priority="1542" operator="equal">
      <formula>4.4</formula>
    </cfRule>
    <cfRule type="cellIs" dxfId="10220" priority="1543" operator="equal">
      <formula>4.3</formula>
    </cfRule>
    <cfRule type="cellIs" dxfId="10219" priority="1544" operator="equal">
      <formula>4.2</formula>
    </cfRule>
    <cfRule type="cellIs" dxfId="10218" priority="1545" operator="equal">
      <formula>4.1</formula>
    </cfRule>
    <cfRule type="cellIs" dxfId="10217" priority="1546" operator="equal">
      <formula>3.4</formula>
    </cfRule>
    <cfRule type="cellIs" dxfId="10216" priority="1547" operator="equal">
      <formula>3.3</formula>
    </cfRule>
    <cfRule type="cellIs" dxfId="10215" priority="1548" operator="equal">
      <formula>3.2</formula>
    </cfRule>
    <cfRule type="cellIs" dxfId="10214" priority="1549" operator="equal">
      <formula>3.1</formula>
    </cfRule>
    <cfRule type="cellIs" dxfId="10213" priority="1550" operator="equal">
      <formula>2.4</formula>
    </cfRule>
    <cfRule type="cellIs" dxfId="10212" priority="1551" operator="equal">
      <formula>2.3</formula>
    </cfRule>
    <cfRule type="cellIs" dxfId="10211" priority="1552" operator="equal">
      <formula>2.2</formula>
    </cfRule>
    <cfRule type="cellIs" dxfId="10210" priority="1553" operator="equal">
      <formula>2.1</formula>
    </cfRule>
    <cfRule type="cellIs" dxfId="10209" priority="1554" operator="equal">
      <formula>1.5</formula>
    </cfRule>
    <cfRule type="cellIs" dxfId="10208" priority="1555" operator="equal">
      <formula>1.4</formula>
    </cfRule>
    <cfRule type="cellIs" dxfId="10207" priority="1556" operator="equal">
      <formula>1.3</formula>
    </cfRule>
    <cfRule type="cellIs" dxfId="10206" priority="1557" operator="equal">
      <formula>1.2</formula>
    </cfRule>
    <cfRule type="containsText" dxfId="10205" priority="1558" operator="containsText" text="1.1">
      <formula>NOT(ISERROR(SEARCH("1.1",A38)))</formula>
    </cfRule>
  </conditionalFormatting>
  <conditionalFormatting sqref="A49:G51">
    <cfRule type="cellIs" dxfId="10204" priority="1525" operator="equal">
      <formula>4.4</formula>
    </cfRule>
    <cfRule type="cellIs" dxfId="10203" priority="1526" operator="equal">
      <formula>4.3</formula>
    </cfRule>
    <cfRule type="cellIs" dxfId="10202" priority="1527" operator="equal">
      <formula>4.2</formula>
    </cfRule>
    <cfRule type="cellIs" dxfId="10201" priority="1528" operator="equal">
      <formula>4.1</formula>
    </cfRule>
    <cfRule type="cellIs" dxfId="10200" priority="1529" operator="equal">
      <formula>3.4</formula>
    </cfRule>
    <cfRule type="cellIs" dxfId="10199" priority="1530" operator="equal">
      <formula>3.3</formula>
    </cfRule>
    <cfRule type="cellIs" dxfId="10198" priority="1531" operator="equal">
      <formula>3.2</formula>
    </cfRule>
    <cfRule type="cellIs" dxfId="10197" priority="1532" operator="equal">
      <formula>3.1</formula>
    </cfRule>
    <cfRule type="cellIs" dxfId="10196" priority="1533" operator="equal">
      <formula>2.4</formula>
    </cfRule>
    <cfRule type="cellIs" dxfId="10195" priority="1534" operator="equal">
      <formula>2.3</formula>
    </cfRule>
    <cfRule type="cellIs" dxfId="10194" priority="1535" operator="equal">
      <formula>2.2</formula>
    </cfRule>
    <cfRule type="cellIs" dxfId="10193" priority="1536" operator="equal">
      <formula>2.1</formula>
    </cfRule>
    <cfRule type="cellIs" dxfId="10192" priority="1537" operator="equal">
      <formula>1.5</formula>
    </cfRule>
    <cfRule type="cellIs" dxfId="10191" priority="1538" operator="equal">
      <formula>1.4</formula>
    </cfRule>
    <cfRule type="cellIs" dxfId="10190" priority="1539" operator="equal">
      <formula>1.3</formula>
    </cfRule>
    <cfRule type="cellIs" dxfId="10189" priority="1540" operator="equal">
      <formula>1.2</formula>
    </cfRule>
    <cfRule type="containsText" dxfId="10188" priority="1541" operator="containsText" text="1.1">
      <formula>NOT(ISERROR(SEARCH("1.1",A49)))</formula>
    </cfRule>
  </conditionalFormatting>
  <conditionalFormatting sqref="BE5:BH6">
    <cfRule type="cellIs" dxfId="10187" priority="1246" operator="equal">
      <formula>4.4</formula>
    </cfRule>
    <cfRule type="cellIs" dxfId="10186" priority="1247" operator="equal">
      <formula>4.3</formula>
    </cfRule>
    <cfRule type="cellIs" dxfId="10185" priority="1248" operator="equal">
      <formula>4.2</formula>
    </cfRule>
    <cfRule type="cellIs" dxfId="10184" priority="1249" operator="equal">
      <formula>4.1</formula>
    </cfRule>
    <cfRule type="cellIs" dxfId="10183" priority="1250" operator="equal">
      <formula>3.4</formula>
    </cfRule>
    <cfRule type="cellIs" dxfId="10182" priority="1251" operator="equal">
      <formula>3.3</formula>
    </cfRule>
    <cfRule type="cellIs" dxfId="10181" priority="1252" operator="equal">
      <formula>3.2</formula>
    </cfRule>
    <cfRule type="cellIs" dxfId="10180" priority="1253" operator="equal">
      <formula>3.1</formula>
    </cfRule>
    <cfRule type="cellIs" dxfId="10179" priority="1254" operator="equal">
      <formula>2.4</formula>
    </cfRule>
    <cfRule type="cellIs" dxfId="10178" priority="1255" operator="equal">
      <formula>2.3</formula>
    </cfRule>
    <cfRule type="cellIs" dxfId="10177" priority="1256" operator="equal">
      <formula>2.2</formula>
    </cfRule>
    <cfRule type="cellIs" dxfId="10176" priority="1257" operator="equal">
      <formula>2.1</formula>
    </cfRule>
    <cfRule type="cellIs" dxfId="10175" priority="1258" operator="equal">
      <formula>1.5</formula>
    </cfRule>
    <cfRule type="cellIs" dxfId="10174" priority="1259" operator="equal">
      <formula>1.4</formula>
    </cfRule>
    <cfRule type="cellIs" dxfId="10173" priority="1260" operator="equal">
      <formula>1.3</formula>
    </cfRule>
    <cfRule type="cellIs" dxfId="10172" priority="1261" operator="equal">
      <formula>1.2</formula>
    </cfRule>
    <cfRule type="containsText" dxfId="10171" priority="1262" operator="containsText" text="1.1">
      <formula>NOT(ISERROR(SEARCH("1.1",BE5)))</formula>
    </cfRule>
  </conditionalFormatting>
  <conditionalFormatting sqref="M21:S23">
    <cfRule type="cellIs" dxfId="10170" priority="1456" operator="equal">
      <formula>4.4</formula>
    </cfRule>
    <cfRule type="cellIs" dxfId="10169" priority="1457" operator="equal">
      <formula>4.3</formula>
    </cfRule>
    <cfRule type="cellIs" dxfId="10168" priority="1458" operator="equal">
      <formula>4.2</formula>
    </cfRule>
    <cfRule type="cellIs" dxfId="10167" priority="1459" operator="equal">
      <formula>4.1</formula>
    </cfRule>
    <cfRule type="cellIs" dxfId="10166" priority="1460" operator="equal">
      <formula>3.4</formula>
    </cfRule>
    <cfRule type="cellIs" dxfId="10165" priority="1461" operator="equal">
      <formula>3.3</formula>
    </cfRule>
    <cfRule type="cellIs" dxfId="10164" priority="1462" operator="equal">
      <formula>3.2</formula>
    </cfRule>
    <cfRule type="cellIs" dxfId="10163" priority="1463" operator="equal">
      <formula>3.1</formula>
    </cfRule>
    <cfRule type="cellIs" dxfId="10162" priority="1464" operator="equal">
      <formula>2.4</formula>
    </cfRule>
    <cfRule type="cellIs" dxfId="10161" priority="1465" operator="equal">
      <formula>2.3</formula>
    </cfRule>
    <cfRule type="cellIs" dxfId="10160" priority="1466" operator="equal">
      <formula>2.2</formula>
    </cfRule>
    <cfRule type="cellIs" dxfId="10159" priority="1467" operator="equal">
      <formula>2.1</formula>
    </cfRule>
    <cfRule type="cellIs" dxfId="10158" priority="1468" operator="equal">
      <formula>1.5</formula>
    </cfRule>
    <cfRule type="cellIs" dxfId="10157" priority="1469" operator="equal">
      <formula>1.4</formula>
    </cfRule>
    <cfRule type="cellIs" dxfId="10156" priority="1470" operator="equal">
      <formula>1.3</formula>
    </cfRule>
    <cfRule type="cellIs" dxfId="10155" priority="1471" operator="equal">
      <formula>1.2</formula>
    </cfRule>
    <cfRule type="containsText" dxfId="10154" priority="1472" operator="containsText" text="1.1">
      <formula>NOT(ISERROR(SEARCH("1.1",M21)))</formula>
    </cfRule>
  </conditionalFormatting>
  <conditionalFormatting sqref="AB135:AC137 AJ144:AK146 AR141:AS143 AS102:AS140 BA102:BA143 BI102:BI143 AZ144:BA146 T138:U140 BH144:BI146">
    <cfRule type="containsBlanks" dxfId="10153" priority="1455">
      <formula>LEN(TRIM(T102))=0</formula>
    </cfRule>
  </conditionalFormatting>
  <conditionalFormatting sqref="AK102:AK143">
    <cfRule type="containsBlanks" dxfId="10152" priority="1454">
      <formula>LEN(TRIM(AK102))=0</formula>
    </cfRule>
  </conditionalFormatting>
  <conditionalFormatting sqref="AK152:AK181">
    <cfRule type="containsBlanks" dxfId="10151" priority="1375">
      <formula>LEN(TRIM(AK152))=0</formula>
    </cfRule>
  </conditionalFormatting>
  <conditionalFormatting sqref="N141:R141 V136:Z146 AA141:AC146 N99:AK101 N102:T137 AA136:AJ140 V135:AJ135 V102:AB134 AD102:AK104 AD144:AK146 AD105:AJ134 N138:U140 AK105:AK143 AL99:BI146">
    <cfRule type="cellIs" dxfId="10150" priority="1435" operator="equal">
      <formula>4.4</formula>
    </cfRule>
    <cfRule type="cellIs" dxfId="10149" priority="1436" operator="equal">
      <formula>4.3</formula>
    </cfRule>
    <cfRule type="cellIs" dxfId="10148" priority="1437" operator="equal">
      <formula>4.2</formula>
    </cfRule>
    <cfRule type="cellIs" dxfId="10147" priority="1438" operator="equal">
      <formula>4.1</formula>
    </cfRule>
    <cfRule type="cellIs" dxfId="10146" priority="1439" operator="equal">
      <formula>3.4</formula>
    </cfRule>
    <cfRule type="cellIs" dxfId="10145" priority="1440" operator="equal">
      <formula>3.3</formula>
    </cfRule>
    <cfRule type="cellIs" dxfId="10144" priority="1441" operator="equal">
      <formula>3.2</formula>
    </cfRule>
    <cfRule type="cellIs" dxfId="10143" priority="1442" operator="equal">
      <formula>3.1</formula>
    </cfRule>
    <cfRule type="cellIs" dxfId="10142" priority="1443" operator="equal">
      <formula>2.4</formula>
    </cfRule>
    <cfRule type="cellIs" dxfId="10141" priority="1444" operator="equal">
      <formula>2.3</formula>
    </cfRule>
    <cfRule type="cellIs" dxfId="10140" priority="1445" operator="equal">
      <formula>2.2</formula>
    </cfRule>
    <cfRule type="cellIs" dxfId="10139" priority="1446" operator="equal">
      <formula>2.1</formula>
    </cfRule>
    <cfRule type="cellIs" dxfId="10138" priority="1447" operator="equal">
      <formula>1.5</formula>
    </cfRule>
    <cfRule type="cellIs" dxfId="10137" priority="1448" operator="equal">
      <formula>1.4</formula>
    </cfRule>
    <cfRule type="cellIs" dxfId="10136" priority="1449" operator="equal">
      <formula>1.3</formula>
    </cfRule>
    <cfRule type="cellIs" dxfId="10135" priority="1450" operator="equal">
      <formula>1.2</formula>
    </cfRule>
    <cfRule type="containsText" dxfId="10134" priority="1451" operator="containsText" text="1.1">
      <formula>NOT(ISERROR(SEARCH("1.1",N99)))</formula>
    </cfRule>
  </conditionalFormatting>
  <conditionalFormatting sqref="AS152:AS178">
    <cfRule type="containsBlanks" dxfId="10133" priority="1374">
      <formula>LEN(TRIM(AS152))=0</formula>
    </cfRule>
  </conditionalFormatting>
  <conditionalFormatting sqref="AD141:AJ143">
    <cfRule type="cellIs" dxfId="10132" priority="1417" operator="equal">
      <formula>4.4</formula>
    </cfRule>
    <cfRule type="cellIs" dxfId="10131" priority="1418" operator="equal">
      <formula>4.3</formula>
    </cfRule>
    <cfRule type="cellIs" dxfId="10130" priority="1419" operator="equal">
      <formula>4.2</formula>
    </cfRule>
    <cfRule type="cellIs" dxfId="10129" priority="1420" operator="equal">
      <formula>4.1</formula>
    </cfRule>
    <cfRule type="cellIs" dxfId="10128" priority="1421" operator="equal">
      <formula>3.4</formula>
    </cfRule>
    <cfRule type="cellIs" dxfId="10127" priority="1422" operator="equal">
      <formula>3.3</formula>
    </cfRule>
    <cfRule type="cellIs" dxfId="10126" priority="1423" operator="equal">
      <formula>3.2</formula>
    </cfRule>
    <cfRule type="cellIs" dxfId="10125" priority="1424" operator="equal">
      <formula>3.1</formula>
    </cfRule>
    <cfRule type="cellIs" dxfId="10124" priority="1425" operator="equal">
      <formula>2.4</formula>
    </cfRule>
    <cfRule type="cellIs" dxfId="10123" priority="1426" operator="equal">
      <formula>2.3</formula>
    </cfRule>
    <cfRule type="cellIs" dxfId="10122" priority="1427" operator="equal">
      <formula>2.2</formula>
    </cfRule>
    <cfRule type="cellIs" dxfId="10121" priority="1428" operator="equal">
      <formula>2.1</formula>
    </cfRule>
    <cfRule type="cellIs" dxfId="10120" priority="1429" operator="equal">
      <formula>1.5</formula>
    </cfRule>
    <cfRule type="cellIs" dxfId="10119" priority="1430" operator="equal">
      <formula>1.4</formula>
    </cfRule>
    <cfRule type="cellIs" dxfId="10118" priority="1431" operator="equal">
      <formula>1.3</formula>
    </cfRule>
    <cfRule type="cellIs" dxfId="10117" priority="1432" operator="equal">
      <formula>1.2</formula>
    </cfRule>
    <cfRule type="containsText" dxfId="10116" priority="1433" operator="containsText" text="1.1">
      <formula>NOT(ISERROR(SEARCH("1.1",AD141)))</formula>
    </cfRule>
  </conditionalFormatting>
  <conditionalFormatting sqref="U102:U137">
    <cfRule type="containsBlanks" dxfId="10115" priority="1416">
      <formula>LEN(TRIM(U102))=0</formula>
    </cfRule>
  </conditionalFormatting>
  <conditionalFormatting sqref="U102:U137">
    <cfRule type="cellIs" dxfId="10114" priority="1399" operator="equal">
      <formula>4.4</formula>
    </cfRule>
    <cfRule type="cellIs" dxfId="10113" priority="1400" operator="equal">
      <formula>4.3</formula>
    </cfRule>
    <cfRule type="cellIs" dxfId="10112" priority="1401" operator="equal">
      <formula>4.2</formula>
    </cfRule>
    <cfRule type="cellIs" dxfId="10111" priority="1402" operator="equal">
      <formula>4.1</formula>
    </cfRule>
    <cfRule type="cellIs" dxfId="10110" priority="1403" operator="equal">
      <formula>3.4</formula>
    </cfRule>
    <cfRule type="cellIs" dxfId="10109" priority="1404" operator="equal">
      <formula>3.3</formula>
    </cfRule>
    <cfRule type="cellIs" dxfId="10108" priority="1405" operator="equal">
      <formula>3.2</formula>
    </cfRule>
    <cfRule type="cellIs" dxfId="10107" priority="1406" operator="equal">
      <formula>3.1</formula>
    </cfRule>
    <cfRule type="cellIs" dxfId="10106" priority="1407" operator="equal">
      <formula>2.4</formula>
    </cfRule>
    <cfRule type="cellIs" dxfId="10105" priority="1408" operator="equal">
      <formula>2.3</formula>
    </cfRule>
    <cfRule type="cellIs" dxfId="10104" priority="1409" operator="equal">
      <formula>2.2</formula>
    </cfRule>
    <cfRule type="cellIs" dxfId="10103" priority="1410" operator="equal">
      <formula>2.1</formula>
    </cfRule>
    <cfRule type="cellIs" dxfId="10102" priority="1411" operator="equal">
      <formula>1.5</formula>
    </cfRule>
    <cfRule type="cellIs" dxfId="10101" priority="1412" operator="equal">
      <formula>1.4</formula>
    </cfRule>
    <cfRule type="cellIs" dxfId="10100" priority="1413" operator="equal">
      <formula>1.3</formula>
    </cfRule>
    <cfRule type="cellIs" dxfId="10099" priority="1414" operator="equal">
      <formula>1.2</formula>
    </cfRule>
    <cfRule type="containsText" dxfId="10098" priority="1415" operator="containsText" text="1.1">
      <formula>NOT(ISERROR(SEARCH("1.1",U102)))</formula>
    </cfRule>
  </conditionalFormatting>
  <conditionalFormatting sqref="AC102:AC134">
    <cfRule type="containsBlanks" dxfId="10097" priority="1398">
      <formula>LEN(TRIM(AC102))=0</formula>
    </cfRule>
  </conditionalFormatting>
  <conditionalFormatting sqref="AC102:AC134">
    <cfRule type="cellIs" dxfId="10096" priority="1381" operator="equal">
      <formula>4.4</formula>
    </cfRule>
    <cfRule type="cellIs" dxfId="10095" priority="1382" operator="equal">
      <formula>4.3</formula>
    </cfRule>
    <cfRule type="cellIs" dxfId="10094" priority="1383" operator="equal">
      <formula>4.2</formula>
    </cfRule>
    <cfRule type="cellIs" dxfId="10093" priority="1384" operator="equal">
      <formula>4.1</formula>
    </cfRule>
    <cfRule type="cellIs" dxfId="10092" priority="1385" operator="equal">
      <formula>3.4</formula>
    </cfRule>
    <cfRule type="cellIs" dxfId="10091" priority="1386" operator="equal">
      <formula>3.3</formula>
    </cfRule>
    <cfRule type="cellIs" dxfId="10090" priority="1387" operator="equal">
      <formula>3.2</formula>
    </cfRule>
    <cfRule type="cellIs" dxfId="10089" priority="1388" operator="equal">
      <formula>3.1</formula>
    </cfRule>
    <cfRule type="cellIs" dxfId="10088" priority="1389" operator="equal">
      <formula>2.4</formula>
    </cfRule>
    <cfRule type="cellIs" dxfId="10087" priority="1390" operator="equal">
      <formula>2.3</formula>
    </cfRule>
    <cfRule type="cellIs" dxfId="10086" priority="1391" operator="equal">
      <formula>2.2</formula>
    </cfRule>
    <cfRule type="cellIs" dxfId="10085" priority="1392" operator="equal">
      <formula>2.1</formula>
    </cfRule>
    <cfRule type="cellIs" dxfId="10084" priority="1393" operator="equal">
      <formula>1.5</formula>
    </cfRule>
    <cfRule type="cellIs" dxfId="10083" priority="1394" operator="equal">
      <formula>1.4</formula>
    </cfRule>
    <cfRule type="cellIs" dxfId="10082" priority="1395" operator="equal">
      <formula>1.3</formula>
    </cfRule>
    <cfRule type="cellIs" dxfId="10081" priority="1396" operator="equal">
      <formula>1.2</formula>
    </cfRule>
    <cfRule type="containsText" dxfId="10080" priority="1397" operator="containsText" text="1.1">
      <formula>NOT(ISERROR(SEARCH("1.1",AC102)))</formula>
    </cfRule>
  </conditionalFormatting>
  <conditionalFormatting sqref="T185:U187 AB182:AC184 AJ182:AK184 AR179:AS181 AZ194:BA196 BH194:BI196">
    <cfRule type="containsBlanks" dxfId="10079" priority="1380">
      <formula>LEN(TRIM(T179))=0</formula>
    </cfRule>
  </conditionalFormatting>
  <conditionalFormatting sqref="BA152:BA193">
    <cfRule type="containsBlanks" dxfId="10078" priority="1379">
      <formula>LEN(TRIM(BA152))=0</formula>
    </cfRule>
  </conditionalFormatting>
  <conditionalFormatting sqref="BI152:BI193">
    <cfRule type="containsBlanks" dxfId="10077" priority="1378">
      <formula>LEN(TRIM(BI152))=0</formula>
    </cfRule>
  </conditionalFormatting>
  <conditionalFormatting sqref="U152:U184">
    <cfRule type="containsBlanks" dxfId="10076" priority="1377">
      <formula>LEN(TRIM(U152))=0</formula>
    </cfRule>
  </conditionalFormatting>
  <conditionalFormatting sqref="AC152:AC181">
    <cfRule type="containsBlanks" dxfId="10075" priority="1376">
      <formula>LEN(TRIM(AC152))=0</formula>
    </cfRule>
  </conditionalFormatting>
  <conditionalFormatting sqref="AT180:AZ190 U155:U184 N149:BI154 BB155:BH190 AC155:AC181 AK155:AK181 N155:AZ179 BA155:BA193 BI155:BI193 N180:AS196 AT194:BI196">
    <cfRule type="cellIs" dxfId="10074" priority="1357" operator="equal">
      <formula>4.4</formula>
    </cfRule>
    <cfRule type="cellIs" dxfId="10073" priority="1358" operator="equal">
      <formula>4.3</formula>
    </cfRule>
    <cfRule type="cellIs" dxfId="10072" priority="1359" operator="equal">
      <formula>4.2</formula>
    </cfRule>
    <cfRule type="cellIs" dxfId="10071" priority="1360" operator="equal">
      <formula>4.1</formula>
    </cfRule>
    <cfRule type="cellIs" dxfId="10070" priority="1361" operator="equal">
      <formula>3.4</formula>
    </cfRule>
    <cfRule type="cellIs" dxfId="10069" priority="1362" operator="equal">
      <formula>3.3</formula>
    </cfRule>
    <cfRule type="cellIs" dxfId="10068" priority="1363" operator="equal">
      <formula>3.2</formula>
    </cfRule>
    <cfRule type="cellIs" dxfId="10067" priority="1364" operator="equal">
      <formula>3.1</formula>
    </cfRule>
    <cfRule type="cellIs" dxfId="10066" priority="1365" operator="equal">
      <formula>2.4</formula>
    </cfRule>
    <cfRule type="cellIs" dxfId="10065" priority="1366" operator="equal">
      <formula>2.3</formula>
    </cfRule>
    <cfRule type="cellIs" dxfId="10064" priority="1367" operator="equal">
      <formula>2.2</formula>
    </cfRule>
    <cfRule type="cellIs" dxfId="10063" priority="1368" operator="equal">
      <formula>2.1</formula>
    </cfRule>
    <cfRule type="cellIs" dxfId="10062" priority="1369" operator="equal">
      <formula>1.5</formula>
    </cfRule>
    <cfRule type="cellIs" dxfId="10061" priority="1370" operator="equal">
      <formula>1.4</formula>
    </cfRule>
    <cfRule type="cellIs" dxfId="10060" priority="1371" operator="equal">
      <formula>1.3</formula>
    </cfRule>
    <cfRule type="cellIs" dxfId="10059" priority="1372" operator="equal">
      <formula>1.2</formula>
    </cfRule>
    <cfRule type="containsText" dxfId="10058" priority="1373" operator="containsText" text="1.1">
      <formula>NOT(ISERROR(SEARCH("1.1",N149)))</formula>
    </cfRule>
  </conditionalFormatting>
  <conditionalFormatting sqref="AT191:AZ193">
    <cfRule type="cellIs" dxfId="10057" priority="1339" operator="equal">
      <formula>4.4</formula>
    </cfRule>
    <cfRule type="cellIs" dxfId="10056" priority="1340" operator="equal">
      <formula>4.3</formula>
    </cfRule>
    <cfRule type="cellIs" dxfId="10055" priority="1341" operator="equal">
      <formula>4.2</formula>
    </cfRule>
    <cfRule type="cellIs" dxfId="10054" priority="1342" operator="equal">
      <formula>4.1</formula>
    </cfRule>
    <cfRule type="cellIs" dxfId="10053" priority="1343" operator="equal">
      <formula>3.4</formula>
    </cfRule>
    <cfRule type="cellIs" dxfId="10052" priority="1344" operator="equal">
      <formula>3.3</formula>
    </cfRule>
    <cfRule type="cellIs" dxfId="10051" priority="1345" operator="equal">
      <formula>3.2</formula>
    </cfRule>
    <cfRule type="cellIs" dxfId="10050" priority="1346" operator="equal">
      <formula>3.1</formula>
    </cfRule>
    <cfRule type="cellIs" dxfId="10049" priority="1347" operator="equal">
      <formula>2.4</formula>
    </cfRule>
    <cfRule type="cellIs" dxfId="10048" priority="1348" operator="equal">
      <formula>2.3</formula>
    </cfRule>
    <cfRule type="cellIs" dxfId="10047" priority="1349" operator="equal">
      <formula>2.2</formula>
    </cfRule>
    <cfRule type="cellIs" dxfId="10046" priority="1350" operator="equal">
      <formula>2.1</formula>
    </cfRule>
    <cfRule type="cellIs" dxfId="10045" priority="1351" operator="equal">
      <formula>1.5</formula>
    </cfRule>
    <cfRule type="cellIs" dxfId="10044" priority="1352" operator="equal">
      <formula>1.4</formula>
    </cfRule>
    <cfRule type="cellIs" dxfId="10043" priority="1353" operator="equal">
      <formula>1.3</formula>
    </cfRule>
    <cfRule type="cellIs" dxfId="10042" priority="1354" operator="equal">
      <formula>1.2</formula>
    </cfRule>
    <cfRule type="containsText" dxfId="10041" priority="1355" operator="containsText" text="1.1">
      <formula>NOT(ISERROR(SEARCH("1.1",AT191)))</formula>
    </cfRule>
  </conditionalFormatting>
  <conditionalFormatting sqref="BB191:BH193">
    <cfRule type="cellIs" dxfId="10040" priority="1321" operator="equal">
      <formula>4.4</formula>
    </cfRule>
    <cfRule type="cellIs" dxfId="10039" priority="1322" operator="equal">
      <formula>4.3</formula>
    </cfRule>
    <cfRule type="cellIs" dxfId="10038" priority="1323" operator="equal">
      <formula>4.2</formula>
    </cfRule>
    <cfRule type="cellIs" dxfId="10037" priority="1324" operator="equal">
      <formula>4.1</formula>
    </cfRule>
    <cfRule type="cellIs" dxfId="10036" priority="1325" operator="equal">
      <formula>3.4</formula>
    </cfRule>
    <cfRule type="cellIs" dxfId="10035" priority="1326" operator="equal">
      <formula>3.3</formula>
    </cfRule>
    <cfRule type="cellIs" dxfId="10034" priority="1327" operator="equal">
      <formula>3.2</formula>
    </cfRule>
    <cfRule type="cellIs" dxfId="10033" priority="1328" operator="equal">
      <formula>3.1</formula>
    </cfRule>
    <cfRule type="cellIs" dxfId="10032" priority="1329" operator="equal">
      <formula>2.4</formula>
    </cfRule>
    <cfRule type="cellIs" dxfId="10031" priority="1330" operator="equal">
      <formula>2.3</formula>
    </cfRule>
    <cfRule type="cellIs" dxfId="10030" priority="1331" operator="equal">
      <formula>2.2</formula>
    </cfRule>
    <cfRule type="cellIs" dxfId="10029" priority="1332" operator="equal">
      <formula>2.1</formula>
    </cfRule>
    <cfRule type="cellIs" dxfId="10028" priority="1333" operator="equal">
      <formula>1.5</formula>
    </cfRule>
    <cfRule type="cellIs" dxfId="10027" priority="1334" operator="equal">
      <formula>1.4</formula>
    </cfRule>
    <cfRule type="cellIs" dxfId="10026" priority="1335" operator="equal">
      <formula>1.3</formula>
    </cfRule>
    <cfRule type="cellIs" dxfId="10025" priority="1336" operator="equal">
      <formula>1.2</formula>
    </cfRule>
    <cfRule type="containsText" dxfId="10024" priority="1337" operator="containsText" text="1.1">
      <formula>NOT(ISERROR(SEARCH("1.1",BB191)))</formula>
    </cfRule>
  </conditionalFormatting>
  <conditionalFormatting sqref="AS202:AS249 T241:U243 AB241:AC243 AJ238:AK240 AR250:AS252">
    <cfRule type="containsBlanks" dxfId="10023" priority="1320">
      <formula>LEN(TRIM(T202))=0</formula>
    </cfRule>
  </conditionalFormatting>
  <conditionalFormatting sqref="U202:U240">
    <cfRule type="containsBlanks" dxfId="10022" priority="1319">
      <formula>LEN(TRIM(U202))=0</formula>
    </cfRule>
  </conditionalFormatting>
  <conditionalFormatting sqref="AC202:AC240">
    <cfRule type="containsBlanks" dxfId="10021" priority="1318">
      <formula>LEN(TRIM(AC202))=0</formula>
    </cfRule>
  </conditionalFormatting>
  <conditionalFormatting sqref="AK202:AK237">
    <cfRule type="containsBlanks" dxfId="10020" priority="1317">
      <formula>LEN(TRIM(AK202))=0</formula>
    </cfRule>
  </conditionalFormatting>
  <conditionalFormatting sqref="AI252:AK252 AI242:AK250 N241:AK241 N199:AS204 AL244:AR249 AS205:AS249 N242:AH252 N205:AR240 AL250:AS252">
    <cfRule type="cellIs" dxfId="10019" priority="1300" operator="equal">
      <formula>4.4</formula>
    </cfRule>
    <cfRule type="cellIs" dxfId="10018" priority="1301" operator="equal">
      <formula>4.3</formula>
    </cfRule>
    <cfRule type="cellIs" dxfId="10017" priority="1302" operator="equal">
      <formula>4.2</formula>
    </cfRule>
    <cfRule type="cellIs" dxfId="10016" priority="1303" operator="equal">
      <formula>4.1</formula>
    </cfRule>
    <cfRule type="cellIs" dxfId="10015" priority="1304" operator="equal">
      <formula>3.4</formula>
    </cfRule>
    <cfRule type="cellIs" dxfId="10014" priority="1305" operator="equal">
      <formula>3.3</formula>
    </cfRule>
    <cfRule type="cellIs" dxfId="10013" priority="1306" operator="equal">
      <formula>3.2</formula>
    </cfRule>
    <cfRule type="cellIs" dxfId="10012" priority="1307" operator="equal">
      <formula>3.1</formula>
    </cfRule>
    <cfRule type="cellIs" dxfId="10011" priority="1308" operator="equal">
      <formula>2.4</formula>
    </cfRule>
    <cfRule type="cellIs" dxfId="10010" priority="1309" operator="equal">
      <formula>2.3</formula>
    </cfRule>
    <cfRule type="cellIs" dxfId="10009" priority="1310" operator="equal">
      <formula>2.2</formula>
    </cfRule>
    <cfRule type="cellIs" dxfId="10008" priority="1311" operator="equal">
      <formula>2.1</formula>
    </cfRule>
    <cfRule type="cellIs" dxfId="10007" priority="1312" operator="equal">
      <formula>1.5</formula>
    </cfRule>
    <cfRule type="cellIs" dxfId="10006" priority="1313" operator="equal">
      <formula>1.4</formula>
    </cfRule>
    <cfRule type="cellIs" dxfId="10005" priority="1314" operator="equal">
      <formula>1.3</formula>
    </cfRule>
    <cfRule type="cellIs" dxfId="10004" priority="1315" operator="equal">
      <formula>1.2</formula>
    </cfRule>
    <cfRule type="containsText" dxfId="10003" priority="1316" operator="containsText" text="1.1">
      <formula>NOT(ISERROR(SEARCH("1.1",N199)))</formula>
    </cfRule>
  </conditionalFormatting>
  <conditionalFormatting sqref="AL241:AR243">
    <cfRule type="cellIs" dxfId="10002" priority="1282" operator="equal">
      <formula>4.4</formula>
    </cfRule>
    <cfRule type="cellIs" dxfId="10001" priority="1283" operator="equal">
      <formula>4.3</formula>
    </cfRule>
    <cfRule type="cellIs" dxfId="10000" priority="1284" operator="equal">
      <formula>4.2</formula>
    </cfRule>
    <cfRule type="cellIs" dxfId="9999" priority="1285" operator="equal">
      <formula>4.1</formula>
    </cfRule>
    <cfRule type="cellIs" dxfId="9998" priority="1286" operator="equal">
      <formula>3.4</formula>
    </cfRule>
    <cfRule type="cellIs" dxfId="9997" priority="1287" operator="equal">
      <formula>3.3</formula>
    </cfRule>
    <cfRule type="cellIs" dxfId="9996" priority="1288" operator="equal">
      <formula>3.2</formula>
    </cfRule>
    <cfRule type="cellIs" dxfId="9995" priority="1289" operator="equal">
      <formula>3.1</formula>
    </cfRule>
    <cfRule type="cellIs" dxfId="9994" priority="1290" operator="equal">
      <formula>2.4</formula>
    </cfRule>
    <cfRule type="cellIs" dxfId="9993" priority="1291" operator="equal">
      <formula>2.3</formula>
    </cfRule>
    <cfRule type="cellIs" dxfId="9992" priority="1292" operator="equal">
      <formula>2.2</formula>
    </cfRule>
    <cfRule type="cellIs" dxfId="9991" priority="1293" operator="equal">
      <formula>2.1</formula>
    </cfRule>
    <cfRule type="cellIs" dxfId="9990" priority="1294" operator="equal">
      <formula>1.5</formula>
    </cfRule>
    <cfRule type="cellIs" dxfId="9989" priority="1295" operator="equal">
      <formula>1.4</formula>
    </cfRule>
    <cfRule type="cellIs" dxfId="9988" priority="1296" operator="equal">
      <formula>1.3</formula>
    </cfRule>
    <cfRule type="cellIs" dxfId="9987" priority="1297" operator="equal">
      <formula>1.2</formula>
    </cfRule>
    <cfRule type="containsText" dxfId="9986" priority="1298" operator="containsText" text="1.1">
      <formula>NOT(ISERROR(SEARCH("1.1",AL241)))</formula>
    </cfRule>
  </conditionalFormatting>
  <conditionalFormatting sqref="BD5:BD6">
    <cfRule type="containsBlanks" dxfId="9985" priority="1281">
      <formula>LEN(TRIM(BD5))=0</formula>
    </cfRule>
  </conditionalFormatting>
  <conditionalFormatting sqref="BA5:BD6">
    <cfRule type="cellIs" dxfId="9984" priority="1264" operator="equal">
      <formula>4.4</formula>
    </cfRule>
    <cfRule type="cellIs" dxfId="9983" priority="1265" operator="equal">
      <formula>4.3</formula>
    </cfRule>
    <cfRule type="cellIs" dxfId="9982" priority="1266" operator="equal">
      <formula>4.2</formula>
    </cfRule>
    <cfRule type="cellIs" dxfId="9981" priority="1267" operator="equal">
      <formula>4.1</formula>
    </cfRule>
    <cfRule type="cellIs" dxfId="9980" priority="1268" operator="equal">
      <formula>3.4</formula>
    </cfRule>
    <cfRule type="cellIs" dxfId="9979" priority="1269" operator="equal">
      <formula>3.3</formula>
    </cfRule>
    <cfRule type="cellIs" dxfId="9978" priority="1270" operator="equal">
      <formula>3.2</formula>
    </cfRule>
    <cfRule type="cellIs" dxfId="9977" priority="1271" operator="equal">
      <formula>3.1</formula>
    </cfRule>
    <cfRule type="cellIs" dxfId="9976" priority="1272" operator="equal">
      <formula>2.4</formula>
    </cfRule>
    <cfRule type="cellIs" dxfId="9975" priority="1273" operator="equal">
      <formula>2.3</formula>
    </cfRule>
    <cfRule type="cellIs" dxfId="9974" priority="1274" operator="equal">
      <formula>2.2</formula>
    </cfRule>
    <cfRule type="cellIs" dxfId="9973" priority="1275" operator="equal">
      <formula>2.1</formula>
    </cfRule>
    <cfRule type="cellIs" dxfId="9972" priority="1276" operator="equal">
      <formula>1.5</formula>
    </cfRule>
    <cfRule type="cellIs" dxfId="9971" priority="1277" operator="equal">
      <formula>1.4</formula>
    </cfRule>
    <cfRule type="cellIs" dxfId="9970" priority="1278" operator="equal">
      <formula>1.3</formula>
    </cfRule>
    <cfRule type="cellIs" dxfId="9969" priority="1279" operator="equal">
      <formula>1.2</formula>
    </cfRule>
    <cfRule type="containsText" dxfId="9968" priority="1280" operator="containsText" text="1.1">
      <formula>NOT(ISERROR(SEARCH("1.1",BA5)))</formula>
    </cfRule>
  </conditionalFormatting>
  <conditionalFormatting sqref="BH5:BH6">
    <cfRule type="containsBlanks" dxfId="9967" priority="1263">
      <formula>LEN(TRIM(BH5))=0</formula>
    </cfRule>
  </conditionalFormatting>
  <conditionalFormatting sqref="BL5:BL6">
    <cfRule type="containsBlanks" dxfId="9966" priority="1245">
      <formula>LEN(TRIM(BL5))=0</formula>
    </cfRule>
  </conditionalFormatting>
  <conditionalFormatting sqref="H73:L75">
    <cfRule type="containsBlanks" dxfId="9965" priority="1244">
      <formula>LEN(TRIM(H73))=0</formula>
    </cfRule>
  </conditionalFormatting>
  <conditionalFormatting sqref="A73:L75">
    <cfRule type="cellIs" dxfId="9964" priority="1227" operator="equal">
      <formula>4.4</formula>
    </cfRule>
    <cfRule type="cellIs" dxfId="9963" priority="1228" operator="equal">
      <formula>4.3</formula>
    </cfRule>
    <cfRule type="cellIs" dxfId="9962" priority="1229" operator="equal">
      <formula>4.2</formula>
    </cfRule>
    <cfRule type="cellIs" dxfId="9961" priority="1230" operator="equal">
      <formula>4.1</formula>
    </cfRule>
    <cfRule type="cellIs" dxfId="9960" priority="1231" operator="equal">
      <formula>3.4</formula>
    </cfRule>
    <cfRule type="cellIs" dxfId="9959" priority="1232" operator="equal">
      <formula>3.3</formula>
    </cfRule>
    <cfRule type="cellIs" dxfId="9958" priority="1233" operator="equal">
      <formula>3.2</formula>
    </cfRule>
    <cfRule type="cellIs" dxfId="9957" priority="1234" operator="equal">
      <formula>3.1</formula>
    </cfRule>
    <cfRule type="cellIs" dxfId="9956" priority="1235" operator="equal">
      <formula>2.4</formula>
    </cfRule>
    <cfRule type="cellIs" dxfId="9955" priority="1236" operator="equal">
      <formula>2.3</formula>
    </cfRule>
    <cfRule type="cellIs" dxfId="9954" priority="1237" operator="equal">
      <formula>2.2</formula>
    </cfRule>
    <cfRule type="cellIs" dxfId="9953" priority="1238" operator="equal">
      <formula>2.1</formula>
    </cfRule>
    <cfRule type="cellIs" dxfId="9952" priority="1239" operator="equal">
      <formula>1.5</formula>
    </cfRule>
    <cfRule type="cellIs" dxfId="9951" priority="1240" operator="equal">
      <formula>1.4</formula>
    </cfRule>
    <cfRule type="cellIs" dxfId="9950" priority="1241" operator="equal">
      <formula>1.3</formula>
    </cfRule>
    <cfRule type="cellIs" dxfId="9949" priority="1242" operator="equal">
      <formula>1.2</formula>
    </cfRule>
    <cfRule type="containsText" dxfId="9948" priority="1243" operator="containsText" text="1.1">
      <formula>NOT(ISERROR(SEARCH("1.1",A73)))</formula>
    </cfRule>
  </conditionalFormatting>
  <conditionalFormatting sqref="B76:G78">
    <cfRule type="cellIs" dxfId="9947" priority="1193" operator="equal">
      <formula>4.4</formula>
    </cfRule>
    <cfRule type="cellIs" dxfId="9946" priority="1194" operator="equal">
      <formula>4.3</formula>
    </cfRule>
    <cfRule type="cellIs" dxfId="9945" priority="1195" operator="equal">
      <formula>4.2</formula>
    </cfRule>
    <cfRule type="cellIs" dxfId="9944" priority="1196" operator="equal">
      <formula>4.1</formula>
    </cfRule>
    <cfRule type="cellIs" dxfId="9943" priority="1197" operator="equal">
      <formula>3.4</formula>
    </cfRule>
    <cfRule type="cellIs" dxfId="9942" priority="1198" operator="equal">
      <formula>3.3</formula>
    </cfRule>
    <cfRule type="cellIs" dxfId="9941" priority="1199" operator="equal">
      <formula>3.2</formula>
    </cfRule>
    <cfRule type="cellIs" dxfId="9940" priority="1200" operator="equal">
      <formula>3.1</formula>
    </cfRule>
    <cfRule type="cellIs" dxfId="9939" priority="1201" operator="equal">
      <formula>2.4</formula>
    </cfRule>
    <cfRule type="cellIs" dxfId="9938" priority="1202" operator="equal">
      <formula>2.3</formula>
    </cfRule>
    <cfRule type="cellIs" dxfId="9937" priority="1203" operator="equal">
      <formula>2.2</formula>
    </cfRule>
    <cfRule type="cellIs" dxfId="9936" priority="1204" operator="equal">
      <formula>2.1</formula>
    </cfRule>
    <cfRule type="cellIs" dxfId="9935" priority="1205" operator="equal">
      <formula>1.5</formula>
    </cfRule>
    <cfRule type="cellIs" dxfId="9934" priority="1206" operator="equal">
      <formula>1.4</formula>
    </cfRule>
    <cfRule type="cellIs" dxfId="9933" priority="1207" operator="equal">
      <formula>1.3</formula>
    </cfRule>
    <cfRule type="cellIs" dxfId="9932" priority="1208" operator="equal">
      <formula>1.2</formula>
    </cfRule>
    <cfRule type="containsText" dxfId="9931" priority="1209" operator="containsText" text="1.1">
      <formula>NOT(ISERROR(SEARCH("1.1",B76)))</formula>
    </cfRule>
  </conditionalFormatting>
  <conditionalFormatting sqref="A76:A78">
    <cfRule type="cellIs" dxfId="9930" priority="1210" operator="equal">
      <formula>4.4</formula>
    </cfRule>
    <cfRule type="cellIs" dxfId="9929" priority="1211" operator="equal">
      <formula>4.3</formula>
    </cfRule>
    <cfRule type="cellIs" dxfId="9928" priority="1212" operator="equal">
      <formula>4.2</formula>
    </cfRule>
    <cfRule type="cellIs" dxfId="9927" priority="1213" operator="equal">
      <formula>4.1</formula>
    </cfRule>
    <cfRule type="cellIs" dxfId="9926" priority="1214" operator="equal">
      <formula>3.4</formula>
    </cfRule>
    <cfRule type="cellIs" dxfId="9925" priority="1215" operator="equal">
      <formula>3.3</formula>
    </cfRule>
    <cfRule type="cellIs" dxfId="9924" priority="1216" operator="equal">
      <formula>3.2</formula>
    </cfRule>
    <cfRule type="cellIs" dxfId="9923" priority="1217" operator="equal">
      <formula>3.1</formula>
    </cfRule>
    <cfRule type="cellIs" dxfId="9922" priority="1218" operator="equal">
      <formula>2.4</formula>
    </cfRule>
    <cfRule type="cellIs" dxfId="9921" priority="1219" operator="equal">
      <formula>2.3</formula>
    </cfRule>
    <cfRule type="cellIs" dxfId="9920" priority="1220" operator="equal">
      <formula>2.2</formula>
    </cfRule>
    <cfRule type="cellIs" dxfId="9919" priority="1221" operator="equal">
      <formula>2.1</formula>
    </cfRule>
    <cfRule type="cellIs" dxfId="9918" priority="1222" operator="equal">
      <formula>1.5</formula>
    </cfRule>
    <cfRule type="cellIs" dxfId="9917" priority="1223" operator="equal">
      <formula>1.4</formula>
    </cfRule>
    <cfRule type="cellIs" dxfId="9916" priority="1224" operator="equal">
      <formula>1.3</formula>
    </cfRule>
    <cfRule type="cellIs" dxfId="9915" priority="1225" operator="equal">
      <formula>1.2</formula>
    </cfRule>
    <cfRule type="containsText" dxfId="9914" priority="1226" operator="containsText" text="1.1">
      <formula>NOT(ISERROR(SEARCH("1.1",A76)))</formula>
    </cfRule>
  </conditionalFormatting>
  <conditionalFormatting sqref="B90:G92">
    <cfRule type="cellIs" dxfId="9913" priority="1124" operator="equal">
      <formula>4.4</formula>
    </cfRule>
    <cfRule type="cellIs" dxfId="9912" priority="1125" operator="equal">
      <formula>4.3</formula>
    </cfRule>
    <cfRule type="cellIs" dxfId="9911" priority="1126" operator="equal">
      <formula>4.2</formula>
    </cfRule>
    <cfRule type="cellIs" dxfId="9910" priority="1127" operator="equal">
      <formula>4.1</formula>
    </cfRule>
    <cfRule type="cellIs" dxfId="9909" priority="1128" operator="equal">
      <formula>3.4</formula>
    </cfRule>
    <cfRule type="cellIs" dxfId="9908" priority="1129" operator="equal">
      <formula>3.3</formula>
    </cfRule>
    <cfRule type="cellIs" dxfId="9907" priority="1130" operator="equal">
      <formula>3.2</formula>
    </cfRule>
    <cfRule type="cellIs" dxfId="9906" priority="1131" operator="equal">
      <formula>3.1</formula>
    </cfRule>
    <cfRule type="cellIs" dxfId="9905" priority="1132" operator="equal">
      <formula>2.4</formula>
    </cfRule>
    <cfRule type="cellIs" dxfId="9904" priority="1133" operator="equal">
      <formula>2.3</formula>
    </cfRule>
    <cfRule type="cellIs" dxfId="9903" priority="1134" operator="equal">
      <formula>2.2</formula>
    </cfRule>
    <cfRule type="cellIs" dxfId="9902" priority="1135" operator="equal">
      <formula>2.1</formula>
    </cfRule>
    <cfRule type="cellIs" dxfId="9901" priority="1136" operator="equal">
      <formula>1.5</formula>
    </cfRule>
    <cfRule type="cellIs" dxfId="9900" priority="1137" operator="equal">
      <formula>1.4</formula>
    </cfRule>
    <cfRule type="cellIs" dxfId="9899" priority="1138" operator="equal">
      <formula>1.3</formula>
    </cfRule>
    <cfRule type="cellIs" dxfId="9898" priority="1139" operator="equal">
      <formula>1.2</formula>
    </cfRule>
    <cfRule type="containsText" dxfId="9897" priority="1140" operator="containsText" text="1.1">
      <formula>NOT(ISERROR(SEARCH("1.1",B90)))</formula>
    </cfRule>
  </conditionalFormatting>
  <conditionalFormatting sqref="A90:A92">
    <cfRule type="cellIs" dxfId="9896" priority="1176" operator="equal">
      <formula>4.4</formula>
    </cfRule>
    <cfRule type="cellIs" dxfId="9895" priority="1177" operator="equal">
      <formula>4.3</formula>
    </cfRule>
    <cfRule type="cellIs" dxfId="9894" priority="1178" operator="equal">
      <formula>4.2</formula>
    </cfRule>
    <cfRule type="cellIs" dxfId="9893" priority="1179" operator="equal">
      <formula>4.1</formula>
    </cfRule>
    <cfRule type="cellIs" dxfId="9892" priority="1180" operator="equal">
      <formula>3.4</formula>
    </cfRule>
    <cfRule type="cellIs" dxfId="9891" priority="1181" operator="equal">
      <formula>3.3</formula>
    </cfRule>
    <cfRule type="cellIs" dxfId="9890" priority="1182" operator="equal">
      <formula>3.2</formula>
    </cfRule>
    <cfRule type="cellIs" dxfId="9889" priority="1183" operator="equal">
      <formula>3.1</formula>
    </cfRule>
    <cfRule type="cellIs" dxfId="9888" priority="1184" operator="equal">
      <formula>2.4</formula>
    </cfRule>
    <cfRule type="cellIs" dxfId="9887" priority="1185" operator="equal">
      <formula>2.3</formula>
    </cfRule>
    <cfRule type="cellIs" dxfId="9886" priority="1186" operator="equal">
      <formula>2.2</formula>
    </cfRule>
    <cfRule type="cellIs" dxfId="9885" priority="1187" operator="equal">
      <formula>2.1</formula>
    </cfRule>
    <cfRule type="cellIs" dxfId="9884" priority="1188" operator="equal">
      <formula>1.5</formula>
    </cfRule>
    <cfRule type="cellIs" dxfId="9883" priority="1189" operator="equal">
      <formula>1.4</formula>
    </cfRule>
    <cfRule type="cellIs" dxfId="9882" priority="1190" operator="equal">
      <formula>1.3</formula>
    </cfRule>
    <cfRule type="cellIs" dxfId="9881" priority="1191" operator="equal">
      <formula>1.2</formula>
    </cfRule>
    <cfRule type="containsText" dxfId="9880" priority="1192" operator="containsText" text="1.1">
      <formula>NOT(ISERROR(SEARCH("1.1",A90)))</formula>
    </cfRule>
  </conditionalFormatting>
  <conditionalFormatting sqref="H102:L128 H129:M132">
    <cfRule type="containsBlanks" dxfId="9879" priority="1123">
      <formula>LEN(TRIM(H102))=0</formula>
    </cfRule>
  </conditionalFormatting>
  <conditionalFormatting sqref="H99:L101 A102:L104 A130:E131 A105:G122 H105:L128 A129:M129 F130:M132">
    <cfRule type="cellIs" dxfId="9878" priority="1106" operator="equal">
      <formula>4.4</formula>
    </cfRule>
    <cfRule type="cellIs" dxfId="9877" priority="1107" operator="equal">
      <formula>4.3</formula>
    </cfRule>
    <cfRule type="cellIs" dxfId="9876" priority="1108" operator="equal">
      <formula>4.2</formula>
    </cfRule>
    <cfRule type="cellIs" dxfId="9875" priority="1109" operator="equal">
      <formula>4.1</formula>
    </cfRule>
    <cfRule type="cellIs" dxfId="9874" priority="1110" operator="equal">
      <formula>3.4</formula>
    </cfRule>
    <cfRule type="cellIs" dxfId="9873" priority="1111" operator="equal">
      <formula>3.3</formula>
    </cfRule>
    <cfRule type="cellIs" dxfId="9872" priority="1112" operator="equal">
      <formula>3.2</formula>
    </cfRule>
    <cfRule type="cellIs" dxfId="9871" priority="1113" operator="equal">
      <formula>3.1</formula>
    </cfRule>
    <cfRule type="cellIs" dxfId="9870" priority="1114" operator="equal">
      <formula>2.4</formula>
    </cfRule>
    <cfRule type="cellIs" dxfId="9869" priority="1115" operator="equal">
      <formula>2.3</formula>
    </cfRule>
    <cfRule type="cellIs" dxfId="9868" priority="1116" operator="equal">
      <formula>2.2</formula>
    </cfRule>
    <cfRule type="cellIs" dxfId="9867" priority="1117" operator="equal">
      <formula>2.1</formula>
    </cfRule>
    <cfRule type="cellIs" dxfId="9866" priority="1118" operator="equal">
      <formula>1.5</formula>
    </cfRule>
    <cfRule type="cellIs" dxfId="9865" priority="1119" operator="equal">
      <formula>1.4</formula>
    </cfRule>
    <cfRule type="cellIs" dxfId="9864" priority="1120" operator="equal">
      <formula>1.3</formula>
    </cfRule>
    <cfRule type="cellIs" dxfId="9863" priority="1121" operator="equal">
      <formula>1.2</formula>
    </cfRule>
    <cfRule type="containsText" dxfId="9862" priority="1122" operator="containsText" text="1.1">
      <formula>NOT(ISERROR(SEARCH("1.1",A99)))</formula>
    </cfRule>
  </conditionalFormatting>
  <conditionalFormatting sqref="A136:A138 A142 A134:M135 F142:M143">
    <cfRule type="cellIs" dxfId="9861" priority="1089" operator="equal">
      <formula>4.4</formula>
    </cfRule>
    <cfRule type="cellIs" dxfId="9860" priority="1090" operator="equal">
      <formula>4.3</formula>
    </cfRule>
    <cfRule type="cellIs" dxfId="9859" priority="1091" operator="equal">
      <formula>4.2</formula>
    </cfRule>
    <cfRule type="cellIs" dxfId="9858" priority="1092" operator="equal">
      <formula>4.1</formula>
    </cfRule>
    <cfRule type="cellIs" dxfId="9857" priority="1093" operator="equal">
      <formula>3.4</formula>
    </cfRule>
    <cfRule type="cellIs" dxfId="9856" priority="1094" operator="equal">
      <formula>3.3</formula>
    </cfRule>
    <cfRule type="cellIs" dxfId="9855" priority="1095" operator="equal">
      <formula>3.2</formula>
    </cfRule>
    <cfRule type="cellIs" dxfId="9854" priority="1096" operator="equal">
      <formula>3.1</formula>
    </cfRule>
    <cfRule type="cellIs" dxfId="9853" priority="1097" operator="equal">
      <formula>2.4</formula>
    </cfRule>
    <cfRule type="cellIs" dxfId="9852" priority="1098" operator="equal">
      <formula>2.3</formula>
    </cfRule>
    <cfRule type="cellIs" dxfId="9851" priority="1099" operator="equal">
      <formula>2.2</formula>
    </cfRule>
    <cfRule type="cellIs" dxfId="9850" priority="1100" operator="equal">
      <formula>2.1</formula>
    </cfRule>
    <cfRule type="cellIs" dxfId="9849" priority="1101" operator="equal">
      <formula>1.5</formula>
    </cfRule>
    <cfRule type="cellIs" dxfId="9848" priority="1102" operator="equal">
      <formula>1.4</formula>
    </cfRule>
    <cfRule type="cellIs" dxfId="9847" priority="1103" operator="equal">
      <formula>1.3</formula>
    </cfRule>
    <cfRule type="cellIs" dxfId="9846" priority="1104" operator="equal">
      <formula>1.2</formula>
    </cfRule>
    <cfRule type="containsText" dxfId="9845" priority="1105" operator="containsText" text="1.1">
      <formula>NOT(ISERROR(SEARCH("1.1",A134)))</formula>
    </cfRule>
  </conditionalFormatting>
  <conditionalFormatting sqref="H142:M143">
    <cfRule type="containsBlanks" dxfId="9844" priority="1088">
      <formula>LEN(TRIM(H142))=0</formula>
    </cfRule>
  </conditionalFormatting>
  <conditionalFormatting sqref="B136:G138">
    <cfRule type="cellIs" dxfId="9843" priority="1071" operator="equal">
      <formula>4.4</formula>
    </cfRule>
    <cfRule type="cellIs" dxfId="9842" priority="1072" operator="equal">
      <formula>4.3</formula>
    </cfRule>
    <cfRule type="cellIs" dxfId="9841" priority="1073" operator="equal">
      <formula>4.2</formula>
    </cfRule>
    <cfRule type="cellIs" dxfId="9840" priority="1074" operator="equal">
      <formula>4.1</formula>
    </cfRule>
    <cfRule type="cellIs" dxfId="9839" priority="1075" operator="equal">
      <formula>3.4</formula>
    </cfRule>
    <cfRule type="cellIs" dxfId="9838" priority="1076" operator="equal">
      <formula>3.3</formula>
    </cfRule>
    <cfRule type="cellIs" dxfId="9837" priority="1077" operator="equal">
      <formula>3.2</formula>
    </cfRule>
    <cfRule type="cellIs" dxfId="9836" priority="1078" operator="equal">
      <formula>3.1</formula>
    </cfRule>
    <cfRule type="cellIs" dxfId="9835" priority="1079" operator="equal">
      <formula>2.4</formula>
    </cfRule>
    <cfRule type="cellIs" dxfId="9834" priority="1080" operator="equal">
      <formula>2.3</formula>
    </cfRule>
    <cfRule type="cellIs" dxfId="9833" priority="1081" operator="equal">
      <formula>2.2</formula>
    </cfRule>
    <cfRule type="cellIs" dxfId="9832" priority="1082" operator="equal">
      <formula>2.1</formula>
    </cfRule>
    <cfRule type="cellIs" dxfId="9831" priority="1083" operator="equal">
      <formula>1.5</formula>
    </cfRule>
    <cfRule type="cellIs" dxfId="9830" priority="1084" operator="equal">
      <formula>1.4</formula>
    </cfRule>
    <cfRule type="cellIs" dxfId="9829" priority="1085" operator="equal">
      <formula>1.3</formula>
    </cfRule>
    <cfRule type="cellIs" dxfId="9828" priority="1086" operator="equal">
      <formula>1.2</formula>
    </cfRule>
    <cfRule type="containsText" dxfId="9827" priority="1087" operator="containsText" text="1.1">
      <formula>NOT(ISERROR(SEARCH("1.1",B136)))</formula>
    </cfRule>
  </conditionalFormatting>
  <conditionalFormatting sqref="A99:G101">
    <cfRule type="cellIs" dxfId="9826" priority="1036" operator="equal">
      <formula>4.4</formula>
    </cfRule>
    <cfRule type="cellIs" dxfId="9825" priority="1037" operator="equal">
      <formula>4.3</formula>
    </cfRule>
    <cfRule type="cellIs" dxfId="9824" priority="1038" operator="equal">
      <formula>4.2</formula>
    </cfRule>
    <cfRule type="cellIs" dxfId="9823" priority="1039" operator="equal">
      <formula>4.1</formula>
    </cfRule>
    <cfRule type="cellIs" dxfId="9822" priority="1040" operator="equal">
      <formula>3.4</formula>
    </cfRule>
    <cfRule type="cellIs" dxfId="9821" priority="1041" operator="equal">
      <formula>3.3</formula>
    </cfRule>
    <cfRule type="cellIs" dxfId="9820" priority="1042" operator="equal">
      <formula>3.2</formula>
    </cfRule>
    <cfRule type="cellIs" dxfId="9819" priority="1043" operator="equal">
      <formula>3.1</formula>
    </cfRule>
    <cfRule type="cellIs" dxfId="9818" priority="1044" operator="equal">
      <formula>2.4</formula>
    </cfRule>
    <cfRule type="cellIs" dxfId="9817" priority="1045" operator="equal">
      <formula>2.3</formula>
    </cfRule>
    <cfRule type="cellIs" dxfId="9816" priority="1046" operator="equal">
      <formula>2.2</formula>
    </cfRule>
    <cfRule type="cellIs" dxfId="9815" priority="1047" operator="equal">
      <formula>2.1</formula>
    </cfRule>
    <cfRule type="cellIs" dxfId="9814" priority="1048" operator="equal">
      <formula>1.5</formula>
    </cfRule>
    <cfRule type="cellIs" dxfId="9813" priority="1049" operator="equal">
      <formula>1.4</formula>
    </cfRule>
    <cfRule type="cellIs" dxfId="9812" priority="1050" operator="equal">
      <formula>1.3</formula>
    </cfRule>
    <cfRule type="cellIs" dxfId="9811" priority="1051" operator="equal">
      <formula>1.2</formula>
    </cfRule>
    <cfRule type="containsText" dxfId="9810" priority="1052" operator="containsText" text="1.1">
      <formula>NOT(ISERROR(SEARCH("1.1",A99)))</formula>
    </cfRule>
  </conditionalFormatting>
  <conditionalFormatting sqref="A123:G125">
    <cfRule type="cellIs" dxfId="9809" priority="1018" operator="equal">
      <formula>4.4</formula>
    </cfRule>
    <cfRule type="cellIs" dxfId="9808" priority="1019" operator="equal">
      <formula>4.3</formula>
    </cfRule>
    <cfRule type="cellIs" dxfId="9807" priority="1020" operator="equal">
      <formula>4.2</formula>
    </cfRule>
    <cfRule type="cellIs" dxfId="9806" priority="1021" operator="equal">
      <formula>4.1</formula>
    </cfRule>
    <cfRule type="cellIs" dxfId="9805" priority="1022" operator="equal">
      <formula>3.4</formula>
    </cfRule>
    <cfRule type="cellIs" dxfId="9804" priority="1023" operator="equal">
      <formula>3.3</formula>
    </cfRule>
    <cfRule type="cellIs" dxfId="9803" priority="1024" operator="equal">
      <formula>3.2</formula>
    </cfRule>
    <cfRule type="cellIs" dxfId="9802" priority="1025" operator="equal">
      <formula>3.1</formula>
    </cfRule>
    <cfRule type="cellIs" dxfId="9801" priority="1026" operator="equal">
      <formula>2.4</formula>
    </cfRule>
    <cfRule type="cellIs" dxfId="9800" priority="1027" operator="equal">
      <formula>2.3</formula>
    </cfRule>
    <cfRule type="cellIs" dxfId="9799" priority="1028" operator="equal">
      <formula>2.2</formula>
    </cfRule>
    <cfRule type="cellIs" dxfId="9798" priority="1029" operator="equal">
      <formula>2.1</formula>
    </cfRule>
    <cfRule type="cellIs" dxfId="9797" priority="1030" operator="equal">
      <formula>1.5</formula>
    </cfRule>
    <cfRule type="cellIs" dxfId="9796" priority="1031" operator="equal">
      <formula>1.4</formula>
    </cfRule>
    <cfRule type="cellIs" dxfId="9795" priority="1032" operator="equal">
      <formula>1.3</formula>
    </cfRule>
    <cfRule type="cellIs" dxfId="9794" priority="1033" operator="equal">
      <formula>1.2</formula>
    </cfRule>
    <cfRule type="containsText" dxfId="9793" priority="1034" operator="containsText" text="1.1">
      <formula>NOT(ISERROR(SEARCH("1.1",A123)))</formula>
    </cfRule>
  </conditionalFormatting>
  <conditionalFormatting sqref="B126:G128">
    <cfRule type="cellIs" dxfId="9792" priority="984" operator="equal">
      <formula>4.4</formula>
    </cfRule>
    <cfRule type="cellIs" dxfId="9791" priority="985" operator="equal">
      <formula>4.3</formula>
    </cfRule>
    <cfRule type="cellIs" dxfId="9790" priority="986" operator="equal">
      <formula>4.2</formula>
    </cfRule>
    <cfRule type="cellIs" dxfId="9789" priority="987" operator="equal">
      <formula>4.1</formula>
    </cfRule>
    <cfRule type="cellIs" dxfId="9788" priority="988" operator="equal">
      <formula>3.4</formula>
    </cfRule>
    <cfRule type="cellIs" dxfId="9787" priority="989" operator="equal">
      <formula>3.3</formula>
    </cfRule>
    <cfRule type="cellIs" dxfId="9786" priority="990" operator="equal">
      <formula>3.2</formula>
    </cfRule>
    <cfRule type="cellIs" dxfId="9785" priority="991" operator="equal">
      <formula>3.1</formula>
    </cfRule>
    <cfRule type="cellIs" dxfId="9784" priority="992" operator="equal">
      <formula>2.4</formula>
    </cfRule>
    <cfRule type="cellIs" dxfId="9783" priority="993" operator="equal">
      <formula>2.3</formula>
    </cfRule>
    <cfRule type="cellIs" dxfId="9782" priority="994" operator="equal">
      <formula>2.2</formula>
    </cfRule>
    <cfRule type="cellIs" dxfId="9781" priority="995" operator="equal">
      <formula>2.1</formula>
    </cfRule>
    <cfRule type="cellIs" dxfId="9780" priority="996" operator="equal">
      <formula>1.5</formula>
    </cfRule>
    <cfRule type="cellIs" dxfId="9779" priority="997" operator="equal">
      <formula>1.4</formula>
    </cfRule>
    <cfRule type="cellIs" dxfId="9778" priority="998" operator="equal">
      <formula>1.3</formula>
    </cfRule>
    <cfRule type="cellIs" dxfId="9777" priority="999" operator="equal">
      <formula>1.2</formula>
    </cfRule>
    <cfRule type="containsText" dxfId="9776" priority="1000" operator="containsText" text="1.1">
      <formula>NOT(ISERROR(SEARCH("1.1",B126)))</formula>
    </cfRule>
  </conditionalFormatting>
  <conditionalFormatting sqref="A126:A128">
    <cfRule type="cellIs" dxfId="9775" priority="1001" operator="equal">
      <formula>4.4</formula>
    </cfRule>
    <cfRule type="cellIs" dxfId="9774" priority="1002" operator="equal">
      <formula>4.3</formula>
    </cfRule>
    <cfRule type="cellIs" dxfId="9773" priority="1003" operator="equal">
      <formula>4.2</formula>
    </cfRule>
    <cfRule type="cellIs" dxfId="9772" priority="1004" operator="equal">
      <formula>4.1</formula>
    </cfRule>
    <cfRule type="cellIs" dxfId="9771" priority="1005" operator="equal">
      <formula>3.4</formula>
    </cfRule>
    <cfRule type="cellIs" dxfId="9770" priority="1006" operator="equal">
      <formula>3.3</formula>
    </cfRule>
    <cfRule type="cellIs" dxfId="9769" priority="1007" operator="equal">
      <formula>3.2</formula>
    </cfRule>
    <cfRule type="cellIs" dxfId="9768" priority="1008" operator="equal">
      <formula>3.1</formula>
    </cfRule>
    <cfRule type="cellIs" dxfId="9767" priority="1009" operator="equal">
      <formula>2.4</formula>
    </cfRule>
    <cfRule type="cellIs" dxfId="9766" priority="1010" operator="equal">
      <formula>2.3</formula>
    </cfRule>
    <cfRule type="cellIs" dxfId="9765" priority="1011" operator="equal">
      <formula>2.2</formula>
    </cfRule>
    <cfRule type="cellIs" dxfId="9764" priority="1012" operator="equal">
      <formula>2.1</formula>
    </cfRule>
    <cfRule type="cellIs" dxfId="9763" priority="1013" operator="equal">
      <formula>1.5</formula>
    </cfRule>
    <cfRule type="cellIs" dxfId="9762" priority="1014" operator="equal">
      <formula>1.4</formula>
    </cfRule>
    <cfRule type="cellIs" dxfId="9761" priority="1015" operator="equal">
      <formula>1.3</formula>
    </cfRule>
    <cfRule type="cellIs" dxfId="9760" priority="1016" operator="equal">
      <formula>1.2</formula>
    </cfRule>
    <cfRule type="containsText" dxfId="9759" priority="1017" operator="containsText" text="1.1">
      <formula>NOT(ISERROR(SEARCH("1.1",A126)))</formula>
    </cfRule>
  </conditionalFormatting>
  <conditionalFormatting sqref="B139:G141">
    <cfRule type="cellIs" dxfId="9758" priority="932" operator="equal">
      <formula>4.4</formula>
    </cfRule>
    <cfRule type="cellIs" dxfId="9757" priority="933" operator="equal">
      <formula>4.3</formula>
    </cfRule>
    <cfRule type="cellIs" dxfId="9756" priority="934" operator="equal">
      <formula>4.2</formula>
    </cfRule>
    <cfRule type="cellIs" dxfId="9755" priority="935" operator="equal">
      <formula>4.1</formula>
    </cfRule>
    <cfRule type="cellIs" dxfId="9754" priority="936" operator="equal">
      <formula>3.4</formula>
    </cfRule>
    <cfRule type="cellIs" dxfId="9753" priority="937" operator="equal">
      <formula>3.3</formula>
    </cfRule>
    <cfRule type="cellIs" dxfId="9752" priority="938" operator="equal">
      <formula>3.2</formula>
    </cfRule>
    <cfRule type="cellIs" dxfId="9751" priority="939" operator="equal">
      <formula>3.1</formula>
    </cfRule>
    <cfRule type="cellIs" dxfId="9750" priority="940" operator="equal">
      <formula>2.4</formula>
    </cfRule>
    <cfRule type="cellIs" dxfId="9749" priority="941" operator="equal">
      <formula>2.3</formula>
    </cfRule>
    <cfRule type="cellIs" dxfId="9748" priority="942" operator="equal">
      <formula>2.2</formula>
    </cfRule>
    <cfRule type="cellIs" dxfId="9747" priority="943" operator="equal">
      <formula>2.1</formula>
    </cfRule>
    <cfRule type="cellIs" dxfId="9746" priority="944" operator="equal">
      <formula>1.5</formula>
    </cfRule>
    <cfRule type="cellIs" dxfId="9745" priority="945" operator="equal">
      <formula>1.4</formula>
    </cfRule>
    <cfRule type="cellIs" dxfId="9744" priority="946" operator="equal">
      <formula>1.3</formula>
    </cfRule>
    <cfRule type="cellIs" dxfId="9743" priority="947" operator="equal">
      <formula>1.2</formula>
    </cfRule>
    <cfRule type="containsText" dxfId="9742" priority="948" operator="containsText" text="1.1">
      <formula>NOT(ISERROR(SEARCH("1.1",B139)))</formula>
    </cfRule>
  </conditionalFormatting>
  <conditionalFormatting sqref="A139:A141">
    <cfRule type="cellIs" dxfId="9741" priority="967" operator="equal">
      <formula>4.4</formula>
    </cfRule>
    <cfRule type="cellIs" dxfId="9740" priority="968" operator="equal">
      <formula>4.3</formula>
    </cfRule>
    <cfRule type="cellIs" dxfId="9739" priority="969" operator="equal">
      <formula>4.2</formula>
    </cfRule>
    <cfRule type="cellIs" dxfId="9738" priority="970" operator="equal">
      <formula>4.1</formula>
    </cfRule>
    <cfRule type="cellIs" dxfId="9737" priority="971" operator="equal">
      <formula>3.4</formula>
    </cfRule>
    <cfRule type="cellIs" dxfId="9736" priority="972" operator="equal">
      <formula>3.3</formula>
    </cfRule>
    <cfRule type="cellIs" dxfId="9735" priority="973" operator="equal">
      <formula>3.2</formula>
    </cfRule>
    <cfRule type="cellIs" dxfId="9734" priority="974" operator="equal">
      <formula>3.1</formula>
    </cfRule>
    <cfRule type="cellIs" dxfId="9733" priority="975" operator="equal">
      <formula>2.4</formula>
    </cfRule>
    <cfRule type="cellIs" dxfId="9732" priority="976" operator="equal">
      <formula>2.3</formula>
    </cfRule>
    <cfRule type="cellIs" dxfId="9731" priority="977" operator="equal">
      <formula>2.2</formula>
    </cfRule>
    <cfRule type="cellIs" dxfId="9730" priority="978" operator="equal">
      <formula>2.1</formula>
    </cfRule>
    <cfRule type="cellIs" dxfId="9729" priority="979" operator="equal">
      <formula>1.5</formula>
    </cfRule>
    <cfRule type="cellIs" dxfId="9728" priority="980" operator="equal">
      <formula>1.4</formula>
    </cfRule>
    <cfRule type="cellIs" dxfId="9727" priority="981" operator="equal">
      <formula>1.3</formula>
    </cfRule>
    <cfRule type="cellIs" dxfId="9726" priority="982" operator="equal">
      <formula>1.2</formula>
    </cfRule>
    <cfRule type="containsText" dxfId="9725" priority="983" operator="containsText" text="1.1">
      <formula>NOT(ISERROR(SEARCH("1.1",A139)))</formula>
    </cfRule>
  </conditionalFormatting>
  <conditionalFormatting sqref="M136:M138">
    <cfRule type="containsBlanks" dxfId="9724" priority="931">
      <formula>LEN(TRIM(M136))=0</formula>
    </cfRule>
  </conditionalFormatting>
  <conditionalFormatting sqref="M136:M138">
    <cfRule type="cellIs" dxfId="9723" priority="914" operator="equal">
      <formula>4.4</formula>
    </cfRule>
    <cfRule type="cellIs" dxfId="9722" priority="915" operator="equal">
      <formula>4.3</formula>
    </cfRule>
    <cfRule type="cellIs" dxfId="9721" priority="916" operator="equal">
      <formula>4.2</formula>
    </cfRule>
    <cfRule type="cellIs" dxfId="9720" priority="917" operator="equal">
      <formula>4.1</formula>
    </cfRule>
    <cfRule type="cellIs" dxfId="9719" priority="918" operator="equal">
      <formula>3.4</formula>
    </cfRule>
    <cfRule type="cellIs" dxfId="9718" priority="919" operator="equal">
      <formula>3.3</formula>
    </cfRule>
    <cfRule type="cellIs" dxfId="9717" priority="920" operator="equal">
      <formula>3.2</formula>
    </cfRule>
    <cfRule type="cellIs" dxfId="9716" priority="921" operator="equal">
      <formula>3.1</formula>
    </cfRule>
    <cfRule type="cellIs" dxfId="9715" priority="922" operator="equal">
      <formula>2.4</formula>
    </cfRule>
    <cfRule type="cellIs" dxfId="9714" priority="923" operator="equal">
      <formula>2.3</formula>
    </cfRule>
    <cfRule type="cellIs" dxfId="9713" priority="924" operator="equal">
      <formula>2.2</formula>
    </cfRule>
    <cfRule type="cellIs" dxfId="9712" priority="925" operator="equal">
      <formula>2.1</formula>
    </cfRule>
    <cfRule type="cellIs" dxfId="9711" priority="926" operator="equal">
      <formula>1.5</formula>
    </cfRule>
    <cfRule type="cellIs" dxfId="9710" priority="927" operator="equal">
      <formula>1.4</formula>
    </cfRule>
    <cfRule type="cellIs" dxfId="9709" priority="928" operator="equal">
      <formula>1.3</formula>
    </cfRule>
    <cfRule type="cellIs" dxfId="9708" priority="929" operator="equal">
      <formula>1.2</formula>
    </cfRule>
    <cfRule type="containsText" dxfId="9707" priority="930" operator="containsText" text="1.1">
      <formula>NOT(ISERROR(SEARCH("1.1",M136)))</formula>
    </cfRule>
  </conditionalFormatting>
  <conditionalFormatting sqref="H136:L138">
    <cfRule type="containsBlanks" dxfId="9706" priority="913">
      <formula>LEN(TRIM(H136))=0</formula>
    </cfRule>
  </conditionalFormatting>
  <conditionalFormatting sqref="H136:L138">
    <cfRule type="cellIs" dxfId="9705" priority="896" operator="equal">
      <formula>4.4</formula>
    </cfRule>
    <cfRule type="cellIs" dxfId="9704" priority="897" operator="equal">
      <formula>4.3</formula>
    </cfRule>
    <cfRule type="cellIs" dxfId="9703" priority="898" operator="equal">
      <formula>4.2</formula>
    </cfRule>
    <cfRule type="cellIs" dxfId="9702" priority="899" operator="equal">
      <formula>4.1</formula>
    </cfRule>
    <cfRule type="cellIs" dxfId="9701" priority="900" operator="equal">
      <formula>3.4</formula>
    </cfRule>
    <cfRule type="cellIs" dxfId="9700" priority="901" operator="equal">
      <formula>3.3</formula>
    </cfRule>
    <cfRule type="cellIs" dxfId="9699" priority="902" operator="equal">
      <formula>3.2</formula>
    </cfRule>
    <cfRule type="cellIs" dxfId="9698" priority="903" operator="equal">
      <formula>3.1</formula>
    </cfRule>
    <cfRule type="cellIs" dxfId="9697" priority="904" operator="equal">
      <formula>2.4</formula>
    </cfRule>
    <cfRule type="cellIs" dxfId="9696" priority="905" operator="equal">
      <formula>2.3</formula>
    </cfRule>
    <cfRule type="cellIs" dxfId="9695" priority="906" operator="equal">
      <formula>2.2</formula>
    </cfRule>
    <cfRule type="cellIs" dxfId="9694" priority="907" operator="equal">
      <formula>2.1</formula>
    </cfRule>
    <cfRule type="cellIs" dxfId="9693" priority="908" operator="equal">
      <formula>1.5</formula>
    </cfRule>
    <cfRule type="cellIs" dxfId="9692" priority="909" operator="equal">
      <formula>1.4</formula>
    </cfRule>
    <cfRule type="cellIs" dxfId="9691" priority="910" operator="equal">
      <formula>1.3</formula>
    </cfRule>
    <cfRule type="cellIs" dxfId="9690" priority="911" operator="equal">
      <formula>1.2</formula>
    </cfRule>
    <cfRule type="containsText" dxfId="9689" priority="912" operator="containsText" text="1.1">
      <formula>NOT(ISERROR(SEARCH("1.1",H136)))</formula>
    </cfRule>
  </conditionalFormatting>
  <conditionalFormatting sqref="M139:M141">
    <cfRule type="containsBlanks" dxfId="9688" priority="895">
      <formula>LEN(TRIM(M139))=0</formula>
    </cfRule>
  </conditionalFormatting>
  <conditionalFormatting sqref="M139:M141">
    <cfRule type="cellIs" dxfId="9687" priority="878" operator="equal">
      <formula>4.4</formula>
    </cfRule>
    <cfRule type="cellIs" dxfId="9686" priority="879" operator="equal">
      <formula>4.3</formula>
    </cfRule>
    <cfRule type="cellIs" dxfId="9685" priority="880" operator="equal">
      <formula>4.2</formula>
    </cfRule>
    <cfRule type="cellIs" dxfId="9684" priority="881" operator="equal">
      <formula>4.1</formula>
    </cfRule>
    <cfRule type="cellIs" dxfId="9683" priority="882" operator="equal">
      <formula>3.4</formula>
    </cfRule>
    <cfRule type="cellIs" dxfId="9682" priority="883" operator="equal">
      <formula>3.3</formula>
    </cfRule>
    <cfRule type="cellIs" dxfId="9681" priority="884" operator="equal">
      <formula>3.2</formula>
    </cfRule>
    <cfRule type="cellIs" dxfId="9680" priority="885" operator="equal">
      <formula>3.1</formula>
    </cfRule>
    <cfRule type="cellIs" dxfId="9679" priority="886" operator="equal">
      <formula>2.4</formula>
    </cfRule>
    <cfRule type="cellIs" dxfId="9678" priority="887" operator="equal">
      <formula>2.3</formula>
    </cfRule>
    <cfRule type="cellIs" dxfId="9677" priority="888" operator="equal">
      <formula>2.2</formula>
    </cfRule>
    <cfRule type="cellIs" dxfId="9676" priority="889" operator="equal">
      <formula>2.1</formula>
    </cfRule>
    <cfRule type="cellIs" dxfId="9675" priority="890" operator="equal">
      <formula>1.5</formula>
    </cfRule>
    <cfRule type="cellIs" dxfId="9674" priority="891" operator="equal">
      <formula>1.4</formula>
    </cfRule>
    <cfRule type="cellIs" dxfId="9673" priority="892" operator="equal">
      <formula>1.3</formula>
    </cfRule>
    <cfRule type="cellIs" dxfId="9672" priority="893" operator="equal">
      <formula>1.2</formula>
    </cfRule>
    <cfRule type="containsText" dxfId="9671" priority="894" operator="containsText" text="1.1">
      <formula>NOT(ISERROR(SEARCH("1.1",M139)))</formula>
    </cfRule>
  </conditionalFormatting>
  <conditionalFormatting sqref="H139:L141">
    <cfRule type="containsBlanks" dxfId="9670" priority="877">
      <formula>LEN(TRIM(H139))=0</formula>
    </cfRule>
  </conditionalFormatting>
  <conditionalFormatting sqref="H139:L141">
    <cfRule type="cellIs" dxfId="9669" priority="860" operator="equal">
      <formula>4.4</formula>
    </cfRule>
    <cfRule type="cellIs" dxfId="9668" priority="861" operator="equal">
      <formula>4.3</formula>
    </cfRule>
    <cfRule type="cellIs" dxfId="9667" priority="862" operator="equal">
      <formula>4.2</formula>
    </cfRule>
    <cfRule type="cellIs" dxfId="9666" priority="863" operator="equal">
      <formula>4.1</formula>
    </cfRule>
    <cfRule type="cellIs" dxfId="9665" priority="864" operator="equal">
      <formula>3.4</formula>
    </cfRule>
    <cfRule type="cellIs" dxfId="9664" priority="865" operator="equal">
      <formula>3.3</formula>
    </cfRule>
    <cfRule type="cellIs" dxfId="9663" priority="866" operator="equal">
      <formula>3.2</formula>
    </cfRule>
    <cfRule type="cellIs" dxfId="9662" priority="867" operator="equal">
      <formula>3.1</formula>
    </cfRule>
    <cfRule type="cellIs" dxfId="9661" priority="868" operator="equal">
      <formula>2.4</formula>
    </cfRule>
    <cfRule type="cellIs" dxfId="9660" priority="869" operator="equal">
      <formula>2.3</formula>
    </cfRule>
    <cfRule type="cellIs" dxfId="9659" priority="870" operator="equal">
      <formula>2.2</formula>
    </cfRule>
    <cfRule type="cellIs" dxfId="9658" priority="871" operator="equal">
      <formula>2.1</formula>
    </cfRule>
    <cfRule type="cellIs" dxfId="9657" priority="872" operator="equal">
      <formula>1.5</formula>
    </cfRule>
    <cfRule type="cellIs" dxfId="9656" priority="873" operator="equal">
      <formula>1.4</formula>
    </cfRule>
    <cfRule type="cellIs" dxfId="9655" priority="874" operator="equal">
      <formula>1.3</formula>
    </cfRule>
    <cfRule type="cellIs" dxfId="9654" priority="875" operator="equal">
      <formula>1.2</formula>
    </cfRule>
    <cfRule type="containsText" dxfId="9653" priority="876" operator="containsText" text="1.1">
      <formula>NOT(ISERROR(SEARCH("1.1",H139)))</formula>
    </cfRule>
  </conditionalFormatting>
  <conditionalFormatting sqref="M183">
    <cfRule type="cellIs" dxfId="9652" priority="842" operator="equal">
      <formula>4.4</formula>
    </cfRule>
    <cfRule type="cellIs" dxfId="9651" priority="843" operator="equal">
      <formula>4.3</formula>
    </cfRule>
    <cfRule type="cellIs" dxfId="9650" priority="844" operator="equal">
      <formula>4.2</formula>
    </cfRule>
    <cfRule type="cellIs" dxfId="9649" priority="845" operator="equal">
      <formula>4.1</formula>
    </cfRule>
    <cfRule type="cellIs" dxfId="9648" priority="846" operator="equal">
      <formula>3.4</formula>
    </cfRule>
    <cfRule type="cellIs" dxfId="9647" priority="847" operator="equal">
      <formula>3.3</formula>
    </cfRule>
    <cfRule type="cellIs" dxfId="9646" priority="848" operator="equal">
      <formula>3.2</formula>
    </cfRule>
    <cfRule type="cellIs" dxfId="9645" priority="849" operator="equal">
      <formula>3.1</formula>
    </cfRule>
    <cfRule type="cellIs" dxfId="9644" priority="850" operator="equal">
      <formula>2.4</formula>
    </cfRule>
    <cfRule type="cellIs" dxfId="9643" priority="851" operator="equal">
      <formula>2.3</formula>
    </cfRule>
    <cfRule type="cellIs" dxfId="9642" priority="852" operator="equal">
      <formula>2.2</formula>
    </cfRule>
    <cfRule type="cellIs" dxfId="9641" priority="853" operator="equal">
      <formula>2.1</formula>
    </cfRule>
    <cfRule type="cellIs" dxfId="9640" priority="854" operator="equal">
      <formula>1.5</formula>
    </cfRule>
    <cfRule type="cellIs" dxfId="9639" priority="855" operator="equal">
      <formula>1.4</formula>
    </cfRule>
    <cfRule type="cellIs" dxfId="9638" priority="856" operator="equal">
      <formula>1.3</formula>
    </cfRule>
    <cfRule type="cellIs" dxfId="9637" priority="857" operator="equal">
      <formula>1.2</formula>
    </cfRule>
    <cfRule type="containsText" dxfId="9636" priority="858" operator="containsText" text="1.1">
      <formula>NOT(ISERROR(SEARCH("1.1",M183)))</formula>
    </cfRule>
  </conditionalFormatting>
  <conditionalFormatting sqref="A180:E181 A152:G172 A179:G179 H149:M151 F180:G182">
    <cfRule type="cellIs" dxfId="9635" priority="824" operator="equal">
      <formula>4.4</formula>
    </cfRule>
    <cfRule type="cellIs" dxfId="9634" priority="825" operator="equal">
      <formula>4.3</formula>
    </cfRule>
    <cfRule type="cellIs" dxfId="9633" priority="826" operator="equal">
      <formula>4.2</formula>
    </cfRule>
    <cfRule type="cellIs" dxfId="9632" priority="827" operator="equal">
      <formula>4.1</formula>
    </cfRule>
    <cfRule type="cellIs" dxfId="9631" priority="828" operator="equal">
      <formula>3.4</formula>
    </cfRule>
    <cfRule type="cellIs" dxfId="9630" priority="829" operator="equal">
      <formula>3.3</formula>
    </cfRule>
    <cfRule type="cellIs" dxfId="9629" priority="830" operator="equal">
      <formula>3.2</formula>
    </cfRule>
    <cfRule type="cellIs" dxfId="9628" priority="831" operator="equal">
      <formula>3.1</formula>
    </cfRule>
    <cfRule type="cellIs" dxfId="9627" priority="832" operator="equal">
      <formula>2.4</formula>
    </cfRule>
    <cfRule type="cellIs" dxfId="9626" priority="833" operator="equal">
      <formula>2.3</formula>
    </cfRule>
    <cfRule type="cellIs" dxfId="9625" priority="834" operator="equal">
      <formula>2.2</formula>
    </cfRule>
    <cfRule type="cellIs" dxfId="9624" priority="835" operator="equal">
      <formula>2.1</formula>
    </cfRule>
    <cfRule type="cellIs" dxfId="9623" priority="836" operator="equal">
      <formula>1.5</formula>
    </cfRule>
    <cfRule type="cellIs" dxfId="9622" priority="837" operator="equal">
      <formula>1.4</formula>
    </cfRule>
    <cfRule type="cellIs" dxfId="9621" priority="838" operator="equal">
      <formula>1.3</formula>
    </cfRule>
    <cfRule type="cellIs" dxfId="9620" priority="839" operator="equal">
      <formula>1.2</formula>
    </cfRule>
    <cfRule type="containsText" dxfId="9619" priority="840" operator="containsText" text="1.1">
      <formula>NOT(ISERROR(SEARCH("1.1",A149)))</formula>
    </cfRule>
  </conditionalFormatting>
  <conditionalFormatting sqref="A186:A188 A192 A184:M185 F192:G193">
    <cfRule type="cellIs" dxfId="9618" priority="807" operator="equal">
      <formula>4.4</formula>
    </cfRule>
    <cfRule type="cellIs" dxfId="9617" priority="808" operator="equal">
      <formula>4.3</formula>
    </cfRule>
    <cfRule type="cellIs" dxfId="9616" priority="809" operator="equal">
      <formula>4.2</formula>
    </cfRule>
    <cfRule type="cellIs" dxfId="9615" priority="810" operator="equal">
      <formula>4.1</formula>
    </cfRule>
    <cfRule type="cellIs" dxfId="9614" priority="811" operator="equal">
      <formula>3.4</formula>
    </cfRule>
    <cfRule type="cellIs" dxfId="9613" priority="812" operator="equal">
      <formula>3.3</formula>
    </cfRule>
    <cfRule type="cellIs" dxfId="9612" priority="813" operator="equal">
      <formula>3.2</formula>
    </cfRule>
    <cfRule type="cellIs" dxfId="9611" priority="814" operator="equal">
      <formula>3.1</formula>
    </cfRule>
    <cfRule type="cellIs" dxfId="9610" priority="815" operator="equal">
      <formula>2.4</formula>
    </cfRule>
    <cfRule type="cellIs" dxfId="9609" priority="816" operator="equal">
      <formula>2.3</formula>
    </cfRule>
    <cfRule type="cellIs" dxfId="9608" priority="817" operator="equal">
      <formula>2.2</formula>
    </cfRule>
    <cfRule type="cellIs" dxfId="9607" priority="818" operator="equal">
      <formula>2.1</formula>
    </cfRule>
    <cfRule type="cellIs" dxfId="9606" priority="819" operator="equal">
      <formula>1.5</formula>
    </cfRule>
    <cfRule type="cellIs" dxfId="9605" priority="820" operator="equal">
      <formula>1.4</formula>
    </cfRule>
    <cfRule type="cellIs" dxfId="9604" priority="821" operator="equal">
      <formula>1.3</formula>
    </cfRule>
    <cfRule type="cellIs" dxfId="9603" priority="822" operator="equal">
      <formula>1.2</formula>
    </cfRule>
    <cfRule type="containsText" dxfId="9602" priority="823" operator="containsText" text="1.1">
      <formula>NOT(ISERROR(SEARCH("1.1",A184)))</formula>
    </cfRule>
  </conditionalFormatting>
  <conditionalFormatting sqref="B186:G188">
    <cfRule type="cellIs" dxfId="9601" priority="789" operator="equal">
      <formula>4.4</formula>
    </cfRule>
    <cfRule type="cellIs" dxfId="9600" priority="790" operator="equal">
      <formula>4.3</formula>
    </cfRule>
    <cfRule type="cellIs" dxfId="9599" priority="791" operator="equal">
      <formula>4.2</formula>
    </cfRule>
    <cfRule type="cellIs" dxfId="9598" priority="792" operator="equal">
      <formula>4.1</formula>
    </cfRule>
    <cfRule type="cellIs" dxfId="9597" priority="793" operator="equal">
      <formula>3.4</formula>
    </cfRule>
    <cfRule type="cellIs" dxfId="9596" priority="794" operator="equal">
      <formula>3.3</formula>
    </cfRule>
    <cfRule type="cellIs" dxfId="9595" priority="795" operator="equal">
      <formula>3.2</formula>
    </cfRule>
    <cfRule type="cellIs" dxfId="9594" priority="796" operator="equal">
      <formula>3.1</formula>
    </cfRule>
    <cfRule type="cellIs" dxfId="9593" priority="797" operator="equal">
      <formula>2.4</formula>
    </cfRule>
    <cfRule type="cellIs" dxfId="9592" priority="798" operator="equal">
      <formula>2.3</formula>
    </cfRule>
    <cfRule type="cellIs" dxfId="9591" priority="799" operator="equal">
      <formula>2.2</formula>
    </cfRule>
    <cfRule type="cellIs" dxfId="9590" priority="800" operator="equal">
      <formula>2.1</formula>
    </cfRule>
    <cfRule type="cellIs" dxfId="9589" priority="801" operator="equal">
      <formula>1.5</formula>
    </cfRule>
    <cfRule type="cellIs" dxfId="9588" priority="802" operator="equal">
      <formula>1.4</formula>
    </cfRule>
    <cfRule type="cellIs" dxfId="9587" priority="803" operator="equal">
      <formula>1.3</formula>
    </cfRule>
    <cfRule type="cellIs" dxfId="9586" priority="804" operator="equal">
      <formula>1.2</formula>
    </cfRule>
    <cfRule type="containsText" dxfId="9585" priority="805" operator="containsText" text="1.1">
      <formula>NOT(ISERROR(SEARCH("1.1",B186)))</formula>
    </cfRule>
  </conditionalFormatting>
  <conditionalFormatting sqref="A149:G151">
    <cfRule type="cellIs" dxfId="9584" priority="772" operator="equal">
      <formula>4.4</formula>
    </cfRule>
    <cfRule type="cellIs" dxfId="9583" priority="773" operator="equal">
      <formula>4.3</formula>
    </cfRule>
    <cfRule type="cellIs" dxfId="9582" priority="774" operator="equal">
      <formula>4.2</formula>
    </cfRule>
    <cfRule type="cellIs" dxfId="9581" priority="775" operator="equal">
      <formula>4.1</formula>
    </cfRule>
    <cfRule type="cellIs" dxfId="9580" priority="776" operator="equal">
      <formula>3.4</formula>
    </cfRule>
    <cfRule type="cellIs" dxfId="9579" priority="777" operator="equal">
      <formula>3.3</formula>
    </cfRule>
    <cfRule type="cellIs" dxfId="9578" priority="778" operator="equal">
      <formula>3.2</formula>
    </cfRule>
    <cfRule type="cellIs" dxfId="9577" priority="779" operator="equal">
      <formula>3.1</formula>
    </cfRule>
    <cfRule type="cellIs" dxfId="9576" priority="780" operator="equal">
      <formula>2.4</formula>
    </cfRule>
    <cfRule type="cellIs" dxfId="9575" priority="781" operator="equal">
      <formula>2.3</formula>
    </cfRule>
    <cfRule type="cellIs" dxfId="9574" priority="782" operator="equal">
      <formula>2.2</formula>
    </cfRule>
    <cfRule type="cellIs" dxfId="9573" priority="783" operator="equal">
      <formula>2.1</formula>
    </cfRule>
    <cfRule type="cellIs" dxfId="9572" priority="784" operator="equal">
      <formula>1.5</formula>
    </cfRule>
    <cfRule type="cellIs" dxfId="9571" priority="785" operator="equal">
      <formula>1.4</formula>
    </cfRule>
    <cfRule type="cellIs" dxfId="9570" priority="786" operator="equal">
      <formula>1.3</formula>
    </cfRule>
    <cfRule type="cellIs" dxfId="9569" priority="787" operator="equal">
      <formula>1.2</formula>
    </cfRule>
    <cfRule type="containsText" dxfId="9568" priority="788" operator="containsText" text="1.1">
      <formula>NOT(ISERROR(SEARCH("1.1",A149)))</formula>
    </cfRule>
  </conditionalFormatting>
  <conditionalFormatting sqref="A173:G175">
    <cfRule type="cellIs" dxfId="9567" priority="755" operator="equal">
      <formula>4.4</formula>
    </cfRule>
    <cfRule type="cellIs" dxfId="9566" priority="756" operator="equal">
      <formula>4.3</formula>
    </cfRule>
    <cfRule type="cellIs" dxfId="9565" priority="757" operator="equal">
      <formula>4.2</formula>
    </cfRule>
    <cfRule type="cellIs" dxfId="9564" priority="758" operator="equal">
      <formula>4.1</formula>
    </cfRule>
    <cfRule type="cellIs" dxfId="9563" priority="759" operator="equal">
      <formula>3.4</formula>
    </cfRule>
    <cfRule type="cellIs" dxfId="9562" priority="760" operator="equal">
      <formula>3.3</formula>
    </cfRule>
    <cfRule type="cellIs" dxfId="9561" priority="761" operator="equal">
      <formula>3.2</formula>
    </cfRule>
    <cfRule type="cellIs" dxfId="9560" priority="762" operator="equal">
      <formula>3.1</formula>
    </cfRule>
    <cfRule type="cellIs" dxfId="9559" priority="763" operator="equal">
      <formula>2.4</formula>
    </cfRule>
    <cfRule type="cellIs" dxfId="9558" priority="764" operator="equal">
      <formula>2.3</formula>
    </cfRule>
    <cfRule type="cellIs" dxfId="9557" priority="765" operator="equal">
      <formula>2.2</formula>
    </cfRule>
    <cfRule type="cellIs" dxfId="9556" priority="766" operator="equal">
      <formula>2.1</formula>
    </cfRule>
    <cfRule type="cellIs" dxfId="9555" priority="767" operator="equal">
      <formula>1.5</formula>
    </cfRule>
    <cfRule type="cellIs" dxfId="9554" priority="768" operator="equal">
      <formula>1.4</formula>
    </cfRule>
    <cfRule type="cellIs" dxfId="9553" priority="769" operator="equal">
      <formula>1.3</formula>
    </cfRule>
    <cfRule type="cellIs" dxfId="9552" priority="770" operator="equal">
      <formula>1.2</formula>
    </cfRule>
    <cfRule type="containsText" dxfId="9551" priority="771" operator="containsText" text="1.1">
      <formula>NOT(ISERROR(SEARCH("1.1",A173)))</formula>
    </cfRule>
  </conditionalFormatting>
  <conditionalFormatting sqref="B176:G178">
    <cfRule type="cellIs" dxfId="9550" priority="721" operator="equal">
      <formula>4.4</formula>
    </cfRule>
    <cfRule type="cellIs" dxfId="9549" priority="722" operator="equal">
      <formula>4.3</formula>
    </cfRule>
    <cfRule type="cellIs" dxfId="9548" priority="723" operator="equal">
      <formula>4.2</formula>
    </cfRule>
    <cfRule type="cellIs" dxfId="9547" priority="724" operator="equal">
      <formula>4.1</formula>
    </cfRule>
    <cfRule type="cellIs" dxfId="9546" priority="725" operator="equal">
      <formula>3.4</formula>
    </cfRule>
    <cfRule type="cellIs" dxfId="9545" priority="726" operator="equal">
      <formula>3.3</formula>
    </cfRule>
    <cfRule type="cellIs" dxfId="9544" priority="727" operator="equal">
      <formula>3.2</formula>
    </cfRule>
    <cfRule type="cellIs" dxfId="9543" priority="728" operator="equal">
      <formula>3.1</formula>
    </cfRule>
    <cfRule type="cellIs" dxfId="9542" priority="729" operator="equal">
      <formula>2.4</formula>
    </cfRule>
    <cfRule type="cellIs" dxfId="9541" priority="730" operator="equal">
      <formula>2.3</formula>
    </cfRule>
    <cfRule type="cellIs" dxfId="9540" priority="731" operator="equal">
      <formula>2.2</formula>
    </cfRule>
    <cfRule type="cellIs" dxfId="9539" priority="732" operator="equal">
      <formula>2.1</formula>
    </cfRule>
    <cfRule type="cellIs" dxfId="9538" priority="733" operator="equal">
      <formula>1.5</formula>
    </cfRule>
    <cfRule type="cellIs" dxfId="9537" priority="734" operator="equal">
      <formula>1.4</formula>
    </cfRule>
    <cfRule type="cellIs" dxfId="9536" priority="735" operator="equal">
      <formula>1.3</formula>
    </cfRule>
    <cfRule type="cellIs" dxfId="9535" priority="736" operator="equal">
      <formula>1.2</formula>
    </cfRule>
    <cfRule type="containsText" dxfId="9534" priority="737" operator="containsText" text="1.1">
      <formula>NOT(ISERROR(SEARCH("1.1",B176)))</formula>
    </cfRule>
  </conditionalFormatting>
  <conditionalFormatting sqref="A176:A178">
    <cfRule type="cellIs" dxfId="9533" priority="738" operator="equal">
      <formula>4.4</formula>
    </cfRule>
    <cfRule type="cellIs" dxfId="9532" priority="739" operator="equal">
      <formula>4.3</formula>
    </cfRule>
    <cfRule type="cellIs" dxfId="9531" priority="740" operator="equal">
      <formula>4.2</formula>
    </cfRule>
    <cfRule type="cellIs" dxfId="9530" priority="741" operator="equal">
      <formula>4.1</formula>
    </cfRule>
    <cfRule type="cellIs" dxfId="9529" priority="742" operator="equal">
      <formula>3.4</formula>
    </cfRule>
    <cfRule type="cellIs" dxfId="9528" priority="743" operator="equal">
      <formula>3.3</formula>
    </cfRule>
    <cfRule type="cellIs" dxfId="9527" priority="744" operator="equal">
      <formula>3.2</formula>
    </cfRule>
    <cfRule type="cellIs" dxfId="9526" priority="745" operator="equal">
      <formula>3.1</formula>
    </cfRule>
    <cfRule type="cellIs" dxfId="9525" priority="746" operator="equal">
      <formula>2.4</formula>
    </cfRule>
    <cfRule type="cellIs" dxfId="9524" priority="747" operator="equal">
      <formula>2.3</formula>
    </cfRule>
    <cfRule type="cellIs" dxfId="9523" priority="748" operator="equal">
      <formula>2.2</formula>
    </cfRule>
    <cfRule type="cellIs" dxfId="9522" priority="749" operator="equal">
      <formula>2.1</formula>
    </cfRule>
    <cfRule type="cellIs" dxfId="9521" priority="750" operator="equal">
      <formula>1.5</formula>
    </cfRule>
    <cfRule type="cellIs" dxfId="9520" priority="751" operator="equal">
      <formula>1.4</formula>
    </cfRule>
    <cfRule type="cellIs" dxfId="9519" priority="752" operator="equal">
      <formula>1.3</formula>
    </cfRule>
    <cfRule type="cellIs" dxfId="9518" priority="753" operator="equal">
      <formula>1.2</formula>
    </cfRule>
    <cfRule type="containsText" dxfId="9517" priority="754" operator="containsText" text="1.1">
      <formula>NOT(ISERROR(SEARCH("1.1",A176)))</formula>
    </cfRule>
  </conditionalFormatting>
  <conditionalFormatting sqref="B189:G191">
    <cfRule type="cellIs" dxfId="9516" priority="687" operator="equal">
      <formula>4.4</formula>
    </cfRule>
    <cfRule type="cellIs" dxfId="9515" priority="688" operator="equal">
      <formula>4.3</formula>
    </cfRule>
    <cfRule type="cellIs" dxfId="9514" priority="689" operator="equal">
      <formula>4.2</formula>
    </cfRule>
    <cfRule type="cellIs" dxfId="9513" priority="690" operator="equal">
      <formula>4.1</formula>
    </cfRule>
    <cfRule type="cellIs" dxfId="9512" priority="691" operator="equal">
      <formula>3.4</formula>
    </cfRule>
    <cfRule type="cellIs" dxfId="9511" priority="692" operator="equal">
      <formula>3.3</formula>
    </cfRule>
    <cfRule type="cellIs" dxfId="9510" priority="693" operator="equal">
      <formula>3.2</formula>
    </cfRule>
    <cfRule type="cellIs" dxfId="9509" priority="694" operator="equal">
      <formula>3.1</formula>
    </cfRule>
    <cfRule type="cellIs" dxfId="9508" priority="695" operator="equal">
      <formula>2.4</formula>
    </cfRule>
    <cfRule type="cellIs" dxfId="9507" priority="696" operator="equal">
      <formula>2.3</formula>
    </cfRule>
    <cfRule type="cellIs" dxfId="9506" priority="697" operator="equal">
      <formula>2.2</formula>
    </cfRule>
    <cfRule type="cellIs" dxfId="9505" priority="698" operator="equal">
      <formula>2.1</formula>
    </cfRule>
    <cfRule type="cellIs" dxfId="9504" priority="699" operator="equal">
      <formula>1.5</formula>
    </cfRule>
    <cfRule type="cellIs" dxfId="9503" priority="700" operator="equal">
      <formula>1.4</formula>
    </cfRule>
    <cfRule type="cellIs" dxfId="9502" priority="701" operator="equal">
      <formula>1.3</formula>
    </cfRule>
    <cfRule type="cellIs" dxfId="9501" priority="702" operator="equal">
      <formula>1.2</formula>
    </cfRule>
    <cfRule type="containsText" dxfId="9500" priority="703" operator="containsText" text="1.1">
      <formula>NOT(ISERROR(SEARCH("1.1",B189)))</formula>
    </cfRule>
  </conditionalFormatting>
  <conditionalFormatting sqref="A189:A191">
    <cfRule type="cellIs" dxfId="9499" priority="704" operator="equal">
      <formula>4.4</formula>
    </cfRule>
    <cfRule type="cellIs" dxfId="9498" priority="705" operator="equal">
      <formula>4.3</formula>
    </cfRule>
    <cfRule type="cellIs" dxfId="9497" priority="706" operator="equal">
      <formula>4.2</formula>
    </cfRule>
    <cfRule type="cellIs" dxfId="9496" priority="707" operator="equal">
      <formula>4.1</formula>
    </cfRule>
    <cfRule type="cellIs" dxfId="9495" priority="708" operator="equal">
      <formula>3.4</formula>
    </cfRule>
    <cfRule type="cellIs" dxfId="9494" priority="709" operator="equal">
      <formula>3.3</formula>
    </cfRule>
    <cfRule type="cellIs" dxfId="9493" priority="710" operator="equal">
      <formula>3.2</formula>
    </cfRule>
    <cfRule type="cellIs" dxfId="9492" priority="711" operator="equal">
      <formula>3.1</formula>
    </cfRule>
    <cfRule type="cellIs" dxfId="9491" priority="712" operator="equal">
      <formula>2.4</formula>
    </cfRule>
    <cfRule type="cellIs" dxfId="9490" priority="713" operator="equal">
      <formula>2.3</formula>
    </cfRule>
    <cfRule type="cellIs" dxfId="9489" priority="714" operator="equal">
      <formula>2.2</formula>
    </cfRule>
    <cfRule type="cellIs" dxfId="9488" priority="715" operator="equal">
      <formula>2.1</formula>
    </cfRule>
    <cfRule type="cellIs" dxfId="9487" priority="716" operator="equal">
      <formula>1.5</formula>
    </cfRule>
    <cfRule type="cellIs" dxfId="9486" priority="717" operator="equal">
      <formula>1.4</formula>
    </cfRule>
    <cfRule type="cellIs" dxfId="9485" priority="718" operator="equal">
      <formula>1.3</formula>
    </cfRule>
    <cfRule type="cellIs" dxfId="9484" priority="719" operator="equal">
      <formula>1.2</formula>
    </cfRule>
    <cfRule type="containsText" dxfId="9483" priority="720" operator="containsText" text="1.1">
      <formula>NOT(ISERROR(SEARCH("1.1",A189)))</formula>
    </cfRule>
  </conditionalFormatting>
  <conditionalFormatting sqref="H242:K243">
    <cfRule type="cellIs" dxfId="9482" priority="154" operator="equal">
      <formula>4.4</formula>
    </cfRule>
    <cfRule type="cellIs" dxfId="9481" priority="155" operator="equal">
      <formula>4.3</formula>
    </cfRule>
    <cfRule type="cellIs" dxfId="9480" priority="156" operator="equal">
      <formula>4.2</formula>
    </cfRule>
    <cfRule type="cellIs" dxfId="9479" priority="157" operator="equal">
      <formula>4.1</formula>
    </cfRule>
    <cfRule type="cellIs" dxfId="9478" priority="158" operator="equal">
      <formula>3.4</formula>
    </cfRule>
    <cfRule type="cellIs" dxfId="9477" priority="159" operator="equal">
      <formula>3.3</formula>
    </cfRule>
    <cfRule type="cellIs" dxfId="9476" priority="160" operator="equal">
      <formula>3.2</formula>
    </cfRule>
    <cfRule type="cellIs" dxfId="9475" priority="161" operator="equal">
      <formula>3.1</formula>
    </cfRule>
    <cfRule type="cellIs" dxfId="9474" priority="162" operator="equal">
      <formula>2.4</formula>
    </cfRule>
    <cfRule type="cellIs" dxfId="9473" priority="163" operator="equal">
      <formula>2.3</formula>
    </cfRule>
    <cfRule type="cellIs" dxfId="9472" priority="164" operator="equal">
      <formula>2.2</formula>
    </cfRule>
    <cfRule type="cellIs" dxfId="9471" priority="165" operator="equal">
      <formula>2.1</formula>
    </cfRule>
    <cfRule type="cellIs" dxfId="9470" priority="166" operator="equal">
      <formula>1.5</formula>
    </cfRule>
    <cfRule type="cellIs" dxfId="9469" priority="167" operator="equal">
      <formula>1.4</formula>
    </cfRule>
    <cfRule type="cellIs" dxfId="9468" priority="168" operator="equal">
      <formula>1.3</formula>
    </cfRule>
    <cfRule type="cellIs" dxfId="9467" priority="169" operator="equal">
      <formula>1.2</formula>
    </cfRule>
    <cfRule type="containsText" dxfId="9466" priority="170" operator="containsText" text="1.1">
      <formula>NOT(ISERROR(SEARCH("1.1",H242)))</formula>
    </cfRule>
  </conditionalFormatting>
  <conditionalFormatting sqref="H152:M178">
    <cfRule type="cellIs" dxfId="9465" priority="388" operator="equal">
      <formula>4.4</formula>
    </cfRule>
    <cfRule type="cellIs" dxfId="9464" priority="389" operator="equal">
      <formula>4.3</formula>
    </cfRule>
    <cfRule type="cellIs" dxfId="9463" priority="390" operator="equal">
      <formula>4.2</formula>
    </cfRule>
    <cfRule type="cellIs" dxfId="9462" priority="391" operator="equal">
      <formula>4.1</formula>
    </cfRule>
    <cfRule type="cellIs" dxfId="9461" priority="392" operator="equal">
      <formula>3.4</formula>
    </cfRule>
    <cfRule type="cellIs" dxfId="9460" priority="393" operator="equal">
      <formula>3.3</formula>
    </cfRule>
    <cfRule type="cellIs" dxfId="9459" priority="394" operator="equal">
      <formula>3.2</formula>
    </cfRule>
    <cfRule type="cellIs" dxfId="9458" priority="395" operator="equal">
      <formula>3.1</formula>
    </cfRule>
    <cfRule type="cellIs" dxfId="9457" priority="396" operator="equal">
      <formula>2.4</formula>
    </cfRule>
    <cfRule type="cellIs" dxfId="9456" priority="397" operator="equal">
      <formula>2.3</formula>
    </cfRule>
    <cfRule type="cellIs" dxfId="9455" priority="398" operator="equal">
      <formula>2.2</formula>
    </cfRule>
    <cfRule type="cellIs" dxfId="9454" priority="399" operator="equal">
      <formula>2.1</formula>
    </cfRule>
    <cfRule type="cellIs" dxfId="9453" priority="400" operator="equal">
      <formula>1.5</formula>
    </cfRule>
    <cfRule type="cellIs" dxfId="9452" priority="401" operator="equal">
      <formula>1.4</formula>
    </cfRule>
    <cfRule type="cellIs" dxfId="9451" priority="402" operator="equal">
      <formula>1.3</formula>
    </cfRule>
    <cfRule type="cellIs" dxfId="9450" priority="403" operator="equal">
      <formula>1.2</formula>
    </cfRule>
    <cfRule type="containsText" dxfId="9449" priority="404" operator="containsText" text="1.1">
      <formula>NOT(ISERROR(SEARCH("1.1",H152)))</formula>
    </cfRule>
  </conditionalFormatting>
  <conditionalFormatting sqref="H202:K228">
    <cfRule type="containsBlanks" dxfId="9448" priority="614">
      <formula>LEN(TRIM(H202))=0</formula>
    </cfRule>
  </conditionalFormatting>
  <conditionalFormatting sqref="A202:K204 A230:E231 A205:G222 A229:G229 H199:K201 H205:K228 F230:G232">
    <cfRule type="cellIs" dxfId="9447" priority="597" operator="equal">
      <formula>4.4</formula>
    </cfRule>
    <cfRule type="cellIs" dxfId="9446" priority="598" operator="equal">
      <formula>4.3</formula>
    </cfRule>
    <cfRule type="cellIs" dxfId="9445" priority="599" operator="equal">
      <formula>4.2</formula>
    </cfRule>
    <cfRule type="cellIs" dxfId="9444" priority="600" operator="equal">
      <formula>4.1</formula>
    </cfRule>
    <cfRule type="cellIs" dxfId="9443" priority="601" operator="equal">
      <formula>3.4</formula>
    </cfRule>
    <cfRule type="cellIs" dxfId="9442" priority="602" operator="equal">
      <formula>3.3</formula>
    </cfRule>
    <cfRule type="cellIs" dxfId="9441" priority="603" operator="equal">
      <formula>3.2</formula>
    </cfRule>
    <cfRule type="cellIs" dxfId="9440" priority="604" operator="equal">
      <formula>3.1</formula>
    </cfRule>
    <cfRule type="cellIs" dxfId="9439" priority="605" operator="equal">
      <formula>2.4</formula>
    </cfRule>
    <cfRule type="cellIs" dxfId="9438" priority="606" operator="equal">
      <formula>2.3</formula>
    </cfRule>
    <cfRule type="cellIs" dxfId="9437" priority="607" operator="equal">
      <formula>2.2</formula>
    </cfRule>
    <cfRule type="cellIs" dxfId="9436" priority="608" operator="equal">
      <formula>2.1</formula>
    </cfRule>
    <cfRule type="cellIs" dxfId="9435" priority="609" operator="equal">
      <formula>1.5</formula>
    </cfRule>
    <cfRule type="cellIs" dxfId="9434" priority="610" operator="equal">
      <formula>1.4</formula>
    </cfRule>
    <cfRule type="cellIs" dxfId="9433" priority="611" operator="equal">
      <formula>1.3</formula>
    </cfRule>
    <cfRule type="cellIs" dxfId="9432" priority="612" operator="equal">
      <formula>1.2</formula>
    </cfRule>
    <cfRule type="containsText" dxfId="9431" priority="613" operator="containsText" text="1.1">
      <formula>NOT(ISERROR(SEARCH("1.1",A199)))</formula>
    </cfRule>
  </conditionalFormatting>
  <conditionalFormatting sqref="A236:A238 A242 A234:K235 F242:G243">
    <cfRule type="cellIs" dxfId="9430" priority="580" operator="equal">
      <formula>4.4</formula>
    </cfRule>
    <cfRule type="cellIs" dxfId="9429" priority="581" operator="equal">
      <formula>4.3</formula>
    </cfRule>
    <cfRule type="cellIs" dxfId="9428" priority="582" operator="equal">
      <formula>4.2</formula>
    </cfRule>
    <cfRule type="cellIs" dxfId="9427" priority="583" operator="equal">
      <formula>4.1</formula>
    </cfRule>
    <cfRule type="cellIs" dxfId="9426" priority="584" operator="equal">
      <formula>3.4</formula>
    </cfRule>
    <cfRule type="cellIs" dxfId="9425" priority="585" operator="equal">
      <formula>3.3</formula>
    </cfRule>
    <cfRule type="cellIs" dxfId="9424" priority="586" operator="equal">
      <formula>3.2</formula>
    </cfRule>
    <cfRule type="cellIs" dxfId="9423" priority="587" operator="equal">
      <formula>3.1</formula>
    </cfRule>
    <cfRule type="cellIs" dxfId="9422" priority="588" operator="equal">
      <formula>2.4</formula>
    </cfRule>
    <cfRule type="cellIs" dxfId="9421" priority="589" operator="equal">
      <formula>2.3</formula>
    </cfRule>
    <cfRule type="cellIs" dxfId="9420" priority="590" operator="equal">
      <formula>2.2</formula>
    </cfRule>
    <cfRule type="cellIs" dxfId="9419" priority="591" operator="equal">
      <formula>2.1</formula>
    </cfRule>
    <cfRule type="cellIs" dxfId="9418" priority="592" operator="equal">
      <formula>1.5</formula>
    </cfRule>
    <cfRule type="cellIs" dxfId="9417" priority="593" operator="equal">
      <formula>1.4</formula>
    </cfRule>
    <cfRule type="cellIs" dxfId="9416" priority="594" operator="equal">
      <formula>1.3</formula>
    </cfRule>
    <cfRule type="cellIs" dxfId="9415" priority="595" operator="equal">
      <formula>1.2</formula>
    </cfRule>
    <cfRule type="containsText" dxfId="9414" priority="596" operator="containsText" text="1.1">
      <formula>NOT(ISERROR(SEARCH("1.1",A234)))</formula>
    </cfRule>
  </conditionalFormatting>
  <conditionalFormatting sqref="B236:G238">
    <cfRule type="cellIs" dxfId="9413" priority="562" operator="equal">
      <formula>4.4</formula>
    </cfRule>
    <cfRule type="cellIs" dxfId="9412" priority="563" operator="equal">
      <formula>4.3</formula>
    </cfRule>
    <cfRule type="cellIs" dxfId="9411" priority="564" operator="equal">
      <formula>4.2</formula>
    </cfRule>
    <cfRule type="cellIs" dxfId="9410" priority="565" operator="equal">
      <formula>4.1</formula>
    </cfRule>
    <cfRule type="cellIs" dxfId="9409" priority="566" operator="equal">
      <formula>3.4</formula>
    </cfRule>
    <cfRule type="cellIs" dxfId="9408" priority="567" operator="equal">
      <formula>3.3</formula>
    </cfRule>
    <cfRule type="cellIs" dxfId="9407" priority="568" operator="equal">
      <formula>3.2</formula>
    </cfRule>
    <cfRule type="cellIs" dxfId="9406" priority="569" operator="equal">
      <formula>3.1</formula>
    </cfRule>
    <cfRule type="cellIs" dxfId="9405" priority="570" operator="equal">
      <formula>2.4</formula>
    </cfRule>
    <cfRule type="cellIs" dxfId="9404" priority="571" operator="equal">
      <formula>2.3</formula>
    </cfRule>
    <cfRule type="cellIs" dxfId="9403" priority="572" operator="equal">
      <formula>2.2</formula>
    </cfRule>
    <cfRule type="cellIs" dxfId="9402" priority="573" operator="equal">
      <formula>2.1</formula>
    </cfRule>
    <cfRule type="cellIs" dxfId="9401" priority="574" operator="equal">
      <formula>1.5</formula>
    </cfRule>
    <cfRule type="cellIs" dxfId="9400" priority="575" operator="equal">
      <formula>1.4</formula>
    </cfRule>
    <cfRule type="cellIs" dxfId="9399" priority="576" operator="equal">
      <formula>1.3</formula>
    </cfRule>
    <cfRule type="cellIs" dxfId="9398" priority="577" operator="equal">
      <formula>1.2</formula>
    </cfRule>
    <cfRule type="containsText" dxfId="9397" priority="578" operator="containsText" text="1.1">
      <formula>NOT(ISERROR(SEARCH("1.1",B236)))</formula>
    </cfRule>
  </conditionalFormatting>
  <conditionalFormatting sqref="A199:G201">
    <cfRule type="cellIs" dxfId="9396" priority="545" operator="equal">
      <formula>4.4</formula>
    </cfRule>
    <cfRule type="cellIs" dxfId="9395" priority="546" operator="equal">
      <formula>4.3</formula>
    </cfRule>
    <cfRule type="cellIs" dxfId="9394" priority="547" operator="equal">
      <formula>4.2</formula>
    </cfRule>
    <cfRule type="cellIs" dxfId="9393" priority="548" operator="equal">
      <formula>4.1</formula>
    </cfRule>
    <cfRule type="cellIs" dxfId="9392" priority="549" operator="equal">
      <formula>3.4</formula>
    </cfRule>
    <cfRule type="cellIs" dxfId="9391" priority="550" operator="equal">
      <formula>3.3</formula>
    </cfRule>
    <cfRule type="cellIs" dxfId="9390" priority="551" operator="equal">
      <formula>3.2</formula>
    </cfRule>
    <cfRule type="cellIs" dxfId="9389" priority="552" operator="equal">
      <formula>3.1</formula>
    </cfRule>
    <cfRule type="cellIs" dxfId="9388" priority="553" operator="equal">
      <formula>2.4</formula>
    </cfRule>
    <cfRule type="cellIs" dxfId="9387" priority="554" operator="equal">
      <formula>2.3</formula>
    </cfRule>
    <cfRule type="cellIs" dxfId="9386" priority="555" operator="equal">
      <formula>2.2</formula>
    </cfRule>
    <cfRule type="cellIs" dxfId="9385" priority="556" operator="equal">
      <formula>2.1</formula>
    </cfRule>
    <cfRule type="cellIs" dxfId="9384" priority="557" operator="equal">
      <formula>1.5</formula>
    </cfRule>
    <cfRule type="cellIs" dxfId="9383" priority="558" operator="equal">
      <formula>1.4</formula>
    </cfRule>
    <cfRule type="cellIs" dxfId="9382" priority="559" operator="equal">
      <formula>1.3</formula>
    </cfRule>
    <cfRule type="cellIs" dxfId="9381" priority="560" operator="equal">
      <formula>1.2</formula>
    </cfRule>
    <cfRule type="containsText" dxfId="9380" priority="561" operator="containsText" text="1.1">
      <formula>NOT(ISERROR(SEARCH("1.1",A199)))</formula>
    </cfRule>
  </conditionalFormatting>
  <conditionalFormatting sqref="A223:G225">
    <cfRule type="cellIs" dxfId="9379" priority="528" operator="equal">
      <formula>4.4</formula>
    </cfRule>
    <cfRule type="cellIs" dxfId="9378" priority="529" operator="equal">
      <formula>4.3</formula>
    </cfRule>
    <cfRule type="cellIs" dxfId="9377" priority="530" operator="equal">
      <formula>4.2</formula>
    </cfRule>
    <cfRule type="cellIs" dxfId="9376" priority="531" operator="equal">
      <formula>4.1</formula>
    </cfRule>
    <cfRule type="cellIs" dxfId="9375" priority="532" operator="equal">
      <formula>3.4</formula>
    </cfRule>
    <cfRule type="cellIs" dxfId="9374" priority="533" operator="equal">
      <formula>3.3</formula>
    </cfRule>
    <cfRule type="cellIs" dxfId="9373" priority="534" operator="equal">
      <formula>3.2</formula>
    </cfRule>
    <cfRule type="cellIs" dxfId="9372" priority="535" operator="equal">
      <formula>3.1</formula>
    </cfRule>
    <cfRule type="cellIs" dxfId="9371" priority="536" operator="equal">
      <formula>2.4</formula>
    </cfRule>
    <cfRule type="cellIs" dxfId="9370" priority="537" operator="equal">
      <formula>2.3</formula>
    </cfRule>
    <cfRule type="cellIs" dxfId="9369" priority="538" operator="equal">
      <formula>2.2</formula>
    </cfRule>
    <cfRule type="cellIs" dxfId="9368" priority="539" operator="equal">
      <formula>2.1</formula>
    </cfRule>
    <cfRule type="cellIs" dxfId="9367" priority="540" operator="equal">
      <formula>1.5</formula>
    </cfRule>
    <cfRule type="cellIs" dxfId="9366" priority="541" operator="equal">
      <formula>1.4</formula>
    </cfRule>
    <cfRule type="cellIs" dxfId="9365" priority="542" operator="equal">
      <formula>1.3</formula>
    </cfRule>
    <cfRule type="cellIs" dxfId="9364" priority="543" operator="equal">
      <formula>1.2</formula>
    </cfRule>
    <cfRule type="containsText" dxfId="9363" priority="544" operator="containsText" text="1.1">
      <formula>NOT(ISERROR(SEARCH("1.1",A223)))</formula>
    </cfRule>
  </conditionalFormatting>
  <conditionalFormatting sqref="B226:G228">
    <cfRule type="cellIs" dxfId="9362" priority="494" operator="equal">
      <formula>4.4</formula>
    </cfRule>
    <cfRule type="cellIs" dxfId="9361" priority="495" operator="equal">
      <formula>4.3</formula>
    </cfRule>
    <cfRule type="cellIs" dxfId="9360" priority="496" operator="equal">
      <formula>4.2</formula>
    </cfRule>
    <cfRule type="cellIs" dxfId="9359" priority="497" operator="equal">
      <formula>4.1</formula>
    </cfRule>
    <cfRule type="cellIs" dxfId="9358" priority="498" operator="equal">
      <formula>3.4</formula>
    </cfRule>
    <cfRule type="cellIs" dxfId="9357" priority="499" operator="equal">
      <formula>3.3</formula>
    </cfRule>
    <cfRule type="cellIs" dxfId="9356" priority="500" operator="equal">
      <formula>3.2</formula>
    </cfRule>
    <cfRule type="cellIs" dxfId="9355" priority="501" operator="equal">
      <formula>3.1</formula>
    </cfRule>
    <cfRule type="cellIs" dxfId="9354" priority="502" operator="equal">
      <formula>2.4</formula>
    </cfRule>
    <cfRule type="cellIs" dxfId="9353" priority="503" operator="equal">
      <formula>2.3</formula>
    </cfRule>
    <cfRule type="cellIs" dxfId="9352" priority="504" operator="equal">
      <formula>2.2</formula>
    </cfRule>
    <cfRule type="cellIs" dxfId="9351" priority="505" operator="equal">
      <formula>2.1</formula>
    </cfRule>
    <cfRule type="cellIs" dxfId="9350" priority="506" operator="equal">
      <formula>1.5</formula>
    </cfRule>
    <cfRule type="cellIs" dxfId="9349" priority="507" operator="equal">
      <formula>1.4</formula>
    </cfRule>
    <cfRule type="cellIs" dxfId="9348" priority="508" operator="equal">
      <formula>1.3</formula>
    </cfRule>
    <cfRule type="cellIs" dxfId="9347" priority="509" operator="equal">
      <formula>1.2</formula>
    </cfRule>
    <cfRule type="containsText" dxfId="9346" priority="510" operator="containsText" text="1.1">
      <formula>NOT(ISERROR(SEARCH("1.1",B226)))</formula>
    </cfRule>
  </conditionalFormatting>
  <conditionalFormatting sqref="A226:A228">
    <cfRule type="cellIs" dxfId="9345" priority="511" operator="equal">
      <formula>4.4</formula>
    </cfRule>
    <cfRule type="cellIs" dxfId="9344" priority="512" operator="equal">
      <formula>4.3</formula>
    </cfRule>
    <cfRule type="cellIs" dxfId="9343" priority="513" operator="equal">
      <formula>4.2</formula>
    </cfRule>
    <cfRule type="cellIs" dxfId="9342" priority="514" operator="equal">
      <formula>4.1</formula>
    </cfRule>
    <cfRule type="cellIs" dxfId="9341" priority="515" operator="equal">
      <formula>3.4</formula>
    </cfRule>
    <cfRule type="cellIs" dxfId="9340" priority="516" operator="equal">
      <formula>3.3</formula>
    </cfRule>
    <cfRule type="cellIs" dxfId="9339" priority="517" operator="equal">
      <formula>3.2</formula>
    </cfRule>
    <cfRule type="cellIs" dxfId="9338" priority="518" operator="equal">
      <formula>3.1</formula>
    </cfRule>
    <cfRule type="cellIs" dxfId="9337" priority="519" operator="equal">
      <formula>2.4</formula>
    </cfRule>
    <cfRule type="cellIs" dxfId="9336" priority="520" operator="equal">
      <formula>2.3</formula>
    </cfRule>
    <cfRule type="cellIs" dxfId="9335" priority="521" operator="equal">
      <formula>2.2</formula>
    </cfRule>
    <cfRule type="cellIs" dxfId="9334" priority="522" operator="equal">
      <formula>2.1</formula>
    </cfRule>
    <cfRule type="cellIs" dxfId="9333" priority="523" operator="equal">
      <formula>1.5</formula>
    </cfRule>
    <cfRule type="cellIs" dxfId="9332" priority="524" operator="equal">
      <formula>1.4</formula>
    </cfRule>
    <cfRule type="cellIs" dxfId="9331" priority="525" operator="equal">
      <formula>1.3</formula>
    </cfRule>
    <cfRule type="cellIs" dxfId="9330" priority="526" operator="equal">
      <formula>1.2</formula>
    </cfRule>
    <cfRule type="containsText" dxfId="9329" priority="527" operator="containsText" text="1.1">
      <formula>NOT(ISERROR(SEARCH("1.1",A226)))</formula>
    </cfRule>
  </conditionalFormatting>
  <conditionalFormatting sqref="B239:G241">
    <cfRule type="cellIs" dxfId="9328" priority="460" operator="equal">
      <formula>4.4</formula>
    </cfRule>
    <cfRule type="cellIs" dxfId="9327" priority="461" operator="equal">
      <formula>4.3</formula>
    </cfRule>
    <cfRule type="cellIs" dxfId="9326" priority="462" operator="equal">
      <formula>4.2</formula>
    </cfRule>
    <cfRule type="cellIs" dxfId="9325" priority="463" operator="equal">
      <formula>4.1</formula>
    </cfRule>
    <cfRule type="cellIs" dxfId="9324" priority="464" operator="equal">
      <formula>3.4</formula>
    </cfRule>
    <cfRule type="cellIs" dxfId="9323" priority="465" operator="equal">
      <formula>3.3</formula>
    </cfRule>
    <cfRule type="cellIs" dxfId="9322" priority="466" operator="equal">
      <formula>3.2</formula>
    </cfRule>
    <cfRule type="cellIs" dxfId="9321" priority="467" operator="equal">
      <formula>3.1</formula>
    </cfRule>
    <cfRule type="cellIs" dxfId="9320" priority="468" operator="equal">
      <formula>2.4</formula>
    </cfRule>
    <cfRule type="cellIs" dxfId="9319" priority="469" operator="equal">
      <formula>2.3</formula>
    </cfRule>
    <cfRule type="cellIs" dxfId="9318" priority="470" operator="equal">
      <formula>2.2</formula>
    </cfRule>
    <cfRule type="cellIs" dxfId="9317" priority="471" operator="equal">
      <formula>2.1</formula>
    </cfRule>
    <cfRule type="cellIs" dxfId="9316" priority="472" operator="equal">
      <formula>1.5</formula>
    </cfRule>
    <cfRule type="cellIs" dxfId="9315" priority="473" operator="equal">
      <formula>1.4</formula>
    </cfRule>
    <cfRule type="cellIs" dxfId="9314" priority="474" operator="equal">
      <formula>1.3</formula>
    </cfRule>
    <cfRule type="cellIs" dxfId="9313" priority="475" operator="equal">
      <formula>1.2</formula>
    </cfRule>
    <cfRule type="containsText" dxfId="9312" priority="476" operator="containsText" text="1.1">
      <formula>NOT(ISERROR(SEARCH("1.1",B239)))</formula>
    </cfRule>
  </conditionalFormatting>
  <conditionalFormatting sqref="A239:A241">
    <cfRule type="cellIs" dxfId="9311" priority="477" operator="equal">
      <formula>4.4</formula>
    </cfRule>
    <cfRule type="cellIs" dxfId="9310" priority="478" operator="equal">
      <formula>4.3</formula>
    </cfRule>
    <cfRule type="cellIs" dxfId="9309" priority="479" operator="equal">
      <formula>4.2</formula>
    </cfRule>
    <cfRule type="cellIs" dxfId="9308" priority="480" operator="equal">
      <formula>4.1</formula>
    </cfRule>
    <cfRule type="cellIs" dxfId="9307" priority="481" operator="equal">
      <formula>3.4</formula>
    </cfRule>
    <cfRule type="cellIs" dxfId="9306" priority="482" operator="equal">
      <formula>3.3</formula>
    </cfRule>
    <cfRule type="cellIs" dxfId="9305" priority="483" operator="equal">
      <formula>3.2</formula>
    </cfRule>
    <cfRule type="cellIs" dxfId="9304" priority="484" operator="equal">
      <formula>3.1</formula>
    </cfRule>
    <cfRule type="cellIs" dxfId="9303" priority="485" operator="equal">
      <formula>2.4</formula>
    </cfRule>
    <cfRule type="cellIs" dxfId="9302" priority="486" operator="equal">
      <formula>2.3</formula>
    </cfRule>
    <cfRule type="cellIs" dxfId="9301" priority="487" operator="equal">
      <formula>2.2</formula>
    </cfRule>
    <cfRule type="cellIs" dxfId="9300" priority="488" operator="equal">
      <formula>2.1</formula>
    </cfRule>
    <cfRule type="cellIs" dxfId="9299" priority="489" operator="equal">
      <formula>1.5</formula>
    </cfRule>
    <cfRule type="cellIs" dxfId="9298" priority="490" operator="equal">
      <formula>1.4</formula>
    </cfRule>
    <cfRule type="cellIs" dxfId="9297" priority="491" operator="equal">
      <formula>1.3</formula>
    </cfRule>
    <cfRule type="cellIs" dxfId="9296" priority="492" operator="equal">
      <formula>1.2</formula>
    </cfRule>
    <cfRule type="containsText" dxfId="9295" priority="493" operator="containsText" text="1.1">
      <formula>NOT(ISERROR(SEARCH("1.1",A239)))</formula>
    </cfRule>
  </conditionalFormatting>
  <conditionalFormatting sqref="H152:M178">
    <cfRule type="containsBlanks" dxfId="9294" priority="405">
      <formula>LEN(TRIM(H152))=0</formula>
    </cfRule>
  </conditionalFormatting>
  <conditionalFormatting sqref="H90:L92">
    <cfRule type="containsBlanks" dxfId="9293" priority="423">
      <formula>LEN(TRIM(H90))=0</formula>
    </cfRule>
  </conditionalFormatting>
  <conditionalFormatting sqref="H90:L92">
    <cfRule type="cellIs" dxfId="9292" priority="406" operator="equal">
      <formula>4.4</formula>
    </cfRule>
    <cfRule type="cellIs" dxfId="9291" priority="407" operator="equal">
      <formula>4.3</formula>
    </cfRule>
    <cfRule type="cellIs" dxfId="9290" priority="408" operator="equal">
      <formula>4.2</formula>
    </cfRule>
    <cfRule type="cellIs" dxfId="9289" priority="409" operator="equal">
      <formula>4.1</formula>
    </cfRule>
    <cfRule type="cellIs" dxfId="9288" priority="410" operator="equal">
      <formula>3.4</formula>
    </cfRule>
    <cfRule type="cellIs" dxfId="9287" priority="411" operator="equal">
      <formula>3.3</formula>
    </cfRule>
    <cfRule type="cellIs" dxfId="9286" priority="412" operator="equal">
      <formula>3.2</formula>
    </cfRule>
    <cfRule type="cellIs" dxfId="9285" priority="413" operator="equal">
      <formula>3.1</formula>
    </cfRule>
    <cfRule type="cellIs" dxfId="9284" priority="414" operator="equal">
      <formula>2.4</formula>
    </cfRule>
    <cfRule type="cellIs" dxfId="9283" priority="415" operator="equal">
      <formula>2.3</formula>
    </cfRule>
    <cfRule type="cellIs" dxfId="9282" priority="416" operator="equal">
      <formula>2.2</formula>
    </cfRule>
    <cfRule type="cellIs" dxfId="9281" priority="417" operator="equal">
      <formula>2.1</formula>
    </cfRule>
    <cfRule type="cellIs" dxfId="9280" priority="418" operator="equal">
      <formula>1.5</formula>
    </cfRule>
    <cfRule type="cellIs" dxfId="9279" priority="419" operator="equal">
      <formula>1.4</formula>
    </cfRule>
    <cfRule type="cellIs" dxfId="9278" priority="420" operator="equal">
      <formula>1.3</formula>
    </cfRule>
    <cfRule type="cellIs" dxfId="9277" priority="421" operator="equal">
      <formula>1.2</formula>
    </cfRule>
    <cfRule type="containsText" dxfId="9276" priority="422" operator="containsText" text="1.1">
      <formula>NOT(ISERROR(SEARCH("1.1",H90)))</formula>
    </cfRule>
  </conditionalFormatting>
  <conditionalFormatting sqref="H242:K243">
    <cfRule type="containsBlanks" dxfId="9275" priority="171">
      <formula>LEN(TRIM(H242))=0</formula>
    </cfRule>
  </conditionalFormatting>
  <conditionalFormatting sqref="H179:M182">
    <cfRule type="containsBlanks" dxfId="9274" priority="333">
      <formula>LEN(TRIM(H179))=0</formula>
    </cfRule>
  </conditionalFormatting>
  <conditionalFormatting sqref="H179:M182">
    <cfRule type="cellIs" dxfId="9273" priority="316" operator="equal">
      <formula>4.4</formula>
    </cfRule>
    <cfRule type="cellIs" dxfId="9272" priority="317" operator="equal">
      <formula>4.3</formula>
    </cfRule>
    <cfRule type="cellIs" dxfId="9271" priority="318" operator="equal">
      <formula>4.2</formula>
    </cfRule>
    <cfRule type="cellIs" dxfId="9270" priority="319" operator="equal">
      <formula>4.1</formula>
    </cfRule>
    <cfRule type="cellIs" dxfId="9269" priority="320" operator="equal">
      <formula>3.4</formula>
    </cfRule>
    <cfRule type="cellIs" dxfId="9268" priority="321" operator="equal">
      <formula>3.3</formula>
    </cfRule>
    <cfRule type="cellIs" dxfId="9267" priority="322" operator="equal">
      <formula>3.2</formula>
    </cfRule>
    <cfRule type="cellIs" dxfId="9266" priority="323" operator="equal">
      <formula>3.1</formula>
    </cfRule>
    <cfRule type="cellIs" dxfId="9265" priority="324" operator="equal">
      <formula>2.4</formula>
    </cfRule>
    <cfRule type="cellIs" dxfId="9264" priority="325" operator="equal">
      <formula>2.3</formula>
    </cfRule>
    <cfRule type="cellIs" dxfId="9263" priority="326" operator="equal">
      <formula>2.2</formula>
    </cfRule>
    <cfRule type="cellIs" dxfId="9262" priority="327" operator="equal">
      <formula>2.1</formula>
    </cfRule>
    <cfRule type="cellIs" dxfId="9261" priority="328" operator="equal">
      <formula>1.5</formula>
    </cfRule>
    <cfRule type="cellIs" dxfId="9260" priority="329" operator="equal">
      <formula>1.4</formula>
    </cfRule>
    <cfRule type="cellIs" dxfId="9259" priority="330" operator="equal">
      <formula>1.3</formula>
    </cfRule>
    <cfRule type="cellIs" dxfId="9258" priority="331" operator="equal">
      <formula>1.2</formula>
    </cfRule>
    <cfRule type="containsText" dxfId="9257" priority="332" operator="containsText" text="1.1">
      <formula>NOT(ISERROR(SEARCH("1.1",H179)))</formula>
    </cfRule>
  </conditionalFormatting>
  <conditionalFormatting sqref="H186:M188">
    <cfRule type="containsBlanks" dxfId="9256" priority="315">
      <formula>LEN(TRIM(H186))=0</formula>
    </cfRule>
  </conditionalFormatting>
  <conditionalFormatting sqref="H186:M188">
    <cfRule type="cellIs" dxfId="9255" priority="298" operator="equal">
      <formula>4.4</formula>
    </cfRule>
    <cfRule type="cellIs" dxfId="9254" priority="299" operator="equal">
      <formula>4.3</formula>
    </cfRule>
    <cfRule type="cellIs" dxfId="9253" priority="300" operator="equal">
      <formula>4.2</formula>
    </cfRule>
    <cfRule type="cellIs" dxfId="9252" priority="301" operator="equal">
      <formula>4.1</formula>
    </cfRule>
    <cfRule type="cellIs" dxfId="9251" priority="302" operator="equal">
      <formula>3.4</formula>
    </cfRule>
    <cfRule type="cellIs" dxfId="9250" priority="303" operator="equal">
      <formula>3.3</formula>
    </cfRule>
    <cfRule type="cellIs" dxfId="9249" priority="304" operator="equal">
      <formula>3.2</formula>
    </cfRule>
    <cfRule type="cellIs" dxfId="9248" priority="305" operator="equal">
      <formula>3.1</formula>
    </cfRule>
    <cfRule type="cellIs" dxfId="9247" priority="306" operator="equal">
      <formula>2.4</formula>
    </cfRule>
    <cfRule type="cellIs" dxfId="9246" priority="307" operator="equal">
      <formula>2.3</formula>
    </cfRule>
    <cfRule type="cellIs" dxfId="9245" priority="308" operator="equal">
      <formula>2.2</formula>
    </cfRule>
    <cfRule type="cellIs" dxfId="9244" priority="309" operator="equal">
      <formula>2.1</formula>
    </cfRule>
    <cfRule type="cellIs" dxfId="9243" priority="310" operator="equal">
      <formula>1.5</formula>
    </cfRule>
    <cfRule type="cellIs" dxfId="9242" priority="311" operator="equal">
      <formula>1.4</formula>
    </cfRule>
    <cfRule type="cellIs" dxfId="9241" priority="312" operator="equal">
      <formula>1.3</formula>
    </cfRule>
    <cfRule type="cellIs" dxfId="9240" priority="313" operator="equal">
      <formula>1.2</formula>
    </cfRule>
    <cfRule type="containsText" dxfId="9239" priority="314" operator="containsText" text="1.1">
      <formula>NOT(ISERROR(SEARCH("1.1",H186)))</formula>
    </cfRule>
  </conditionalFormatting>
  <conditionalFormatting sqref="H189:M191">
    <cfRule type="containsBlanks" dxfId="9238" priority="297">
      <formula>LEN(TRIM(H189))=0</formula>
    </cfRule>
  </conditionalFormatting>
  <conditionalFormatting sqref="H189:M191">
    <cfRule type="cellIs" dxfId="9237" priority="280" operator="equal">
      <formula>4.4</formula>
    </cfRule>
    <cfRule type="cellIs" dxfId="9236" priority="281" operator="equal">
      <formula>4.3</formula>
    </cfRule>
    <cfRule type="cellIs" dxfId="9235" priority="282" operator="equal">
      <formula>4.2</formula>
    </cfRule>
    <cfRule type="cellIs" dxfId="9234" priority="283" operator="equal">
      <formula>4.1</formula>
    </cfRule>
    <cfRule type="cellIs" dxfId="9233" priority="284" operator="equal">
      <formula>3.4</formula>
    </cfRule>
    <cfRule type="cellIs" dxfId="9232" priority="285" operator="equal">
      <formula>3.3</formula>
    </cfRule>
    <cfRule type="cellIs" dxfId="9231" priority="286" operator="equal">
      <formula>3.2</formula>
    </cfRule>
    <cfRule type="cellIs" dxfId="9230" priority="287" operator="equal">
      <formula>3.1</formula>
    </cfRule>
    <cfRule type="cellIs" dxfId="9229" priority="288" operator="equal">
      <formula>2.4</formula>
    </cfRule>
    <cfRule type="cellIs" dxfId="9228" priority="289" operator="equal">
      <formula>2.3</formula>
    </cfRule>
    <cfRule type="cellIs" dxfId="9227" priority="290" operator="equal">
      <formula>2.2</formula>
    </cfRule>
    <cfRule type="cellIs" dxfId="9226" priority="291" operator="equal">
      <formula>2.1</formula>
    </cfRule>
    <cfRule type="cellIs" dxfId="9225" priority="292" operator="equal">
      <formula>1.5</formula>
    </cfRule>
    <cfRule type="cellIs" dxfId="9224" priority="293" operator="equal">
      <formula>1.4</formula>
    </cfRule>
    <cfRule type="cellIs" dxfId="9223" priority="294" operator="equal">
      <formula>1.3</formula>
    </cfRule>
    <cfRule type="cellIs" dxfId="9222" priority="295" operator="equal">
      <formula>1.2</formula>
    </cfRule>
    <cfRule type="containsText" dxfId="9221" priority="296" operator="containsText" text="1.1">
      <formula>NOT(ISERROR(SEARCH("1.1",H189)))</formula>
    </cfRule>
  </conditionalFormatting>
  <conditionalFormatting sqref="H239:K241">
    <cfRule type="containsBlanks" dxfId="9220" priority="189">
      <formula>LEN(TRIM(H239))=0</formula>
    </cfRule>
  </conditionalFormatting>
  <conditionalFormatting sqref="H239:K241">
    <cfRule type="cellIs" dxfId="9219" priority="172" operator="equal">
      <formula>4.4</formula>
    </cfRule>
    <cfRule type="cellIs" dxfId="9218" priority="173" operator="equal">
      <formula>4.3</formula>
    </cfRule>
    <cfRule type="cellIs" dxfId="9217" priority="174" operator="equal">
      <formula>4.2</formula>
    </cfRule>
    <cfRule type="cellIs" dxfId="9216" priority="175" operator="equal">
      <formula>4.1</formula>
    </cfRule>
    <cfRule type="cellIs" dxfId="9215" priority="176" operator="equal">
      <formula>3.4</formula>
    </cfRule>
    <cfRule type="cellIs" dxfId="9214" priority="177" operator="equal">
      <formula>3.3</formula>
    </cfRule>
    <cfRule type="cellIs" dxfId="9213" priority="178" operator="equal">
      <formula>3.2</formula>
    </cfRule>
    <cfRule type="cellIs" dxfId="9212" priority="179" operator="equal">
      <formula>3.1</formula>
    </cfRule>
    <cfRule type="cellIs" dxfId="9211" priority="180" operator="equal">
      <formula>2.4</formula>
    </cfRule>
    <cfRule type="cellIs" dxfId="9210" priority="181" operator="equal">
      <formula>2.3</formula>
    </cfRule>
    <cfRule type="cellIs" dxfId="9209" priority="182" operator="equal">
      <formula>2.2</formula>
    </cfRule>
    <cfRule type="cellIs" dxfId="9208" priority="183" operator="equal">
      <formula>2.1</formula>
    </cfRule>
    <cfRule type="cellIs" dxfId="9207" priority="184" operator="equal">
      <formula>1.5</formula>
    </cfRule>
    <cfRule type="cellIs" dxfId="9206" priority="185" operator="equal">
      <formula>1.4</formula>
    </cfRule>
    <cfRule type="cellIs" dxfId="9205" priority="186" operator="equal">
      <formula>1.3</formula>
    </cfRule>
    <cfRule type="cellIs" dxfId="9204" priority="187" operator="equal">
      <formula>1.2</formula>
    </cfRule>
    <cfRule type="containsText" dxfId="9203" priority="188" operator="containsText" text="1.1">
      <formula>NOT(ISERROR(SEARCH("1.1",H239)))</formula>
    </cfRule>
  </conditionalFormatting>
  <conditionalFormatting sqref="H192:M193">
    <cfRule type="containsBlanks" dxfId="9202" priority="261">
      <formula>LEN(TRIM(H192))=0</formula>
    </cfRule>
  </conditionalFormatting>
  <conditionalFormatting sqref="H192:M193">
    <cfRule type="cellIs" dxfId="9201" priority="244" operator="equal">
      <formula>4.4</formula>
    </cfRule>
    <cfRule type="cellIs" dxfId="9200" priority="245" operator="equal">
      <formula>4.3</formula>
    </cfRule>
    <cfRule type="cellIs" dxfId="9199" priority="246" operator="equal">
      <formula>4.2</formula>
    </cfRule>
    <cfRule type="cellIs" dxfId="9198" priority="247" operator="equal">
      <formula>4.1</formula>
    </cfRule>
    <cfRule type="cellIs" dxfId="9197" priority="248" operator="equal">
      <formula>3.4</formula>
    </cfRule>
    <cfRule type="cellIs" dxfId="9196" priority="249" operator="equal">
      <formula>3.3</formula>
    </cfRule>
    <cfRule type="cellIs" dxfId="9195" priority="250" operator="equal">
      <formula>3.2</formula>
    </cfRule>
    <cfRule type="cellIs" dxfId="9194" priority="251" operator="equal">
      <formula>3.1</formula>
    </cfRule>
    <cfRule type="cellIs" dxfId="9193" priority="252" operator="equal">
      <formula>2.4</formula>
    </cfRule>
    <cfRule type="cellIs" dxfId="9192" priority="253" operator="equal">
      <formula>2.3</formula>
    </cfRule>
    <cfRule type="cellIs" dxfId="9191" priority="254" operator="equal">
      <formula>2.2</formula>
    </cfRule>
    <cfRule type="cellIs" dxfId="9190" priority="255" operator="equal">
      <formula>2.1</formula>
    </cfRule>
    <cfRule type="cellIs" dxfId="9189" priority="256" operator="equal">
      <formula>1.5</formula>
    </cfRule>
    <cfRule type="cellIs" dxfId="9188" priority="257" operator="equal">
      <formula>1.4</formula>
    </cfRule>
    <cfRule type="cellIs" dxfId="9187" priority="258" operator="equal">
      <formula>1.3</formula>
    </cfRule>
    <cfRule type="cellIs" dxfId="9186" priority="259" operator="equal">
      <formula>1.2</formula>
    </cfRule>
    <cfRule type="containsText" dxfId="9185" priority="260" operator="containsText" text="1.1">
      <formula>NOT(ISERROR(SEARCH("1.1",H192)))</formula>
    </cfRule>
  </conditionalFormatting>
  <conditionalFormatting sqref="H229:K232">
    <cfRule type="containsBlanks" dxfId="9184" priority="243">
      <formula>LEN(TRIM(H229))=0</formula>
    </cfRule>
  </conditionalFormatting>
  <conditionalFormatting sqref="H229:K232">
    <cfRule type="cellIs" dxfId="9183" priority="226" operator="equal">
      <formula>4.4</formula>
    </cfRule>
    <cfRule type="cellIs" dxfId="9182" priority="227" operator="equal">
      <formula>4.3</formula>
    </cfRule>
    <cfRule type="cellIs" dxfId="9181" priority="228" operator="equal">
      <formula>4.2</formula>
    </cfRule>
    <cfRule type="cellIs" dxfId="9180" priority="229" operator="equal">
      <formula>4.1</formula>
    </cfRule>
    <cfRule type="cellIs" dxfId="9179" priority="230" operator="equal">
      <formula>3.4</formula>
    </cfRule>
    <cfRule type="cellIs" dxfId="9178" priority="231" operator="equal">
      <formula>3.3</formula>
    </cfRule>
    <cfRule type="cellIs" dxfId="9177" priority="232" operator="equal">
      <formula>3.2</formula>
    </cfRule>
    <cfRule type="cellIs" dxfId="9176" priority="233" operator="equal">
      <formula>3.1</formula>
    </cfRule>
    <cfRule type="cellIs" dxfId="9175" priority="234" operator="equal">
      <formula>2.4</formula>
    </cfRule>
    <cfRule type="cellIs" dxfId="9174" priority="235" operator="equal">
      <formula>2.3</formula>
    </cfRule>
    <cfRule type="cellIs" dxfId="9173" priority="236" operator="equal">
      <formula>2.2</formula>
    </cfRule>
    <cfRule type="cellIs" dxfId="9172" priority="237" operator="equal">
      <formula>2.1</formula>
    </cfRule>
    <cfRule type="cellIs" dxfId="9171" priority="238" operator="equal">
      <formula>1.5</formula>
    </cfRule>
    <cfRule type="cellIs" dxfId="9170" priority="239" operator="equal">
      <formula>1.4</formula>
    </cfRule>
    <cfRule type="cellIs" dxfId="9169" priority="240" operator="equal">
      <formula>1.3</formula>
    </cfRule>
    <cfRule type="cellIs" dxfId="9168" priority="241" operator="equal">
      <formula>1.2</formula>
    </cfRule>
    <cfRule type="containsText" dxfId="9167" priority="242" operator="containsText" text="1.1">
      <formula>NOT(ISERROR(SEARCH("1.1",H229)))</formula>
    </cfRule>
  </conditionalFormatting>
  <conditionalFormatting sqref="H236:K238">
    <cfRule type="containsBlanks" dxfId="9166" priority="207">
      <formula>LEN(TRIM(H236))=0</formula>
    </cfRule>
  </conditionalFormatting>
  <conditionalFormatting sqref="H236:K238">
    <cfRule type="cellIs" dxfId="9165" priority="190" operator="equal">
      <formula>4.4</formula>
    </cfRule>
    <cfRule type="cellIs" dxfId="9164" priority="191" operator="equal">
      <formula>4.3</formula>
    </cfRule>
    <cfRule type="cellIs" dxfId="9163" priority="192" operator="equal">
      <formula>4.2</formula>
    </cfRule>
    <cfRule type="cellIs" dxfId="9162" priority="193" operator="equal">
      <formula>4.1</formula>
    </cfRule>
    <cfRule type="cellIs" dxfId="9161" priority="194" operator="equal">
      <formula>3.4</formula>
    </cfRule>
    <cfRule type="cellIs" dxfId="9160" priority="195" operator="equal">
      <formula>3.3</formula>
    </cfRule>
    <cfRule type="cellIs" dxfId="9159" priority="196" operator="equal">
      <formula>3.2</formula>
    </cfRule>
    <cfRule type="cellIs" dxfId="9158" priority="197" operator="equal">
      <formula>3.1</formula>
    </cfRule>
    <cfRule type="cellIs" dxfId="9157" priority="198" operator="equal">
      <formula>2.4</formula>
    </cfRule>
    <cfRule type="cellIs" dxfId="9156" priority="199" operator="equal">
      <formula>2.3</formula>
    </cfRule>
    <cfRule type="cellIs" dxfId="9155" priority="200" operator="equal">
      <formula>2.2</formula>
    </cfRule>
    <cfRule type="cellIs" dxfId="9154" priority="201" operator="equal">
      <formula>2.1</formula>
    </cfRule>
    <cfRule type="cellIs" dxfId="9153" priority="202" operator="equal">
      <formula>1.5</formula>
    </cfRule>
    <cfRule type="cellIs" dxfId="9152" priority="203" operator="equal">
      <formula>1.4</formula>
    </cfRule>
    <cfRule type="cellIs" dxfId="9151" priority="204" operator="equal">
      <formula>1.3</formula>
    </cfRule>
    <cfRule type="cellIs" dxfId="9150" priority="205" operator="equal">
      <formula>1.2</formula>
    </cfRule>
    <cfRule type="containsText" dxfId="9149" priority="206" operator="containsText" text="1.1">
      <formula>NOT(ISERROR(SEARCH("1.1",H236)))</formula>
    </cfRule>
  </conditionalFormatting>
  <conditionalFormatting sqref="BJ9:BO9 BJ10">
    <cfRule type="cellIs" dxfId="9148" priority="137" operator="equal">
      <formula>4.4</formula>
    </cfRule>
    <cfRule type="cellIs" dxfId="9147" priority="138" operator="equal">
      <formula>4.3</formula>
    </cfRule>
    <cfRule type="cellIs" dxfId="9146" priority="139" operator="equal">
      <formula>4.2</formula>
    </cfRule>
    <cfRule type="cellIs" dxfId="9145" priority="140" operator="equal">
      <formula>4.1</formula>
    </cfRule>
    <cfRule type="cellIs" dxfId="9144" priority="141" operator="equal">
      <formula>3.4</formula>
    </cfRule>
    <cfRule type="cellIs" dxfId="9143" priority="142" operator="equal">
      <formula>3.3</formula>
    </cfRule>
    <cfRule type="cellIs" dxfId="9142" priority="143" operator="equal">
      <formula>3.2</formula>
    </cfRule>
    <cfRule type="cellIs" dxfId="9141" priority="144" operator="equal">
      <formula>3.1</formula>
    </cfRule>
    <cfRule type="cellIs" dxfId="9140" priority="145" operator="equal">
      <formula>2.4</formula>
    </cfRule>
    <cfRule type="cellIs" dxfId="9139" priority="146" operator="equal">
      <formula>2.3</formula>
    </cfRule>
    <cfRule type="cellIs" dxfId="9138" priority="147" operator="equal">
      <formula>2.2</formula>
    </cfRule>
    <cfRule type="cellIs" dxfId="9137" priority="148" operator="equal">
      <formula>2.1</formula>
    </cfRule>
    <cfRule type="cellIs" dxfId="9136" priority="149" operator="equal">
      <formula>1.5</formula>
    </cfRule>
    <cfRule type="cellIs" dxfId="9135" priority="150" operator="equal">
      <formula>1.4</formula>
    </cfRule>
    <cfRule type="cellIs" dxfId="9134" priority="151" operator="equal">
      <formula>1.3</formula>
    </cfRule>
    <cfRule type="cellIs" dxfId="9133" priority="152" operator="equal">
      <formula>1.2</formula>
    </cfRule>
    <cfRule type="containsText" dxfId="9132" priority="153" operator="containsText" text="1.1">
      <formula>NOT(ISERROR(SEARCH("1.1",BJ9)))</formula>
    </cfRule>
  </conditionalFormatting>
  <conditionalFormatting sqref="BJ49:BO49">
    <cfRule type="cellIs" dxfId="9131" priority="120" operator="equal">
      <formula>4.4</formula>
    </cfRule>
    <cfRule type="cellIs" dxfId="9130" priority="121" operator="equal">
      <formula>4.3</formula>
    </cfRule>
    <cfRule type="cellIs" dxfId="9129" priority="122" operator="equal">
      <formula>4.2</formula>
    </cfRule>
    <cfRule type="cellIs" dxfId="9128" priority="123" operator="equal">
      <formula>4.1</formula>
    </cfRule>
    <cfRule type="cellIs" dxfId="9127" priority="124" operator="equal">
      <formula>3.4</formula>
    </cfRule>
    <cfRule type="cellIs" dxfId="9126" priority="125" operator="equal">
      <formula>3.3</formula>
    </cfRule>
    <cfRule type="cellIs" dxfId="9125" priority="126" operator="equal">
      <formula>3.2</formula>
    </cfRule>
    <cfRule type="cellIs" dxfId="9124" priority="127" operator="equal">
      <formula>3.1</formula>
    </cfRule>
    <cfRule type="cellIs" dxfId="9123" priority="128" operator="equal">
      <formula>2.4</formula>
    </cfRule>
    <cfRule type="cellIs" dxfId="9122" priority="129" operator="equal">
      <formula>2.3</formula>
    </cfRule>
    <cfRule type="cellIs" dxfId="9121" priority="130" operator="equal">
      <formula>2.2</formula>
    </cfRule>
    <cfRule type="cellIs" dxfId="9120" priority="131" operator="equal">
      <formula>2.1</formula>
    </cfRule>
    <cfRule type="cellIs" dxfId="9119" priority="132" operator="equal">
      <formula>1.5</formula>
    </cfRule>
    <cfRule type="cellIs" dxfId="9118" priority="133" operator="equal">
      <formula>1.4</formula>
    </cfRule>
    <cfRule type="cellIs" dxfId="9117" priority="134" operator="equal">
      <formula>1.3</formula>
    </cfRule>
    <cfRule type="cellIs" dxfId="9116" priority="135" operator="equal">
      <formula>1.2</formula>
    </cfRule>
    <cfRule type="containsText" dxfId="9115" priority="136" operator="containsText" text="1.1">
      <formula>NOT(ISERROR(SEARCH("1.1",BJ49)))</formula>
    </cfRule>
  </conditionalFormatting>
  <conditionalFormatting sqref="BJ99:BO99">
    <cfRule type="cellIs" dxfId="9114" priority="103" operator="equal">
      <formula>4.4</formula>
    </cfRule>
    <cfRule type="cellIs" dxfId="9113" priority="104" operator="equal">
      <formula>4.3</formula>
    </cfRule>
    <cfRule type="cellIs" dxfId="9112" priority="105" operator="equal">
      <formula>4.2</formula>
    </cfRule>
    <cfRule type="cellIs" dxfId="9111" priority="106" operator="equal">
      <formula>4.1</formula>
    </cfRule>
    <cfRule type="cellIs" dxfId="9110" priority="107" operator="equal">
      <formula>3.4</formula>
    </cfRule>
    <cfRule type="cellIs" dxfId="9109" priority="108" operator="equal">
      <formula>3.3</formula>
    </cfRule>
    <cfRule type="cellIs" dxfId="9108" priority="109" operator="equal">
      <formula>3.2</formula>
    </cfRule>
    <cfRule type="cellIs" dxfId="9107" priority="110" operator="equal">
      <formula>3.1</formula>
    </cfRule>
    <cfRule type="cellIs" dxfId="9106" priority="111" operator="equal">
      <formula>2.4</formula>
    </cfRule>
    <cfRule type="cellIs" dxfId="9105" priority="112" operator="equal">
      <formula>2.3</formula>
    </cfRule>
    <cfRule type="cellIs" dxfId="9104" priority="113" operator="equal">
      <formula>2.2</formula>
    </cfRule>
    <cfRule type="cellIs" dxfId="9103" priority="114" operator="equal">
      <formula>2.1</formula>
    </cfRule>
    <cfRule type="cellIs" dxfId="9102" priority="115" operator="equal">
      <formula>1.5</formula>
    </cfRule>
    <cfRule type="cellIs" dxfId="9101" priority="116" operator="equal">
      <formula>1.4</formula>
    </cfRule>
    <cfRule type="cellIs" dxfId="9100" priority="117" operator="equal">
      <formula>1.3</formula>
    </cfRule>
    <cfRule type="cellIs" dxfId="9099" priority="118" operator="equal">
      <formula>1.2</formula>
    </cfRule>
    <cfRule type="containsText" dxfId="9098" priority="119" operator="containsText" text="1.1">
      <formula>NOT(ISERROR(SEARCH("1.1",BJ99)))</formula>
    </cfRule>
  </conditionalFormatting>
  <conditionalFormatting sqref="BJ149:BO149">
    <cfRule type="cellIs" dxfId="9097" priority="86" operator="equal">
      <formula>4.4</formula>
    </cfRule>
    <cfRule type="cellIs" dxfId="9096" priority="87" operator="equal">
      <formula>4.3</formula>
    </cfRule>
    <cfRule type="cellIs" dxfId="9095" priority="88" operator="equal">
      <formula>4.2</formula>
    </cfRule>
    <cfRule type="cellIs" dxfId="9094" priority="89" operator="equal">
      <formula>4.1</formula>
    </cfRule>
    <cfRule type="cellIs" dxfId="9093" priority="90" operator="equal">
      <formula>3.4</formula>
    </cfRule>
    <cfRule type="cellIs" dxfId="9092" priority="91" operator="equal">
      <formula>3.3</formula>
    </cfRule>
    <cfRule type="cellIs" dxfId="9091" priority="92" operator="equal">
      <formula>3.2</formula>
    </cfRule>
    <cfRule type="cellIs" dxfId="9090" priority="93" operator="equal">
      <formula>3.1</formula>
    </cfRule>
    <cfRule type="cellIs" dxfId="9089" priority="94" operator="equal">
      <formula>2.4</formula>
    </cfRule>
    <cfRule type="cellIs" dxfId="9088" priority="95" operator="equal">
      <formula>2.3</formula>
    </cfRule>
    <cfRule type="cellIs" dxfId="9087" priority="96" operator="equal">
      <formula>2.2</formula>
    </cfRule>
    <cfRule type="cellIs" dxfId="9086" priority="97" operator="equal">
      <formula>2.1</formula>
    </cfRule>
    <cfRule type="cellIs" dxfId="9085" priority="98" operator="equal">
      <formula>1.5</formula>
    </cfRule>
    <cfRule type="cellIs" dxfId="9084" priority="99" operator="equal">
      <formula>1.4</formula>
    </cfRule>
    <cfRule type="cellIs" dxfId="9083" priority="100" operator="equal">
      <formula>1.3</formula>
    </cfRule>
    <cfRule type="cellIs" dxfId="9082" priority="101" operator="equal">
      <formula>1.2</formula>
    </cfRule>
    <cfRule type="containsText" dxfId="9081" priority="102" operator="containsText" text="1.1">
      <formula>NOT(ISERROR(SEARCH("1.1",BJ149)))</formula>
    </cfRule>
  </conditionalFormatting>
  <conditionalFormatting sqref="BJ199:BO199">
    <cfRule type="cellIs" dxfId="9080" priority="69" operator="equal">
      <formula>4.4</formula>
    </cfRule>
    <cfRule type="cellIs" dxfId="9079" priority="70" operator="equal">
      <formula>4.3</formula>
    </cfRule>
    <cfRule type="cellIs" dxfId="9078" priority="71" operator="equal">
      <formula>4.2</formula>
    </cfRule>
    <cfRule type="cellIs" dxfId="9077" priority="72" operator="equal">
      <formula>4.1</formula>
    </cfRule>
    <cfRule type="cellIs" dxfId="9076" priority="73" operator="equal">
      <formula>3.4</formula>
    </cfRule>
    <cfRule type="cellIs" dxfId="9075" priority="74" operator="equal">
      <formula>3.3</formula>
    </cfRule>
    <cfRule type="cellIs" dxfId="9074" priority="75" operator="equal">
      <formula>3.2</formula>
    </cfRule>
    <cfRule type="cellIs" dxfId="9073" priority="76" operator="equal">
      <formula>3.1</formula>
    </cfRule>
    <cfRule type="cellIs" dxfId="9072" priority="77" operator="equal">
      <formula>2.4</formula>
    </cfRule>
    <cfRule type="cellIs" dxfId="9071" priority="78" operator="equal">
      <formula>2.3</formula>
    </cfRule>
    <cfRule type="cellIs" dxfId="9070" priority="79" operator="equal">
      <formula>2.2</formula>
    </cfRule>
    <cfRule type="cellIs" dxfId="9069" priority="80" operator="equal">
      <formula>2.1</formula>
    </cfRule>
    <cfRule type="cellIs" dxfId="9068" priority="81" operator="equal">
      <formula>1.5</formula>
    </cfRule>
    <cfRule type="cellIs" dxfId="9067" priority="82" operator="equal">
      <formula>1.4</formula>
    </cfRule>
    <cfRule type="cellIs" dxfId="9066" priority="83" operator="equal">
      <formula>1.3</formula>
    </cfRule>
    <cfRule type="cellIs" dxfId="9065" priority="84" operator="equal">
      <formula>1.2</formula>
    </cfRule>
    <cfRule type="containsText" dxfId="9064" priority="85" operator="containsText" text="1.1">
      <formula>NOT(ISERROR(SEARCH("1.1",BJ199)))</formula>
    </cfRule>
  </conditionalFormatting>
  <conditionalFormatting sqref="BJ50">
    <cfRule type="cellIs" dxfId="9063" priority="52" operator="equal">
      <formula>4.4</formula>
    </cfRule>
    <cfRule type="cellIs" dxfId="9062" priority="53" operator="equal">
      <formula>4.3</formula>
    </cfRule>
    <cfRule type="cellIs" dxfId="9061" priority="54" operator="equal">
      <formula>4.2</formula>
    </cfRule>
    <cfRule type="cellIs" dxfId="9060" priority="55" operator="equal">
      <formula>4.1</formula>
    </cfRule>
    <cfRule type="cellIs" dxfId="9059" priority="56" operator="equal">
      <formula>3.4</formula>
    </cfRule>
    <cfRule type="cellIs" dxfId="9058" priority="57" operator="equal">
      <formula>3.3</formula>
    </cfRule>
    <cfRule type="cellIs" dxfId="9057" priority="58" operator="equal">
      <formula>3.2</formula>
    </cfRule>
    <cfRule type="cellIs" dxfId="9056" priority="59" operator="equal">
      <formula>3.1</formula>
    </cfRule>
    <cfRule type="cellIs" dxfId="9055" priority="60" operator="equal">
      <formula>2.4</formula>
    </cfRule>
    <cfRule type="cellIs" dxfId="9054" priority="61" operator="equal">
      <formula>2.3</formula>
    </cfRule>
    <cfRule type="cellIs" dxfId="9053" priority="62" operator="equal">
      <formula>2.2</formula>
    </cfRule>
    <cfRule type="cellIs" dxfId="9052" priority="63" operator="equal">
      <formula>2.1</formula>
    </cfRule>
    <cfRule type="cellIs" dxfId="9051" priority="64" operator="equal">
      <formula>1.5</formula>
    </cfRule>
    <cfRule type="cellIs" dxfId="9050" priority="65" operator="equal">
      <formula>1.4</formula>
    </cfRule>
    <cfRule type="cellIs" dxfId="9049" priority="66" operator="equal">
      <formula>1.3</formula>
    </cfRule>
    <cfRule type="cellIs" dxfId="9048" priority="67" operator="equal">
      <formula>1.2</formula>
    </cfRule>
    <cfRule type="containsText" dxfId="9047" priority="68" operator="containsText" text="1.1">
      <formula>NOT(ISERROR(SEARCH("1.1",BJ50)))</formula>
    </cfRule>
  </conditionalFormatting>
  <conditionalFormatting sqref="BJ100">
    <cfRule type="cellIs" dxfId="9046" priority="35" operator="equal">
      <formula>4.4</formula>
    </cfRule>
    <cfRule type="cellIs" dxfId="9045" priority="36" operator="equal">
      <formula>4.3</formula>
    </cfRule>
    <cfRule type="cellIs" dxfId="9044" priority="37" operator="equal">
      <formula>4.2</formula>
    </cfRule>
    <cfRule type="cellIs" dxfId="9043" priority="38" operator="equal">
      <formula>4.1</formula>
    </cfRule>
    <cfRule type="cellIs" dxfId="9042" priority="39" operator="equal">
      <formula>3.4</formula>
    </cfRule>
    <cfRule type="cellIs" dxfId="9041" priority="40" operator="equal">
      <formula>3.3</formula>
    </cfRule>
    <cfRule type="cellIs" dxfId="9040" priority="41" operator="equal">
      <formula>3.2</formula>
    </cfRule>
    <cfRule type="cellIs" dxfId="9039" priority="42" operator="equal">
      <formula>3.1</formula>
    </cfRule>
    <cfRule type="cellIs" dxfId="9038" priority="43" operator="equal">
      <formula>2.4</formula>
    </cfRule>
    <cfRule type="cellIs" dxfId="9037" priority="44" operator="equal">
      <formula>2.3</formula>
    </cfRule>
    <cfRule type="cellIs" dxfId="9036" priority="45" operator="equal">
      <formula>2.2</formula>
    </cfRule>
    <cfRule type="cellIs" dxfId="9035" priority="46" operator="equal">
      <formula>2.1</formula>
    </cfRule>
    <cfRule type="cellIs" dxfId="9034" priority="47" operator="equal">
      <formula>1.5</formula>
    </cfRule>
    <cfRule type="cellIs" dxfId="9033" priority="48" operator="equal">
      <formula>1.4</formula>
    </cfRule>
    <cfRule type="cellIs" dxfId="9032" priority="49" operator="equal">
      <formula>1.3</formula>
    </cfRule>
    <cfRule type="cellIs" dxfId="9031" priority="50" operator="equal">
      <formula>1.2</formula>
    </cfRule>
    <cfRule type="containsText" dxfId="9030" priority="51" operator="containsText" text="1.1">
      <formula>NOT(ISERROR(SEARCH("1.1",BJ100)))</formula>
    </cfRule>
  </conditionalFormatting>
  <conditionalFormatting sqref="BJ150">
    <cfRule type="cellIs" dxfId="9029" priority="18" operator="equal">
      <formula>4.4</formula>
    </cfRule>
    <cfRule type="cellIs" dxfId="9028" priority="19" operator="equal">
      <formula>4.3</formula>
    </cfRule>
    <cfRule type="cellIs" dxfId="9027" priority="20" operator="equal">
      <formula>4.2</formula>
    </cfRule>
    <cfRule type="cellIs" dxfId="9026" priority="21" operator="equal">
      <formula>4.1</formula>
    </cfRule>
    <cfRule type="cellIs" dxfId="9025" priority="22" operator="equal">
      <formula>3.4</formula>
    </cfRule>
    <cfRule type="cellIs" dxfId="9024" priority="23" operator="equal">
      <formula>3.3</formula>
    </cfRule>
    <cfRule type="cellIs" dxfId="9023" priority="24" operator="equal">
      <formula>3.2</formula>
    </cfRule>
    <cfRule type="cellIs" dxfId="9022" priority="25" operator="equal">
      <formula>3.1</formula>
    </cfRule>
    <cfRule type="cellIs" dxfId="9021" priority="26" operator="equal">
      <formula>2.4</formula>
    </cfRule>
    <cfRule type="cellIs" dxfId="9020" priority="27" operator="equal">
      <formula>2.3</formula>
    </cfRule>
    <cfRule type="cellIs" dxfId="9019" priority="28" operator="equal">
      <formula>2.2</formula>
    </cfRule>
    <cfRule type="cellIs" dxfId="9018" priority="29" operator="equal">
      <formula>2.1</formula>
    </cfRule>
    <cfRule type="cellIs" dxfId="9017" priority="30" operator="equal">
      <formula>1.5</formula>
    </cfRule>
    <cfRule type="cellIs" dxfId="9016" priority="31" operator="equal">
      <formula>1.4</formula>
    </cfRule>
    <cfRule type="cellIs" dxfId="9015" priority="32" operator="equal">
      <formula>1.3</formula>
    </cfRule>
    <cfRule type="cellIs" dxfId="9014" priority="33" operator="equal">
      <formula>1.2</formula>
    </cfRule>
    <cfRule type="containsText" dxfId="9013" priority="34" operator="containsText" text="1.1">
      <formula>NOT(ISERROR(SEARCH("1.1",BJ150)))</formula>
    </cfRule>
  </conditionalFormatting>
  <conditionalFormatting sqref="BJ200">
    <cfRule type="cellIs" dxfId="9012" priority="1" operator="equal">
      <formula>4.4</formula>
    </cfRule>
    <cfRule type="cellIs" dxfId="9011" priority="2" operator="equal">
      <formula>4.3</formula>
    </cfRule>
    <cfRule type="cellIs" dxfId="9010" priority="3" operator="equal">
      <formula>4.2</formula>
    </cfRule>
    <cfRule type="cellIs" dxfId="9009" priority="4" operator="equal">
      <formula>4.1</formula>
    </cfRule>
    <cfRule type="cellIs" dxfId="9008" priority="5" operator="equal">
      <formula>3.4</formula>
    </cfRule>
    <cfRule type="cellIs" dxfId="9007" priority="6" operator="equal">
      <formula>3.3</formula>
    </cfRule>
    <cfRule type="cellIs" dxfId="9006" priority="7" operator="equal">
      <formula>3.2</formula>
    </cfRule>
    <cfRule type="cellIs" dxfId="9005" priority="8" operator="equal">
      <formula>3.1</formula>
    </cfRule>
    <cfRule type="cellIs" dxfId="9004" priority="9" operator="equal">
      <formula>2.4</formula>
    </cfRule>
    <cfRule type="cellIs" dxfId="9003" priority="10" operator="equal">
      <formula>2.3</formula>
    </cfRule>
    <cfRule type="cellIs" dxfId="9002" priority="11" operator="equal">
      <formula>2.2</formula>
    </cfRule>
    <cfRule type="cellIs" dxfId="9001" priority="12" operator="equal">
      <formula>2.1</formula>
    </cfRule>
    <cfRule type="cellIs" dxfId="9000" priority="13" operator="equal">
      <formula>1.5</formula>
    </cfRule>
    <cfRule type="cellIs" dxfId="8999" priority="14" operator="equal">
      <formula>1.4</formula>
    </cfRule>
    <cfRule type="cellIs" dxfId="8998" priority="15" operator="equal">
      <formula>1.3</formula>
    </cfRule>
    <cfRule type="cellIs" dxfId="8997" priority="16" operator="equal">
      <formula>1.2</formula>
    </cfRule>
    <cfRule type="containsText" dxfId="8996" priority="17" operator="containsText" text="1.1">
      <formula>NOT(ISERROR(SEARCH("1.1",BJ200)))</formula>
    </cfRule>
  </conditionalFormatting>
  <hyperlinks>
    <hyperlink ref="AC5:AE6" location="Drinks2" display="Drinks2" xr:uid="{00000000-0004-0000-0800-000000000000}"/>
    <hyperlink ref="AG5:AI6" location="Drinks2" display="Drinks2" xr:uid="{00000000-0004-0000-0800-000001000000}"/>
    <hyperlink ref="AK5:AM6" location="Drinks2" display="Drinks2" xr:uid="{00000000-0004-0000-0800-000002000000}"/>
    <hyperlink ref="AO5:AQ6" location="Drinks2" display="Drinks2" xr:uid="{00000000-0004-0000-0800-000003000000}"/>
    <hyperlink ref="AS5:AU6" location="Drinks2" display="Drinks2" xr:uid="{00000000-0004-0000-0800-000004000000}"/>
    <hyperlink ref="AW5:AY6" location="Drinks3" display="Drinks3" xr:uid="{00000000-0004-0000-0800-000005000000}"/>
    <hyperlink ref="BK1:BN2" location="CustomerProfiles" display="CustomerProfiles" xr:uid="{00000000-0004-0000-0800-000006000000}"/>
    <hyperlink ref="BN1:BP2" location="CustomerScenariors" display="CustomerScenariors" xr:uid="{00000000-0004-0000-0800-000007000000}"/>
    <hyperlink ref="E3:G4" location="Welcome_Services_DEL" display="Welcome_Services_DEL" xr:uid="{00000000-0004-0000-0800-000008000000}"/>
    <hyperlink ref="I3:K4" location="Welcome_Services_DEL" display="Welcome_Services_DEL" xr:uid="{00000000-0004-0000-0800-000009000000}"/>
    <hyperlink ref="M3:O4" location="Lunch__CAT_3_DEL" display="Lunch__CAT_3_DEL" xr:uid="{00000000-0004-0000-0800-00000A000000}"/>
    <hyperlink ref="Q3:S4" location="Lunch__CAT_3_DEL" display="Lunch__CAT_3_DEL" xr:uid="{00000000-0004-0000-0800-00000B000000}"/>
    <hyperlink ref="U3:W4" location="Lunch__CAT_3_DEL" display="Lunch__CAT_3_DEL" xr:uid="{00000000-0004-0000-0800-00000C000000}"/>
    <hyperlink ref="Y3:AA4" location="Lunch__CAT_3_DEL" display="Lunch__CAT_3_DEL" xr:uid="{00000000-0004-0000-0800-00000D000000}"/>
    <hyperlink ref="AC3:AE4" location="Lunch__CAT_3_DEL" display="Lunch__CAT_3_DEL" xr:uid="{00000000-0004-0000-0800-00000E000000}"/>
    <hyperlink ref="E5:G6" location="Drinks1" display="Drinks1" xr:uid="{00000000-0004-0000-0800-00000F000000}"/>
    <hyperlink ref="I5:K6" location="Drinks1" display="Drinks1" xr:uid="{00000000-0004-0000-0800-000010000000}"/>
    <hyperlink ref="M5:O6" location="Drinks1" display="Drinks1" xr:uid="{00000000-0004-0000-0800-000011000000}"/>
    <hyperlink ref="Q5:S6" location="Drinks1" display="Drinks1" xr:uid="{00000000-0004-0000-0800-000012000000}"/>
    <hyperlink ref="U5:W6" location="Drinks1" display="Drinks1" xr:uid="{00000000-0004-0000-0800-000013000000}"/>
    <hyperlink ref="Y5:AA6" location="Drinks2" display="Drinks2" xr:uid="{00000000-0004-0000-0800-000014000000}"/>
    <hyperlink ref="A5:C6" location="Welcome_Services_DEL" display="Welcome_Services_DEL" xr:uid="{00000000-0004-0000-0800-000015000000}"/>
    <hyperlink ref="BA5:BC6" location="Drinks3" display="Drinks3" xr:uid="{00000000-0004-0000-0800-000016000000}"/>
    <hyperlink ref="BE5:BG6" location="Drinks3" display="Drinks3" xr:uid="{00000000-0004-0000-0800-000017000000}"/>
    <hyperlink ref="BI5:BK6" location="Drinks3" display="Drinks3" xr:uid="{00000000-0004-0000-0800-000018000000}"/>
  </hyperlinks>
  <pageMargins left="0.70866141732283472" right="0.70866141732283472" top="0" bottom="0.74803149606299213" header="0.31496062992125984" footer="0.31496062992125984"/>
  <pageSetup paperSize="9" scale="61" fitToHeight="0" orientation="landscape" r:id="rId2"/>
  <rowBreaks count="4" manualBreakCount="4">
    <brk id="45" max="16383" man="1"/>
    <brk id="96" max="16383" man="1"/>
    <brk id="146" max="16383" man="1"/>
    <brk id="196" max="16383" man="1"/>
  </rowBreaks>
  <colBreaks count="3" manualBreakCount="3">
    <brk id="10" max="1048575" man="1"/>
    <brk id="15" max="1048575" man="1"/>
    <brk id="41" max="1048575" man="1"/>
  </colBreak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CK297"/>
  <sheetViews>
    <sheetView showGridLines="0" view="pageBreakPreview" topLeftCell="A139" zoomScale="85" zoomScaleNormal="85" zoomScaleSheetLayoutView="85" workbookViewId="0">
      <selection activeCell="M78" sqref="M78"/>
    </sheetView>
  </sheetViews>
  <sheetFormatPr baseColWidth="10" defaultColWidth="2.6640625" defaultRowHeight="15" customHeight="1"/>
  <cols>
    <col min="1" max="1" width="2.6640625" style="242"/>
    <col min="2" max="7" width="2.6640625" style="52"/>
    <col min="8" max="10" width="3.33203125" style="52" customWidth="1"/>
    <col min="11" max="12" width="3.1640625" style="52" bestFit="1" customWidth="1"/>
    <col min="13" max="13" width="3.33203125" style="52" customWidth="1"/>
    <col min="14" max="14" width="2.6640625" style="52"/>
    <col min="15" max="15" width="2.6640625" style="242"/>
    <col min="16" max="22" width="2.6640625" style="52"/>
    <col min="23" max="23" width="2.6640625" style="242"/>
    <col min="24" max="28" width="2.6640625" style="52"/>
    <col min="29" max="29" width="2.6640625" style="52" customWidth="1"/>
    <col min="30" max="31" width="2.6640625" style="52"/>
    <col min="32" max="32" width="2.6640625" style="242"/>
    <col min="33" max="40" width="2.6640625" style="52"/>
    <col min="41" max="41" width="2.6640625" style="242"/>
    <col min="42" max="16384" width="2.6640625" style="52"/>
  </cols>
  <sheetData>
    <row r="1" spans="1:80" ht="15" customHeight="1">
      <c r="A1" s="284"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84" t="str">
        <f>"Abinitio No : "&amp;Group</f>
        <v xml:space="preserve">Abinitio No : </v>
      </c>
      <c r="AB1" s="259"/>
      <c r="AC1" s="259"/>
      <c r="AD1" s="259"/>
      <c r="AE1" s="259"/>
      <c r="AF1" s="259"/>
      <c r="AG1" s="259"/>
      <c r="AH1" s="259"/>
      <c r="AI1" s="259"/>
      <c r="AJ1" s="259"/>
      <c r="AK1" s="259"/>
      <c r="AL1" s="259"/>
      <c r="AM1" s="259"/>
      <c r="AN1" s="259"/>
      <c r="AO1" s="259"/>
      <c r="AP1" s="259"/>
      <c r="AQ1" s="259"/>
      <c r="AR1" s="284"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259"/>
      <c r="BL1" s="259"/>
      <c r="BM1" s="1219" t="str">
        <f>CustomerProfiles</f>
        <v>Customers Profiles</v>
      </c>
      <c r="BN1" s="1220"/>
      <c r="BO1" s="1221"/>
      <c r="BP1" s="1219" t="str">
        <f>CustomerScenariors</f>
        <v>Customer Scenariors</v>
      </c>
      <c r="BQ1" s="1220" t="str">
        <f>CustomerScenariors</f>
        <v>Customer Scenariors</v>
      </c>
      <c r="BR1" s="1221"/>
    </row>
    <row r="2" spans="1:80" ht="15" customHeight="1">
      <c r="A2" s="284"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203</v>
      </c>
      <c r="AS2" s="259"/>
      <c r="AT2" s="259"/>
      <c r="AU2" s="259"/>
      <c r="AV2" s="259"/>
      <c r="AW2" s="259"/>
      <c r="AX2" s="284" t="str">
        <f>"Group : "&amp;Rotation</f>
        <v xml:space="preserve">Group : </v>
      </c>
      <c r="AY2" s="259"/>
      <c r="AZ2" s="259"/>
      <c r="BA2" s="259"/>
      <c r="BB2" s="259"/>
      <c r="BC2" s="259"/>
      <c r="BD2" s="259"/>
      <c r="BE2" s="259"/>
      <c r="BF2" s="259"/>
      <c r="BG2" s="259"/>
      <c r="BH2" s="259"/>
      <c r="BI2" s="259"/>
      <c r="BJ2" s="259"/>
      <c r="BK2" s="259"/>
      <c r="BL2" s="259"/>
      <c r="BM2" s="1222"/>
      <c r="BN2" s="1223"/>
      <c r="BO2" s="1224"/>
      <c r="BP2" s="1222"/>
      <c r="BQ2" s="1223"/>
      <c r="BR2" s="1224"/>
    </row>
    <row r="3" spans="1:80"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O48</f>
        <v>1. Bar Snack Cart</v>
      </c>
      <c r="N3" s="1220"/>
      <c r="O3" s="1221"/>
      <c r="P3" s="1225"/>
      <c r="Q3" s="1219" t="str">
        <f>W48</f>
        <v>2. Bar Clearance</v>
      </c>
      <c r="R3" s="1220"/>
      <c r="S3" s="1221"/>
      <c r="T3" s="1225"/>
      <c r="U3" s="1219" t="str">
        <f>AE48</f>
        <v>3. SPML</v>
      </c>
      <c r="V3" s="1220"/>
      <c r="W3" s="1221"/>
      <c r="X3" s="1225"/>
      <c r="Y3" s="1219" t="str">
        <f>AM48</f>
        <v>4. Meal Cart</v>
      </c>
      <c r="Z3" s="1220"/>
      <c r="AA3" s="1221"/>
      <c r="AB3" s="1225"/>
      <c r="AC3" s="1219" t="str">
        <f>AU48</f>
        <v>5. Hot Beverage</v>
      </c>
      <c r="AD3" s="1220"/>
      <c r="AE3" s="1221"/>
      <c r="AF3" s="1225"/>
      <c r="AG3" s="1219" t="str">
        <f>BC48</f>
        <v>6. Clearance Cart</v>
      </c>
      <c r="AH3" s="1220"/>
      <c r="AI3" s="1221"/>
      <c r="AJ3" s="1225"/>
      <c r="AK3" s="1219" t="str">
        <f>O96</f>
        <v>7. Final Clearance</v>
      </c>
      <c r="AL3" s="1220"/>
      <c r="AM3" s="1221"/>
      <c r="AN3" s="1225"/>
      <c r="AO3" s="1219" t="str">
        <f>W96</f>
        <v>8. Hot Towels - Pre Landing</v>
      </c>
      <c r="AP3" s="1220"/>
      <c r="AQ3" s="1221"/>
      <c r="AR3" s="1225"/>
      <c r="AS3" s="251"/>
      <c r="AT3" s="251"/>
      <c r="AU3" s="251"/>
      <c r="AV3" s="251"/>
      <c r="AW3" s="251"/>
      <c r="AX3" s="251"/>
    </row>
    <row r="4" spans="1:80"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1222"/>
      <c r="AH4" s="1223"/>
      <c r="AI4" s="1224"/>
      <c r="AJ4" s="1226"/>
      <c r="AK4" s="1222"/>
      <c r="AL4" s="1223"/>
      <c r="AM4" s="1224"/>
      <c r="AN4" s="1226"/>
      <c r="AO4" s="1222"/>
      <c r="AP4" s="1223"/>
      <c r="AQ4" s="1224"/>
      <c r="AR4" s="1226"/>
      <c r="AS4" s="251"/>
      <c r="AT4" s="251"/>
      <c r="AU4" s="251"/>
      <c r="AV4" s="251"/>
      <c r="AW4" s="251"/>
      <c r="AX4" s="251"/>
    </row>
    <row r="5" spans="1:80" ht="15" customHeight="1">
      <c r="A5" s="1219" t="str">
        <f>O144</f>
        <v>1. Champagne</v>
      </c>
      <c r="B5" s="1220"/>
      <c r="C5" s="1221"/>
      <c r="D5" s="1225"/>
      <c r="E5" s="1219" t="str">
        <f>W144</f>
        <v>2. Wine 
- Small Bottles</v>
      </c>
      <c r="F5" s="1220"/>
      <c r="G5" s="1221"/>
      <c r="H5" s="1225"/>
      <c r="I5" s="1219" t="str">
        <f>AE144</f>
        <v>3. White Wine Spritzer
- Small Bottles</v>
      </c>
      <c r="J5" s="1220"/>
      <c r="K5" s="1221"/>
      <c r="L5" s="1225"/>
      <c r="M5" s="1219" t="str">
        <f>AM144</f>
        <v>4. Wine
- Big Bottles</v>
      </c>
      <c r="N5" s="1220"/>
      <c r="O5" s="1221"/>
      <c r="P5" s="1225"/>
      <c r="Q5" s="1219" t="str">
        <f>AU144</f>
        <v>5. Dry - White Wine Spritzer - Big Bottle of Wine</v>
      </c>
      <c r="R5" s="1220"/>
      <c r="S5" s="1221"/>
      <c r="T5" s="1225"/>
      <c r="U5" s="1219" t="str">
        <f>BC144</f>
        <v>6. Sweet - White Wine Spritzer- Big Bottle of Wine</v>
      </c>
      <c r="V5" s="1220"/>
      <c r="W5" s="1221"/>
      <c r="X5" s="1225"/>
      <c r="Y5" s="1219" t="str">
        <f>O194</f>
        <v>7. Liqueur</v>
      </c>
      <c r="Z5" s="1220"/>
      <c r="AA5" s="1221"/>
      <c r="AB5" s="1225"/>
      <c r="AC5" s="1219" t="str">
        <f>W194</f>
        <v>8. Shandy</v>
      </c>
      <c r="AD5" s="1220"/>
      <c r="AE5" s="1221"/>
      <c r="AF5" s="1225"/>
      <c r="AG5" s="1219" t="str">
        <f>AE194</f>
        <v>9. Hot Beverage 
- Tea</v>
      </c>
      <c r="AH5" s="1220"/>
      <c r="AI5" s="1221"/>
      <c r="AJ5" s="1225"/>
      <c r="AK5" s="1219" t="str">
        <f>AM194</f>
        <v>10. Beer</v>
      </c>
      <c r="AL5" s="1220"/>
      <c r="AM5" s="1221"/>
      <c r="AN5" s="1225"/>
      <c r="AO5" s="1219" t="str">
        <f>AU194</f>
        <v>11. Screwdriver</v>
      </c>
      <c r="AP5" s="1220"/>
      <c r="AQ5" s="1221"/>
      <c r="AR5" s="1225"/>
      <c r="AS5" s="1219" t="str">
        <f>BC194</f>
        <v>12. Gin &amp; Orange Juice</v>
      </c>
      <c r="AT5" s="1220"/>
      <c r="AU5" s="1221"/>
      <c r="AV5" s="1225"/>
      <c r="AW5" s="1219" t="str">
        <f>O244</f>
        <v>13. Rum &amp; Pepsi</v>
      </c>
      <c r="AX5" s="1220"/>
      <c r="AY5" s="1221"/>
      <c r="AZ5" s="1225"/>
      <c r="BA5" s="1219" t="str">
        <f>W244</f>
        <v>14. Gin &amp; Tonic</v>
      </c>
      <c r="BB5" s="1220"/>
      <c r="BC5" s="1221"/>
      <c r="BD5" s="1225"/>
      <c r="BE5" s="1219" t="str">
        <f>AE244</f>
        <v>15. Scotch &amp; Soda</v>
      </c>
      <c r="BF5" s="1220"/>
      <c r="BG5" s="1221"/>
      <c r="BH5" s="1225"/>
      <c r="BI5" s="1219" t="str">
        <f>AM244</f>
        <v>16. Bloody Mary</v>
      </c>
      <c r="BJ5" s="1220"/>
      <c r="BK5" s="1221"/>
      <c r="BL5" s="1225"/>
    </row>
    <row r="6" spans="1:80"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0"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0"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0" ht="15" customHeight="1">
      <c r="A9" s="1172"/>
      <c r="B9" s="1173" t="s">
        <v>608</v>
      </c>
      <c r="C9" s="1173"/>
      <c r="D9" s="1173"/>
      <c r="E9" s="1173"/>
      <c r="F9" s="1173"/>
      <c r="G9" s="1173"/>
      <c r="H9" s="1173"/>
      <c r="I9" s="1174">
        <v>1</v>
      </c>
      <c r="J9" s="1174">
        <v>2</v>
      </c>
      <c r="K9" s="255"/>
      <c r="L9" s="1537"/>
      <c r="M9" s="1541" t="s">
        <v>662</v>
      </c>
      <c r="N9" s="1541"/>
      <c r="O9" s="1541"/>
      <c r="P9" s="1541"/>
      <c r="Q9" s="1541"/>
      <c r="R9" s="1541"/>
      <c r="S9" s="1541"/>
      <c r="T9" s="1249"/>
      <c r="U9" s="1250"/>
      <c r="V9" s="1251"/>
      <c r="W9" s="1529" t="s">
        <v>677</v>
      </c>
      <c r="X9" s="1252"/>
      <c r="Y9" s="1252"/>
      <c r="Z9" s="1252"/>
      <c r="AA9" s="1252"/>
      <c r="AB9" s="1252"/>
      <c r="AC9" s="1253"/>
      <c r="AD9" s="1256"/>
      <c r="AE9" s="256"/>
      <c r="AF9" s="256"/>
      <c r="AO9" s="52"/>
      <c r="BJ9" s="1182" t="s">
        <v>263</v>
      </c>
      <c r="BK9" s="1183"/>
      <c r="BL9" s="1183"/>
      <c r="BM9" s="1183"/>
      <c r="BN9" s="1183"/>
      <c r="BO9" s="1184"/>
      <c r="BP9" s="255"/>
      <c r="BQ9" s="255"/>
      <c r="BR9" s="255"/>
      <c r="BS9" s="242"/>
      <c r="CB9" s="242"/>
    </row>
    <row r="10" spans="1:80" ht="15" customHeight="1">
      <c r="A10" s="1172"/>
      <c r="B10" s="1173"/>
      <c r="C10" s="1173"/>
      <c r="D10" s="1173"/>
      <c r="E10" s="1173"/>
      <c r="F10" s="1173"/>
      <c r="G10" s="1173"/>
      <c r="H10" s="1173"/>
      <c r="I10" s="1174"/>
      <c r="J10" s="1174"/>
      <c r="K10" s="255"/>
      <c r="L10" s="1538"/>
      <c r="M10" s="1544"/>
      <c r="N10" s="1544"/>
      <c r="O10" s="1544"/>
      <c r="P10" s="1544"/>
      <c r="Q10" s="1544"/>
      <c r="R10" s="1544"/>
      <c r="S10" s="1544"/>
      <c r="T10" s="1249"/>
      <c r="U10" s="1250"/>
      <c r="V10" s="1251"/>
      <c r="W10" s="1427"/>
      <c r="X10" s="1428"/>
      <c r="Y10" s="1428"/>
      <c r="Z10" s="1428"/>
      <c r="AA10" s="1428"/>
      <c r="AB10" s="1428"/>
      <c r="AC10" s="1530"/>
      <c r="AD10" s="1532"/>
      <c r="AE10" s="256"/>
      <c r="AF10" s="256"/>
      <c r="AO10" s="52"/>
      <c r="BJ10" s="1219"/>
      <c r="BK10" s="1220"/>
      <c r="BL10" s="1220"/>
      <c r="BM10" s="1220"/>
      <c r="BN10" s="1220"/>
      <c r="BO10" s="1221"/>
      <c r="BP10" s="255"/>
      <c r="BQ10" s="255"/>
      <c r="BR10" s="255"/>
      <c r="BS10" s="242"/>
      <c r="CB10" s="242"/>
    </row>
    <row r="11" spans="1:80" ht="15" customHeight="1" thickBot="1">
      <c r="A11" s="1172"/>
      <c r="B11" s="1173"/>
      <c r="C11" s="1173"/>
      <c r="D11" s="1173"/>
      <c r="E11" s="1173"/>
      <c r="F11" s="1173"/>
      <c r="G11" s="1173"/>
      <c r="H11" s="1173"/>
      <c r="I11" s="1174"/>
      <c r="J11" s="1174"/>
      <c r="K11" s="255"/>
      <c r="L11" s="1539"/>
      <c r="M11" s="1547"/>
      <c r="N11" s="1547"/>
      <c r="O11" s="1547"/>
      <c r="P11" s="1547"/>
      <c r="Q11" s="1547"/>
      <c r="R11" s="1547"/>
      <c r="S11" s="1547"/>
      <c r="T11" s="1249" t="s">
        <v>312</v>
      </c>
      <c r="U11" s="1250"/>
      <c r="V11" s="1251"/>
      <c r="W11" s="1531"/>
      <c r="X11" s="1254"/>
      <c r="Y11" s="1254"/>
      <c r="Z11" s="1254"/>
      <c r="AA11" s="1254"/>
      <c r="AB11" s="1254"/>
      <c r="AC11" s="1255"/>
      <c r="AD11" s="1257"/>
      <c r="AE11" s="256"/>
      <c r="AF11" s="256"/>
      <c r="AO11" s="52"/>
      <c r="BJ11" s="1337"/>
      <c r="BK11" s="1338"/>
      <c r="BL11" s="1338"/>
      <c r="BM11" s="1338"/>
      <c r="BN11" s="1338"/>
      <c r="BO11" s="1339"/>
      <c r="BP11" s="255"/>
      <c r="BQ11" s="255"/>
      <c r="BR11" s="255"/>
      <c r="BS11" s="242"/>
      <c r="CB11" s="242"/>
    </row>
    <row r="12" spans="1:80" ht="15" customHeight="1">
      <c r="A12" s="1307">
        <v>1.1000000000000001</v>
      </c>
      <c r="B12" s="1395" t="s">
        <v>939</v>
      </c>
      <c r="C12" s="1396"/>
      <c r="D12" s="1396"/>
      <c r="E12" s="1396"/>
      <c r="F12" s="1396"/>
      <c r="G12" s="1396"/>
      <c r="H12" s="1536"/>
      <c r="I12" s="1205" t="str">
        <f>IF(ISBLANK(H$3),"",1)</f>
        <v/>
      </c>
      <c r="J12" s="1205" t="str">
        <f>IF(ISBLANK(L$3),"",1)</f>
        <v/>
      </c>
      <c r="K12" s="255"/>
      <c r="L12" s="1236">
        <v>1.5</v>
      </c>
      <c r="M12" s="1395" t="s">
        <v>314</v>
      </c>
      <c r="N12" s="1396"/>
      <c r="O12" s="1396"/>
      <c r="P12" s="1396"/>
      <c r="Q12" s="1396"/>
      <c r="R12" s="1396"/>
      <c r="S12" s="1396"/>
      <c r="T12" s="1205" t="str">
        <f>IF(ISBLANK(H$3),"",1)</f>
        <v/>
      </c>
      <c r="U12" s="1241"/>
      <c r="V12" s="1236">
        <v>4.4000000000000004</v>
      </c>
      <c r="W12" s="1526" t="s">
        <v>628</v>
      </c>
      <c r="X12" s="1527"/>
      <c r="Y12" s="1527"/>
      <c r="Z12" s="1527"/>
      <c r="AA12" s="1527"/>
      <c r="AB12" s="1527"/>
      <c r="AC12" s="1533"/>
      <c r="AD12" s="1205" t="str">
        <f>IF(ISBLANK(L$3),"",1)</f>
        <v/>
      </c>
      <c r="AE12" s="256"/>
      <c r="AF12" s="256"/>
      <c r="AO12" s="52"/>
      <c r="BJ12" s="1337"/>
      <c r="BK12" s="1338"/>
      <c r="BL12" s="1338"/>
      <c r="BM12" s="1338"/>
      <c r="BN12" s="1338"/>
      <c r="BO12" s="1339"/>
      <c r="BP12" s="255"/>
      <c r="BQ12" s="255"/>
      <c r="BR12" s="255"/>
      <c r="BS12" s="242"/>
      <c r="CB12" s="242"/>
    </row>
    <row r="13" spans="1:80" ht="15" customHeight="1">
      <c r="A13" s="1308"/>
      <c r="B13" s="1163"/>
      <c r="C13" s="1164"/>
      <c r="D13" s="1164"/>
      <c r="E13" s="1164"/>
      <c r="F13" s="1164"/>
      <c r="G13" s="1164"/>
      <c r="H13" s="1266"/>
      <c r="I13" s="1206"/>
      <c r="J13" s="1206"/>
      <c r="K13" s="255"/>
      <c r="L13" s="1236"/>
      <c r="M13" s="1163"/>
      <c r="N13" s="1164"/>
      <c r="O13" s="1164"/>
      <c r="P13" s="1164"/>
      <c r="Q13" s="1164"/>
      <c r="R13" s="1164"/>
      <c r="S13" s="1164"/>
      <c r="T13" s="1206"/>
      <c r="U13" s="1241"/>
      <c r="V13" s="1236"/>
      <c r="W13" s="1317"/>
      <c r="X13" s="1296"/>
      <c r="Y13" s="1296"/>
      <c r="Z13" s="1296"/>
      <c r="AA13" s="1296"/>
      <c r="AB13" s="1296"/>
      <c r="AC13" s="1297"/>
      <c r="AD13" s="1206"/>
      <c r="AE13" s="256"/>
      <c r="AF13" s="256"/>
      <c r="AO13" s="52"/>
      <c r="BJ13" s="1337"/>
      <c r="BK13" s="1338"/>
      <c r="BL13" s="1338"/>
      <c r="BM13" s="1338"/>
      <c r="BN13" s="1338"/>
      <c r="BO13" s="1339"/>
      <c r="BP13" s="255"/>
      <c r="BQ13" s="255"/>
      <c r="BR13" s="255"/>
      <c r="BS13" s="242"/>
      <c r="CB13" s="242"/>
    </row>
    <row r="14" spans="1:80" ht="15" customHeight="1">
      <c r="A14" s="1309"/>
      <c r="B14" s="1163"/>
      <c r="C14" s="1164"/>
      <c r="D14" s="1164"/>
      <c r="E14" s="1164"/>
      <c r="F14" s="1164"/>
      <c r="G14" s="1164"/>
      <c r="H14" s="1266"/>
      <c r="I14" s="1207"/>
      <c r="J14" s="1207"/>
      <c r="K14" s="255"/>
      <c r="L14" s="1236"/>
      <c r="M14" s="1165"/>
      <c r="N14" s="1166"/>
      <c r="O14" s="1166"/>
      <c r="P14" s="1166"/>
      <c r="Q14" s="1166"/>
      <c r="R14" s="1166"/>
      <c r="S14" s="1166"/>
      <c r="T14" s="1207"/>
      <c r="U14" s="1241"/>
      <c r="V14" s="1236"/>
      <c r="W14" s="1317"/>
      <c r="X14" s="1296"/>
      <c r="Y14" s="1296"/>
      <c r="Z14" s="1296"/>
      <c r="AA14" s="1296"/>
      <c r="AB14" s="1296"/>
      <c r="AC14" s="1297"/>
      <c r="AD14" s="1207"/>
      <c r="AE14" s="256"/>
      <c r="AF14" s="256"/>
      <c r="AO14" s="52"/>
      <c r="BJ14" s="1337"/>
      <c r="BK14" s="1338"/>
      <c r="BL14" s="1338"/>
      <c r="BM14" s="1338"/>
      <c r="BN14" s="1338"/>
      <c r="BO14" s="1339"/>
      <c r="BP14" s="255"/>
      <c r="BQ14" s="255"/>
      <c r="BR14" s="255"/>
      <c r="BS14" s="242"/>
      <c r="CB14" s="242"/>
    </row>
    <row r="15" spans="1:80" ht="15" customHeight="1">
      <c r="A15" s="1307">
        <v>1.1000000000000001</v>
      </c>
      <c r="B15" s="1395" t="s">
        <v>316</v>
      </c>
      <c r="C15" s="1396"/>
      <c r="D15" s="1396"/>
      <c r="E15" s="1396"/>
      <c r="F15" s="1396"/>
      <c r="G15" s="1396"/>
      <c r="H15" s="1536"/>
      <c r="I15" s="1205" t="str">
        <f t="shared" ref="I15" si="0">IF(ISBLANK(H$3),"",1)</f>
        <v/>
      </c>
      <c r="J15" s="1205" t="str">
        <f>IF(ISBLANK(L$3),"",1)</f>
        <v/>
      </c>
      <c r="K15" s="255"/>
      <c r="L15" s="1258">
        <v>4.4000000000000004</v>
      </c>
      <c r="M15" s="1161" t="s">
        <v>317</v>
      </c>
      <c r="N15" s="1162"/>
      <c r="O15" s="1162"/>
      <c r="P15" s="1162"/>
      <c r="Q15" s="1162"/>
      <c r="R15" s="1162"/>
      <c r="S15" s="1162"/>
      <c r="T15" s="1205" t="str">
        <f>IF(ISBLANK(H$3),"",1)</f>
        <v/>
      </c>
      <c r="U15" s="1241"/>
      <c r="V15" s="1258">
        <v>4.4000000000000004</v>
      </c>
      <c r="W15" s="1526" t="s">
        <v>874</v>
      </c>
      <c r="X15" s="1527"/>
      <c r="Y15" s="1527"/>
      <c r="Z15" s="1527"/>
      <c r="AA15" s="1527"/>
      <c r="AB15" s="1527"/>
      <c r="AC15" s="1533" t="s">
        <v>696</v>
      </c>
      <c r="AD15" s="1205" t="str">
        <f>IF(ISBLANK(L$3),"",1)</f>
        <v/>
      </c>
      <c r="AE15" s="256"/>
      <c r="AF15" s="256"/>
      <c r="AO15" s="52"/>
      <c r="BJ15" s="1337"/>
      <c r="BK15" s="1338"/>
      <c r="BL15" s="1338"/>
      <c r="BM15" s="1338"/>
      <c r="BN15" s="1338"/>
      <c r="BO15" s="1339"/>
      <c r="BP15" s="255"/>
      <c r="BQ15" s="255"/>
      <c r="BR15" s="255"/>
      <c r="BS15" s="242"/>
      <c r="BV15" s="417"/>
      <c r="CB15" s="242"/>
    </row>
    <row r="16" spans="1:80" ht="15" customHeight="1">
      <c r="A16" s="1308"/>
      <c r="B16" s="1163"/>
      <c r="C16" s="1164"/>
      <c r="D16" s="1164"/>
      <c r="E16" s="1164"/>
      <c r="F16" s="1164"/>
      <c r="G16" s="1164"/>
      <c r="H16" s="1266"/>
      <c r="I16" s="1206"/>
      <c r="J16" s="1206"/>
      <c r="K16" s="255"/>
      <c r="L16" s="1258"/>
      <c r="M16" s="1163"/>
      <c r="N16" s="1164"/>
      <c r="O16" s="1164"/>
      <c r="P16" s="1164"/>
      <c r="Q16" s="1164"/>
      <c r="R16" s="1164"/>
      <c r="S16" s="1164"/>
      <c r="T16" s="1206"/>
      <c r="U16" s="1241"/>
      <c r="V16" s="1258"/>
      <c r="W16" s="1317"/>
      <c r="X16" s="1296"/>
      <c r="Y16" s="1296"/>
      <c r="Z16" s="1296"/>
      <c r="AA16" s="1296"/>
      <c r="AB16" s="1296"/>
      <c r="AC16" s="1297"/>
      <c r="AD16" s="1206"/>
      <c r="AE16" s="256"/>
      <c r="AF16" s="256"/>
      <c r="AO16" s="52"/>
      <c r="BJ16" s="1337"/>
      <c r="BK16" s="1338"/>
      <c r="BL16" s="1338"/>
      <c r="BM16" s="1338"/>
      <c r="BN16" s="1338"/>
      <c r="BO16" s="1339"/>
      <c r="BP16" s="255"/>
      <c r="BQ16" s="255"/>
      <c r="BR16" s="255"/>
      <c r="BS16" s="242"/>
      <c r="CB16" s="242"/>
    </row>
    <row r="17" spans="1:89" ht="15" customHeight="1">
      <c r="A17" s="1309"/>
      <c r="B17" s="1163"/>
      <c r="C17" s="1164"/>
      <c r="D17" s="1164"/>
      <c r="E17" s="1164"/>
      <c r="F17" s="1164"/>
      <c r="G17" s="1164"/>
      <c r="H17" s="1266"/>
      <c r="I17" s="1207"/>
      <c r="J17" s="1207"/>
      <c r="K17" s="255"/>
      <c r="L17" s="1258"/>
      <c r="M17" s="1165"/>
      <c r="N17" s="1166"/>
      <c r="O17" s="1166"/>
      <c r="P17" s="1166"/>
      <c r="Q17" s="1166"/>
      <c r="R17" s="1166"/>
      <c r="S17" s="1166"/>
      <c r="T17" s="1207"/>
      <c r="U17" s="1241"/>
      <c r="V17" s="1258"/>
      <c r="W17" s="1317"/>
      <c r="X17" s="1296"/>
      <c r="Y17" s="1296"/>
      <c r="Z17" s="1296"/>
      <c r="AA17" s="1296"/>
      <c r="AB17" s="1296"/>
      <c r="AC17" s="1297"/>
      <c r="AD17" s="1207"/>
      <c r="AE17" s="256"/>
      <c r="AF17" s="256"/>
      <c r="AO17" s="52"/>
      <c r="BJ17" s="1337"/>
      <c r="BK17" s="1338"/>
      <c r="BL17" s="1338"/>
      <c r="BM17" s="1338"/>
      <c r="BN17" s="1338"/>
      <c r="BO17" s="1339"/>
      <c r="BP17" s="255"/>
      <c r="BQ17" s="255"/>
      <c r="BR17" s="255"/>
      <c r="BS17" s="242"/>
      <c r="CB17" s="242"/>
    </row>
    <row r="18" spans="1:89" ht="15" customHeight="1">
      <c r="A18" s="1304">
        <v>2.4</v>
      </c>
      <c r="B18" s="1395" t="s">
        <v>320</v>
      </c>
      <c r="C18" s="1396"/>
      <c r="D18" s="1396"/>
      <c r="E18" s="1396"/>
      <c r="F18" s="1396"/>
      <c r="G18" s="1396"/>
      <c r="H18" s="1536"/>
      <c r="I18" s="1205" t="str">
        <f t="shared" ref="I18" si="1">IF(ISBLANK(H$3),"",1)</f>
        <v/>
      </c>
      <c r="J18" s="1205" t="str">
        <f>IF(ISBLANK(L$3),"",1)</f>
        <v/>
      </c>
      <c r="K18" s="255"/>
      <c r="L18" s="1258">
        <v>4.4000000000000004</v>
      </c>
      <c r="M18" s="1163" t="s">
        <v>319</v>
      </c>
      <c r="N18" s="1164"/>
      <c r="O18" s="1164"/>
      <c r="P18" s="1164"/>
      <c r="Q18" s="1164"/>
      <c r="R18" s="1164"/>
      <c r="S18" s="1164"/>
      <c r="T18" s="1205" t="str">
        <f>IF(ISBLANK(H$3),"",1)</f>
        <v/>
      </c>
      <c r="U18" s="1241"/>
      <c r="V18" s="1258">
        <v>4.4000000000000004</v>
      </c>
      <c r="W18" s="1526" t="s">
        <v>321</v>
      </c>
      <c r="X18" s="1527"/>
      <c r="Y18" s="1527"/>
      <c r="Z18" s="1527"/>
      <c r="AA18" s="1527"/>
      <c r="AB18" s="1527"/>
      <c r="AC18" s="1533" t="s">
        <v>696</v>
      </c>
      <c r="AD18" s="1205" t="str">
        <f>IF(ISBLANK(L$3),"",1)</f>
        <v/>
      </c>
      <c r="AE18" s="256"/>
      <c r="AF18" s="256"/>
      <c r="AO18" s="52"/>
      <c r="BJ18" s="1337"/>
      <c r="BK18" s="1338"/>
      <c r="BL18" s="1338"/>
      <c r="BM18" s="1338"/>
      <c r="BN18" s="1338"/>
      <c r="BO18" s="1339"/>
      <c r="BP18" s="255"/>
      <c r="BQ18" s="255"/>
      <c r="BR18" s="255"/>
      <c r="BS18" s="242"/>
      <c r="CB18" s="242"/>
    </row>
    <row r="19" spans="1:89" ht="15" customHeight="1">
      <c r="A19" s="1290"/>
      <c r="B19" s="1163"/>
      <c r="C19" s="1164"/>
      <c r="D19" s="1164"/>
      <c r="E19" s="1164"/>
      <c r="F19" s="1164"/>
      <c r="G19" s="1164"/>
      <c r="H19" s="1266"/>
      <c r="I19" s="1206"/>
      <c r="J19" s="1206"/>
      <c r="K19" s="255"/>
      <c r="L19" s="1258"/>
      <c r="M19" s="1163"/>
      <c r="N19" s="1164"/>
      <c r="O19" s="1164"/>
      <c r="P19" s="1164"/>
      <c r="Q19" s="1164"/>
      <c r="R19" s="1164"/>
      <c r="S19" s="1164"/>
      <c r="T19" s="1206"/>
      <c r="U19" s="1241"/>
      <c r="V19" s="1258"/>
      <c r="W19" s="1317"/>
      <c r="X19" s="1296"/>
      <c r="Y19" s="1296"/>
      <c r="Z19" s="1296"/>
      <c r="AA19" s="1296"/>
      <c r="AB19" s="1296"/>
      <c r="AC19" s="1297"/>
      <c r="AD19" s="1206"/>
      <c r="AE19" s="256"/>
      <c r="AF19" s="256"/>
      <c r="AO19" s="52"/>
      <c r="BJ19" s="1337"/>
      <c r="BK19" s="1338"/>
      <c r="BL19" s="1338"/>
      <c r="BM19" s="1338"/>
      <c r="BN19" s="1338"/>
      <c r="BO19" s="1339"/>
      <c r="BP19" s="255"/>
      <c r="BQ19" s="255"/>
      <c r="BR19" s="255"/>
      <c r="BS19" s="242"/>
      <c r="CB19" s="242"/>
    </row>
    <row r="20" spans="1:89" ht="15" customHeight="1">
      <c r="A20" s="1291"/>
      <c r="B20" s="1163"/>
      <c r="C20" s="1164"/>
      <c r="D20" s="1164"/>
      <c r="E20" s="1164"/>
      <c r="F20" s="1164"/>
      <c r="G20" s="1164"/>
      <c r="H20" s="1266"/>
      <c r="I20" s="1207"/>
      <c r="J20" s="1207"/>
      <c r="K20" s="255"/>
      <c r="L20" s="1258"/>
      <c r="M20" s="1552"/>
      <c r="N20" s="1203"/>
      <c r="O20" s="1203"/>
      <c r="P20" s="1203"/>
      <c r="Q20" s="1203"/>
      <c r="R20" s="1203"/>
      <c r="S20" s="1203"/>
      <c r="T20" s="1207"/>
      <c r="U20" s="1241"/>
      <c r="V20" s="1258"/>
      <c r="W20" s="1317"/>
      <c r="X20" s="1296"/>
      <c r="Y20" s="1296"/>
      <c r="Z20" s="1296"/>
      <c r="AA20" s="1296"/>
      <c r="AB20" s="1296"/>
      <c r="AC20" s="1297"/>
      <c r="AD20" s="1207"/>
      <c r="AE20" s="256"/>
      <c r="AF20" s="256"/>
      <c r="AO20" s="52"/>
      <c r="BJ20" s="1337"/>
      <c r="BK20" s="1338"/>
      <c r="BL20" s="1338"/>
      <c r="BM20" s="1338"/>
      <c r="BN20" s="1338"/>
      <c r="BO20" s="1339"/>
      <c r="BP20" s="255"/>
      <c r="BQ20" s="255"/>
      <c r="BR20" s="255"/>
      <c r="BS20" s="242"/>
      <c r="CB20" s="242"/>
    </row>
    <row r="21" spans="1:89" ht="15" customHeight="1">
      <c r="A21" s="1307">
        <v>1.1000000000000001</v>
      </c>
      <c r="B21" s="1395" t="s">
        <v>322</v>
      </c>
      <c r="C21" s="1396"/>
      <c r="D21" s="1396"/>
      <c r="E21" s="1396"/>
      <c r="F21" s="1396"/>
      <c r="G21" s="1396"/>
      <c r="H21" s="1536"/>
      <c r="I21" s="1205" t="str">
        <f t="shared" ref="I21" si="2">IF(ISBLANK(H$3),"",1)</f>
        <v/>
      </c>
      <c r="J21" s="1205" t="str">
        <f>IF(ISBLANK(L$3),"",1)</f>
        <v/>
      </c>
      <c r="K21" s="255"/>
      <c r="L21" s="1258">
        <v>4.4000000000000004</v>
      </c>
      <c r="M21" s="1395" t="s">
        <v>873</v>
      </c>
      <c r="N21" s="1396"/>
      <c r="O21" s="1396"/>
      <c r="P21" s="1396"/>
      <c r="Q21" s="1396"/>
      <c r="R21" s="1396"/>
      <c r="S21" s="1536"/>
      <c r="T21" s="1205" t="str">
        <f>IF(ISBLANK(H$3),"",1)</f>
        <v/>
      </c>
      <c r="U21" s="1241"/>
      <c r="V21" s="1258">
        <v>4.4000000000000004</v>
      </c>
      <c r="W21" s="1526" t="s">
        <v>323</v>
      </c>
      <c r="X21" s="1527"/>
      <c r="Y21" s="1527"/>
      <c r="Z21" s="1527"/>
      <c r="AA21" s="1527"/>
      <c r="AB21" s="1527"/>
      <c r="AC21" s="1533" t="s">
        <v>696</v>
      </c>
      <c r="AD21" s="1205" t="str">
        <f>IF(ISBLANK(L$3),"",1)</f>
        <v/>
      </c>
      <c r="AE21" s="256"/>
      <c r="AF21" s="256"/>
      <c r="AO21" s="52"/>
      <c r="BJ21" s="1337"/>
      <c r="BK21" s="1338"/>
      <c r="BL21" s="1338"/>
      <c r="BM21" s="1338"/>
      <c r="BN21" s="1338"/>
      <c r="BO21" s="1339"/>
      <c r="BP21" s="255"/>
      <c r="BQ21" s="255"/>
      <c r="BR21" s="255"/>
      <c r="BS21" s="242"/>
      <c r="CB21" s="242"/>
    </row>
    <row r="22" spans="1:89" ht="15" customHeight="1">
      <c r="A22" s="1308"/>
      <c r="B22" s="1163"/>
      <c r="C22" s="1164"/>
      <c r="D22" s="1164"/>
      <c r="E22" s="1164"/>
      <c r="F22" s="1164"/>
      <c r="G22" s="1164"/>
      <c r="H22" s="1266"/>
      <c r="I22" s="1206"/>
      <c r="J22" s="1206"/>
      <c r="K22" s="255"/>
      <c r="L22" s="1258"/>
      <c r="M22" s="1163"/>
      <c r="N22" s="1164"/>
      <c r="O22" s="1164"/>
      <c r="P22" s="1164"/>
      <c r="Q22" s="1164"/>
      <c r="R22" s="1164"/>
      <c r="S22" s="1266"/>
      <c r="T22" s="1206"/>
      <c r="U22" s="1241"/>
      <c r="V22" s="1258"/>
      <c r="W22" s="1317"/>
      <c r="X22" s="1296"/>
      <c r="Y22" s="1296"/>
      <c r="Z22" s="1296"/>
      <c r="AA22" s="1296"/>
      <c r="AB22" s="1296"/>
      <c r="AC22" s="1297"/>
      <c r="AD22" s="1206"/>
      <c r="AE22" s="256"/>
      <c r="AF22" s="256"/>
      <c r="AO22" s="52"/>
      <c r="BJ22" s="1337"/>
      <c r="BK22" s="1338"/>
      <c r="BL22" s="1338"/>
      <c r="BM22" s="1338"/>
      <c r="BN22" s="1338"/>
      <c r="BO22" s="1339"/>
      <c r="BP22" s="255"/>
      <c r="BQ22" s="255"/>
      <c r="BR22" s="255"/>
      <c r="BS22" s="242"/>
      <c r="CB22" s="242"/>
    </row>
    <row r="23" spans="1:89" ht="15" customHeight="1">
      <c r="A23" s="1309"/>
      <c r="B23" s="1163"/>
      <c r="C23" s="1164"/>
      <c r="D23" s="1164"/>
      <c r="E23" s="1164"/>
      <c r="F23" s="1164"/>
      <c r="G23" s="1164"/>
      <c r="H23" s="1266"/>
      <c r="I23" s="1207"/>
      <c r="J23" s="1207"/>
      <c r="K23" s="255"/>
      <c r="L23" s="1258"/>
      <c r="M23" s="1163"/>
      <c r="N23" s="1164"/>
      <c r="O23" s="1164"/>
      <c r="P23" s="1164"/>
      <c r="Q23" s="1164"/>
      <c r="R23" s="1164"/>
      <c r="S23" s="1266"/>
      <c r="T23" s="1207"/>
      <c r="U23" s="1241"/>
      <c r="V23" s="1258"/>
      <c r="W23" s="1317"/>
      <c r="X23" s="1296"/>
      <c r="Y23" s="1296"/>
      <c r="Z23" s="1296"/>
      <c r="AA23" s="1296"/>
      <c r="AB23" s="1296"/>
      <c r="AC23" s="1297"/>
      <c r="AD23" s="1207"/>
      <c r="AE23" s="256"/>
      <c r="AF23" s="256"/>
      <c r="AO23" s="52"/>
      <c r="BJ23" s="1337"/>
      <c r="BK23" s="1338"/>
      <c r="BL23" s="1338"/>
      <c r="BM23" s="1338"/>
      <c r="BN23" s="1338"/>
      <c r="BO23" s="1339"/>
      <c r="BP23" s="255"/>
      <c r="BQ23" s="255"/>
      <c r="BR23" s="255"/>
      <c r="BS23" s="242"/>
      <c r="CB23" s="242"/>
    </row>
    <row r="24" spans="1:89" ht="15" customHeight="1">
      <c r="A24" s="1304">
        <v>2.1</v>
      </c>
      <c r="B24" s="1395" t="s">
        <v>940</v>
      </c>
      <c r="C24" s="1396"/>
      <c r="D24" s="1396"/>
      <c r="E24" s="1396"/>
      <c r="F24" s="1396"/>
      <c r="G24" s="1396"/>
      <c r="H24" s="1536"/>
      <c r="I24" s="1205" t="str">
        <f t="shared" ref="I24" si="3">IF(ISBLANK(H$3),"",1)</f>
        <v/>
      </c>
      <c r="J24" s="1205" t="str">
        <f>IF(ISBLANK(L$3),"",1)</f>
        <v/>
      </c>
      <c r="K24" s="255"/>
      <c r="L24" s="1258">
        <v>4.3</v>
      </c>
      <c r="M24" s="1562" t="s">
        <v>326</v>
      </c>
      <c r="N24" s="1626" t="s">
        <v>327</v>
      </c>
      <c r="O24" s="1627"/>
      <c r="P24" s="1627"/>
      <c r="Q24" s="1627"/>
      <c r="R24" s="1627"/>
      <c r="S24" s="1627"/>
      <c r="T24" s="1205" t="str">
        <f>IF(ISBLANK(H$3),"",1)</f>
        <v/>
      </c>
      <c r="U24" s="1241"/>
      <c r="V24" s="1258">
        <v>4.4000000000000004</v>
      </c>
      <c r="W24" s="1526" t="s">
        <v>328</v>
      </c>
      <c r="X24" s="1527"/>
      <c r="Y24" s="1527"/>
      <c r="Z24" s="1527"/>
      <c r="AA24" s="1527"/>
      <c r="AB24" s="1527"/>
      <c r="AC24" s="1533" t="s">
        <v>696</v>
      </c>
      <c r="AD24" s="1205" t="str">
        <f>IF(ISBLANK(L$3),"",1)</f>
        <v/>
      </c>
      <c r="AE24" s="256"/>
      <c r="AF24" s="256"/>
      <c r="AO24" s="52"/>
      <c r="BJ24" s="1337"/>
      <c r="BK24" s="1338"/>
      <c r="BL24" s="1338"/>
      <c r="BM24" s="1338"/>
      <c r="BN24" s="1338"/>
      <c r="BO24" s="1339"/>
      <c r="BP24" s="255"/>
      <c r="BQ24" s="255"/>
      <c r="BR24" s="255"/>
      <c r="BS24" s="242"/>
      <c r="CB24" s="242"/>
    </row>
    <row r="25" spans="1:89" ht="15" customHeight="1">
      <c r="A25" s="1290"/>
      <c r="B25" s="1163"/>
      <c r="C25" s="1164"/>
      <c r="D25" s="1164"/>
      <c r="E25" s="1164"/>
      <c r="F25" s="1164"/>
      <c r="G25" s="1164"/>
      <c r="H25" s="1266"/>
      <c r="I25" s="1206"/>
      <c r="J25" s="1206"/>
      <c r="K25" s="255"/>
      <c r="L25" s="1258"/>
      <c r="M25" s="1562"/>
      <c r="N25" s="1624"/>
      <c r="O25" s="1625"/>
      <c r="P25" s="1625"/>
      <c r="Q25" s="1625"/>
      <c r="R25" s="1625"/>
      <c r="S25" s="1625"/>
      <c r="T25" s="1206"/>
      <c r="U25" s="1241"/>
      <c r="V25" s="1258"/>
      <c r="W25" s="1317"/>
      <c r="X25" s="1296"/>
      <c r="Y25" s="1296"/>
      <c r="Z25" s="1296"/>
      <c r="AA25" s="1296"/>
      <c r="AB25" s="1296"/>
      <c r="AC25" s="1297"/>
      <c r="AD25" s="1206"/>
      <c r="AE25" s="256"/>
      <c r="AF25" s="256"/>
      <c r="AO25" s="52"/>
      <c r="BJ25" s="1337"/>
      <c r="BK25" s="1338"/>
      <c r="BL25" s="1338"/>
      <c r="BM25" s="1338"/>
      <c r="BN25" s="1338"/>
      <c r="BO25" s="1339"/>
      <c r="BP25" s="255"/>
      <c r="BQ25" s="255"/>
      <c r="BR25" s="255"/>
      <c r="BS25" s="242"/>
      <c r="CB25" s="242"/>
    </row>
    <row r="26" spans="1:89" ht="15" customHeight="1">
      <c r="A26" s="1291"/>
      <c r="B26" s="1163"/>
      <c r="C26" s="1164"/>
      <c r="D26" s="1164"/>
      <c r="E26" s="1164"/>
      <c r="F26" s="1164"/>
      <c r="G26" s="1164"/>
      <c r="H26" s="1266"/>
      <c r="I26" s="1207"/>
      <c r="J26" s="1207"/>
      <c r="K26" s="255"/>
      <c r="L26" s="1258"/>
      <c r="M26" s="1562"/>
      <c r="N26" s="1624"/>
      <c r="O26" s="1625"/>
      <c r="P26" s="1625"/>
      <c r="Q26" s="1625"/>
      <c r="R26" s="1625"/>
      <c r="S26" s="1625"/>
      <c r="T26" s="1207"/>
      <c r="U26" s="1241"/>
      <c r="V26" s="1258"/>
      <c r="W26" s="1317"/>
      <c r="X26" s="1296"/>
      <c r="Y26" s="1296"/>
      <c r="Z26" s="1296"/>
      <c r="AA26" s="1296"/>
      <c r="AB26" s="1296"/>
      <c r="AC26" s="1297"/>
      <c r="AD26" s="1207"/>
      <c r="AE26" s="256"/>
      <c r="AF26" s="256"/>
      <c r="AO26" s="52"/>
      <c r="BJ26" s="1337"/>
      <c r="BK26" s="1338"/>
      <c r="BL26" s="1338"/>
      <c r="BM26" s="1338"/>
      <c r="BN26" s="1338"/>
      <c r="BO26" s="1339"/>
      <c r="BP26" s="255"/>
      <c r="BQ26" s="255"/>
      <c r="BR26" s="255"/>
      <c r="BS26" s="242"/>
      <c r="CB26" s="242"/>
    </row>
    <row r="27" spans="1:89" ht="15" customHeight="1">
      <c r="A27" s="1307">
        <v>1.1000000000000001</v>
      </c>
      <c r="B27" s="1395" t="s">
        <v>330</v>
      </c>
      <c r="C27" s="1396"/>
      <c r="D27" s="1396"/>
      <c r="E27" s="1396"/>
      <c r="F27" s="1396"/>
      <c r="G27" s="1396"/>
      <c r="H27" s="1536"/>
      <c r="I27" s="1205" t="str">
        <f t="shared" ref="I27" si="4">IF(ISBLANK(H$3),"",1)</f>
        <v/>
      </c>
      <c r="J27" s="1205" t="str">
        <f>IF(ISBLANK(L$3),"",1)</f>
        <v/>
      </c>
      <c r="K27" s="255"/>
      <c r="L27" s="1236">
        <v>1.5</v>
      </c>
      <c r="M27" s="1562" t="s">
        <v>332</v>
      </c>
      <c r="N27" s="1624" t="s">
        <v>333</v>
      </c>
      <c r="O27" s="1625"/>
      <c r="P27" s="1625"/>
      <c r="Q27" s="1625"/>
      <c r="R27" s="1625"/>
      <c r="S27" s="1625"/>
      <c r="T27" s="1205" t="str">
        <f>IF(ISBLANK(H$3),"",1)</f>
        <v/>
      </c>
      <c r="U27" s="1241"/>
      <c r="V27" s="1236">
        <v>4.3</v>
      </c>
      <c r="W27" s="1526" t="s">
        <v>324</v>
      </c>
      <c r="X27" s="1527"/>
      <c r="Y27" s="1527"/>
      <c r="Z27" s="1527"/>
      <c r="AA27" s="1527"/>
      <c r="AB27" s="1527"/>
      <c r="AC27" s="1533" t="s">
        <v>696</v>
      </c>
      <c r="AD27" s="1205" t="str">
        <f>IF(ISBLANK(L$3),"",1)</f>
        <v/>
      </c>
      <c r="AE27" s="256"/>
      <c r="AF27" s="256"/>
      <c r="AO27" s="52"/>
      <c r="BJ27" s="1337"/>
      <c r="BK27" s="1338"/>
      <c r="BL27" s="1338"/>
      <c r="BM27" s="1338"/>
      <c r="BN27" s="1338"/>
      <c r="BO27" s="1339"/>
      <c r="BP27" s="255"/>
      <c r="BQ27" s="255"/>
      <c r="BR27" s="255"/>
      <c r="BS27" s="242"/>
      <c r="CB27" s="242"/>
    </row>
    <row r="28" spans="1:89" ht="15" customHeight="1">
      <c r="A28" s="1308"/>
      <c r="B28" s="1163"/>
      <c r="C28" s="1164"/>
      <c r="D28" s="1164"/>
      <c r="E28" s="1164"/>
      <c r="F28" s="1164"/>
      <c r="G28" s="1164"/>
      <c r="H28" s="1266"/>
      <c r="I28" s="1206"/>
      <c r="J28" s="1206"/>
      <c r="K28" s="255"/>
      <c r="L28" s="1236"/>
      <c r="M28" s="1562"/>
      <c r="N28" s="1624"/>
      <c r="O28" s="1625"/>
      <c r="P28" s="1625"/>
      <c r="Q28" s="1625"/>
      <c r="R28" s="1625"/>
      <c r="S28" s="1625"/>
      <c r="T28" s="1206"/>
      <c r="U28" s="1241"/>
      <c r="V28" s="1236"/>
      <c r="W28" s="1317"/>
      <c r="X28" s="1296"/>
      <c r="Y28" s="1296"/>
      <c r="Z28" s="1296"/>
      <c r="AA28" s="1296"/>
      <c r="AB28" s="1296"/>
      <c r="AC28" s="1297"/>
      <c r="AD28" s="1206"/>
      <c r="AE28" s="256"/>
      <c r="AF28" s="256"/>
      <c r="AO28" s="52"/>
      <c r="BJ28" s="1337"/>
      <c r="BK28" s="1338"/>
      <c r="BL28" s="1338"/>
      <c r="BM28" s="1338"/>
      <c r="BN28" s="1338"/>
      <c r="BO28" s="1339"/>
      <c r="BP28" s="255"/>
      <c r="BQ28" s="255"/>
      <c r="BR28" s="255"/>
      <c r="BS28" s="242"/>
    </row>
    <row r="29" spans="1:89" ht="15" customHeight="1">
      <c r="A29" s="1308"/>
      <c r="B29" s="1163"/>
      <c r="C29" s="1164"/>
      <c r="D29" s="1164"/>
      <c r="E29" s="1164"/>
      <c r="F29" s="1164"/>
      <c r="G29" s="1164"/>
      <c r="H29" s="1266"/>
      <c r="I29" s="1207"/>
      <c r="J29" s="1207"/>
      <c r="K29" s="255"/>
      <c r="L29" s="1236"/>
      <c r="M29" s="1562"/>
      <c r="N29" s="1624"/>
      <c r="O29" s="1625"/>
      <c r="P29" s="1625"/>
      <c r="Q29" s="1625"/>
      <c r="R29" s="1625"/>
      <c r="S29" s="1625"/>
      <c r="T29" s="1207"/>
      <c r="U29" s="1241"/>
      <c r="V29" s="1236"/>
      <c r="W29" s="1317"/>
      <c r="X29" s="1296"/>
      <c r="Y29" s="1296"/>
      <c r="Z29" s="1296"/>
      <c r="AA29" s="1296"/>
      <c r="AB29" s="1296"/>
      <c r="AC29" s="1297"/>
      <c r="AD29" s="1207"/>
      <c r="AE29" s="256"/>
      <c r="AF29" s="256"/>
      <c r="AO29" s="52"/>
      <c r="BJ29" s="1337"/>
      <c r="BK29" s="1338"/>
      <c r="BL29" s="1338"/>
      <c r="BM29" s="1338"/>
      <c r="BN29" s="1338"/>
      <c r="BO29" s="1339"/>
      <c r="BP29" s="255"/>
      <c r="BQ29" s="255"/>
      <c r="BR29" s="255"/>
      <c r="BS29" s="242"/>
      <c r="CB29" s="242"/>
      <c r="CK29" s="242"/>
    </row>
    <row r="30" spans="1:89" ht="15" customHeight="1">
      <c r="A30" s="1307">
        <v>1.5</v>
      </c>
      <c r="B30" s="1549" t="s">
        <v>336</v>
      </c>
      <c r="C30" s="1549"/>
      <c r="D30" s="1549"/>
      <c r="E30" s="1549"/>
      <c r="F30" s="1549"/>
      <c r="G30" s="1549"/>
      <c r="H30" s="1549"/>
      <c r="I30" s="1205" t="str">
        <f t="shared" ref="I30" si="5">IF(ISBLANK(H$3),"",1)</f>
        <v/>
      </c>
      <c r="J30" s="1205" t="str">
        <f>IF(ISBLANK(L$3),"",1)</f>
        <v/>
      </c>
      <c r="K30" s="255"/>
      <c r="L30" s="1258">
        <v>4.3</v>
      </c>
      <c r="M30" s="1163" t="s">
        <v>331</v>
      </c>
      <c r="N30" s="1164"/>
      <c r="O30" s="1164"/>
      <c r="P30" s="1164"/>
      <c r="Q30" s="1164"/>
      <c r="R30" s="1164"/>
      <c r="S30" s="1164"/>
      <c r="T30" s="1205" t="str">
        <f>IF(ISBLANK(H$3),"",1)</f>
        <v/>
      </c>
      <c r="U30" s="1241"/>
      <c r="V30" s="1258">
        <v>4.4000000000000004</v>
      </c>
      <c r="W30" s="1526" t="s">
        <v>329</v>
      </c>
      <c r="X30" s="1527"/>
      <c r="Y30" s="1527"/>
      <c r="Z30" s="1527"/>
      <c r="AA30" s="1527"/>
      <c r="AB30" s="1527"/>
      <c r="AC30" s="1533" t="s">
        <v>696</v>
      </c>
      <c r="AD30" s="1205" t="str">
        <f>IF(ISBLANK(L$3),"",1)</f>
        <v/>
      </c>
      <c r="AE30" s="256"/>
      <c r="AF30" s="256"/>
      <c r="AO30" s="52"/>
      <c r="BJ30" s="1337"/>
      <c r="BK30" s="1338"/>
      <c r="BL30" s="1338"/>
      <c r="BM30" s="1338"/>
      <c r="BN30" s="1338"/>
      <c r="BO30" s="1339"/>
      <c r="BP30" s="255"/>
      <c r="BQ30" s="255"/>
      <c r="BR30" s="255"/>
    </row>
    <row r="31" spans="1:89" ht="15" customHeight="1">
      <c r="A31" s="1308"/>
      <c r="B31" s="1550"/>
      <c r="C31" s="1550"/>
      <c r="D31" s="1550"/>
      <c r="E31" s="1550"/>
      <c r="F31" s="1550"/>
      <c r="G31" s="1550"/>
      <c r="H31" s="1550"/>
      <c r="I31" s="1206"/>
      <c r="J31" s="1206"/>
      <c r="K31" s="255"/>
      <c r="L31" s="1258"/>
      <c r="M31" s="1163"/>
      <c r="N31" s="1164"/>
      <c r="O31" s="1164"/>
      <c r="P31" s="1164"/>
      <c r="Q31" s="1164"/>
      <c r="R31" s="1164"/>
      <c r="S31" s="1164"/>
      <c r="T31" s="1206"/>
      <c r="U31" s="1241"/>
      <c r="V31" s="1258"/>
      <c r="W31" s="1317"/>
      <c r="X31" s="1296"/>
      <c r="Y31" s="1296"/>
      <c r="Z31" s="1296"/>
      <c r="AA31" s="1296"/>
      <c r="AB31" s="1296"/>
      <c r="AC31" s="1297"/>
      <c r="AD31" s="1206"/>
      <c r="AE31" s="256"/>
      <c r="AF31" s="256"/>
      <c r="AO31" s="52"/>
      <c r="BJ31" s="1337"/>
      <c r="BK31" s="1338"/>
      <c r="BL31" s="1338"/>
      <c r="BM31" s="1338"/>
      <c r="BN31" s="1338"/>
      <c r="BO31" s="1339"/>
      <c r="BP31" s="255"/>
      <c r="BQ31" s="255"/>
      <c r="BR31" s="255"/>
    </row>
    <row r="32" spans="1:89" ht="15" customHeight="1">
      <c r="A32" s="1309"/>
      <c r="B32" s="1551"/>
      <c r="C32" s="1551"/>
      <c r="D32" s="1551"/>
      <c r="E32" s="1551"/>
      <c r="F32" s="1551"/>
      <c r="G32" s="1551"/>
      <c r="H32" s="1551"/>
      <c r="I32" s="1207"/>
      <c r="J32" s="1207"/>
      <c r="K32" s="255"/>
      <c r="L32" s="1258"/>
      <c r="M32" s="1552"/>
      <c r="N32" s="1203"/>
      <c r="O32" s="1203"/>
      <c r="P32" s="1203"/>
      <c r="Q32" s="1203"/>
      <c r="R32" s="1203"/>
      <c r="S32" s="1203"/>
      <c r="T32" s="1207"/>
      <c r="U32" s="1241"/>
      <c r="V32" s="1258"/>
      <c r="W32" s="1317"/>
      <c r="X32" s="1296"/>
      <c r="Y32" s="1296"/>
      <c r="Z32" s="1296"/>
      <c r="AA32" s="1296"/>
      <c r="AB32" s="1296"/>
      <c r="AC32" s="1297"/>
      <c r="AD32" s="1207"/>
      <c r="AE32" s="256"/>
      <c r="AF32" s="256"/>
      <c r="AO32" s="52"/>
      <c r="BJ32" s="1337"/>
      <c r="BK32" s="1338"/>
      <c r="BL32" s="1338"/>
      <c r="BM32" s="1338"/>
      <c r="BN32" s="1338"/>
      <c r="BO32" s="1339"/>
      <c r="BP32" s="255"/>
      <c r="BQ32" s="255"/>
      <c r="BR32" s="255"/>
    </row>
    <row r="33" spans="1:70" ht="15" customHeight="1">
      <c r="A33" s="1260" t="s">
        <v>637</v>
      </c>
      <c r="B33" s="1260"/>
      <c r="C33" s="1260"/>
      <c r="D33" s="1260"/>
      <c r="E33" s="1260"/>
      <c r="F33" s="1261"/>
      <c r="G33" s="294">
        <v>1.1000000000000001</v>
      </c>
      <c r="H33" s="311">
        <f>COUNTIF($A$12:$A$32,G33)</f>
        <v>4</v>
      </c>
      <c r="I33" s="240" t="str">
        <f>IF($H$3=1,SUMIF($A$12:$A$32,G33,$I$12:$I$32),"")</f>
        <v/>
      </c>
      <c r="J33" s="240" t="str">
        <f>IF($L$3=1,SUMIF($A$12:$A$32,G33,$J$12:$J$32),"")</f>
        <v/>
      </c>
      <c r="K33" s="255"/>
      <c r="L33" s="1262" t="s">
        <v>637</v>
      </c>
      <c r="M33" s="1262"/>
      <c r="N33" s="1262"/>
      <c r="O33" s="1262"/>
      <c r="P33" s="1262"/>
      <c r="Q33" s="1263"/>
      <c r="R33" s="273">
        <v>1.5</v>
      </c>
      <c r="S33" s="311">
        <f>COUNTIF($L$12:$L$32,R33)</f>
        <v>2</v>
      </c>
      <c r="T33" s="240" t="str">
        <f>IF($H$3=1,SUMIF($L$12:$L$32,R33,$T$12:$T$32),"")</f>
        <v/>
      </c>
      <c r="U33" s="301"/>
      <c r="V33" s="1236">
        <v>2.4</v>
      </c>
      <c r="W33" s="1526" t="s">
        <v>334</v>
      </c>
      <c r="X33" s="1527"/>
      <c r="Y33" s="1527"/>
      <c r="Z33" s="1527"/>
      <c r="AA33" s="1527"/>
      <c r="AB33" s="1527"/>
      <c r="AC33" s="1533" t="s">
        <v>696</v>
      </c>
      <c r="AD33" s="1205" t="str">
        <f>IF(ISBLANK(L$3),"",1)</f>
        <v/>
      </c>
      <c r="AE33" s="256"/>
      <c r="AF33" s="256"/>
      <c r="AO33" s="52"/>
      <c r="BJ33" s="1337"/>
      <c r="BK33" s="1338"/>
      <c r="BL33" s="1338"/>
      <c r="BM33" s="1338"/>
      <c r="BN33" s="1338"/>
      <c r="BO33" s="1339"/>
      <c r="BP33" s="255"/>
      <c r="BQ33" s="255"/>
      <c r="BR33" s="255"/>
    </row>
    <row r="34" spans="1:70" ht="15" customHeight="1">
      <c r="A34" s="52"/>
      <c r="B34" s="248"/>
      <c r="C34" s="248"/>
      <c r="D34" s="248"/>
      <c r="E34" s="248"/>
      <c r="F34" s="299"/>
      <c r="G34" s="273">
        <v>1.5</v>
      </c>
      <c r="H34" s="311">
        <f t="shared" ref="H34:H36" si="6">COUNTIF($A$12:$A$32,G34)</f>
        <v>1</v>
      </c>
      <c r="I34" s="240" t="str">
        <f t="shared" ref="I34:I36" si="7">IF($H$3=1,SUMIF($A$12:$A$32,G34,$I$12:$I$32),"")</f>
        <v/>
      </c>
      <c r="J34" s="240" t="str">
        <f t="shared" ref="J34:J36" si="8">IF($L$3=1,SUMIF($A$12:$A$32,G34,$J$12:$J$32),"")</f>
        <v/>
      </c>
      <c r="K34" s="255"/>
      <c r="L34" s="248"/>
      <c r="M34" s="248"/>
      <c r="N34" s="248"/>
      <c r="O34" s="248"/>
      <c r="P34" s="248"/>
      <c r="R34" s="274">
        <v>4.3</v>
      </c>
      <c r="S34" s="311">
        <f t="shared" ref="S34:S35" si="9">COUNTIF($L$12:$L$32,R34)</f>
        <v>2</v>
      </c>
      <c r="T34" s="240" t="str">
        <f t="shared" ref="T34:T35" si="10">IF($H$3=1,SUMIF($L$12:$L$32,R34,$T$12:$T$32),"")</f>
        <v/>
      </c>
      <c r="U34" s="301"/>
      <c r="V34" s="1236"/>
      <c r="W34" s="1317"/>
      <c r="X34" s="1296"/>
      <c r="Y34" s="1296"/>
      <c r="Z34" s="1296"/>
      <c r="AA34" s="1296"/>
      <c r="AB34" s="1296"/>
      <c r="AC34" s="1297"/>
      <c r="AD34" s="1206"/>
      <c r="AE34" s="256"/>
      <c r="AF34" s="256"/>
      <c r="AO34" s="52"/>
      <c r="BJ34" s="1337"/>
      <c r="BK34" s="1338"/>
      <c r="BL34" s="1338"/>
      <c r="BM34" s="1338"/>
      <c r="BN34" s="1338"/>
      <c r="BO34" s="1339"/>
      <c r="BP34" s="255"/>
      <c r="BQ34" s="255"/>
      <c r="BR34" s="255"/>
    </row>
    <row r="35" spans="1:70" ht="15" customHeight="1">
      <c r="A35" s="255"/>
      <c r="B35" s="255"/>
      <c r="C35" s="255"/>
      <c r="D35" s="255"/>
      <c r="E35" s="255"/>
      <c r="G35" s="272">
        <v>2.1</v>
      </c>
      <c r="H35" s="311">
        <f t="shared" si="6"/>
        <v>1</v>
      </c>
      <c r="I35" s="240" t="str">
        <f t="shared" si="7"/>
        <v/>
      </c>
      <c r="J35" s="240" t="str">
        <f t="shared" si="8"/>
        <v/>
      </c>
      <c r="K35" s="255"/>
      <c r="L35" s="255"/>
      <c r="M35" s="255"/>
      <c r="N35" s="255"/>
      <c r="O35" s="255"/>
      <c r="P35" s="255"/>
      <c r="R35" s="274">
        <v>4.4000000000000004</v>
      </c>
      <c r="S35" s="311">
        <f t="shared" si="9"/>
        <v>3</v>
      </c>
      <c r="T35" s="240" t="str">
        <f t="shared" si="10"/>
        <v/>
      </c>
      <c r="U35" s="255"/>
      <c r="V35" s="1236"/>
      <c r="W35" s="1317"/>
      <c r="X35" s="1296"/>
      <c r="Y35" s="1296"/>
      <c r="Z35" s="1296"/>
      <c r="AA35" s="1296"/>
      <c r="AB35" s="1296"/>
      <c r="AC35" s="1297"/>
      <c r="AD35" s="1207"/>
      <c r="AE35" s="256"/>
      <c r="AF35" s="256"/>
      <c r="AO35" s="52"/>
      <c r="BJ35" s="1337"/>
      <c r="BK35" s="1338"/>
      <c r="BL35" s="1338"/>
      <c r="BM35" s="1338"/>
      <c r="BN35" s="1338"/>
      <c r="BO35" s="1339"/>
      <c r="BP35" s="255"/>
      <c r="BQ35" s="255"/>
      <c r="BR35" s="255"/>
    </row>
    <row r="36" spans="1:70" ht="15" customHeight="1">
      <c r="A36" s="255"/>
      <c r="B36" s="255"/>
      <c r="C36" s="255"/>
      <c r="D36" s="255"/>
      <c r="E36" s="255"/>
      <c r="G36" s="272">
        <v>2.4</v>
      </c>
      <c r="H36" s="311">
        <f t="shared" si="6"/>
        <v>1</v>
      </c>
      <c r="I36" s="240" t="str">
        <f t="shared" si="7"/>
        <v/>
      </c>
      <c r="J36" s="240" t="str">
        <f t="shared" si="8"/>
        <v/>
      </c>
      <c r="K36" s="255"/>
      <c r="L36" s="255"/>
      <c r="M36" s="255"/>
      <c r="N36" s="255"/>
      <c r="O36" s="255"/>
      <c r="P36" s="255"/>
      <c r="Q36" s="255"/>
      <c r="R36" s="255"/>
      <c r="S36" s="255"/>
      <c r="T36" s="255"/>
      <c r="U36" s="255"/>
      <c r="V36" s="1258">
        <v>2.4</v>
      </c>
      <c r="W36" s="1526" t="s">
        <v>337</v>
      </c>
      <c r="X36" s="1527"/>
      <c r="Y36" s="1527"/>
      <c r="Z36" s="1527"/>
      <c r="AA36" s="1527"/>
      <c r="AB36" s="1527"/>
      <c r="AC36" s="1533" t="s">
        <v>696</v>
      </c>
      <c r="AD36" s="1205" t="str">
        <f>IF(ISBLANK(L$3),"",1)</f>
        <v/>
      </c>
      <c r="AE36" s="256"/>
      <c r="AF36" s="256"/>
      <c r="AO36" s="52"/>
      <c r="BJ36" s="1337"/>
      <c r="BK36" s="1338"/>
      <c r="BL36" s="1338"/>
      <c r="BM36" s="1338"/>
      <c r="BN36" s="1338"/>
      <c r="BO36" s="1339"/>
      <c r="BP36" s="255"/>
      <c r="BQ36" s="255"/>
      <c r="BR36" s="255"/>
    </row>
    <row r="37" spans="1:70" ht="15" customHeight="1">
      <c r="A37" s="255"/>
      <c r="B37" s="255"/>
      <c r="C37" s="255"/>
      <c r="D37" s="255"/>
      <c r="E37" s="255"/>
      <c r="F37" s="255"/>
      <c r="G37" s="255"/>
      <c r="H37" s="255"/>
      <c r="I37" s="255"/>
      <c r="J37" s="255"/>
      <c r="K37" s="255"/>
      <c r="L37" s="255"/>
      <c r="M37" s="255"/>
      <c r="N37" s="255"/>
      <c r="O37" s="255"/>
      <c r="P37" s="255"/>
      <c r="Q37" s="255"/>
      <c r="R37" s="255"/>
      <c r="S37" s="255"/>
      <c r="T37" s="255"/>
      <c r="U37" s="255"/>
      <c r="V37" s="1258"/>
      <c r="W37" s="1317"/>
      <c r="X37" s="1296"/>
      <c r="Y37" s="1296"/>
      <c r="Z37" s="1296"/>
      <c r="AA37" s="1296"/>
      <c r="AB37" s="1296"/>
      <c r="AC37" s="1297"/>
      <c r="AD37" s="1206"/>
      <c r="AE37" s="256"/>
      <c r="AF37" s="256"/>
      <c r="AO37" s="52"/>
      <c r="BJ37" s="1337"/>
      <c r="BK37" s="1338"/>
      <c r="BL37" s="1338"/>
      <c r="BM37" s="1338"/>
      <c r="BN37" s="1338"/>
      <c r="BO37" s="1339"/>
      <c r="BP37" s="255"/>
      <c r="BQ37" s="255"/>
      <c r="BR37" s="255"/>
    </row>
    <row r="38" spans="1:70" ht="15" customHeight="1">
      <c r="A38" s="1209"/>
      <c r="B38" s="1210" t="s">
        <v>609</v>
      </c>
      <c r="C38" s="1211"/>
      <c r="D38" s="1211"/>
      <c r="E38" s="1211"/>
      <c r="F38" s="1211"/>
      <c r="G38" s="1211"/>
      <c r="H38" s="1272"/>
      <c r="I38" s="1174">
        <v>1</v>
      </c>
      <c r="J38" s="1174">
        <v>2</v>
      </c>
      <c r="K38" s="1"/>
      <c r="L38" s="255"/>
      <c r="M38" s="255"/>
      <c r="N38" s="255"/>
      <c r="O38" s="255"/>
      <c r="P38" s="255"/>
      <c r="Q38" s="255"/>
      <c r="R38" s="255"/>
      <c r="S38" s="255"/>
      <c r="T38" s="255"/>
      <c r="U38" s="255"/>
      <c r="V38" s="1258"/>
      <c r="W38" s="1317"/>
      <c r="X38" s="1296"/>
      <c r="Y38" s="1296"/>
      <c r="Z38" s="1296"/>
      <c r="AA38" s="1296"/>
      <c r="AB38" s="1296"/>
      <c r="AC38" s="1297"/>
      <c r="AD38" s="1207"/>
      <c r="AE38" s="256"/>
      <c r="AF38" s="256"/>
      <c r="AO38" s="52"/>
      <c r="BJ38" s="1337"/>
      <c r="BK38" s="1338"/>
      <c r="BL38" s="1338"/>
      <c r="BM38" s="1338"/>
      <c r="BN38" s="1338"/>
      <c r="BO38" s="1339"/>
      <c r="BP38" s="256"/>
      <c r="BQ38" s="256"/>
      <c r="BR38" s="256"/>
    </row>
    <row r="39" spans="1:70" ht="15" customHeight="1">
      <c r="A39" s="1209"/>
      <c r="B39" s="1212"/>
      <c r="C39" s="1213"/>
      <c r="D39" s="1213"/>
      <c r="E39" s="1213"/>
      <c r="F39" s="1213"/>
      <c r="G39" s="1213"/>
      <c r="H39" s="1273"/>
      <c r="I39" s="1174"/>
      <c r="J39" s="1174"/>
      <c r="K39" s="1"/>
      <c r="L39" s="255"/>
      <c r="M39" s="255"/>
      <c r="N39" s="255"/>
      <c r="O39" s="255"/>
      <c r="P39" s="255"/>
      <c r="Q39" s="255"/>
      <c r="R39" s="255"/>
      <c r="S39" s="255"/>
      <c r="T39" s="255"/>
      <c r="U39" s="256"/>
      <c r="V39" s="1258">
        <v>1.5</v>
      </c>
      <c r="W39" s="1526" t="s">
        <v>331</v>
      </c>
      <c r="X39" s="1527"/>
      <c r="Y39" s="1527"/>
      <c r="Z39" s="1527"/>
      <c r="AA39" s="1527"/>
      <c r="AB39" s="1527"/>
      <c r="AC39" s="1533" t="s">
        <v>696</v>
      </c>
      <c r="AD39" s="1205" t="str">
        <f>IF(ISBLANK(L$3),"",1)</f>
        <v/>
      </c>
      <c r="AE39" s="256"/>
      <c r="AF39" s="256"/>
      <c r="AO39" s="52"/>
      <c r="BJ39" s="1337"/>
      <c r="BK39" s="1338"/>
      <c r="BL39" s="1338"/>
      <c r="BM39" s="1338"/>
      <c r="BN39" s="1338"/>
      <c r="BO39" s="1339"/>
      <c r="BP39" s="255"/>
      <c r="BQ39" s="256"/>
      <c r="BR39" s="255"/>
    </row>
    <row r="40" spans="1:70" ht="15" customHeight="1">
      <c r="A40" s="1264">
        <v>3.1</v>
      </c>
      <c r="B40" s="1553" t="s">
        <v>338</v>
      </c>
      <c r="C40" s="1554"/>
      <c r="D40" s="1554"/>
      <c r="E40" s="1554"/>
      <c r="F40" s="1554"/>
      <c r="G40" s="1554"/>
      <c r="H40" s="1555"/>
      <c r="I40" s="1205" t="str">
        <f t="shared" ref="I40" si="11">IF(ISBLANK(H$3),"",1)</f>
        <v/>
      </c>
      <c r="J40" s="1205" t="str">
        <f>IF(ISBLANK(L$3),"",1)</f>
        <v/>
      </c>
      <c r="K40" s="1"/>
      <c r="L40" s="255"/>
      <c r="M40" s="255"/>
      <c r="N40" s="255"/>
      <c r="O40" s="255"/>
      <c r="P40" s="255"/>
      <c r="Q40" s="255"/>
      <c r="R40" s="255"/>
      <c r="S40" s="255"/>
      <c r="T40" s="255"/>
      <c r="U40" s="256"/>
      <c r="V40" s="1258"/>
      <c r="W40" s="1317"/>
      <c r="X40" s="1296"/>
      <c r="Y40" s="1296"/>
      <c r="Z40" s="1296"/>
      <c r="AA40" s="1296"/>
      <c r="AB40" s="1296"/>
      <c r="AC40" s="1297"/>
      <c r="AD40" s="1206"/>
      <c r="AE40" s="256"/>
      <c r="AF40" s="256"/>
      <c r="AO40" s="52"/>
      <c r="BJ40" s="1222"/>
      <c r="BK40" s="1223"/>
      <c r="BL40" s="1223"/>
      <c r="BM40" s="1223"/>
      <c r="BN40" s="1223"/>
      <c r="BO40" s="1224"/>
      <c r="BP40" s="255"/>
      <c r="BQ40" s="256"/>
      <c r="BR40" s="255"/>
    </row>
    <row r="41" spans="1:70" ht="15" customHeight="1">
      <c r="A41" s="1264"/>
      <c r="B41" s="1556"/>
      <c r="C41" s="1557"/>
      <c r="D41" s="1557"/>
      <c r="E41" s="1557"/>
      <c r="F41" s="1557"/>
      <c r="G41" s="1557"/>
      <c r="H41" s="1558"/>
      <c r="I41" s="1206"/>
      <c r="J41" s="1206"/>
      <c r="K41" s="1"/>
      <c r="L41" s="255"/>
      <c r="M41" s="255"/>
      <c r="N41" s="255"/>
      <c r="O41" s="255"/>
      <c r="P41" s="255"/>
      <c r="Q41" s="255"/>
      <c r="R41" s="255"/>
      <c r="S41" s="255"/>
      <c r="T41" s="255"/>
      <c r="U41" s="256"/>
      <c r="V41" s="1258"/>
      <c r="W41" s="1319"/>
      <c r="X41" s="1320"/>
      <c r="Y41" s="1320"/>
      <c r="Z41" s="1320"/>
      <c r="AA41" s="1320"/>
      <c r="AB41" s="1320"/>
      <c r="AC41" s="1534"/>
      <c r="AD41" s="1207"/>
      <c r="AE41" s="256"/>
      <c r="AF41" s="256"/>
      <c r="AO41" s="52"/>
      <c r="BO41" s="255"/>
      <c r="BP41" s="255"/>
      <c r="BQ41" s="256"/>
      <c r="BR41" s="255"/>
    </row>
    <row r="42" spans="1:70" ht="15" customHeight="1">
      <c r="A42" s="1264"/>
      <c r="B42" s="1559"/>
      <c r="C42" s="1560"/>
      <c r="D42" s="1560"/>
      <c r="E42" s="1560"/>
      <c r="F42" s="1560"/>
      <c r="G42" s="1560"/>
      <c r="H42" s="1561"/>
      <c r="I42" s="1207"/>
      <c r="J42" s="1207"/>
      <c r="K42" s="1"/>
      <c r="L42" s="256"/>
      <c r="M42" s="256"/>
      <c r="N42" s="256"/>
      <c r="O42" s="256"/>
      <c r="P42" s="256"/>
      <c r="Q42" s="256"/>
      <c r="R42" s="256"/>
      <c r="S42" s="256"/>
      <c r="T42" s="256"/>
      <c r="U42" s="255"/>
      <c r="V42" s="1262" t="s">
        <v>637</v>
      </c>
      <c r="W42" s="1262"/>
      <c r="X42" s="1262"/>
      <c r="Y42" s="1262"/>
      <c r="Z42" s="1262"/>
      <c r="AA42" s="1263"/>
      <c r="AB42" s="294">
        <v>1.5</v>
      </c>
      <c r="AC42" s="311">
        <f>COUNTIF($V$12:$V$41,AB42)</f>
        <v>1</v>
      </c>
      <c r="AD42" s="240" t="str">
        <f>IF($L$3=1,SUMIF($V$12:$V$41,AB42,$AD$12:$AD$41),"")</f>
        <v/>
      </c>
      <c r="AE42" s="255"/>
      <c r="AF42" s="256"/>
      <c r="AG42" s="256"/>
      <c r="AO42" s="52"/>
      <c r="BP42" s="255"/>
      <c r="BQ42" s="255"/>
      <c r="BR42" s="255"/>
    </row>
    <row r="43" spans="1:70" ht="15" customHeight="1">
      <c r="A43" s="1260" t="s">
        <v>637</v>
      </c>
      <c r="B43" s="1260"/>
      <c r="C43" s="1260"/>
      <c r="D43" s="1260"/>
      <c r="E43" s="1260"/>
      <c r="F43" s="1271"/>
      <c r="G43" s="302">
        <v>3.1</v>
      </c>
      <c r="H43" s="311">
        <f>COUNTIF(A40,G43)</f>
        <v>1</v>
      </c>
      <c r="I43" s="240" t="str">
        <f>IF($H$3=1,SUMIF($A$40,G43,$I$40),"")</f>
        <v/>
      </c>
      <c r="J43" s="240" t="str">
        <f>IF(L3=1,SUMIF($A$40,G43,$J$40),"")</f>
        <v/>
      </c>
      <c r="K43" s="1"/>
      <c r="L43" s="256"/>
      <c r="M43" s="256"/>
      <c r="N43" s="256"/>
      <c r="O43" s="256"/>
      <c r="P43" s="256"/>
      <c r="Q43" s="256"/>
      <c r="R43" s="256"/>
      <c r="S43" s="256"/>
      <c r="T43" s="256"/>
      <c r="U43" s="256"/>
      <c r="V43" s="253"/>
      <c r="W43" s="244"/>
      <c r="X43" s="244"/>
      <c r="Y43" s="244"/>
      <c r="AB43" s="272">
        <v>2.4</v>
      </c>
      <c r="AC43" s="311">
        <f>COUNTIF($V$12:$V$41,AB43)</f>
        <v>2</v>
      </c>
      <c r="AD43" s="240" t="str">
        <f>IF($L$3=1,SUMIF($V$12:$V$41,AB43,$AD$12:$AD$41),"")</f>
        <v/>
      </c>
      <c r="AE43" s="255"/>
      <c r="AF43" s="256"/>
      <c r="AG43" s="256"/>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6"/>
      <c r="V44" s="253"/>
      <c r="W44" s="244"/>
      <c r="X44" s="244"/>
      <c r="Y44" s="244"/>
      <c r="AB44" s="274">
        <v>4.3</v>
      </c>
      <c r="AC44" s="311">
        <f>COUNTIF($V$12:$V$41,AB44)</f>
        <v>1</v>
      </c>
      <c r="AD44" s="240" t="str">
        <f>IF($L$3=1,SUMIF($V$12:$V$41,AB44,$AD$12:$AD$41),"")</f>
        <v/>
      </c>
      <c r="AE44" s="255"/>
      <c r="AF44" s="255"/>
      <c r="AG44" s="255"/>
      <c r="AO44" s="52"/>
      <c r="BP44" s="255"/>
      <c r="BQ44" s="255"/>
      <c r="BR44" s="255"/>
    </row>
    <row r="45" spans="1:70" ht="15" customHeight="1">
      <c r="A45" s="255"/>
      <c r="B45" s="255"/>
      <c r="C45" s="255"/>
      <c r="D45" s="255"/>
      <c r="E45" s="255"/>
      <c r="F45" s="255"/>
      <c r="G45" s="255"/>
      <c r="H45" s="255"/>
      <c r="I45" s="255"/>
      <c r="J45" s="255"/>
      <c r="K45" s="255"/>
      <c r="L45" s="255"/>
      <c r="M45" s="255"/>
      <c r="N45" s="255"/>
      <c r="O45" s="255"/>
      <c r="P45" s="255"/>
      <c r="Q45" s="255"/>
      <c r="R45" s="255"/>
      <c r="S45" s="255"/>
      <c r="T45" s="255"/>
      <c r="U45" s="255"/>
      <c r="V45" s="253"/>
      <c r="W45" s="244"/>
      <c r="X45" s="244"/>
      <c r="Y45" s="244"/>
      <c r="AB45" s="274">
        <v>4.4000000000000004</v>
      </c>
      <c r="AC45" s="311">
        <f>COUNTIF($V$12:$V$41,AB45)</f>
        <v>6</v>
      </c>
      <c r="AD45" s="240" t="str">
        <f>IF($L$3=1,SUMIF($V$12:$V$41,AB45,$AD$12:$AD$41),"")</f>
        <v/>
      </c>
      <c r="AE45" s="255"/>
      <c r="AF45" s="255"/>
      <c r="AG45" s="255"/>
      <c r="AO45" s="52"/>
      <c r="BP45" s="255"/>
      <c r="BQ45" s="255"/>
      <c r="BR45" s="255"/>
    </row>
    <row r="46" spans="1:70" ht="15" customHeight="1">
      <c r="A46" s="1171" t="s">
        <v>640</v>
      </c>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255"/>
      <c r="BO46" s="255"/>
      <c r="BP46" s="255"/>
      <c r="BQ46" s="255"/>
      <c r="BR46" s="255"/>
    </row>
    <row r="47" spans="1:70" ht="15" customHeight="1" thickBot="1">
      <c r="A47" s="1171"/>
      <c r="B47" s="1171"/>
      <c r="C47" s="1171"/>
      <c r="D47" s="1171"/>
      <c r="E47" s="1171"/>
      <c r="F47" s="1171"/>
      <c r="G47" s="1171"/>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1"/>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255"/>
      <c r="BO47" s="255"/>
      <c r="BP47" s="255"/>
      <c r="BQ47" s="255"/>
      <c r="BR47" s="305"/>
    </row>
    <row r="48" spans="1:70" ht="15" customHeight="1" thickTop="1">
      <c r="A48" s="1172"/>
      <c r="B48" s="1173" t="s">
        <v>608</v>
      </c>
      <c r="C48" s="1173"/>
      <c r="D48" s="1173"/>
      <c r="E48" s="1173"/>
      <c r="F48" s="1173"/>
      <c r="G48" s="1173"/>
      <c r="H48" s="1343">
        <v>1</v>
      </c>
      <c r="I48" s="1174">
        <v>2</v>
      </c>
      <c r="J48" s="1174">
        <v>3</v>
      </c>
      <c r="K48" s="1174">
        <v>4</v>
      </c>
      <c r="L48" s="1174">
        <v>5</v>
      </c>
      <c r="M48" s="1174">
        <v>6</v>
      </c>
      <c r="N48" s="1665"/>
      <c r="O48" s="1668" t="s">
        <v>926</v>
      </c>
      <c r="P48" s="1668"/>
      <c r="Q48" s="1668"/>
      <c r="R48" s="1668"/>
      <c r="S48" s="1668"/>
      <c r="T48" s="1668"/>
      <c r="U48" s="1669"/>
      <c r="V48" s="1639"/>
      <c r="W48" s="1642" t="s">
        <v>455</v>
      </c>
      <c r="X48" s="1642"/>
      <c r="Y48" s="1642"/>
      <c r="Z48" s="1642"/>
      <c r="AA48" s="1642"/>
      <c r="AB48" s="1642"/>
      <c r="AC48" s="1642"/>
      <c r="AD48" s="1645"/>
      <c r="AE48" s="1648" t="s">
        <v>456</v>
      </c>
      <c r="AF48" s="1648">
        <v>1</v>
      </c>
      <c r="AG48" s="1648" t="s">
        <v>16</v>
      </c>
      <c r="AH48" s="1648"/>
      <c r="AI48" s="1648"/>
      <c r="AJ48" s="1648"/>
      <c r="AK48" s="1649"/>
      <c r="AL48" s="1653"/>
      <c r="AM48" s="1656" t="s">
        <v>452</v>
      </c>
      <c r="AN48" s="1657"/>
      <c r="AO48" s="1657"/>
      <c r="AP48" s="1657"/>
      <c r="AQ48" s="1657"/>
      <c r="AR48" s="1657"/>
      <c r="AS48" s="1658"/>
      <c r="AT48" s="1628"/>
      <c r="AU48" s="1631" t="s">
        <v>450</v>
      </c>
      <c r="AV48" s="1632"/>
      <c r="AW48" s="1632"/>
      <c r="AX48" s="1632"/>
      <c r="AY48" s="1632"/>
      <c r="AZ48" s="1632"/>
      <c r="BA48" s="1633"/>
      <c r="BB48" s="1708"/>
      <c r="BC48" s="1711" t="s">
        <v>451</v>
      </c>
      <c r="BD48" s="1712"/>
      <c r="BE48" s="1712"/>
      <c r="BF48" s="1712"/>
      <c r="BG48" s="1712"/>
      <c r="BH48" s="1712"/>
      <c r="BI48" s="1713"/>
      <c r="BJ48" s="1182" t="s">
        <v>263</v>
      </c>
      <c r="BK48" s="1183"/>
      <c r="BL48" s="1183"/>
      <c r="BM48" s="1183"/>
      <c r="BN48" s="1183"/>
      <c r="BO48" s="1184"/>
      <c r="BP48" s="255"/>
      <c r="BQ48" s="255"/>
      <c r="BR48" s="255"/>
    </row>
    <row r="49" spans="1:70" ht="15" customHeight="1">
      <c r="A49" s="1172"/>
      <c r="B49" s="1173"/>
      <c r="C49" s="1173"/>
      <c r="D49" s="1173"/>
      <c r="E49" s="1173"/>
      <c r="F49" s="1173"/>
      <c r="G49" s="1173"/>
      <c r="H49" s="1344"/>
      <c r="I49" s="1174"/>
      <c r="J49" s="1174"/>
      <c r="K49" s="1174"/>
      <c r="L49" s="1174"/>
      <c r="M49" s="1174"/>
      <c r="N49" s="1666"/>
      <c r="O49" s="1615"/>
      <c r="P49" s="1615"/>
      <c r="Q49" s="1615"/>
      <c r="R49" s="1615"/>
      <c r="S49" s="1615"/>
      <c r="T49" s="1615"/>
      <c r="U49" s="1670"/>
      <c r="V49" s="1640"/>
      <c r="W49" s="1643"/>
      <c r="X49" s="1643"/>
      <c r="Y49" s="1643"/>
      <c r="Z49" s="1643"/>
      <c r="AA49" s="1643"/>
      <c r="AB49" s="1643"/>
      <c r="AC49" s="1643"/>
      <c r="AD49" s="1646"/>
      <c r="AE49" s="1386"/>
      <c r="AF49" s="1386"/>
      <c r="AG49" s="1386"/>
      <c r="AH49" s="1386"/>
      <c r="AI49" s="1386"/>
      <c r="AJ49" s="1386"/>
      <c r="AK49" s="1650"/>
      <c r="AL49" s="1654"/>
      <c r="AM49" s="1659"/>
      <c r="AN49" s="1660"/>
      <c r="AO49" s="1660"/>
      <c r="AP49" s="1660"/>
      <c r="AQ49" s="1660"/>
      <c r="AR49" s="1660"/>
      <c r="AS49" s="1661"/>
      <c r="AT49" s="1629"/>
      <c r="AU49" s="1634"/>
      <c r="AV49" s="1365"/>
      <c r="AW49" s="1365"/>
      <c r="AX49" s="1365"/>
      <c r="AY49" s="1365"/>
      <c r="AZ49" s="1365"/>
      <c r="BA49" s="1635"/>
      <c r="BB49" s="1709"/>
      <c r="BC49" s="1714"/>
      <c r="BD49" s="1715"/>
      <c r="BE49" s="1715"/>
      <c r="BF49" s="1715"/>
      <c r="BG49" s="1715"/>
      <c r="BH49" s="1715"/>
      <c r="BI49" s="1716"/>
      <c r="BJ49" s="1219"/>
      <c r="BK49" s="1220"/>
      <c r="BL49" s="1220"/>
      <c r="BM49" s="1220"/>
      <c r="BN49" s="1220"/>
      <c r="BO49" s="1221"/>
      <c r="BP49" s="255"/>
      <c r="BQ49" s="255"/>
      <c r="BR49" s="255"/>
    </row>
    <row r="50" spans="1:70" ht="15" customHeight="1" thickBot="1">
      <c r="A50" s="1172"/>
      <c r="B50" s="1173"/>
      <c r="C50" s="1173"/>
      <c r="D50" s="1173"/>
      <c r="E50" s="1173"/>
      <c r="F50" s="1173"/>
      <c r="G50" s="1173"/>
      <c r="H50" s="1345"/>
      <c r="I50" s="1174"/>
      <c r="J50" s="1174"/>
      <c r="K50" s="1174"/>
      <c r="L50" s="1174"/>
      <c r="M50" s="1174"/>
      <c r="N50" s="1667"/>
      <c r="O50" s="1671"/>
      <c r="P50" s="1671"/>
      <c r="Q50" s="1671"/>
      <c r="R50" s="1671"/>
      <c r="S50" s="1671"/>
      <c r="T50" s="1671"/>
      <c r="U50" s="1672"/>
      <c r="V50" s="1641"/>
      <c r="W50" s="1644"/>
      <c r="X50" s="1644"/>
      <c r="Y50" s="1644"/>
      <c r="Z50" s="1644"/>
      <c r="AA50" s="1644"/>
      <c r="AB50" s="1644"/>
      <c r="AC50" s="1644"/>
      <c r="AD50" s="1647"/>
      <c r="AE50" s="1651"/>
      <c r="AF50" s="1651"/>
      <c r="AG50" s="1651"/>
      <c r="AH50" s="1651"/>
      <c r="AI50" s="1651"/>
      <c r="AJ50" s="1651"/>
      <c r="AK50" s="1652"/>
      <c r="AL50" s="1655"/>
      <c r="AM50" s="1662"/>
      <c r="AN50" s="1663"/>
      <c r="AO50" s="1663"/>
      <c r="AP50" s="1663"/>
      <c r="AQ50" s="1663"/>
      <c r="AR50" s="1663"/>
      <c r="AS50" s="1664"/>
      <c r="AT50" s="1630"/>
      <c r="AU50" s="1636"/>
      <c r="AV50" s="1637"/>
      <c r="AW50" s="1637"/>
      <c r="AX50" s="1637"/>
      <c r="AY50" s="1637"/>
      <c r="AZ50" s="1637"/>
      <c r="BA50" s="1638"/>
      <c r="BB50" s="1710"/>
      <c r="BC50" s="1717"/>
      <c r="BD50" s="1718"/>
      <c r="BE50" s="1718"/>
      <c r="BF50" s="1718"/>
      <c r="BG50" s="1718"/>
      <c r="BH50" s="1718"/>
      <c r="BI50" s="1719"/>
      <c r="BJ50" s="1337"/>
      <c r="BK50" s="1338"/>
      <c r="BL50" s="1338"/>
      <c r="BM50" s="1338"/>
      <c r="BN50" s="1338"/>
      <c r="BO50" s="1339"/>
      <c r="BP50" s="255"/>
      <c r="BQ50" s="255"/>
      <c r="BR50" s="255"/>
    </row>
    <row r="51" spans="1:70" ht="15" customHeight="1">
      <c r="A51" s="1307">
        <v>1.1000000000000001</v>
      </c>
      <c r="B51" s="1161" t="s">
        <v>941</v>
      </c>
      <c r="C51" s="1162"/>
      <c r="D51" s="1162"/>
      <c r="E51" s="1162"/>
      <c r="F51" s="1162"/>
      <c r="G51" s="1199"/>
      <c r="H51" s="1205" t="str">
        <f>IF(ISBLANK(P$3),"",1)</f>
        <v/>
      </c>
      <c r="I51" s="1205" t="str">
        <f>IF(ISBLANK(T$3),"",1)</f>
        <v/>
      </c>
      <c r="J51" s="1205" t="str">
        <f>IF(ISBLANK(X$3),"",1)</f>
        <v/>
      </c>
      <c r="K51" s="1205" t="str">
        <f>IF(ISBLANK(AB$3),"",1)</f>
        <v/>
      </c>
      <c r="L51" s="1205" t="str">
        <f>IF(ISBLANK(AF$3),"",1)</f>
        <v/>
      </c>
      <c r="M51" s="1205" t="str">
        <f>IF(ISBLANK(AJ$3),"",1)</f>
        <v/>
      </c>
      <c r="N51" s="1303">
        <v>4.4000000000000004</v>
      </c>
      <c r="O51" s="1161" t="s">
        <v>340</v>
      </c>
      <c r="P51" s="1162"/>
      <c r="Q51" s="1162"/>
      <c r="R51" s="1162"/>
      <c r="S51" s="1162"/>
      <c r="T51" s="1199"/>
      <c r="U51" s="1673" t="str">
        <f>IF(ISBLANK(P$3),"",1)</f>
        <v/>
      </c>
      <c r="V51" s="1303">
        <v>4.4000000000000004</v>
      </c>
      <c r="W51" s="1161" t="s">
        <v>928</v>
      </c>
      <c r="X51" s="1162"/>
      <c r="Y51" s="1162"/>
      <c r="Z51" s="1162"/>
      <c r="AA51" s="1162"/>
      <c r="AB51" s="1199"/>
      <c r="AC51" s="1342" t="str">
        <f>IF(ISBLANK(T$3),"",1)</f>
        <v/>
      </c>
      <c r="AD51" s="1303">
        <v>4.4000000000000004</v>
      </c>
      <c r="AE51" s="1161" t="s">
        <v>339</v>
      </c>
      <c r="AF51" s="1162"/>
      <c r="AG51" s="1162"/>
      <c r="AH51" s="1162"/>
      <c r="AI51" s="1162"/>
      <c r="AJ51" s="1199"/>
      <c r="AK51" s="1342" t="str">
        <f>IF(ISBLANK(X$3),"",1)</f>
        <v/>
      </c>
      <c r="AL51" s="1303">
        <v>4.4000000000000004</v>
      </c>
      <c r="AM51" s="1161" t="s">
        <v>340</v>
      </c>
      <c r="AN51" s="1162"/>
      <c r="AO51" s="1162"/>
      <c r="AP51" s="1162"/>
      <c r="AQ51" s="1162"/>
      <c r="AR51" s="1199"/>
      <c r="AS51" s="1342" t="str">
        <f>IF(ISBLANK(AB$3),"",1)</f>
        <v/>
      </c>
      <c r="AT51" s="1303">
        <v>4.4000000000000004</v>
      </c>
      <c r="AU51" s="1161" t="s">
        <v>341</v>
      </c>
      <c r="AV51" s="1162"/>
      <c r="AW51" s="1162"/>
      <c r="AX51" s="1162"/>
      <c r="AY51" s="1162"/>
      <c r="AZ51" s="1199"/>
      <c r="BA51" s="1342" t="str">
        <f>IF(ISBLANK(AF$3),"",1)</f>
        <v/>
      </c>
      <c r="BB51" s="1303">
        <v>4.4000000000000004</v>
      </c>
      <c r="BC51" s="1161" t="s">
        <v>340</v>
      </c>
      <c r="BD51" s="1162"/>
      <c r="BE51" s="1162"/>
      <c r="BF51" s="1162"/>
      <c r="BG51" s="1162"/>
      <c r="BH51" s="1199"/>
      <c r="BI51" s="1226" t="str">
        <f>IF(ISBLANK(AJ$3),"",1)</f>
        <v/>
      </c>
      <c r="BJ51" s="1337"/>
      <c r="BK51" s="1338"/>
      <c r="BL51" s="1338"/>
      <c r="BM51" s="1338"/>
      <c r="BN51" s="1338"/>
      <c r="BO51" s="1339"/>
      <c r="BP51" s="255"/>
      <c r="BQ51" s="255"/>
      <c r="BR51" s="255"/>
    </row>
    <row r="52" spans="1:70" ht="15" customHeight="1">
      <c r="A52" s="1308"/>
      <c r="B52" s="1163"/>
      <c r="C52" s="1164"/>
      <c r="D52" s="1164"/>
      <c r="E52" s="1164"/>
      <c r="F52" s="1164"/>
      <c r="G52" s="1201"/>
      <c r="H52" s="1206"/>
      <c r="I52" s="1206"/>
      <c r="J52" s="1206"/>
      <c r="K52" s="1206"/>
      <c r="L52" s="1206"/>
      <c r="M52" s="1206"/>
      <c r="N52" s="1258"/>
      <c r="O52" s="1163"/>
      <c r="P52" s="1164"/>
      <c r="Q52" s="1164"/>
      <c r="R52" s="1164"/>
      <c r="S52" s="1164"/>
      <c r="T52" s="1201"/>
      <c r="U52" s="1673"/>
      <c r="V52" s="1258"/>
      <c r="W52" s="1163"/>
      <c r="X52" s="1164"/>
      <c r="Y52" s="1164"/>
      <c r="Z52" s="1164"/>
      <c r="AA52" s="1164"/>
      <c r="AB52" s="1201"/>
      <c r="AC52" s="1342"/>
      <c r="AD52" s="1258"/>
      <c r="AE52" s="1163"/>
      <c r="AF52" s="1164"/>
      <c r="AG52" s="1164"/>
      <c r="AH52" s="1164"/>
      <c r="AI52" s="1164"/>
      <c r="AJ52" s="1201"/>
      <c r="AK52" s="1342"/>
      <c r="AL52" s="1258"/>
      <c r="AM52" s="1163"/>
      <c r="AN52" s="1164"/>
      <c r="AO52" s="1164"/>
      <c r="AP52" s="1164"/>
      <c r="AQ52" s="1164"/>
      <c r="AR52" s="1201"/>
      <c r="AS52" s="1342"/>
      <c r="AT52" s="1258"/>
      <c r="AU52" s="1163"/>
      <c r="AV52" s="1164"/>
      <c r="AW52" s="1164"/>
      <c r="AX52" s="1164"/>
      <c r="AY52" s="1164"/>
      <c r="AZ52" s="1201"/>
      <c r="BA52" s="1342"/>
      <c r="BB52" s="1258"/>
      <c r="BC52" s="1163"/>
      <c r="BD52" s="1164"/>
      <c r="BE52" s="1164"/>
      <c r="BF52" s="1164"/>
      <c r="BG52" s="1164"/>
      <c r="BH52" s="1201"/>
      <c r="BI52" s="1342"/>
      <c r="BJ52" s="1337"/>
      <c r="BK52" s="1338"/>
      <c r="BL52" s="1338"/>
      <c r="BM52" s="1338"/>
      <c r="BN52" s="1338"/>
      <c r="BO52" s="1339"/>
      <c r="BP52" s="255"/>
      <c r="BQ52" s="255"/>
      <c r="BR52" s="255"/>
    </row>
    <row r="53" spans="1:70" ht="15" customHeight="1">
      <c r="A53" s="1309"/>
      <c r="B53" s="1165"/>
      <c r="C53" s="1166"/>
      <c r="D53" s="1166"/>
      <c r="E53" s="1166"/>
      <c r="F53" s="1166"/>
      <c r="G53" s="1292"/>
      <c r="H53" s="1207"/>
      <c r="I53" s="1207"/>
      <c r="J53" s="1207"/>
      <c r="K53" s="1207"/>
      <c r="L53" s="1207"/>
      <c r="M53" s="1207"/>
      <c r="N53" s="1258"/>
      <c r="O53" s="1165"/>
      <c r="P53" s="1166"/>
      <c r="Q53" s="1166"/>
      <c r="R53" s="1166"/>
      <c r="S53" s="1166"/>
      <c r="T53" s="1292"/>
      <c r="U53" s="1673"/>
      <c r="V53" s="1258"/>
      <c r="W53" s="1165"/>
      <c r="X53" s="1166"/>
      <c r="Y53" s="1166"/>
      <c r="Z53" s="1166"/>
      <c r="AA53" s="1166"/>
      <c r="AB53" s="1292"/>
      <c r="AC53" s="1342"/>
      <c r="AD53" s="1258"/>
      <c r="AE53" s="1165"/>
      <c r="AF53" s="1166"/>
      <c r="AG53" s="1166"/>
      <c r="AH53" s="1166"/>
      <c r="AI53" s="1166"/>
      <c r="AJ53" s="1292"/>
      <c r="AK53" s="1342"/>
      <c r="AL53" s="1258"/>
      <c r="AM53" s="1165"/>
      <c r="AN53" s="1166"/>
      <c r="AO53" s="1166"/>
      <c r="AP53" s="1166"/>
      <c r="AQ53" s="1166"/>
      <c r="AR53" s="1292"/>
      <c r="AS53" s="1342"/>
      <c r="AT53" s="1258"/>
      <c r="AU53" s="1165"/>
      <c r="AV53" s="1166"/>
      <c r="AW53" s="1166"/>
      <c r="AX53" s="1166"/>
      <c r="AY53" s="1166"/>
      <c r="AZ53" s="1292"/>
      <c r="BA53" s="1342"/>
      <c r="BB53" s="1258"/>
      <c r="BC53" s="1165"/>
      <c r="BD53" s="1166"/>
      <c r="BE53" s="1166"/>
      <c r="BF53" s="1166"/>
      <c r="BG53" s="1166"/>
      <c r="BH53" s="1292"/>
      <c r="BI53" s="1342"/>
      <c r="BJ53" s="1337"/>
      <c r="BK53" s="1338"/>
      <c r="BL53" s="1338"/>
      <c r="BM53" s="1338"/>
      <c r="BN53" s="1338"/>
      <c r="BO53" s="1339"/>
      <c r="BP53" s="255"/>
      <c r="BQ53" s="255"/>
      <c r="BR53" s="255"/>
    </row>
    <row r="54" spans="1:70" ht="15" customHeight="1">
      <c r="A54" s="1304">
        <v>2.4</v>
      </c>
      <c r="B54" s="1161" t="s">
        <v>316</v>
      </c>
      <c r="C54" s="1162"/>
      <c r="D54" s="1162"/>
      <c r="E54" s="1162"/>
      <c r="F54" s="1162"/>
      <c r="G54" s="1199"/>
      <c r="H54" s="1205" t="str">
        <f>IF(ISBLANK(P$3),"",1)</f>
        <v/>
      </c>
      <c r="I54" s="1205" t="str">
        <f>IF(ISBLANK(T$3),"",1)</f>
        <v/>
      </c>
      <c r="J54" s="1205" t="str">
        <f>IF(ISBLANK(X$3),"",1)</f>
        <v/>
      </c>
      <c r="K54" s="1205" t="str">
        <f>IF(ISBLANK(AB$3),"",1)</f>
        <v/>
      </c>
      <c r="L54" s="1205" t="str">
        <f>IF(ISBLANK(AF$3),"",1)</f>
        <v/>
      </c>
      <c r="M54" s="1205" t="str">
        <f t="shared" ref="M54" si="12">IF(ISBLANK(AJ$3),"",1)</f>
        <v/>
      </c>
      <c r="N54" s="1258">
        <v>4.4000000000000004</v>
      </c>
      <c r="O54" s="1161" t="s">
        <v>319</v>
      </c>
      <c r="P54" s="1162"/>
      <c r="Q54" s="1162"/>
      <c r="R54" s="1162"/>
      <c r="S54" s="1162"/>
      <c r="T54" s="1199"/>
      <c r="U54" s="1673" t="str">
        <f>IF(ISBLANK(P$3),"",1)</f>
        <v/>
      </c>
      <c r="V54" s="1258">
        <v>4.4000000000000004</v>
      </c>
      <c r="W54" s="1161" t="s">
        <v>929</v>
      </c>
      <c r="X54" s="1162"/>
      <c r="Y54" s="1162"/>
      <c r="Z54" s="1162"/>
      <c r="AA54" s="1162"/>
      <c r="AB54" s="1199"/>
      <c r="AC54" s="1342" t="str">
        <f t="shared" ref="AC54" si="13">IF(ISBLANK(T$3),"",1)</f>
        <v/>
      </c>
      <c r="AD54" s="1258">
        <v>4.4000000000000004</v>
      </c>
      <c r="AE54" s="1161" t="s">
        <v>343</v>
      </c>
      <c r="AF54" s="1162"/>
      <c r="AG54" s="1162"/>
      <c r="AH54" s="1162"/>
      <c r="AI54" s="1162"/>
      <c r="AJ54" s="1199"/>
      <c r="AK54" s="1342" t="str">
        <f t="shared" ref="AK54" si="14">IF(ISBLANK(X$3),"",1)</f>
        <v/>
      </c>
      <c r="AL54" s="1258">
        <v>4.3</v>
      </c>
      <c r="AM54" s="1161" t="s">
        <v>319</v>
      </c>
      <c r="AN54" s="1162"/>
      <c r="AO54" s="1162"/>
      <c r="AP54" s="1162"/>
      <c r="AQ54" s="1162"/>
      <c r="AR54" s="1199"/>
      <c r="AS54" s="1342" t="str">
        <f t="shared" ref="AS54" si="15">IF(ISBLANK(AB$3),"",1)</f>
        <v/>
      </c>
      <c r="AT54" s="1258">
        <v>4.4000000000000004</v>
      </c>
      <c r="AU54" s="1161" t="s">
        <v>344</v>
      </c>
      <c r="AV54" s="1162"/>
      <c r="AW54" s="1162"/>
      <c r="AX54" s="1162"/>
      <c r="AY54" s="1162"/>
      <c r="AZ54" s="1199"/>
      <c r="BA54" s="1342" t="str">
        <f t="shared" ref="BA54" si="16">IF(ISBLANK(AF$3),"",1)</f>
        <v/>
      </c>
      <c r="BB54" s="1258">
        <v>4.4000000000000004</v>
      </c>
      <c r="BC54" s="1161" t="s">
        <v>319</v>
      </c>
      <c r="BD54" s="1162"/>
      <c r="BE54" s="1162"/>
      <c r="BF54" s="1162"/>
      <c r="BG54" s="1162"/>
      <c r="BH54" s="1199"/>
      <c r="BI54" s="1226" t="str">
        <f t="shared" ref="BI54" si="17">IF(ISBLANK(AJ$3),"",1)</f>
        <v/>
      </c>
      <c r="BJ54" s="1337"/>
      <c r="BK54" s="1338"/>
      <c r="BL54" s="1338"/>
      <c r="BM54" s="1338"/>
      <c r="BN54" s="1338"/>
      <c r="BO54" s="1339"/>
      <c r="BP54" s="255"/>
      <c r="BQ54" s="255"/>
      <c r="BR54" s="255"/>
    </row>
    <row r="55" spans="1:70" ht="15" customHeight="1">
      <c r="A55" s="1290"/>
      <c r="B55" s="1163"/>
      <c r="C55" s="1164"/>
      <c r="D55" s="1164"/>
      <c r="E55" s="1164"/>
      <c r="F55" s="1164"/>
      <c r="G55" s="1201"/>
      <c r="H55" s="1206"/>
      <c r="I55" s="1206"/>
      <c r="J55" s="1206"/>
      <c r="K55" s="1206"/>
      <c r="L55" s="1206"/>
      <c r="M55" s="1206"/>
      <c r="N55" s="1258"/>
      <c r="O55" s="1163"/>
      <c r="P55" s="1164"/>
      <c r="Q55" s="1164"/>
      <c r="R55" s="1164"/>
      <c r="S55" s="1164"/>
      <c r="T55" s="1201"/>
      <c r="U55" s="1673"/>
      <c r="V55" s="1258"/>
      <c r="W55" s="1163"/>
      <c r="X55" s="1164"/>
      <c r="Y55" s="1164"/>
      <c r="Z55" s="1164"/>
      <c r="AA55" s="1164"/>
      <c r="AB55" s="1201"/>
      <c r="AC55" s="1342"/>
      <c r="AD55" s="1258"/>
      <c r="AE55" s="1163"/>
      <c r="AF55" s="1164"/>
      <c r="AG55" s="1164"/>
      <c r="AH55" s="1164"/>
      <c r="AI55" s="1164"/>
      <c r="AJ55" s="1201"/>
      <c r="AK55" s="1342"/>
      <c r="AL55" s="1258"/>
      <c r="AM55" s="1163"/>
      <c r="AN55" s="1164"/>
      <c r="AO55" s="1164"/>
      <c r="AP55" s="1164"/>
      <c r="AQ55" s="1164"/>
      <c r="AR55" s="1201"/>
      <c r="AS55" s="1342"/>
      <c r="AT55" s="1258"/>
      <c r="AU55" s="1163"/>
      <c r="AV55" s="1164"/>
      <c r="AW55" s="1164"/>
      <c r="AX55" s="1164"/>
      <c r="AY55" s="1164"/>
      <c r="AZ55" s="1201"/>
      <c r="BA55" s="1342"/>
      <c r="BB55" s="1258"/>
      <c r="BC55" s="1163"/>
      <c r="BD55" s="1164"/>
      <c r="BE55" s="1164"/>
      <c r="BF55" s="1164"/>
      <c r="BG55" s="1164"/>
      <c r="BH55" s="1201"/>
      <c r="BI55" s="1342"/>
      <c r="BJ55" s="1337"/>
      <c r="BK55" s="1338"/>
      <c r="BL55" s="1338"/>
      <c r="BM55" s="1338"/>
      <c r="BN55" s="1338"/>
      <c r="BO55" s="1339"/>
      <c r="BP55" s="255"/>
      <c r="BQ55" s="255"/>
      <c r="BR55" s="255"/>
    </row>
    <row r="56" spans="1:70" ht="15" customHeight="1">
      <c r="A56" s="1291"/>
      <c r="B56" s="1165"/>
      <c r="C56" s="1166"/>
      <c r="D56" s="1166"/>
      <c r="E56" s="1166"/>
      <c r="F56" s="1166"/>
      <c r="G56" s="1292"/>
      <c r="H56" s="1207"/>
      <c r="I56" s="1207"/>
      <c r="J56" s="1207"/>
      <c r="K56" s="1207"/>
      <c r="L56" s="1207"/>
      <c r="M56" s="1207"/>
      <c r="N56" s="1258"/>
      <c r="O56" s="1165"/>
      <c r="P56" s="1166"/>
      <c r="Q56" s="1166"/>
      <c r="R56" s="1166"/>
      <c r="S56" s="1166"/>
      <c r="T56" s="1292"/>
      <c r="U56" s="1673"/>
      <c r="V56" s="1258"/>
      <c r="W56" s="1165"/>
      <c r="X56" s="1166"/>
      <c r="Y56" s="1166"/>
      <c r="Z56" s="1166"/>
      <c r="AA56" s="1166"/>
      <c r="AB56" s="1292"/>
      <c r="AC56" s="1342"/>
      <c r="AD56" s="1258"/>
      <c r="AE56" s="1165"/>
      <c r="AF56" s="1166"/>
      <c r="AG56" s="1166"/>
      <c r="AH56" s="1166"/>
      <c r="AI56" s="1166"/>
      <c r="AJ56" s="1292"/>
      <c r="AK56" s="1342"/>
      <c r="AL56" s="1258"/>
      <c r="AM56" s="1165"/>
      <c r="AN56" s="1166"/>
      <c r="AO56" s="1166"/>
      <c r="AP56" s="1166"/>
      <c r="AQ56" s="1166"/>
      <c r="AR56" s="1292"/>
      <c r="AS56" s="1342"/>
      <c r="AT56" s="1258"/>
      <c r="AU56" s="1165"/>
      <c r="AV56" s="1166"/>
      <c r="AW56" s="1166"/>
      <c r="AX56" s="1166"/>
      <c r="AY56" s="1166"/>
      <c r="AZ56" s="1292"/>
      <c r="BA56" s="1342"/>
      <c r="BB56" s="1258"/>
      <c r="BC56" s="1165"/>
      <c r="BD56" s="1166"/>
      <c r="BE56" s="1166"/>
      <c r="BF56" s="1166"/>
      <c r="BG56" s="1166"/>
      <c r="BH56" s="1292"/>
      <c r="BI56" s="1342"/>
      <c r="BJ56" s="1337"/>
      <c r="BK56" s="1338"/>
      <c r="BL56" s="1338"/>
      <c r="BM56" s="1338"/>
      <c r="BN56" s="1338"/>
      <c r="BO56" s="1339"/>
      <c r="BP56" s="255"/>
      <c r="BQ56" s="255"/>
      <c r="BR56" s="255"/>
    </row>
    <row r="57" spans="1:70" ht="20" customHeight="1">
      <c r="A57" s="1307">
        <v>1.1000000000000001</v>
      </c>
      <c r="B57" s="1161" t="s">
        <v>320</v>
      </c>
      <c r="C57" s="1162"/>
      <c r="D57" s="1162"/>
      <c r="E57" s="1162"/>
      <c r="F57" s="1162"/>
      <c r="G57" s="1199"/>
      <c r="H57" s="1205" t="str">
        <f>IF(ISBLANK(P$3),"",1)</f>
        <v/>
      </c>
      <c r="I57" s="1205" t="str">
        <f>IF(ISBLANK(T$3),"",1)</f>
        <v/>
      </c>
      <c r="J57" s="1205" t="str">
        <f>IF(ISBLANK(X$3),"",1)</f>
        <v/>
      </c>
      <c r="K57" s="1205" t="str">
        <f>IF(ISBLANK(AB$3),"",1)</f>
        <v/>
      </c>
      <c r="L57" s="1205" t="str">
        <f>IF(ISBLANK(AF$3),"",1)</f>
        <v/>
      </c>
      <c r="M57" s="1205" t="str">
        <f t="shared" ref="M57" si="18">IF(ISBLANK(AJ$3),"",1)</f>
        <v/>
      </c>
      <c r="N57" s="1194">
        <v>2.4</v>
      </c>
      <c r="O57" s="1161" t="s">
        <v>346</v>
      </c>
      <c r="P57" s="1162"/>
      <c r="Q57" s="1162"/>
      <c r="R57" s="1162"/>
      <c r="S57" s="1162"/>
      <c r="T57" s="1199"/>
      <c r="U57" s="1673" t="str">
        <f>IF(ISBLANK(P$3),"",1)</f>
        <v/>
      </c>
      <c r="V57" s="1194">
        <v>2.4</v>
      </c>
      <c r="W57" s="1161" t="s">
        <v>936</v>
      </c>
      <c r="X57" s="1162"/>
      <c r="Y57" s="1162"/>
      <c r="Z57" s="1162"/>
      <c r="AA57" s="1162"/>
      <c r="AB57" s="1199"/>
      <c r="AC57" s="1342" t="str">
        <f t="shared" ref="AC57" si="19">IF(ISBLANK(T$3),"",1)</f>
        <v/>
      </c>
      <c r="AD57" s="1236">
        <v>1.5</v>
      </c>
      <c r="AE57" s="1161" t="s">
        <v>345</v>
      </c>
      <c r="AF57" s="1162"/>
      <c r="AG57" s="1162"/>
      <c r="AH57" s="1162"/>
      <c r="AI57" s="1162"/>
      <c r="AJ57" s="1199"/>
      <c r="AK57" s="1342" t="str">
        <f t="shared" ref="AK57" si="20">IF(ISBLANK(X$3),"",1)</f>
        <v/>
      </c>
      <c r="AL57" s="1194">
        <v>2.4</v>
      </c>
      <c r="AM57" s="1161" t="s">
        <v>346</v>
      </c>
      <c r="AN57" s="1162"/>
      <c r="AO57" s="1162"/>
      <c r="AP57" s="1162"/>
      <c r="AQ57" s="1162"/>
      <c r="AR57" s="1199"/>
      <c r="AS57" s="1342" t="str">
        <f t="shared" ref="AS57" si="21">IF(ISBLANK(AB$3),"",1)</f>
        <v/>
      </c>
      <c r="AT57" s="1258">
        <v>4.4000000000000004</v>
      </c>
      <c r="AU57" s="1161" t="s">
        <v>319</v>
      </c>
      <c r="AV57" s="1162"/>
      <c r="AW57" s="1162"/>
      <c r="AX57" s="1162"/>
      <c r="AY57" s="1162"/>
      <c r="AZ57" s="1199"/>
      <c r="BA57" s="1342" t="str">
        <f t="shared" ref="BA57" si="22">IF(ISBLANK(AF$3),"",1)</f>
        <v/>
      </c>
      <c r="BB57" s="1194">
        <v>2.4</v>
      </c>
      <c r="BC57" s="1161" t="s">
        <v>346</v>
      </c>
      <c r="BD57" s="1162"/>
      <c r="BE57" s="1162"/>
      <c r="BF57" s="1162"/>
      <c r="BG57" s="1162"/>
      <c r="BH57" s="1199"/>
      <c r="BI57" s="1226" t="str">
        <f t="shared" ref="BI57" si="23">IF(ISBLANK(AJ$3),"",1)</f>
        <v/>
      </c>
      <c r="BJ57" s="1337"/>
      <c r="BK57" s="1338"/>
      <c r="BL57" s="1338"/>
      <c r="BM57" s="1338"/>
      <c r="BN57" s="1338"/>
      <c r="BO57" s="1339"/>
      <c r="BP57" s="255"/>
      <c r="BQ57" s="255"/>
      <c r="BR57" s="255"/>
    </row>
    <row r="58" spans="1:70" ht="20" customHeight="1">
      <c r="A58" s="1308"/>
      <c r="B58" s="1163"/>
      <c r="C58" s="1164"/>
      <c r="D58" s="1164"/>
      <c r="E58" s="1164"/>
      <c r="F58" s="1164"/>
      <c r="G58" s="1201"/>
      <c r="H58" s="1206"/>
      <c r="I58" s="1206"/>
      <c r="J58" s="1206"/>
      <c r="K58" s="1206"/>
      <c r="L58" s="1206"/>
      <c r="M58" s="1206"/>
      <c r="N58" s="1194"/>
      <c r="O58" s="1163"/>
      <c r="P58" s="1164"/>
      <c r="Q58" s="1164"/>
      <c r="R58" s="1164"/>
      <c r="S58" s="1164"/>
      <c r="T58" s="1201"/>
      <c r="U58" s="1673"/>
      <c r="V58" s="1194"/>
      <c r="W58" s="1163" t="s">
        <v>368</v>
      </c>
      <c r="X58" s="1164"/>
      <c r="Y58" s="1164"/>
      <c r="Z58" s="1164"/>
      <c r="AA58" s="1164"/>
      <c r="AB58" s="1201"/>
      <c r="AC58" s="1342"/>
      <c r="AD58" s="1236"/>
      <c r="AE58" s="1163"/>
      <c r="AF58" s="1164"/>
      <c r="AG58" s="1164"/>
      <c r="AH58" s="1164"/>
      <c r="AI58" s="1164"/>
      <c r="AJ58" s="1201"/>
      <c r="AK58" s="1342"/>
      <c r="AL58" s="1194"/>
      <c r="AM58" s="1163"/>
      <c r="AN58" s="1164"/>
      <c r="AO58" s="1164"/>
      <c r="AP58" s="1164"/>
      <c r="AQ58" s="1164"/>
      <c r="AR58" s="1201"/>
      <c r="AS58" s="1342"/>
      <c r="AT58" s="1258"/>
      <c r="AU58" s="1163"/>
      <c r="AV58" s="1164"/>
      <c r="AW58" s="1164"/>
      <c r="AX58" s="1164"/>
      <c r="AY58" s="1164"/>
      <c r="AZ58" s="1201"/>
      <c r="BA58" s="1342"/>
      <c r="BB58" s="1194"/>
      <c r="BC58" s="1163"/>
      <c r="BD58" s="1164"/>
      <c r="BE58" s="1164"/>
      <c r="BF58" s="1164"/>
      <c r="BG58" s="1164"/>
      <c r="BH58" s="1201"/>
      <c r="BI58" s="1342"/>
      <c r="BJ58" s="1337"/>
      <c r="BK58" s="1338"/>
      <c r="BL58" s="1338"/>
      <c r="BM58" s="1338"/>
      <c r="BN58" s="1338"/>
      <c r="BO58" s="1339"/>
      <c r="BP58" s="255"/>
      <c r="BQ58" s="255"/>
      <c r="BR58" s="255"/>
    </row>
    <row r="59" spans="1:70" ht="20" customHeight="1">
      <c r="A59" s="1309"/>
      <c r="B59" s="1165"/>
      <c r="C59" s="1166"/>
      <c r="D59" s="1166"/>
      <c r="E59" s="1166"/>
      <c r="F59" s="1166"/>
      <c r="G59" s="1292"/>
      <c r="H59" s="1207"/>
      <c r="I59" s="1207"/>
      <c r="J59" s="1207"/>
      <c r="K59" s="1207"/>
      <c r="L59" s="1207"/>
      <c r="M59" s="1207"/>
      <c r="N59" s="1194"/>
      <c r="O59" s="1165"/>
      <c r="P59" s="1166"/>
      <c r="Q59" s="1166"/>
      <c r="R59" s="1166"/>
      <c r="S59" s="1166"/>
      <c r="T59" s="1292"/>
      <c r="U59" s="1673"/>
      <c r="V59" s="1194"/>
      <c r="W59" s="1165" t="s">
        <v>369</v>
      </c>
      <c r="X59" s="1166"/>
      <c r="Y59" s="1166"/>
      <c r="Z59" s="1166"/>
      <c r="AA59" s="1166"/>
      <c r="AB59" s="1292"/>
      <c r="AC59" s="1342"/>
      <c r="AD59" s="1236"/>
      <c r="AE59" s="1165"/>
      <c r="AF59" s="1166"/>
      <c r="AG59" s="1166"/>
      <c r="AH59" s="1166"/>
      <c r="AI59" s="1166"/>
      <c r="AJ59" s="1292"/>
      <c r="AK59" s="1342"/>
      <c r="AL59" s="1194"/>
      <c r="AM59" s="1165"/>
      <c r="AN59" s="1166"/>
      <c r="AO59" s="1166"/>
      <c r="AP59" s="1166"/>
      <c r="AQ59" s="1166"/>
      <c r="AR59" s="1292"/>
      <c r="AS59" s="1342"/>
      <c r="AT59" s="1258"/>
      <c r="AU59" s="1165"/>
      <c r="AV59" s="1166"/>
      <c r="AW59" s="1166"/>
      <c r="AX59" s="1166"/>
      <c r="AY59" s="1166"/>
      <c r="AZ59" s="1292"/>
      <c r="BA59" s="1342"/>
      <c r="BB59" s="1194"/>
      <c r="BC59" s="1165"/>
      <c r="BD59" s="1166"/>
      <c r="BE59" s="1166"/>
      <c r="BF59" s="1166"/>
      <c r="BG59" s="1166"/>
      <c r="BH59" s="1292"/>
      <c r="BI59" s="1342"/>
      <c r="BJ59" s="1337"/>
      <c r="BK59" s="1338"/>
      <c r="BL59" s="1338"/>
      <c r="BM59" s="1338"/>
      <c r="BN59" s="1338"/>
      <c r="BO59" s="1339"/>
      <c r="BP59" s="255"/>
      <c r="BQ59" s="255"/>
      <c r="BR59" s="255"/>
    </row>
    <row r="60" spans="1:70" ht="15" customHeight="1">
      <c r="A60" s="1304">
        <v>2.1</v>
      </c>
      <c r="B60" s="1161" t="s">
        <v>322</v>
      </c>
      <c r="C60" s="1162"/>
      <c r="D60" s="1162"/>
      <c r="E60" s="1162"/>
      <c r="F60" s="1162"/>
      <c r="G60" s="1199"/>
      <c r="H60" s="1205" t="str">
        <f t="shared" ref="H60" si="24">IF(ISBLANK(P$3),"",1)</f>
        <v/>
      </c>
      <c r="I60" s="1205" t="str">
        <f>IF(ISBLANK(T$3),"",1)</f>
        <v/>
      </c>
      <c r="J60" s="1205" t="str">
        <f>IF(ISBLANK(X$3),"",1)</f>
        <v/>
      </c>
      <c r="K60" s="1205" t="str">
        <f>IF(ISBLANK(AB$3),"",1)</f>
        <v/>
      </c>
      <c r="L60" s="1205" t="str">
        <f>IF(ISBLANK(AF$3),"",1)</f>
        <v/>
      </c>
      <c r="M60" s="1205" t="str">
        <f t="shared" ref="M60" si="25">IF(ISBLANK(AJ$3),"",1)</f>
        <v/>
      </c>
      <c r="N60" s="1258">
        <v>4.4000000000000004</v>
      </c>
      <c r="O60" s="1161" t="s">
        <v>321</v>
      </c>
      <c r="P60" s="1162"/>
      <c r="Q60" s="1162"/>
      <c r="R60" s="1162"/>
      <c r="S60" s="1162"/>
      <c r="T60" s="1199"/>
      <c r="U60" s="1673" t="str">
        <f>IF(ISBLANK(P$3),"",1)</f>
        <v/>
      </c>
      <c r="V60" s="1258">
        <v>4.4000000000000004</v>
      </c>
      <c r="W60" s="1161" t="s">
        <v>347</v>
      </c>
      <c r="X60" s="1162"/>
      <c r="Y60" s="1162"/>
      <c r="Z60" s="1162"/>
      <c r="AA60" s="1162"/>
      <c r="AB60" s="1199"/>
      <c r="AC60" s="1342" t="str">
        <f t="shared" ref="AC60" si="26">IF(ISBLANK(T$3),"",1)</f>
        <v/>
      </c>
      <c r="AD60" s="1258">
        <v>4.3</v>
      </c>
      <c r="AE60" s="1161" t="s">
        <v>348</v>
      </c>
      <c r="AF60" s="1162"/>
      <c r="AG60" s="1162"/>
      <c r="AH60" s="1162"/>
      <c r="AI60" s="1162"/>
      <c r="AJ60" s="1199"/>
      <c r="AK60" s="1342" t="str">
        <f t="shared" ref="AK60" si="27">IF(ISBLANK(X$3),"",1)</f>
        <v/>
      </c>
      <c r="AL60" s="1258">
        <v>4.3</v>
      </c>
      <c r="AM60" s="1161" t="s">
        <v>321</v>
      </c>
      <c r="AN60" s="1162"/>
      <c r="AO60" s="1162"/>
      <c r="AP60" s="1162"/>
      <c r="AQ60" s="1162"/>
      <c r="AR60" s="1199"/>
      <c r="AS60" s="1342" t="str">
        <f t="shared" ref="AS60" si="28">IF(ISBLANK(AB$3),"",1)</f>
        <v/>
      </c>
      <c r="AT60" s="1258">
        <v>4.4000000000000004</v>
      </c>
      <c r="AU60" s="1161" t="s">
        <v>321</v>
      </c>
      <c r="AV60" s="1162"/>
      <c r="AW60" s="1162"/>
      <c r="AX60" s="1162"/>
      <c r="AY60" s="1162"/>
      <c r="AZ60" s="1199"/>
      <c r="BA60" s="1342" t="str">
        <f t="shared" ref="BA60" si="29">IF(ISBLANK(AF$3),"",1)</f>
        <v/>
      </c>
      <c r="BB60" s="1258">
        <v>4.4000000000000004</v>
      </c>
      <c r="BC60" s="1161" t="s">
        <v>347</v>
      </c>
      <c r="BD60" s="1162"/>
      <c r="BE60" s="1162"/>
      <c r="BF60" s="1162"/>
      <c r="BG60" s="1162"/>
      <c r="BH60" s="1199"/>
      <c r="BI60" s="1226" t="str">
        <f t="shared" ref="BI60" si="30">IF(ISBLANK(AJ$3),"",1)</f>
        <v/>
      </c>
      <c r="BJ60" s="1337"/>
      <c r="BK60" s="1338"/>
      <c r="BL60" s="1338"/>
      <c r="BM60" s="1338"/>
      <c r="BN60" s="1338"/>
      <c r="BO60" s="1339"/>
      <c r="BP60" s="255"/>
      <c r="BQ60" s="255"/>
      <c r="BR60" s="255"/>
    </row>
    <row r="61" spans="1:70" ht="15" customHeight="1">
      <c r="A61" s="1290"/>
      <c r="B61" s="1163"/>
      <c r="C61" s="1164"/>
      <c r="D61" s="1164"/>
      <c r="E61" s="1164"/>
      <c r="F61" s="1164"/>
      <c r="G61" s="1201"/>
      <c r="H61" s="1206"/>
      <c r="I61" s="1206"/>
      <c r="J61" s="1206"/>
      <c r="K61" s="1206"/>
      <c r="L61" s="1206"/>
      <c r="M61" s="1206"/>
      <c r="N61" s="1258"/>
      <c r="O61" s="1163"/>
      <c r="P61" s="1164"/>
      <c r="Q61" s="1164"/>
      <c r="R61" s="1164"/>
      <c r="S61" s="1164"/>
      <c r="T61" s="1201"/>
      <c r="U61" s="1673"/>
      <c r="V61" s="1258"/>
      <c r="W61" s="1163"/>
      <c r="X61" s="1164"/>
      <c r="Y61" s="1164"/>
      <c r="Z61" s="1164"/>
      <c r="AA61" s="1164"/>
      <c r="AB61" s="1201"/>
      <c r="AC61" s="1342"/>
      <c r="AD61" s="1258"/>
      <c r="AE61" s="1163"/>
      <c r="AF61" s="1164"/>
      <c r="AG61" s="1164"/>
      <c r="AH61" s="1164"/>
      <c r="AI61" s="1164"/>
      <c r="AJ61" s="1201"/>
      <c r="AK61" s="1342"/>
      <c r="AL61" s="1258"/>
      <c r="AM61" s="1163"/>
      <c r="AN61" s="1164"/>
      <c r="AO61" s="1164"/>
      <c r="AP61" s="1164"/>
      <c r="AQ61" s="1164"/>
      <c r="AR61" s="1201"/>
      <c r="AS61" s="1342"/>
      <c r="AT61" s="1258"/>
      <c r="AU61" s="1163"/>
      <c r="AV61" s="1164"/>
      <c r="AW61" s="1164"/>
      <c r="AX61" s="1164"/>
      <c r="AY61" s="1164"/>
      <c r="AZ61" s="1201"/>
      <c r="BA61" s="1342"/>
      <c r="BB61" s="1258"/>
      <c r="BC61" s="1163"/>
      <c r="BD61" s="1164"/>
      <c r="BE61" s="1164"/>
      <c r="BF61" s="1164"/>
      <c r="BG61" s="1164"/>
      <c r="BH61" s="1201"/>
      <c r="BI61" s="1342"/>
      <c r="BJ61" s="1337"/>
      <c r="BK61" s="1338"/>
      <c r="BL61" s="1338"/>
      <c r="BM61" s="1338"/>
      <c r="BN61" s="1338"/>
      <c r="BO61" s="1339"/>
      <c r="BP61" s="255"/>
      <c r="BQ61" s="255"/>
      <c r="BR61" s="255"/>
    </row>
    <row r="62" spans="1:70" ht="15" customHeight="1">
      <c r="A62" s="1291"/>
      <c r="B62" s="1165"/>
      <c r="C62" s="1166"/>
      <c r="D62" s="1166"/>
      <c r="E62" s="1166"/>
      <c r="F62" s="1166"/>
      <c r="G62" s="1292"/>
      <c r="H62" s="1207"/>
      <c r="I62" s="1207"/>
      <c r="J62" s="1207"/>
      <c r="K62" s="1207"/>
      <c r="L62" s="1207"/>
      <c r="M62" s="1207"/>
      <c r="N62" s="1258"/>
      <c r="O62" s="1165"/>
      <c r="P62" s="1166"/>
      <c r="Q62" s="1166"/>
      <c r="R62" s="1166"/>
      <c r="S62" s="1166"/>
      <c r="T62" s="1292"/>
      <c r="U62" s="1673"/>
      <c r="V62" s="1258"/>
      <c r="W62" s="1165"/>
      <c r="X62" s="1166"/>
      <c r="Y62" s="1166"/>
      <c r="Z62" s="1166"/>
      <c r="AA62" s="1166"/>
      <c r="AB62" s="1292"/>
      <c r="AC62" s="1342"/>
      <c r="AD62" s="1258"/>
      <c r="AE62" s="1165"/>
      <c r="AF62" s="1166"/>
      <c r="AG62" s="1166"/>
      <c r="AH62" s="1166"/>
      <c r="AI62" s="1166"/>
      <c r="AJ62" s="1292"/>
      <c r="AK62" s="1342"/>
      <c r="AL62" s="1258"/>
      <c r="AM62" s="1165"/>
      <c r="AN62" s="1166"/>
      <c r="AO62" s="1166"/>
      <c r="AP62" s="1166"/>
      <c r="AQ62" s="1166"/>
      <c r="AR62" s="1292"/>
      <c r="AS62" s="1342"/>
      <c r="AT62" s="1258"/>
      <c r="AU62" s="1165"/>
      <c r="AV62" s="1166"/>
      <c r="AW62" s="1166"/>
      <c r="AX62" s="1166"/>
      <c r="AY62" s="1166"/>
      <c r="AZ62" s="1292"/>
      <c r="BA62" s="1342"/>
      <c r="BB62" s="1258"/>
      <c r="BC62" s="1165"/>
      <c r="BD62" s="1166"/>
      <c r="BE62" s="1166"/>
      <c r="BF62" s="1166"/>
      <c r="BG62" s="1166"/>
      <c r="BH62" s="1292"/>
      <c r="BI62" s="1342"/>
      <c r="BJ62" s="1337"/>
      <c r="BK62" s="1338"/>
      <c r="BL62" s="1338"/>
      <c r="BM62" s="1338"/>
      <c r="BN62" s="1338"/>
      <c r="BO62" s="1339"/>
      <c r="BP62" s="255"/>
      <c r="BQ62" s="255"/>
      <c r="BR62" s="255"/>
    </row>
    <row r="63" spans="1:70" ht="20" customHeight="1">
      <c r="A63" s="1307">
        <v>1.1000000000000001</v>
      </c>
      <c r="B63" s="1161" t="s">
        <v>940</v>
      </c>
      <c r="C63" s="1162"/>
      <c r="D63" s="1162"/>
      <c r="E63" s="1162"/>
      <c r="F63" s="1162"/>
      <c r="G63" s="1199"/>
      <c r="H63" s="1205" t="str">
        <f t="shared" ref="H63" si="31">IF(ISBLANK(P$3),"",1)</f>
        <v/>
      </c>
      <c r="I63" s="1205" t="str">
        <f>IF(ISBLANK(T$3),"",1)</f>
        <v/>
      </c>
      <c r="J63" s="1205" t="str">
        <f>IF(ISBLANK(X$3),"",1)</f>
        <v/>
      </c>
      <c r="K63" s="1205" t="str">
        <f>IF(ISBLANK(AB$3),"",1)</f>
        <v/>
      </c>
      <c r="L63" s="1205" t="str">
        <f>IF(ISBLANK(AF$3),"",1)</f>
        <v/>
      </c>
      <c r="M63" s="1205" t="str">
        <f t="shared" ref="M63" si="32">IF(ISBLANK(AJ$3),"",1)</f>
        <v/>
      </c>
      <c r="N63" s="1258">
        <v>4.3</v>
      </c>
      <c r="O63" s="1161" t="s">
        <v>364</v>
      </c>
      <c r="P63" s="1162"/>
      <c r="Q63" s="1162"/>
      <c r="R63" s="1162"/>
      <c r="S63" s="1162"/>
      <c r="T63" s="1199"/>
      <c r="U63" s="1673" t="str">
        <f>IF(ISBLANK(P$3),"",1)</f>
        <v/>
      </c>
      <c r="V63" s="1258">
        <v>4.4000000000000004</v>
      </c>
      <c r="W63" s="1674" t="s">
        <v>930</v>
      </c>
      <c r="X63" s="1675"/>
      <c r="Y63" s="1675"/>
      <c r="Z63" s="1675"/>
      <c r="AA63" s="1675"/>
      <c r="AB63" s="1676"/>
      <c r="AC63" s="1342" t="str">
        <f t="shared" ref="AC63" si="33">IF(ISBLANK(T$3),"",1)</f>
        <v/>
      </c>
      <c r="AD63" s="1576">
        <v>2.1</v>
      </c>
      <c r="AE63" s="1161" t="s">
        <v>350</v>
      </c>
      <c r="AF63" s="1162"/>
      <c r="AG63" s="1162"/>
      <c r="AH63" s="1162"/>
      <c r="AI63" s="1162"/>
      <c r="AJ63" s="1199"/>
      <c r="AK63" s="1342" t="str">
        <f t="shared" ref="AK63" si="34">IF(ISBLANK(X$3),"",1)</f>
        <v/>
      </c>
      <c r="AL63" s="1258">
        <v>4.4000000000000004</v>
      </c>
      <c r="AM63" s="1161" t="s">
        <v>351</v>
      </c>
      <c r="AN63" s="1162"/>
      <c r="AO63" s="1162"/>
      <c r="AP63" s="1162"/>
      <c r="AQ63" s="1162"/>
      <c r="AR63" s="1199"/>
      <c r="AS63" s="1342" t="str">
        <f t="shared" ref="AS63" si="35">IF(ISBLANK(AB$3),"",1)</f>
        <v/>
      </c>
      <c r="AT63" s="1258">
        <v>4.3</v>
      </c>
      <c r="AU63" s="1161" t="s">
        <v>352</v>
      </c>
      <c r="AV63" s="1162"/>
      <c r="AW63" s="1162"/>
      <c r="AX63" s="1162"/>
      <c r="AY63" s="1162"/>
      <c r="AZ63" s="1199"/>
      <c r="BA63" s="1342" t="str">
        <f t="shared" ref="BA63" si="36">IF(ISBLANK(AF$3),"",1)</f>
        <v/>
      </c>
      <c r="BB63" s="1194">
        <v>2.4</v>
      </c>
      <c r="BC63" s="1161" t="s">
        <v>353</v>
      </c>
      <c r="BD63" s="1162"/>
      <c r="BE63" s="1162"/>
      <c r="BF63" s="1162"/>
      <c r="BG63" s="1162"/>
      <c r="BH63" s="1199"/>
      <c r="BI63" s="1226" t="str">
        <f t="shared" ref="BI63" si="37">IF(ISBLANK(AJ$3),"",1)</f>
        <v/>
      </c>
      <c r="BJ63" s="1337"/>
      <c r="BK63" s="1338"/>
      <c r="BL63" s="1338"/>
      <c r="BM63" s="1338"/>
      <c r="BN63" s="1338"/>
      <c r="BO63" s="1339"/>
      <c r="BP63" s="255"/>
      <c r="BQ63" s="255"/>
      <c r="BR63" s="255"/>
    </row>
    <row r="64" spans="1:70" ht="20" customHeight="1">
      <c r="A64" s="1308"/>
      <c r="B64" s="1163"/>
      <c r="C64" s="1164"/>
      <c r="D64" s="1164"/>
      <c r="E64" s="1164"/>
      <c r="F64" s="1164"/>
      <c r="G64" s="1201"/>
      <c r="H64" s="1206"/>
      <c r="I64" s="1206"/>
      <c r="J64" s="1206"/>
      <c r="K64" s="1206"/>
      <c r="L64" s="1206"/>
      <c r="M64" s="1206"/>
      <c r="N64" s="1258"/>
      <c r="O64" s="1163"/>
      <c r="P64" s="1164"/>
      <c r="Q64" s="1164"/>
      <c r="R64" s="1164"/>
      <c r="S64" s="1164"/>
      <c r="T64" s="1201"/>
      <c r="U64" s="1673"/>
      <c r="V64" s="1258"/>
      <c r="W64" s="1677"/>
      <c r="X64" s="1678"/>
      <c r="Y64" s="1678"/>
      <c r="Z64" s="1678"/>
      <c r="AA64" s="1678"/>
      <c r="AB64" s="1679"/>
      <c r="AC64" s="1342"/>
      <c r="AD64" s="1576"/>
      <c r="AE64" s="1163"/>
      <c r="AF64" s="1164"/>
      <c r="AG64" s="1164"/>
      <c r="AH64" s="1164"/>
      <c r="AI64" s="1164"/>
      <c r="AJ64" s="1201"/>
      <c r="AK64" s="1342"/>
      <c r="AL64" s="1258"/>
      <c r="AM64" s="1163"/>
      <c r="AN64" s="1164"/>
      <c r="AO64" s="1164"/>
      <c r="AP64" s="1164"/>
      <c r="AQ64" s="1164"/>
      <c r="AR64" s="1201"/>
      <c r="AS64" s="1342"/>
      <c r="AT64" s="1258"/>
      <c r="AU64" s="1163"/>
      <c r="AV64" s="1164"/>
      <c r="AW64" s="1164"/>
      <c r="AX64" s="1164"/>
      <c r="AY64" s="1164"/>
      <c r="AZ64" s="1201"/>
      <c r="BA64" s="1342"/>
      <c r="BB64" s="1194"/>
      <c r="BC64" s="1163"/>
      <c r="BD64" s="1164"/>
      <c r="BE64" s="1164"/>
      <c r="BF64" s="1164"/>
      <c r="BG64" s="1164"/>
      <c r="BH64" s="1201"/>
      <c r="BI64" s="1342"/>
      <c r="BJ64" s="1337"/>
      <c r="BK64" s="1338"/>
      <c r="BL64" s="1338"/>
      <c r="BM64" s="1338"/>
      <c r="BN64" s="1338"/>
      <c r="BO64" s="1339"/>
      <c r="BP64" s="255"/>
      <c r="BQ64" s="255"/>
      <c r="BR64" s="255"/>
    </row>
    <row r="65" spans="1:70" ht="20" customHeight="1">
      <c r="A65" s="1309"/>
      <c r="B65" s="1165"/>
      <c r="C65" s="1166"/>
      <c r="D65" s="1166"/>
      <c r="E65" s="1166"/>
      <c r="F65" s="1166"/>
      <c r="G65" s="1292"/>
      <c r="H65" s="1207"/>
      <c r="I65" s="1207"/>
      <c r="J65" s="1207"/>
      <c r="K65" s="1207"/>
      <c r="L65" s="1207"/>
      <c r="M65" s="1207"/>
      <c r="N65" s="1258"/>
      <c r="O65" s="1165"/>
      <c r="P65" s="1166"/>
      <c r="Q65" s="1166"/>
      <c r="R65" s="1166"/>
      <c r="S65" s="1166"/>
      <c r="T65" s="1292"/>
      <c r="U65" s="1673"/>
      <c r="V65" s="1258"/>
      <c r="W65" s="1680"/>
      <c r="X65" s="1681"/>
      <c r="Y65" s="1681"/>
      <c r="Z65" s="1681"/>
      <c r="AA65" s="1681"/>
      <c r="AB65" s="1682"/>
      <c r="AC65" s="1342"/>
      <c r="AD65" s="1576"/>
      <c r="AE65" s="1165"/>
      <c r="AF65" s="1166"/>
      <c r="AG65" s="1166"/>
      <c r="AH65" s="1166"/>
      <c r="AI65" s="1166"/>
      <c r="AJ65" s="1292"/>
      <c r="AK65" s="1342"/>
      <c r="AL65" s="1258"/>
      <c r="AM65" s="1165"/>
      <c r="AN65" s="1166"/>
      <c r="AO65" s="1166"/>
      <c r="AP65" s="1166"/>
      <c r="AQ65" s="1166"/>
      <c r="AR65" s="1292"/>
      <c r="AS65" s="1342"/>
      <c r="AT65" s="1258"/>
      <c r="AU65" s="1165"/>
      <c r="AV65" s="1166"/>
      <c r="AW65" s="1166"/>
      <c r="AX65" s="1166"/>
      <c r="AY65" s="1166"/>
      <c r="AZ65" s="1292"/>
      <c r="BA65" s="1342"/>
      <c r="BB65" s="1194"/>
      <c r="BC65" s="1165"/>
      <c r="BD65" s="1166"/>
      <c r="BE65" s="1166"/>
      <c r="BF65" s="1166"/>
      <c r="BG65" s="1166"/>
      <c r="BH65" s="1292"/>
      <c r="BI65" s="1342"/>
      <c r="BJ65" s="1337"/>
      <c r="BK65" s="1338"/>
      <c r="BL65" s="1338"/>
      <c r="BM65" s="1338"/>
      <c r="BN65" s="1338"/>
      <c r="BO65" s="1339"/>
      <c r="BP65" s="255"/>
      <c r="BQ65" s="255"/>
      <c r="BR65" s="255"/>
    </row>
    <row r="66" spans="1:70" ht="20" customHeight="1">
      <c r="A66" s="1307">
        <v>1.1000000000000001</v>
      </c>
      <c r="B66" s="1161" t="s">
        <v>330</v>
      </c>
      <c r="C66" s="1162"/>
      <c r="D66" s="1162"/>
      <c r="E66" s="1162"/>
      <c r="F66" s="1162"/>
      <c r="G66" s="1199"/>
      <c r="H66" s="1205" t="str">
        <f t="shared" ref="H66" si="38">IF(ISBLANK(P$3),"",1)</f>
        <v/>
      </c>
      <c r="I66" s="1205" t="str">
        <f>IF(ISBLANK(T$3),"",1)</f>
        <v/>
      </c>
      <c r="J66" s="1205" t="str">
        <f>IF(ISBLANK(X$3),"",1)</f>
        <v/>
      </c>
      <c r="K66" s="1205" t="str">
        <f>IF(ISBLANK(AB$3),"",1)</f>
        <v/>
      </c>
      <c r="L66" s="1205" t="str">
        <f>IF(ISBLANK(AF$3),"",1)</f>
        <v/>
      </c>
      <c r="M66" s="1205" t="str">
        <f t="shared" ref="M66" si="39">IF(ISBLANK(AJ$3),"",1)</f>
        <v/>
      </c>
      <c r="N66" s="1194">
        <v>2.4</v>
      </c>
      <c r="O66" s="1161" t="s">
        <v>927</v>
      </c>
      <c r="P66" s="1162"/>
      <c r="Q66" s="1162"/>
      <c r="R66" s="1162"/>
      <c r="S66" s="1162"/>
      <c r="T66" s="1199"/>
      <c r="U66" s="1673" t="str">
        <f>IF(ISBLANK(P$3),"",1)</f>
        <v/>
      </c>
      <c r="V66" s="1258">
        <v>4.4000000000000004</v>
      </c>
      <c r="W66" s="1674" t="s">
        <v>931</v>
      </c>
      <c r="X66" s="1675"/>
      <c r="Y66" s="1675"/>
      <c r="Z66" s="1675"/>
      <c r="AA66" s="1675"/>
      <c r="AB66" s="1676"/>
      <c r="AC66" s="1342" t="str">
        <f t="shared" ref="AC66" si="40">IF(ISBLANK(T$3),"",1)</f>
        <v/>
      </c>
      <c r="AD66" s="255"/>
      <c r="AE66" s="255"/>
      <c r="AF66" s="255"/>
      <c r="AG66" s="255"/>
      <c r="AH66" s="255"/>
      <c r="AI66" s="309">
        <v>1.5</v>
      </c>
      <c r="AJ66" s="312">
        <f>COUNTIF($AD$51:$AD$65,AI66)</f>
        <v>1</v>
      </c>
      <c r="AK66" s="240" t="str">
        <f>IF($X$3=1,SUMIF($AD$51:$AD$65,AI66,$AK$51:$AK$65),"")</f>
        <v/>
      </c>
      <c r="AL66" s="1304">
        <v>2.4</v>
      </c>
      <c r="AM66" s="1161" t="s">
        <v>357</v>
      </c>
      <c r="AN66" s="1162"/>
      <c r="AO66" s="1162"/>
      <c r="AP66" s="1162"/>
      <c r="AQ66" s="1162"/>
      <c r="AR66" s="1199"/>
      <c r="AS66" s="1342" t="str">
        <f t="shared" ref="AS66" si="41">IF(ISBLANK(AB$3),"",1)</f>
        <v/>
      </c>
      <c r="AT66" s="1576">
        <v>2.4</v>
      </c>
      <c r="AU66" s="1161" t="s">
        <v>355</v>
      </c>
      <c r="AV66" s="1162"/>
      <c r="AW66" s="1162"/>
      <c r="AX66" s="1162"/>
      <c r="AY66" s="1162"/>
      <c r="AZ66" s="1199"/>
      <c r="BA66" s="1342" t="str">
        <f t="shared" ref="BA66" si="42">IF(ISBLANK(AF$3),"",1)</f>
        <v/>
      </c>
      <c r="BB66" s="1566">
        <v>4.4000000000000004</v>
      </c>
      <c r="BC66" s="1161" t="s">
        <v>356</v>
      </c>
      <c r="BD66" s="1162"/>
      <c r="BE66" s="1162"/>
      <c r="BF66" s="1162"/>
      <c r="BG66" s="1162"/>
      <c r="BH66" s="1199"/>
      <c r="BI66" s="1226" t="str">
        <f t="shared" ref="BI66" si="43">IF(ISBLANK(AJ$3),"",1)</f>
        <v/>
      </c>
      <c r="BJ66" s="1337"/>
      <c r="BK66" s="1338"/>
      <c r="BL66" s="1338"/>
      <c r="BM66" s="1338"/>
      <c r="BN66" s="1338"/>
      <c r="BO66" s="1339"/>
      <c r="BP66" s="255"/>
      <c r="BQ66" s="255"/>
      <c r="BR66" s="255"/>
    </row>
    <row r="67" spans="1:70" ht="20" customHeight="1">
      <c r="A67" s="1308"/>
      <c r="B67" s="1163"/>
      <c r="C67" s="1164"/>
      <c r="D67" s="1164"/>
      <c r="E67" s="1164"/>
      <c r="F67" s="1164"/>
      <c r="G67" s="1201"/>
      <c r="H67" s="1206"/>
      <c r="I67" s="1206"/>
      <c r="J67" s="1206"/>
      <c r="K67" s="1206"/>
      <c r="L67" s="1206"/>
      <c r="M67" s="1206"/>
      <c r="N67" s="1194"/>
      <c r="O67" s="1163" t="s">
        <v>370</v>
      </c>
      <c r="P67" s="1164"/>
      <c r="Q67" s="1164"/>
      <c r="R67" s="1164"/>
      <c r="S67" s="1164"/>
      <c r="T67" s="1201"/>
      <c r="U67" s="1673"/>
      <c r="V67" s="1258"/>
      <c r="W67" s="1677"/>
      <c r="X67" s="1678"/>
      <c r="Y67" s="1678"/>
      <c r="Z67" s="1678"/>
      <c r="AA67" s="1678"/>
      <c r="AB67" s="1679"/>
      <c r="AC67" s="1342"/>
      <c r="AD67" s="255"/>
      <c r="AE67" s="255"/>
      <c r="AF67" s="255"/>
      <c r="AG67" s="255"/>
      <c r="AH67" s="255"/>
      <c r="AI67" s="292">
        <v>2.1</v>
      </c>
      <c r="AJ67" s="312">
        <f t="shared" ref="AJ67:AJ69" si="44">COUNTIF($AD$51:$AD$65,AI67)</f>
        <v>1</v>
      </c>
      <c r="AK67" s="240" t="str">
        <f>IF($X$3=1,SUMIF($AD$51:$AD$65,AI67,$AK$51:$AK$65),"")</f>
        <v/>
      </c>
      <c r="AL67" s="1290"/>
      <c r="AM67" s="1163"/>
      <c r="AN67" s="1164"/>
      <c r="AO67" s="1164"/>
      <c r="AP67" s="1164"/>
      <c r="AQ67" s="1164"/>
      <c r="AR67" s="1201"/>
      <c r="AS67" s="1342"/>
      <c r="AT67" s="1576"/>
      <c r="AU67" s="1163"/>
      <c r="AV67" s="1164"/>
      <c r="AW67" s="1164"/>
      <c r="AX67" s="1164"/>
      <c r="AY67" s="1164"/>
      <c r="AZ67" s="1201"/>
      <c r="BA67" s="1342"/>
      <c r="BB67" s="1566"/>
      <c r="BC67" s="1163"/>
      <c r="BD67" s="1164"/>
      <c r="BE67" s="1164"/>
      <c r="BF67" s="1164"/>
      <c r="BG67" s="1164"/>
      <c r="BH67" s="1201"/>
      <c r="BI67" s="1342"/>
      <c r="BJ67" s="1337"/>
      <c r="BK67" s="1338"/>
      <c r="BL67" s="1338"/>
      <c r="BM67" s="1338"/>
      <c r="BN67" s="1338"/>
      <c r="BO67" s="1339"/>
      <c r="BP67" s="255"/>
      <c r="BQ67" s="255"/>
      <c r="BR67" s="255"/>
    </row>
    <row r="68" spans="1:70" ht="20" customHeight="1">
      <c r="A68" s="1309"/>
      <c r="B68" s="1165"/>
      <c r="C68" s="1166"/>
      <c r="D68" s="1166"/>
      <c r="E68" s="1166"/>
      <c r="F68" s="1166"/>
      <c r="G68" s="1292"/>
      <c r="H68" s="1207"/>
      <c r="I68" s="1207"/>
      <c r="J68" s="1207"/>
      <c r="K68" s="1207"/>
      <c r="L68" s="1207"/>
      <c r="M68" s="1207"/>
      <c r="N68" s="1194"/>
      <c r="O68" s="1165" t="s">
        <v>371</v>
      </c>
      <c r="P68" s="1166"/>
      <c r="Q68" s="1166"/>
      <c r="R68" s="1166"/>
      <c r="S68" s="1166"/>
      <c r="T68" s="1292"/>
      <c r="U68" s="1673"/>
      <c r="V68" s="1258"/>
      <c r="W68" s="1680"/>
      <c r="X68" s="1681"/>
      <c r="Y68" s="1681"/>
      <c r="Z68" s="1681"/>
      <c r="AA68" s="1681"/>
      <c r="AB68" s="1682"/>
      <c r="AC68" s="1342"/>
      <c r="AD68" s="255"/>
      <c r="AE68" s="255"/>
      <c r="AF68" s="255"/>
      <c r="AG68" s="255"/>
      <c r="AH68" s="255"/>
      <c r="AI68" s="288">
        <v>4.3</v>
      </c>
      <c r="AJ68" s="312">
        <f t="shared" si="44"/>
        <v>1</v>
      </c>
      <c r="AK68" s="240" t="str">
        <f>IF($X$3=1,SUMIF($AD$51:$AD$65,AI68,$AK$51:$AK$65),"")</f>
        <v/>
      </c>
      <c r="AL68" s="1291"/>
      <c r="AM68" s="1165"/>
      <c r="AN68" s="1166"/>
      <c r="AO68" s="1166"/>
      <c r="AP68" s="1166"/>
      <c r="AQ68" s="1166"/>
      <c r="AR68" s="1292"/>
      <c r="AS68" s="1342"/>
      <c r="AT68" s="1576"/>
      <c r="AU68" s="1165"/>
      <c r="AV68" s="1166"/>
      <c r="AW68" s="1166"/>
      <c r="AX68" s="1166"/>
      <c r="AY68" s="1166"/>
      <c r="AZ68" s="1292"/>
      <c r="BA68" s="1342"/>
      <c r="BB68" s="1566"/>
      <c r="BC68" s="1165"/>
      <c r="BD68" s="1166"/>
      <c r="BE68" s="1166"/>
      <c r="BF68" s="1166"/>
      <c r="BG68" s="1166"/>
      <c r="BH68" s="1292"/>
      <c r="BI68" s="1342"/>
      <c r="BJ68" s="1337"/>
      <c r="BK68" s="1338"/>
      <c r="BL68" s="1338"/>
      <c r="BM68" s="1338"/>
      <c r="BN68" s="1338"/>
      <c r="BO68" s="1339"/>
      <c r="BP68" s="255"/>
      <c r="BQ68" s="255"/>
      <c r="BR68" s="255"/>
    </row>
    <row r="69" spans="1:70" ht="15" customHeight="1">
      <c r="A69" s="1304">
        <v>1.5</v>
      </c>
      <c r="B69" s="1161" t="s">
        <v>336</v>
      </c>
      <c r="C69" s="1162"/>
      <c r="D69" s="1162"/>
      <c r="E69" s="1162"/>
      <c r="F69" s="1162"/>
      <c r="G69" s="1199"/>
      <c r="H69" s="1205" t="str">
        <f>IF(ISBLANK(P$3),"",1)</f>
        <v/>
      </c>
      <c r="I69" s="1205" t="str">
        <f>IF(ISBLANK(T$3),"",1)</f>
        <v/>
      </c>
      <c r="J69" s="1205" t="str">
        <f>IF(ISBLANK(X$3),"",1)</f>
        <v/>
      </c>
      <c r="K69" s="1205" t="str">
        <f>IF(ISBLANK(AB$3),"",1)</f>
        <v/>
      </c>
      <c r="L69" s="1205" t="str">
        <f>IF(ISBLANK(AF$3),"",1)</f>
        <v/>
      </c>
      <c r="M69" s="1205" t="str">
        <f t="shared" ref="M69" si="45">IF(ISBLANK(AJ$3),"",1)</f>
        <v/>
      </c>
      <c r="N69" s="1258">
        <v>4.4000000000000004</v>
      </c>
      <c r="O69" s="1161" t="s">
        <v>372</v>
      </c>
      <c r="P69" s="1162"/>
      <c r="Q69" s="1162"/>
      <c r="R69" s="1162"/>
      <c r="S69" s="1162"/>
      <c r="T69" s="1199"/>
      <c r="U69" s="1673" t="str">
        <f>IF(ISBLANK(P$3),"",1)</f>
        <v/>
      </c>
      <c r="V69" s="255"/>
      <c r="W69" s="255"/>
      <c r="X69" s="255"/>
      <c r="Y69" s="255"/>
      <c r="Z69" s="255"/>
      <c r="AA69" s="287">
        <v>2.4</v>
      </c>
      <c r="AB69" s="312">
        <f>COUNTIF($V$51:$V$68,AA69)</f>
        <v>1</v>
      </c>
      <c r="AC69" s="240" t="str">
        <f>IF($T$3=1,SUMIF($V$51:$V$68,AA69,$AC$51:$AC$68),"")</f>
        <v/>
      </c>
      <c r="AD69" s="255"/>
      <c r="AE69" s="255"/>
      <c r="AF69" s="255"/>
      <c r="AG69" s="255"/>
      <c r="AH69" s="255"/>
      <c r="AI69" s="288">
        <v>4.4000000000000004</v>
      </c>
      <c r="AJ69" s="312">
        <f t="shared" si="44"/>
        <v>2</v>
      </c>
      <c r="AK69" s="240" t="str">
        <f>IF($X$3=1,SUMIF($AD$51:$AD$65,AI69,$AK$51:$AK$65),"")</f>
        <v/>
      </c>
      <c r="AL69" s="1301">
        <v>4.3</v>
      </c>
      <c r="AM69" s="1161" t="s">
        <v>361</v>
      </c>
      <c r="AN69" s="1162"/>
      <c r="AO69" s="1162"/>
      <c r="AP69" s="1162"/>
      <c r="AQ69" s="1162"/>
      <c r="AR69" s="1199"/>
      <c r="AS69" s="1342" t="str">
        <f t="shared" ref="AS69" si="46">IF(ISBLANK(AB$3),"",1)</f>
        <v/>
      </c>
      <c r="AT69" s="1576">
        <v>2.4</v>
      </c>
      <c r="AU69" s="1161" t="s">
        <v>358</v>
      </c>
      <c r="AV69" s="1162"/>
      <c r="AW69" s="1162"/>
      <c r="AX69" s="1162"/>
      <c r="AY69" s="1162"/>
      <c r="AZ69" s="1199"/>
      <c r="BA69" s="1342" t="str">
        <f t="shared" ref="BA69" si="47">IF(ISBLANK(AF$3),"",1)</f>
        <v/>
      </c>
      <c r="BB69" s="1194">
        <v>2.4</v>
      </c>
      <c r="BC69" s="1161" t="s">
        <v>359</v>
      </c>
      <c r="BD69" s="1162"/>
      <c r="BE69" s="1162"/>
      <c r="BF69" s="1162"/>
      <c r="BG69" s="1162"/>
      <c r="BH69" s="1199"/>
      <c r="BI69" s="1226" t="str">
        <f t="shared" ref="BI69" si="48">IF(ISBLANK(AJ$3),"",1)</f>
        <v/>
      </c>
      <c r="BJ69" s="1337"/>
      <c r="BK69" s="1338"/>
      <c r="BL69" s="1338"/>
      <c r="BM69" s="1338"/>
      <c r="BN69" s="1338"/>
      <c r="BO69" s="1339"/>
      <c r="BP69" s="255"/>
      <c r="BQ69" s="255"/>
      <c r="BR69" s="255"/>
    </row>
    <row r="70" spans="1:70" ht="15" customHeight="1">
      <c r="A70" s="1290"/>
      <c r="B70" s="1163"/>
      <c r="C70" s="1164"/>
      <c r="D70" s="1164"/>
      <c r="E70" s="1164"/>
      <c r="F70" s="1164"/>
      <c r="G70" s="1201"/>
      <c r="H70" s="1206"/>
      <c r="I70" s="1206"/>
      <c r="J70" s="1206"/>
      <c r="K70" s="1206"/>
      <c r="L70" s="1206"/>
      <c r="M70" s="1206"/>
      <c r="N70" s="1258"/>
      <c r="O70" s="1163"/>
      <c r="P70" s="1164"/>
      <c r="Q70" s="1164"/>
      <c r="R70" s="1164"/>
      <c r="S70" s="1164"/>
      <c r="T70" s="1201"/>
      <c r="U70" s="1673"/>
      <c r="V70" s="255"/>
      <c r="W70" s="255"/>
      <c r="X70" s="255"/>
      <c r="Y70" s="255"/>
      <c r="Z70" s="255"/>
      <c r="AA70" s="288">
        <v>4.4000000000000004</v>
      </c>
      <c r="AB70" s="312">
        <f>COUNTIF($V$51:$V$68,AA70)</f>
        <v>5</v>
      </c>
      <c r="AC70" s="240" t="str">
        <f>IF($T$3=1,SUMIF($V$51:$V$68,AA70,$AC$51:$AC$68),"")</f>
        <v/>
      </c>
      <c r="AD70" s="255"/>
      <c r="AE70" s="255"/>
      <c r="AF70" s="255"/>
      <c r="AG70" s="255"/>
      <c r="AH70" s="255"/>
      <c r="AI70" s="255"/>
      <c r="AJ70" s="255"/>
      <c r="AK70" s="255"/>
      <c r="AL70" s="1302"/>
      <c r="AM70" s="1163"/>
      <c r="AN70" s="1164"/>
      <c r="AO70" s="1164"/>
      <c r="AP70" s="1164"/>
      <c r="AQ70" s="1164"/>
      <c r="AR70" s="1201"/>
      <c r="AS70" s="1342"/>
      <c r="AT70" s="1576"/>
      <c r="AU70" s="1163"/>
      <c r="AV70" s="1164"/>
      <c r="AW70" s="1164"/>
      <c r="AX70" s="1164"/>
      <c r="AY70" s="1164"/>
      <c r="AZ70" s="1201"/>
      <c r="BA70" s="1342"/>
      <c r="BB70" s="1194"/>
      <c r="BC70" s="1163"/>
      <c r="BD70" s="1164"/>
      <c r="BE70" s="1164"/>
      <c r="BF70" s="1164"/>
      <c r="BG70" s="1164"/>
      <c r="BH70" s="1201"/>
      <c r="BI70" s="1342"/>
      <c r="BJ70" s="1337"/>
      <c r="BK70" s="1338"/>
      <c r="BL70" s="1338"/>
      <c r="BM70" s="1338"/>
      <c r="BN70" s="1338"/>
      <c r="BO70" s="1339"/>
      <c r="BP70" s="255"/>
      <c r="BQ70" s="255"/>
      <c r="BR70" s="255"/>
    </row>
    <row r="71" spans="1:70" ht="15" customHeight="1">
      <c r="A71" s="1291"/>
      <c r="B71" s="1165"/>
      <c r="C71" s="1166"/>
      <c r="D71" s="1166"/>
      <c r="E71" s="1166"/>
      <c r="F71" s="1166"/>
      <c r="G71" s="1292"/>
      <c r="H71" s="1207"/>
      <c r="I71" s="1207"/>
      <c r="J71" s="1207"/>
      <c r="K71" s="1207"/>
      <c r="L71" s="1207"/>
      <c r="M71" s="1207"/>
      <c r="N71" s="1258"/>
      <c r="O71" s="1165"/>
      <c r="P71" s="1166"/>
      <c r="Q71" s="1166"/>
      <c r="R71" s="1166"/>
      <c r="S71" s="1166"/>
      <c r="T71" s="1292"/>
      <c r="U71" s="1673"/>
      <c r="V71" s="255"/>
      <c r="W71" s="255"/>
      <c r="X71" s="255"/>
      <c r="Y71" s="255"/>
      <c r="Z71" s="255"/>
      <c r="AD71" s="255"/>
      <c r="AE71" s="255"/>
      <c r="AF71" s="255"/>
      <c r="AG71" s="255"/>
      <c r="AH71" s="255"/>
      <c r="AI71" s="255"/>
      <c r="AJ71" s="255"/>
      <c r="AK71" s="255"/>
      <c r="AL71" s="1303"/>
      <c r="AM71" s="1165"/>
      <c r="AN71" s="1166"/>
      <c r="AO71" s="1166"/>
      <c r="AP71" s="1166"/>
      <c r="AQ71" s="1166"/>
      <c r="AR71" s="1292"/>
      <c r="AS71" s="1342"/>
      <c r="AT71" s="1576"/>
      <c r="AU71" s="1165"/>
      <c r="AV71" s="1166"/>
      <c r="AW71" s="1166"/>
      <c r="AX71" s="1166"/>
      <c r="AY71" s="1166"/>
      <c r="AZ71" s="1292"/>
      <c r="BA71" s="1342"/>
      <c r="BB71" s="1194"/>
      <c r="BC71" s="1165"/>
      <c r="BD71" s="1166"/>
      <c r="BE71" s="1166"/>
      <c r="BF71" s="1166"/>
      <c r="BG71" s="1166"/>
      <c r="BH71" s="1292"/>
      <c r="BI71" s="1342"/>
      <c r="BJ71" s="1337"/>
      <c r="BK71" s="1338"/>
      <c r="BL71" s="1338"/>
      <c r="BM71" s="1338"/>
      <c r="BN71" s="1338"/>
      <c r="BO71" s="1339"/>
      <c r="BP71" s="255"/>
      <c r="BQ71" s="255"/>
      <c r="BR71" s="255"/>
    </row>
    <row r="72" spans="1:70" ht="15" customHeight="1">
      <c r="A72" s="1304">
        <v>2.1</v>
      </c>
      <c r="B72" s="1161" t="s">
        <v>360</v>
      </c>
      <c r="C72" s="1162"/>
      <c r="D72" s="1162"/>
      <c r="E72" s="1162"/>
      <c r="F72" s="1162"/>
      <c r="G72" s="1199"/>
      <c r="H72" s="1205" t="str">
        <f>IF(ISBLANK(P$3),"",1)</f>
        <v/>
      </c>
      <c r="I72" s="1205" t="str">
        <f>IF(ISBLANK(T$3),"",1)</f>
        <v/>
      </c>
      <c r="J72" s="1205" t="str">
        <f>IF(ISBLANK(X$3),"",1)</f>
        <v/>
      </c>
      <c r="K72" s="1205" t="str">
        <f>IF(ISBLANK(AB$3),"",1)</f>
        <v/>
      </c>
      <c r="L72" s="1205" t="str">
        <f>IF(ISBLANK(AF$3),"",1)</f>
        <v/>
      </c>
      <c r="M72" s="1205" t="str">
        <f t="shared" ref="M72" si="49">IF(ISBLANK(AJ$3),"",1)</f>
        <v/>
      </c>
      <c r="N72" s="1258">
        <v>4.4000000000000004</v>
      </c>
      <c r="O72" s="1161" t="s">
        <v>373</v>
      </c>
      <c r="P72" s="1162"/>
      <c r="Q72" s="1162"/>
      <c r="R72" s="1162"/>
      <c r="S72" s="1162"/>
      <c r="T72" s="1199"/>
      <c r="U72" s="1673" t="str">
        <f>IF(ISBLANK(P$3),"",1)</f>
        <v/>
      </c>
      <c r="V72" s="255"/>
      <c r="W72" s="255"/>
      <c r="X72" s="255"/>
      <c r="Y72" s="255"/>
      <c r="Z72" s="255"/>
      <c r="AD72" s="255"/>
      <c r="AE72" s="255"/>
      <c r="AF72" s="255"/>
      <c r="AG72" s="255"/>
      <c r="AH72" s="255"/>
      <c r="AI72" s="255"/>
      <c r="AJ72" s="255"/>
      <c r="AK72" s="255"/>
      <c r="AL72" s="1301">
        <v>4.3</v>
      </c>
      <c r="AM72" s="1161" t="s">
        <v>364</v>
      </c>
      <c r="AN72" s="1162"/>
      <c r="AO72" s="1162"/>
      <c r="AP72" s="1162"/>
      <c r="AQ72" s="1162"/>
      <c r="AR72" s="1199"/>
      <c r="AS72" s="1342" t="str">
        <f t="shared" ref="AS72" si="50">IF(ISBLANK(AB$3),"",1)</f>
        <v/>
      </c>
      <c r="AT72" s="1258">
        <v>4.3</v>
      </c>
      <c r="AU72" s="1161" t="s">
        <v>362</v>
      </c>
      <c r="AV72" s="1162"/>
      <c r="AW72" s="1162"/>
      <c r="AX72" s="1162"/>
      <c r="AY72" s="1162"/>
      <c r="AZ72" s="1199"/>
      <c r="BA72" s="1342" t="str">
        <f t="shared" ref="BA72" si="51">IF(ISBLANK(AF$3),"",1)</f>
        <v/>
      </c>
      <c r="BB72" s="1194">
        <v>2.4</v>
      </c>
      <c r="BC72" s="1161" t="s">
        <v>363</v>
      </c>
      <c r="BD72" s="1162"/>
      <c r="BE72" s="1162"/>
      <c r="BF72" s="1162"/>
      <c r="BG72" s="1162"/>
      <c r="BH72" s="1199"/>
      <c r="BI72" s="1226" t="str">
        <f t="shared" ref="BI72" si="52">IF(ISBLANK(AJ$3),"",1)</f>
        <v/>
      </c>
      <c r="BJ72" s="1337"/>
      <c r="BK72" s="1338"/>
      <c r="BL72" s="1338"/>
      <c r="BM72" s="1338"/>
      <c r="BN72" s="1338"/>
      <c r="BO72" s="1339"/>
      <c r="BP72" s="255"/>
      <c r="BQ72" s="255"/>
      <c r="BR72" s="255"/>
    </row>
    <row r="73" spans="1:70" ht="15" customHeight="1">
      <c r="A73" s="1290"/>
      <c r="B73" s="1163"/>
      <c r="C73" s="1164"/>
      <c r="D73" s="1164"/>
      <c r="E73" s="1164"/>
      <c r="F73" s="1164"/>
      <c r="G73" s="1201"/>
      <c r="H73" s="1206"/>
      <c r="I73" s="1206"/>
      <c r="J73" s="1206"/>
      <c r="K73" s="1206"/>
      <c r="L73" s="1206"/>
      <c r="M73" s="1206"/>
      <c r="N73" s="1258"/>
      <c r="O73" s="1163"/>
      <c r="P73" s="1164"/>
      <c r="Q73" s="1164"/>
      <c r="R73" s="1164"/>
      <c r="S73" s="1164"/>
      <c r="T73" s="1201"/>
      <c r="U73" s="1673"/>
      <c r="V73" s="255"/>
      <c r="W73" s="255"/>
      <c r="X73" s="255"/>
      <c r="Y73" s="255"/>
      <c r="Z73" s="255"/>
      <c r="AA73" s="255"/>
      <c r="AB73" s="255"/>
      <c r="AC73" s="255"/>
      <c r="AD73" s="255"/>
      <c r="AE73" s="255"/>
      <c r="AF73" s="255"/>
      <c r="AG73" s="255"/>
      <c r="AH73" s="255"/>
      <c r="AI73" s="255"/>
      <c r="AJ73" s="255"/>
      <c r="AK73" s="255"/>
      <c r="AL73" s="1302"/>
      <c r="AM73" s="1163"/>
      <c r="AN73" s="1164"/>
      <c r="AO73" s="1164"/>
      <c r="AP73" s="1164"/>
      <c r="AQ73" s="1164"/>
      <c r="AR73" s="1201"/>
      <c r="AS73" s="1342"/>
      <c r="AT73" s="1258"/>
      <c r="AU73" s="1163"/>
      <c r="AV73" s="1164"/>
      <c r="AW73" s="1164"/>
      <c r="AX73" s="1164"/>
      <c r="AY73" s="1164"/>
      <c r="AZ73" s="1201"/>
      <c r="BA73" s="1342"/>
      <c r="BB73" s="1194"/>
      <c r="BC73" s="1163"/>
      <c r="BD73" s="1164"/>
      <c r="BE73" s="1164"/>
      <c r="BF73" s="1164"/>
      <c r="BG73" s="1164"/>
      <c r="BH73" s="1201"/>
      <c r="BI73" s="1342"/>
      <c r="BJ73" s="1337"/>
      <c r="BK73" s="1338"/>
      <c r="BL73" s="1338"/>
      <c r="BM73" s="1338"/>
      <c r="BN73" s="1338"/>
      <c r="BO73" s="1339"/>
      <c r="BP73" s="255"/>
      <c r="BQ73" s="255"/>
      <c r="BR73" s="255"/>
    </row>
    <row r="74" spans="1:70" ht="15" customHeight="1">
      <c r="A74" s="1291"/>
      <c r="B74" s="1165"/>
      <c r="C74" s="1166"/>
      <c r="D74" s="1166"/>
      <c r="E74" s="1166"/>
      <c r="F74" s="1166"/>
      <c r="G74" s="1292"/>
      <c r="H74" s="1207"/>
      <c r="I74" s="1207"/>
      <c r="J74" s="1207"/>
      <c r="K74" s="1207"/>
      <c r="L74" s="1207"/>
      <c r="M74" s="1207"/>
      <c r="N74" s="1258"/>
      <c r="O74" s="1165"/>
      <c r="P74" s="1166"/>
      <c r="Q74" s="1166"/>
      <c r="R74" s="1166"/>
      <c r="S74" s="1166"/>
      <c r="T74" s="1292"/>
      <c r="U74" s="1673"/>
      <c r="V74" s="255"/>
      <c r="W74" s="255"/>
      <c r="X74" s="255"/>
      <c r="Y74" s="255"/>
      <c r="Z74" s="255"/>
      <c r="AA74" s="255"/>
      <c r="AB74" s="255"/>
      <c r="AC74" s="255"/>
      <c r="AD74" s="255"/>
      <c r="AE74" s="255"/>
      <c r="AF74" s="255"/>
      <c r="AG74" s="255"/>
      <c r="AH74" s="255"/>
      <c r="AI74" s="255"/>
      <c r="AJ74" s="255"/>
      <c r="AK74" s="255"/>
      <c r="AL74" s="1303"/>
      <c r="AM74" s="1165"/>
      <c r="AN74" s="1166"/>
      <c r="AO74" s="1166"/>
      <c r="AP74" s="1166"/>
      <c r="AQ74" s="1166"/>
      <c r="AR74" s="1292"/>
      <c r="AS74" s="1342"/>
      <c r="AT74" s="1258"/>
      <c r="AU74" s="1165"/>
      <c r="AV74" s="1166"/>
      <c r="AW74" s="1166"/>
      <c r="AX74" s="1166"/>
      <c r="AY74" s="1166"/>
      <c r="AZ74" s="1292"/>
      <c r="BA74" s="1342"/>
      <c r="BB74" s="1194"/>
      <c r="BC74" s="1165"/>
      <c r="BD74" s="1166"/>
      <c r="BE74" s="1166"/>
      <c r="BF74" s="1166"/>
      <c r="BG74" s="1166"/>
      <c r="BH74" s="1292"/>
      <c r="BI74" s="1342"/>
      <c r="BJ74" s="1337"/>
      <c r="BK74" s="1338"/>
      <c r="BL74" s="1338"/>
      <c r="BM74" s="1338"/>
      <c r="BN74" s="1338"/>
      <c r="BO74" s="1339"/>
      <c r="BP74" s="255"/>
      <c r="BQ74" s="255"/>
      <c r="BR74" s="255"/>
    </row>
    <row r="75" spans="1:70" ht="15" customHeight="1">
      <c r="A75" s="1304">
        <v>2.4</v>
      </c>
      <c r="B75" s="1161" t="s">
        <v>942</v>
      </c>
      <c r="C75" s="1162"/>
      <c r="D75" s="1162"/>
      <c r="E75" s="1162"/>
      <c r="F75" s="1162"/>
      <c r="G75" s="1199"/>
      <c r="H75" s="1205" t="str">
        <f>IF(ISBLANK(P$3),"",1)</f>
        <v/>
      </c>
      <c r="I75" s="1205" t="str">
        <f>IF(ISBLANK(T$3),"",1)</f>
        <v/>
      </c>
      <c r="J75" s="1205" t="str">
        <f>IF(ISBLANK(X$3),"",1)</f>
        <v/>
      </c>
      <c r="K75" s="1205" t="str">
        <f>IF(ISBLANK(AB$3),"",1)</f>
        <v/>
      </c>
      <c r="L75" s="1205" t="str">
        <f>IF(ISBLANK(AF$3),"",1)</f>
        <v/>
      </c>
      <c r="M75" s="1205" t="str">
        <f t="shared" ref="M75" si="53">IF(ISBLANK(AJ$3),"",1)</f>
        <v/>
      </c>
      <c r="N75" s="255"/>
      <c r="O75" s="255"/>
      <c r="P75" s="255"/>
      <c r="Q75" s="255"/>
      <c r="R75" s="255"/>
      <c r="S75" s="293">
        <v>2.4</v>
      </c>
      <c r="T75" s="312">
        <f>COUNTIF($N$51:$N$74,S75)</f>
        <v>2</v>
      </c>
      <c r="U75" s="240" t="str">
        <f>IF($P$3=1,SUMIF($N$51:$N$74,S75,$U$51:$U$74),"")</f>
        <v/>
      </c>
      <c r="V75" s="255"/>
      <c r="W75" s="255"/>
      <c r="X75" s="255"/>
      <c r="Y75" s="255"/>
      <c r="Z75" s="255"/>
      <c r="AA75" s="255"/>
      <c r="AB75" s="255"/>
      <c r="AC75" s="255"/>
      <c r="AD75" s="255"/>
      <c r="AE75" s="255"/>
      <c r="AF75" s="255"/>
      <c r="AG75" s="255"/>
      <c r="AH75" s="255"/>
      <c r="AI75" s="255"/>
      <c r="AJ75" s="255"/>
      <c r="AK75" s="255"/>
      <c r="AL75" s="249"/>
      <c r="AM75" s="249"/>
      <c r="AN75" s="249"/>
      <c r="AO75" s="249"/>
      <c r="AQ75" s="293">
        <v>2.4</v>
      </c>
      <c r="AR75" s="311">
        <f>COUNTIF($AL$51:$AL$74,AQ75)</f>
        <v>2</v>
      </c>
      <c r="AS75" s="240" t="str">
        <f>IF($AB$3=1,SUMIF($AL$51:$AL$74,AQ75,$AS$51:$AS$74),"")</f>
        <v/>
      </c>
      <c r="AT75" s="1576">
        <v>2.4</v>
      </c>
      <c r="AU75" s="1161" t="s">
        <v>365</v>
      </c>
      <c r="AV75" s="1162"/>
      <c r="AW75" s="1162"/>
      <c r="AX75" s="1162"/>
      <c r="AY75" s="1162"/>
      <c r="AZ75" s="1199"/>
      <c r="BA75" s="1342" t="str">
        <f t="shared" ref="BA75" si="54">IF(ISBLANK(AF$3),"",1)</f>
        <v/>
      </c>
      <c r="BB75" s="255"/>
      <c r="BC75" s="255"/>
      <c r="BD75" s="255"/>
      <c r="BE75" s="255"/>
      <c r="BF75" s="255"/>
      <c r="BG75" s="293">
        <v>2.4</v>
      </c>
      <c r="BH75" s="312">
        <f>COUNTIF($BB$51:$BB$74,BG75)</f>
        <v>4</v>
      </c>
      <c r="BI75" s="240" t="str">
        <f>IF($AJ$3=1,SUMIF($BB$51:$BB$74,BG75,$BI$51:$BI$75),"")</f>
        <v/>
      </c>
      <c r="BJ75" s="1337"/>
      <c r="BK75" s="1338"/>
      <c r="BL75" s="1338"/>
      <c r="BM75" s="1338"/>
      <c r="BN75" s="1338"/>
      <c r="BO75" s="1339"/>
      <c r="BP75" s="255"/>
      <c r="BQ75" s="255"/>
      <c r="BR75" s="255"/>
    </row>
    <row r="76" spans="1:70" ht="15" customHeight="1">
      <c r="A76" s="1290"/>
      <c r="B76" s="1163"/>
      <c r="C76" s="1164"/>
      <c r="D76" s="1164"/>
      <c r="E76" s="1164"/>
      <c r="F76" s="1164"/>
      <c r="G76" s="1201"/>
      <c r="H76" s="1206"/>
      <c r="I76" s="1206"/>
      <c r="J76" s="1206"/>
      <c r="K76" s="1206"/>
      <c r="L76" s="1206"/>
      <c r="M76" s="1206"/>
      <c r="N76" s="255"/>
      <c r="O76" s="255"/>
      <c r="P76" s="255"/>
      <c r="Q76" s="255"/>
      <c r="R76" s="255"/>
      <c r="S76" s="288">
        <v>4.3</v>
      </c>
      <c r="T76" s="312">
        <f t="shared" ref="T76:T77" si="55">COUNTIF($N$51:$N$74,S76)</f>
        <v>1</v>
      </c>
      <c r="U76" s="240" t="str">
        <f>IF($P$3=1,SUMIF($N$51:$N$74,S76,$U$51:$U$74),"")</f>
        <v/>
      </c>
      <c r="V76" s="255"/>
      <c r="W76" s="255"/>
      <c r="X76" s="255"/>
      <c r="Y76" s="255"/>
      <c r="Z76" s="255"/>
      <c r="AA76" s="255"/>
      <c r="AB76" s="255"/>
      <c r="AC76" s="255"/>
      <c r="AD76" s="255"/>
      <c r="AE76" s="255"/>
      <c r="AF76" s="255"/>
      <c r="AG76" s="255"/>
      <c r="AH76" s="255"/>
      <c r="AI76" s="255"/>
      <c r="AJ76" s="255"/>
      <c r="AK76" s="255"/>
      <c r="AL76" s="242"/>
      <c r="AM76" s="242"/>
      <c r="AN76" s="242"/>
      <c r="AQ76" s="288">
        <v>4.3</v>
      </c>
      <c r="AR76" s="311">
        <f>COUNTIF($AL$51:$AL$74,AQ76)</f>
        <v>4</v>
      </c>
      <c r="AS76" s="240" t="str">
        <f>IF($AB$3=1,SUMIF($AL$51:$AL$74,AQ76,$AS$51:$AS$74),"")</f>
        <v/>
      </c>
      <c r="AT76" s="1576"/>
      <c r="AU76" s="1163"/>
      <c r="AV76" s="1164"/>
      <c r="AW76" s="1164"/>
      <c r="AX76" s="1164"/>
      <c r="AY76" s="1164"/>
      <c r="AZ76" s="1201"/>
      <c r="BA76" s="1342"/>
      <c r="BB76" s="255"/>
      <c r="BC76" s="255"/>
      <c r="BD76" s="255"/>
      <c r="BE76" s="255"/>
      <c r="BF76" s="255"/>
      <c r="BG76" s="288">
        <v>4.4000000000000004</v>
      </c>
      <c r="BH76" s="312">
        <f>COUNTIF($BB$51:$BB$74,BG76)</f>
        <v>4</v>
      </c>
      <c r="BI76" s="240" t="str">
        <f>IF($AJ$3=1,SUMIF($BB$51:$BB$74,BG76,$BI$51:$BI$75),"")</f>
        <v/>
      </c>
      <c r="BJ76" s="1337"/>
      <c r="BK76" s="1338"/>
      <c r="BL76" s="1338"/>
      <c r="BM76" s="1338"/>
      <c r="BN76" s="1338"/>
      <c r="BO76" s="1339"/>
      <c r="BP76" s="255"/>
      <c r="BQ76" s="255"/>
      <c r="BR76" s="255"/>
    </row>
    <row r="77" spans="1:70" ht="15" customHeight="1">
      <c r="A77" s="1291"/>
      <c r="B77" s="1165"/>
      <c r="C77" s="1166"/>
      <c r="D77" s="1166"/>
      <c r="E77" s="1166"/>
      <c r="F77" s="1166"/>
      <c r="G77" s="1292"/>
      <c r="H77" s="1207"/>
      <c r="I77" s="1207"/>
      <c r="J77" s="1207"/>
      <c r="K77" s="1207"/>
      <c r="L77" s="1207"/>
      <c r="M77" s="1207"/>
      <c r="N77" s="255"/>
      <c r="O77" s="255"/>
      <c r="P77" s="255"/>
      <c r="Q77" s="255"/>
      <c r="R77" s="255"/>
      <c r="S77" s="288">
        <v>4.4000000000000004</v>
      </c>
      <c r="T77" s="312">
        <f t="shared" si="55"/>
        <v>5</v>
      </c>
      <c r="U77" s="240" t="str">
        <f>IF($P$3=1,SUMIF($N$51:$N$74,S77,$U$51:$U$74),"")</f>
        <v/>
      </c>
      <c r="V77" s="255"/>
      <c r="W77" s="255"/>
      <c r="X77" s="255"/>
      <c r="Y77" s="255"/>
      <c r="Z77" s="255"/>
      <c r="AA77" s="255"/>
      <c r="AB77" s="255"/>
      <c r="AC77" s="255"/>
      <c r="AD77" s="255"/>
      <c r="AE77" s="255"/>
      <c r="AF77" s="255"/>
      <c r="AG77" s="255"/>
      <c r="AH77" s="255"/>
      <c r="AI77" s="255"/>
      <c r="AJ77" s="255"/>
      <c r="AK77" s="255"/>
      <c r="AL77" s="242"/>
      <c r="AM77" s="242"/>
      <c r="AN77" s="242"/>
      <c r="AP77" s="242"/>
      <c r="AQ77" s="288">
        <v>4.4000000000000004</v>
      </c>
      <c r="AR77" s="311">
        <f>COUNTIF($AL$51:$AL$74,AQ77)</f>
        <v>2</v>
      </c>
      <c r="AS77" s="240" t="str">
        <f>IF($AB$3=1,SUMIF($AL$51:$AL$74,AQ77,$AS$51:$AS$74),"")</f>
        <v/>
      </c>
      <c r="AT77" s="1576"/>
      <c r="AU77" s="1165"/>
      <c r="AV77" s="1166"/>
      <c r="AW77" s="1166"/>
      <c r="AX77" s="1166"/>
      <c r="AY77" s="1166"/>
      <c r="AZ77" s="1292"/>
      <c r="BA77" s="1342"/>
      <c r="BB77" s="255"/>
      <c r="BC77" s="255"/>
      <c r="BD77" s="255"/>
      <c r="BE77" s="255"/>
      <c r="BF77" s="255"/>
      <c r="BG77" s="255"/>
      <c r="BH77" s="255"/>
      <c r="BI77" s="255"/>
      <c r="BJ77" s="1337"/>
      <c r="BK77" s="1338"/>
      <c r="BL77" s="1338"/>
      <c r="BM77" s="1338"/>
      <c r="BN77" s="1338"/>
      <c r="BO77" s="1339"/>
      <c r="BP77" s="255"/>
      <c r="BQ77" s="255"/>
      <c r="BR77" s="255"/>
    </row>
    <row r="78" spans="1:70" ht="15" customHeight="1">
      <c r="A78" s="252"/>
      <c r="B78" s="243"/>
      <c r="C78" s="242"/>
      <c r="D78" s="242"/>
      <c r="F78" s="278">
        <v>1.1000000000000001</v>
      </c>
      <c r="G78" s="311">
        <f>COUNTIF($A$51:$A$77,F78)</f>
        <v>4</v>
      </c>
      <c r="H78" s="240" t="str">
        <f>IF($P$3=1,SUMIF($A$51:$A$77,F78,$H$51:$H$77),"")</f>
        <v/>
      </c>
      <c r="I78" s="240" t="str">
        <f>IF($T$3=1,SUMIF($A$51:$A$77,F78,$I$51:$I$77),"")</f>
        <v/>
      </c>
      <c r="J78" s="240" t="str">
        <f>IF($X$3=1,SUMIF($A$51:$A$77,F78,$J$51:$J$77),"")</f>
        <v/>
      </c>
      <c r="K78" s="240" t="str">
        <f>IF($AB$3=1,SUMIF($A$51:$A$77,F78,$K$51:$K$77),"")</f>
        <v/>
      </c>
      <c r="L78" s="240" t="str">
        <f>IF($AF$3=1,SUMIF($A$51:$A$77,F78,$L$51:$L$77),"")</f>
        <v/>
      </c>
      <c r="M78" s="240" t="str">
        <f>IF($AJ$3=1,SUMIF($A$51:$A$77,$F78,$M$51:$M$77),"")</f>
        <v/>
      </c>
      <c r="N78" s="306"/>
      <c r="O78" s="249"/>
      <c r="P78" s="249"/>
      <c r="Q78" s="249"/>
      <c r="R78" s="249"/>
      <c r="S78" s="249"/>
      <c r="T78" s="249"/>
      <c r="U78" s="249"/>
      <c r="V78" s="249"/>
      <c r="W78" s="251"/>
      <c r="X78" s="251"/>
      <c r="Y78" s="251"/>
      <c r="AD78" s="254"/>
      <c r="AE78" s="249"/>
      <c r="AF78" s="249"/>
      <c r="AG78" s="249"/>
      <c r="AL78" s="242"/>
      <c r="AM78" s="242"/>
      <c r="AN78" s="242"/>
      <c r="AP78" s="242"/>
      <c r="AT78" s="249"/>
      <c r="AU78" s="249"/>
      <c r="AV78" s="249"/>
      <c r="AW78" s="249"/>
      <c r="AX78" s="249"/>
      <c r="AY78" s="317">
        <v>2.4</v>
      </c>
      <c r="AZ78" s="312">
        <f>COUNTIF($AT$51:$AT$77,AY78)</f>
        <v>3</v>
      </c>
      <c r="BA78" s="240" t="str">
        <f>IF($AF$3=1,SUMIF($AT$51:$AT$77,AY78,$BA$51:$BA$77),"")</f>
        <v/>
      </c>
      <c r="BB78" s="255"/>
      <c r="BC78" s="255"/>
      <c r="BD78" s="255"/>
      <c r="BE78" s="255"/>
      <c r="BF78" s="255"/>
      <c r="BG78" s="255"/>
      <c r="BH78" s="255"/>
      <c r="BI78" s="255"/>
      <c r="BJ78" s="1337"/>
      <c r="BK78" s="1338"/>
      <c r="BL78" s="1338"/>
      <c r="BM78" s="1338"/>
      <c r="BN78" s="1338"/>
      <c r="BO78" s="1339"/>
      <c r="BP78" s="255"/>
      <c r="BQ78" s="255"/>
      <c r="BR78" s="255"/>
    </row>
    <row r="79" spans="1:70" ht="15" customHeight="1">
      <c r="A79" s="252"/>
      <c r="B79" s="243"/>
      <c r="C79" s="242"/>
      <c r="D79" s="242"/>
      <c r="F79" s="278">
        <v>1.5</v>
      </c>
      <c r="G79" s="311">
        <f t="shared" ref="G79:G81" si="56">COUNTIF($A$51:$A$77,F79)</f>
        <v>1</v>
      </c>
      <c r="H79" s="240" t="str">
        <f>IF($P$3=1,SUMIF($A$51:$A$77,F79,$H$51:$H$77),"")</f>
        <v/>
      </c>
      <c r="I79" s="240" t="str">
        <f>IF($T$3=1,SUMIF($A$51:$A$77,F79,$I$51:$I$77),"")</f>
        <v/>
      </c>
      <c r="J79" s="240" t="str">
        <f>IF($X$3=1,SUMIF($A$51:$A$77,F79,$J$51:$J$77),"")</f>
        <v/>
      </c>
      <c r="K79" s="240" t="str">
        <f>IF($AB$3=1,SUMIF($A$51:$A$77,F79,$K$51:$K$77),"")</f>
        <v/>
      </c>
      <c r="L79" s="240" t="str">
        <f>IF($AF$3=1,SUMIF($A$51:$A$77,F79,$L$51:$L$77),"")</f>
        <v/>
      </c>
      <c r="M79" s="240" t="str">
        <f t="shared" ref="M79:M81" si="57">IF($AJ$3=1,SUMIF($A$51:$A$77,$F79,$M$51:$M$77),"")</f>
        <v/>
      </c>
      <c r="N79" s="303"/>
      <c r="P79" s="242"/>
      <c r="Q79" s="242"/>
      <c r="R79" s="242"/>
      <c r="S79" s="242"/>
      <c r="T79" s="242"/>
      <c r="U79" s="242"/>
      <c r="V79" s="251"/>
      <c r="W79" s="251"/>
      <c r="X79" s="251"/>
      <c r="Y79" s="251"/>
      <c r="AD79" s="252"/>
      <c r="AE79" s="242"/>
      <c r="AG79" s="242"/>
      <c r="AT79" s="242"/>
      <c r="AU79" s="242"/>
      <c r="AV79" s="242"/>
      <c r="AW79" s="242"/>
      <c r="AX79" s="242"/>
      <c r="AY79" s="288">
        <v>4.3</v>
      </c>
      <c r="AZ79" s="312">
        <f t="shared" ref="AZ79:AZ80" si="58">COUNTIF($AT$51:$AT$77,AY79)</f>
        <v>2</v>
      </c>
      <c r="BA79" s="240" t="str">
        <f>IF($AF$3=1,SUMIF($AT$51:$AT$77,AY79,$BA$51:$BA$77),"")</f>
        <v/>
      </c>
      <c r="BB79" s="255"/>
      <c r="BC79" s="255"/>
      <c r="BD79" s="255"/>
      <c r="BE79" s="255"/>
      <c r="BF79" s="255"/>
      <c r="BG79" s="255"/>
      <c r="BH79" s="255"/>
      <c r="BI79" s="255"/>
      <c r="BJ79" s="1222"/>
      <c r="BK79" s="1223"/>
      <c r="BL79" s="1223"/>
      <c r="BM79" s="1223"/>
      <c r="BN79" s="1223"/>
      <c r="BO79" s="1224"/>
      <c r="BP79" s="255"/>
      <c r="BQ79" s="255"/>
      <c r="BR79" s="255"/>
    </row>
    <row r="80" spans="1:70" ht="15" customHeight="1">
      <c r="A80" s="249"/>
      <c r="B80" s="249"/>
      <c r="C80" s="249"/>
      <c r="D80" s="249"/>
      <c r="F80" s="277">
        <v>2.1</v>
      </c>
      <c r="G80" s="311">
        <f t="shared" si="56"/>
        <v>2</v>
      </c>
      <c r="H80" s="240" t="str">
        <f>IF($P$3=1,SUMIF($A$51:$A$77,F80,$H$51:$H$77),"")</f>
        <v/>
      </c>
      <c r="I80" s="240" t="str">
        <f>IF($T$3=1,SUMIF($A$51:$A$77,F80,$I$51:$I$77),"")</f>
        <v/>
      </c>
      <c r="J80" s="240" t="str">
        <f>IF($X$3=1,SUMIF($A$51:$A$77,F80,$J$51:$J$77),"")</f>
        <v/>
      </c>
      <c r="K80" s="240" t="str">
        <f>IF($AB$3=1,SUMIF($A$51:$A$77,F80,$K$51:$K$77),"")</f>
        <v/>
      </c>
      <c r="L80" s="240" t="str">
        <f>IF($AF$3=1,SUMIF($A$51:$A$77,F80,$L$51:$L$77),"")</f>
        <v/>
      </c>
      <c r="M80" s="240" t="str">
        <f t="shared" si="57"/>
        <v/>
      </c>
      <c r="N80" s="242"/>
      <c r="P80" s="242"/>
      <c r="Q80" s="242"/>
      <c r="R80" s="242"/>
      <c r="S80" s="242"/>
      <c r="T80" s="242"/>
      <c r="U80" s="242"/>
      <c r="V80" s="251"/>
      <c r="W80" s="251"/>
      <c r="X80" s="251"/>
      <c r="Y80" s="251"/>
      <c r="AD80" s="242"/>
      <c r="AE80" s="242"/>
      <c r="AG80" s="242"/>
      <c r="AT80" s="242"/>
      <c r="AU80" s="242"/>
      <c r="AV80" s="242"/>
      <c r="AW80" s="242"/>
      <c r="AX80" s="242"/>
      <c r="AY80" s="288">
        <v>4.4000000000000004</v>
      </c>
      <c r="AZ80" s="312">
        <f t="shared" si="58"/>
        <v>4</v>
      </c>
      <c r="BA80" s="240" t="str">
        <f>IF($AF$3=1,SUMIF($AT$51:$AT$77,AY80,$BA$51:$BA$77),"")</f>
        <v/>
      </c>
      <c r="BB80" s="255"/>
      <c r="BC80" s="255"/>
      <c r="BD80" s="255"/>
      <c r="BE80" s="255"/>
      <c r="BF80" s="255"/>
      <c r="BG80" s="255"/>
      <c r="BH80" s="255"/>
      <c r="BI80" s="255"/>
      <c r="BJ80" s="255"/>
      <c r="BK80" s="255"/>
      <c r="BL80" s="255"/>
      <c r="BM80" s="255"/>
      <c r="BN80" s="255"/>
      <c r="BO80" s="255"/>
      <c r="BP80" s="255"/>
      <c r="BQ80" s="255"/>
      <c r="BR80" s="255"/>
    </row>
    <row r="81" spans="1:70" ht="15" customHeight="1">
      <c r="F81" s="277">
        <v>2.4</v>
      </c>
      <c r="G81" s="311">
        <f t="shared" si="56"/>
        <v>2</v>
      </c>
      <c r="H81" s="240" t="str">
        <f>IF($P$3=1,SUMIF($A$51:$A$77,F81,$H$51:$H$77),"")</f>
        <v/>
      </c>
      <c r="I81" s="240" t="str">
        <f>IF($T$3=1,SUMIF($A$51:$A$77,F81,$I$51:$I$77),"")</f>
        <v/>
      </c>
      <c r="J81" s="240" t="str">
        <f>IF($X$3=1,SUMIF($A$51:$A$77,F81,$J$51:$J$77),"")</f>
        <v/>
      </c>
      <c r="K81" s="240" t="str">
        <f>IF($AB$3=1,SUMIF($A$51:$A$77,F81,$K$51:$K$77),"")</f>
        <v/>
      </c>
      <c r="L81" s="240" t="str">
        <f>IF($AF$3=1,SUMIF($A$51:$A$77,F81,$L$51:$L$77),"")</f>
        <v/>
      </c>
      <c r="M81" s="240" t="str">
        <f t="shared" si="57"/>
        <v/>
      </c>
      <c r="N81" s="242"/>
      <c r="P81" s="242"/>
      <c r="Q81" s="242"/>
      <c r="R81" s="242"/>
      <c r="S81" s="242"/>
      <c r="T81" s="242"/>
      <c r="U81" s="242"/>
      <c r="V81" s="251"/>
      <c r="X81" s="242"/>
      <c r="Y81" s="243"/>
      <c r="AD81" s="242"/>
      <c r="AE81" s="242"/>
      <c r="AG81" s="242"/>
      <c r="AI81" s="256"/>
      <c r="AJ81" s="256"/>
      <c r="AK81" s="256"/>
      <c r="AT81" s="242"/>
      <c r="AU81" s="242"/>
      <c r="AV81" s="242"/>
      <c r="AW81" s="242"/>
      <c r="AX81" s="242"/>
      <c r="AY81" s="242"/>
      <c r="AZ81" s="242"/>
      <c r="BA81" s="242"/>
      <c r="BB81" s="242"/>
      <c r="BC81" s="255"/>
      <c r="BD81" s="255"/>
      <c r="BE81" s="255"/>
      <c r="BF81" s="255"/>
      <c r="BG81" s="255"/>
      <c r="BH81" s="255"/>
      <c r="BI81" s="255"/>
      <c r="BJ81" s="255"/>
      <c r="BK81" s="255"/>
      <c r="BL81" s="255"/>
      <c r="BM81" s="255"/>
      <c r="BN81" s="255"/>
      <c r="BO81" s="255"/>
      <c r="BP81" s="255"/>
      <c r="BQ81" s="255"/>
      <c r="BR81" s="255"/>
    </row>
    <row r="82" spans="1:70" ht="15" customHeight="1">
      <c r="N82" s="242"/>
      <c r="P82" s="242"/>
      <c r="Q82" s="242"/>
      <c r="R82" s="242"/>
      <c r="S82" s="242"/>
      <c r="T82" s="242"/>
      <c r="U82" s="242"/>
      <c r="V82" s="251"/>
      <c r="X82" s="242"/>
      <c r="Y82" s="243"/>
      <c r="AD82" s="242"/>
      <c r="AE82" s="242"/>
      <c r="AG82" s="242"/>
      <c r="AI82" s="256"/>
      <c r="AJ82" s="256"/>
      <c r="AK82" s="256"/>
      <c r="AT82" s="242"/>
      <c r="AU82" s="242"/>
      <c r="AV82" s="242"/>
      <c r="AW82" s="242"/>
      <c r="AX82" s="242"/>
      <c r="AY82" s="242"/>
      <c r="AZ82" s="242"/>
      <c r="BA82" s="242"/>
      <c r="BB82" s="242"/>
      <c r="BC82" s="255"/>
      <c r="BD82" s="255"/>
      <c r="BE82" s="255"/>
      <c r="BF82" s="255"/>
      <c r="BG82" s="255"/>
      <c r="BH82" s="255"/>
      <c r="BI82" s="255"/>
      <c r="BJ82" s="255"/>
      <c r="BK82" s="255"/>
      <c r="BL82" s="255"/>
      <c r="BM82" s="255"/>
      <c r="BN82" s="255"/>
      <c r="BO82" s="255"/>
      <c r="BP82" s="255"/>
      <c r="BQ82" s="255"/>
      <c r="BR82" s="255"/>
    </row>
    <row r="83" spans="1:70" ht="15" customHeight="1">
      <c r="A83" s="1209"/>
      <c r="B83" s="1210" t="s">
        <v>609</v>
      </c>
      <c r="C83" s="1211"/>
      <c r="D83" s="1211"/>
      <c r="E83" s="1211"/>
      <c r="F83" s="1211"/>
      <c r="G83" s="1211"/>
      <c r="H83" s="1174">
        <v>1</v>
      </c>
      <c r="I83" s="1174">
        <v>2</v>
      </c>
      <c r="J83" s="1174">
        <v>3</v>
      </c>
      <c r="K83" s="1174">
        <v>4</v>
      </c>
      <c r="L83" s="1174">
        <v>5</v>
      </c>
      <c r="M83" s="1174">
        <v>6</v>
      </c>
      <c r="N83" s="242"/>
      <c r="P83" s="242"/>
      <c r="Q83" s="242"/>
      <c r="R83" s="242"/>
      <c r="S83" s="242"/>
      <c r="T83" s="242"/>
      <c r="U83" s="242"/>
      <c r="V83" s="251"/>
      <c r="X83" s="242"/>
      <c r="Y83" s="243"/>
      <c r="AD83" s="242"/>
      <c r="AE83" s="242"/>
      <c r="AG83" s="242"/>
      <c r="AI83" s="256"/>
      <c r="AJ83" s="256"/>
      <c r="AK83" s="256"/>
      <c r="AT83" s="242"/>
      <c r="AU83" s="242"/>
      <c r="AV83" s="242"/>
      <c r="AW83" s="242"/>
      <c r="AX83" s="242"/>
      <c r="AY83" s="242"/>
      <c r="AZ83" s="242"/>
      <c r="BA83" s="242"/>
      <c r="BB83" s="242"/>
      <c r="BC83" s="255"/>
      <c r="BD83" s="255"/>
      <c r="BE83" s="255"/>
      <c r="BF83" s="255"/>
      <c r="BG83" s="255"/>
      <c r="BH83" s="255"/>
      <c r="BI83" s="255"/>
      <c r="BJ83" s="255"/>
      <c r="BK83" s="255"/>
      <c r="BL83" s="255"/>
      <c r="BM83" s="255"/>
      <c r="BN83" s="255"/>
      <c r="BO83" s="255"/>
      <c r="BP83" s="255"/>
      <c r="BQ83" s="255"/>
      <c r="BR83" s="255"/>
    </row>
    <row r="84" spans="1:70" ht="15" customHeight="1">
      <c r="A84" s="1209"/>
      <c r="B84" s="1340"/>
      <c r="C84" s="1341"/>
      <c r="D84" s="1341"/>
      <c r="E84" s="1341"/>
      <c r="F84" s="1341"/>
      <c r="G84" s="1341"/>
      <c r="H84" s="1174"/>
      <c r="I84" s="1174"/>
      <c r="J84" s="1174"/>
      <c r="K84" s="1174"/>
      <c r="L84" s="1174"/>
      <c r="M84" s="1174"/>
      <c r="N84" s="242"/>
      <c r="P84" s="242"/>
      <c r="Q84" s="242"/>
      <c r="R84" s="242"/>
      <c r="S84" s="242"/>
      <c r="T84" s="242"/>
      <c r="U84" s="242"/>
      <c r="V84" s="251"/>
      <c r="X84" s="242"/>
      <c r="Y84" s="243"/>
      <c r="AD84" s="242"/>
      <c r="AE84" s="242"/>
      <c r="AG84" s="242"/>
      <c r="AI84" s="256"/>
      <c r="AJ84" s="256"/>
      <c r="AK84" s="256"/>
      <c r="AT84" s="242"/>
      <c r="AU84" s="242"/>
      <c r="AV84" s="242"/>
      <c r="AW84" s="242"/>
      <c r="AX84" s="242"/>
      <c r="AY84" s="242"/>
      <c r="AZ84" s="242"/>
      <c r="BA84" s="242"/>
      <c r="BB84" s="242"/>
      <c r="BC84" s="255"/>
      <c r="BD84" s="255"/>
      <c r="BE84" s="255"/>
      <c r="BF84" s="255"/>
      <c r="BG84" s="255"/>
      <c r="BH84" s="255"/>
      <c r="BI84" s="255"/>
      <c r="BJ84" s="255"/>
      <c r="BK84" s="255"/>
      <c r="BL84" s="255"/>
      <c r="BM84" s="255"/>
      <c r="BN84" s="255"/>
      <c r="BO84" s="255"/>
      <c r="BP84" s="255"/>
      <c r="BQ84" s="255"/>
      <c r="BR84" s="255"/>
    </row>
    <row r="85" spans="1:70" ht="15" customHeight="1">
      <c r="A85" s="1209"/>
      <c r="B85" s="1212"/>
      <c r="C85" s="1213"/>
      <c r="D85" s="1213"/>
      <c r="E85" s="1213"/>
      <c r="F85" s="1213"/>
      <c r="G85" s="1213"/>
      <c r="H85" s="1174"/>
      <c r="I85" s="1174"/>
      <c r="J85" s="1174"/>
      <c r="K85" s="1174"/>
      <c r="L85" s="1174"/>
      <c r="M85" s="1174"/>
      <c r="N85" s="242"/>
      <c r="P85" s="242"/>
      <c r="Q85" s="242"/>
      <c r="R85" s="242"/>
      <c r="S85" s="242"/>
      <c r="T85" s="242"/>
      <c r="U85" s="242"/>
      <c r="V85" s="251"/>
      <c r="X85" s="242"/>
      <c r="Y85" s="243"/>
      <c r="AD85" s="242"/>
      <c r="AE85" s="242"/>
      <c r="AG85" s="242"/>
      <c r="AI85" s="256"/>
      <c r="AJ85" s="256"/>
      <c r="AK85" s="256"/>
      <c r="AT85" s="242"/>
      <c r="AU85" s="242"/>
      <c r="AV85" s="242"/>
      <c r="AW85" s="242"/>
      <c r="AX85" s="242"/>
      <c r="AY85" s="242"/>
      <c r="AZ85" s="242"/>
      <c r="BA85" s="242"/>
      <c r="BB85" s="242"/>
      <c r="BC85" s="255"/>
      <c r="BD85" s="255"/>
      <c r="BE85" s="255"/>
      <c r="BF85" s="255"/>
      <c r="BG85" s="255"/>
      <c r="BH85" s="255"/>
      <c r="BI85" s="255"/>
      <c r="BJ85" s="255"/>
      <c r="BK85" s="255"/>
      <c r="BL85" s="255"/>
      <c r="BM85" s="255"/>
      <c r="BN85" s="255"/>
      <c r="BO85" s="255"/>
      <c r="BP85" s="255"/>
      <c r="BQ85" s="255"/>
      <c r="BR85" s="255"/>
    </row>
    <row r="86" spans="1:70" ht="15" customHeight="1">
      <c r="A86" s="1336">
        <v>3.1</v>
      </c>
      <c r="B86" s="1198" t="s">
        <v>366</v>
      </c>
      <c r="C86" s="1162"/>
      <c r="D86" s="1162"/>
      <c r="E86" s="1162"/>
      <c r="F86" s="1162"/>
      <c r="G86" s="1265"/>
      <c r="H86" s="1205" t="str">
        <f>IF(ISBLANK(P$3),"",1)</f>
        <v/>
      </c>
      <c r="I86" s="1205" t="str">
        <f>IF(ISBLANK(T$3),"",1)</f>
        <v/>
      </c>
      <c r="J86" s="1205" t="str">
        <f>IF(ISBLANK(X$3),"",1)</f>
        <v/>
      </c>
      <c r="K86" s="1205" t="str">
        <f>IF(ISBLANK(AB$3),"",1)</f>
        <v/>
      </c>
      <c r="L86" s="1205" t="str">
        <f>IF(ISBLANK(AF$3),"",1)</f>
        <v/>
      </c>
      <c r="M86" s="1205" t="str">
        <f t="shared" ref="M86" si="59">IF(ISBLANK(AJ$3),"",1)</f>
        <v/>
      </c>
      <c r="N86" s="242"/>
      <c r="P86" s="242"/>
      <c r="Q86" s="242"/>
      <c r="R86" s="242"/>
      <c r="S86" s="242"/>
      <c r="T86" s="242"/>
      <c r="U86" s="242"/>
      <c r="V86" s="251"/>
      <c r="X86" s="242"/>
      <c r="Y86" s="243"/>
      <c r="AD86" s="242"/>
      <c r="AE86" s="242"/>
      <c r="AG86" s="242"/>
      <c r="AI86" s="256"/>
      <c r="AJ86" s="256"/>
      <c r="AK86" s="256"/>
      <c r="AT86" s="242"/>
      <c r="AU86" s="242"/>
      <c r="AV86" s="242"/>
      <c r="AW86" s="242"/>
      <c r="AX86" s="242"/>
      <c r="AY86" s="242"/>
      <c r="AZ86" s="242"/>
      <c r="BA86" s="242"/>
      <c r="BB86" s="242"/>
      <c r="BC86" s="255"/>
      <c r="BD86" s="255"/>
      <c r="BE86" s="255"/>
      <c r="BF86" s="255"/>
      <c r="BG86" s="255"/>
      <c r="BH86" s="255"/>
      <c r="BI86" s="255"/>
      <c r="BJ86" s="255"/>
      <c r="BK86" s="255"/>
      <c r="BL86" s="255"/>
      <c r="BM86" s="255"/>
      <c r="BN86" s="255"/>
      <c r="BO86" s="255"/>
      <c r="BP86" s="255"/>
      <c r="BQ86" s="255"/>
      <c r="BR86" s="255"/>
    </row>
    <row r="87" spans="1:70" ht="15" customHeight="1">
      <c r="A87" s="1159"/>
      <c r="B87" s="1200"/>
      <c r="C87" s="1164"/>
      <c r="D87" s="1164"/>
      <c r="E87" s="1164"/>
      <c r="F87" s="1164"/>
      <c r="G87" s="1266"/>
      <c r="H87" s="1206"/>
      <c r="I87" s="1206"/>
      <c r="J87" s="1206"/>
      <c r="K87" s="1206"/>
      <c r="L87" s="1206"/>
      <c r="M87" s="1206"/>
      <c r="N87" s="242"/>
      <c r="P87" s="242"/>
      <c r="Q87" s="242"/>
      <c r="R87" s="242"/>
      <c r="S87" s="242"/>
      <c r="T87" s="242"/>
      <c r="U87" s="242"/>
      <c r="V87" s="251"/>
      <c r="X87" s="242"/>
      <c r="Y87" s="243"/>
      <c r="AD87" s="242"/>
      <c r="AE87" s="242"/>
      <c r="AG87" s="242"/>
      <c r="AI87" s="256"/>
      <c r="AJ87" s="256"/>
      <c r="AK87" s="256"/>
      <c r="AT87" s="242"/>
      <c r="AU87" s="242"/>
      <c r="AV87" s="242"/>
      <c r="AW87" s="242"/>
      <c r="AX87" s="242"/>
      <c r="AY87" s="242"/>
      <c r="AZ87" s="242"/>
      <c r="BA87" s="242"/>
      <c r="BB87" s="242"/>
      <c r="BC87" s="255"/>
      <c r="BD87" s="255"/>
      <c r="BE87" s="255"/>
      <c r="BF87" s="255"/>
      <c r="BG87" s="255"/>
      <c r="BH87" s="255"/>
      <c r="BI87" s="255"/>
      <c r="BJ87" s="255"/>
      <c r="BK87" s="255"/>
      <c r="BL87" s="255"/>
      <c r="BM87" s="255"/>
      <c r="BN87" s="255"/>
      <c r="BO87" s="255"/>
      <c r="BP87" s="255"/>
      <c r="BQ87" s="255"/>
      <c r="BR87" s="255"/>
    </row>
    <row r="88" spans="1:70" ht="15" customHeight="1">
      <c r="A88" s="1160"/>
      <c r="B88" s="1200"/>
      <c r="C88" s="1164"/>
      <c r="D88" s="1164"/>
      <c r="E88" s="1164"/>
      <c r="F88" s="1164"/>
      <c r="G88" s="1266"/>
      <c r="H88" s="1207"/>
      <c r="I88" s="1207"/>
      <c r="J88" s="1207"/>
      <c r="K88" s="1207"/>
      <c r="L88" s="1207"/>
      <c r="M88" s="1207"/>
      <c r="N88" s="242"/>
      <c r="P88" s="242"/>
      <c r="Q88" s="242"/>
      <c r="R88" s="242"/>
      <c r="S88" s="242"/>
      <c r="T88" s="242"/>
      <c r="U88" s="242"/>
      <c r="V88" s="251"/>
      <c r="X88" s="242"/>
      <c r="Y88" s="243"/>
      <c r="AD88" s="242"/>
      <c r="AE88" s="242"/>
      <c r="AG88" s="242"/>
      <c r="AI88" s="256"/>
      <c r="AJ88" s="256"/>
      <c r="AK88" s="256"/>
      <c r="AT88" s="242"/>
      <c r="AU88" s="242"/>
      <c r="AV88" s="242"/>
      <c r="AW88" s="242"/>
      <c r="AX88" s="242"/>
      <c r="AY88" s="242"/>
      <c r="AZ88" s="242"/>
      <c r="BA88" s="242"/>
      <c r="BB88" s="242"/>
      <c r="BC88" s="255"/>
      <c r="BD88" s="255"/>
      <c r="BE88" s="255"/>
      <c r="BF88" s="255"/>
      <c r="BG88" s="255"/>
      <c r="BH88" s="255"/>
      <c r="BI88" s="255"/>
      <c r="BJ88" s="255"/>
      <c r="BK88" s="255"/>
      <c r="BL88" s="255"/>
      <c r="BM88" s="255"/>
      <c r="BN88" s="255"/>
      <c r="BO88" s="255"/>
      <c r="BP88" s="255"/>
      <c r="BQ88" s="255"/>
      <c r="BR88" s="255"/>
    </row>
    <row r="89" spans="1:70" ht="15" customHeight="1">
      <c r="A89" s="1336">
        <v>1.4</v>
      </c>
      <c r="B89" s="1198" t="s">
        <v>943</v>
      </c>
      <c r="C89" s="1162"/>
      <c r="D89" s="1162"/>
      <c r="E89" s="1162"/>
      <c r="F89" s="1162"/>
      <c r="G89" s="1265"/>
      <c r="H89" s="1205" t="str">
        <f>IF(ISBLANK(P$3),"",1)</f>
        <v/>
      </c>
      <c r="I89" s="1205" t="str">
        <f>IF(ISBLANK(T$3),"",1)</f>
        <v/>
      </c>
      <c r="J89" s="1205" t="str">
        <f>IF(ISBLANK(X$3),"",1)</f>
        <v/>
      </c>
      <c r="K89" s="1205" t="str">
        <f>IF(ISBLANK(AB$3),"",1)</f>
        <v/>
      </c>
      <c r="L89" s="1205" t="str">
        <f>IF(ISBLANK(AF$3),"",1)</f>
        <v/>
      </c>
      <c r="M89" s="1205" t="str">
        <f t="shared" ref="M89" si="60">IF(ISBLANK(AJ$3),"",1)</f>
        <v/>
      </c>
      <c r="N89" s="242"/>
      <c r="P89" s="242"/>
      <c r="Q89" s="242"/>
      <c r="R89" s="242"/>
      <c r="S89" s="242"/>
      <c r="T89" s="242"/>
      <c r="U89" s="242"/>
      <c r="V89" s="251"/>
      <c r="X89" s="242"/>
      <c r="Y89" s="243"/>
      <c r="AD89" s="242"/>
      <c r="AE89" s="242"/>
      <c r="AG89" s="242"/>
      <c r="AI89" s="256"/>
      <c r="AJ89" s="256"/>
      <c r="AK89" s="256"/>
      <c r="AT89" s="242"/>
      <c r="AU89" s="242"/>
      <c r="AV89" s="242"/>
      <c r="AW89" s="242"/>
      <c r="AX89" s="242"/>
      <c r="AY89" s="242"/>
      <c r="AZ89" s="242"/>
      <c r="BA89" s="242"/>
      <c r="BB89" s="242"/>
      <c r="BC89" s="255"/>
      <c r="BD89" s="255"/>
      <c r="BE89" s="255"/>
      <c r="BF89" s="255"/>
      <c r="BG89" s="255"/>
      <c r="BH89" s="255"/>
      <c r="BI89" s="255"/>
      <c r="BJ89" s="255"/>
      <c r="BK89" s="255"/>
      <c r="BL89" s="255"/>
      <c r="BM89" s="255"/>
      <c r="BN89" s="255"/>
      <c r="BO89" s="255"/>
      <c r="BP89" s="255"/>
      <c r="BQ89" s="255"/>
      <c r="BR89" s="255"/>
    </row>
    <row r="90" spans="1:70" ht="15" customHeight="1">
      <c r="A90" s="1159"/>
      <c r="B90" s="1200"/>
      <c r="C90" s="1164"/>
      <c r="D90" s="1164"/>
      <c r="E90" s="1164"/>
      <c r="F90" s="1164"/>
      <c r="G90" s="1266"/>
      <c r="H90" s="1206"/>
      <c r="I90" s="1206"/>
      <c r="J90" s="1206"/>
      <c r="K90" s="1206"/>
      <c r="L90" s="1206"/>
      <c r="M90" s="1206"/>
      <c r="N90" s="242"/>
      <c r="P90" s="242"/>
      <c r="Q90" s="242"/>
      <c r="R90" s="242"/>
      <c r="S90" s="242"/>
      <c r="T90" s="242"/>
      <c r="U90" s="242"/>
      <c r="V90" s="251"/>
      <c r="X90" s="242"/>
      <c r="Y90" s="243"/>
      <c r="AD90" s="242"/>
      <c r="AE90" s="242"/>
      <c r="AG90" s="242"/>
      <c r="AI90" s="256"/>
      <c r="AJ90" s="256"/>
      <c r="AK90" s="256"/>
      <c r="AT90" s="242"/>
      <c r="AU90" s="242"/>
      <c r="AV90" s="242"/>
      <c r="AW90" s="242"/>
      <c r="AX90" s="242"/>
      <c r="AY90" s="242"/>
      <c r="AZ90" s="242"/>
      <c r="BA90" s="242"/>
      <c r="BB90" s="242"/>
      <c r="BC90" s="255"/>
      <c r="BD90" s="255"/>
      <c r="BE90" s="255"/>
      <c r="BF90" s="255"/>
      <c r="BG90" s="255"/>
      <c r="BH90" s="255"/>
      <c r="BI90" s="255"/>
      <c r="BJ90" s="255"/>
      <c r="BK90" s="255"/>
      <c r="BL90" s="255"/>
      <c r="BM90" s="255"/>
      <c r="BN90" s="255"/>
      <c r="BO90" s="255"/>
      <c r="BP90" s="255"/>
      <c r="BQ90" s="255"/>
      <c r="BR90" s="255"/>
    </row>
    <row r="91" spans="1:70" ht="15" customHeight="1">
      <c r="A91" s="1160"/>
      <c r="B91" s="1200"/>
      <c r="C91" s="1164"/>
      <c r="D91" s="1164"/>
      <c r="E91" s="1164"/>
      <c r="F91" s="1164"/>
      <c r="G91" s="1266"/>
      <c r="H91" s="1207"/>
      <c r="I91" s="1207"/>
      <c r="J91" s="1207"/>
      <c r="K91" s="1207"/>
      <c r="L91" s="1207"/>
      <c r="M91" s="1207"/>
      <c r="N91" s="242"/>
      <c r="P91" s="242"/>
      <c r="Q91" s="242"/>
      <c r="R91" s="242"/>
      <c r="S91" s="242"/>
      <c r="T91" s="242"/>
      <c r="U91" s="242"/>
      <c r="V91" s="251"/>
      <c r="X91" s="242"/>
      <c r="Y91" s="243"/>
      <c r="AD91" s="242"/>
      <c r="AE91" s="242"/>
      <c r="AG91" s="242"/>
      <c r="AI91" s="256"/>
      <c r="AJ91" s="256"/>
      <c r="AK91" s="256"/>
      <c r="AT91" s="242"/>
      <c r="AU91" s="242"/>
      <c r="AV91" s="242"/>
      <c r="AW91" s="242"/>
      <c r="AX91" s="242"/>
      <c r="AY91" s="242"/>
      <c r="AZ91" s="242"/>
      <c r="BA91" s="242"/>
      <c r="BB91" s="242"/>
      <c r="BC91" s="255"/>
      <c r="BD91" s="255"/>
      <c r="BE91" s="255"/>
      <c r="BF91" s="255"/>
      <c r="BG91" s="255"/>
      <c r="BH91" s="255"/>
      <c r="BI91" s="255"/>
      <c r="BJ91" s="255"/>
      <c r="BK91" s="255"/>
      <c r="BL91" s="255"/>
      <c r="BM91" s="255"/>
      <c r="BN91" s="255"/>
      <c r="BO91" s="255"/>
      <c r="BP91" s="255"/>
      <c r="BQ91" s="255"/>
      <c r="BR91" s="255"/>
    </row>
    <row r="92" spans="1:70" ht="15" customHeight="1">
      <c r="A92" s="1168" t="s">
        <v>637</v>
      </c>
      <c r="B92" s="1168"/>
      <c r="C92" s="1168"/>
      <c r="D92" s="1168"/>
      <c r="E92" s="1169"/>
      <c r="F92" s="614">
        <v>3.1</v>
      </c>
      <c r="G92" s="620">
        <f>COUNTIF($A$86:$A$91,F92)</f>
        <v>1</v>
      </c>
      <c r="H92" s="240" t="str">
        <f>IF($P$3=1,SUMIF($A$86:$A$91,$F92,$H$86:$H$91),"")</f>
        <v/>
      </c>
      <c r="I92" s="240" t="str">
        <f>IF($T$3=1,SUMIF($A$86:$A$91,$F92,$I$86:$I$91),"")</f>
        <v/>
      </c>
      <c r="J92" s="240" t="str">
        <f>IF($X$3=1,SUMIF($A$86:$A$91,$F92,$J$86:$J$91),"")</f>
        <v/>
      </c>
      <c r="K92" s="240" t="str">
        <f>IF($AB$3=1,SUMIF($A$86:$A$91,$F92,$K$86:$K$91),"")</f>
        <v/>
      </c>
      <c r="L92" s="240" t="str">
        <f>IF($AF$3=1,SUMIF($A$86:$A$91,$F92,$L$86:$L$91),"")</f>
        <v/>
      </c>
      <c r="M92" s="240" t="str">
        <f>IF($AJ$3=1,SUMIF($A$86:$A$91,$F92,$M$86:$M$91),"")</f>
        <v/>
      </c>
      <c r="N92" s="242"/>
      <c r="P92" s="242"/>
      <c r="Q92" s="242"/>
      <c r="R92" s="242"/>
      <c r="S92" s="242"/>
      <c r="T92" s="242"/>
      <c r="U92" s="242"/>
      <c r="V92" s="251"/>
      <c r="X92" s="242"/>
      <c r="Y92" s="243"/>
      <c r="AD92" s="242"/>
      <c r="AE92" s="242"/>
      <c r="AG92" s="242"/>
      <c r="AI92" s="256"/>
      <c r="AJ92" s="256"/>
      <c r="AK92" s="256"/>
      <c r="AT92" s="242"/>
      <c r="AU92" s="242"/>
      <c r="AV92" s="242"/>
      <c r="AW92" s="242"/>
      <c r="AX92" s="242"/>
      <c r="AY92" s="242"/>
      <c r="AZ92" s="242"/>
      <c r="BA92" s="242"/>
      <c r="BB92" s="242"/>
      <c r="BC92" s="255"/>
      <c r="BD92" s="255"/>
      <c r="BE92" s="255"/>
      <c r="BF92" s="255"/>
      <c r="BG92" s="255"/>
      <c r="BH92" s="255"/>
      <c r="BI92" s="255"/>
      <c r="BJ92" s="255"/>
      <c r="BK92" s="255"/>
      <c r="BL92" s="255"/>
      <c r="BM92" s="255"/>
      <c r="BN92" s="255"/>
      <c r="BO92" s="255"/>
      <c r="BP92" s="255"/>
      <c r="BQ92" s="255"/>
      <c r="BR92" s="255"/>
    </row>
    <row r="93" spans="1:70" ht="15" customHeight="1">
      <c r="F93" s="614">
        <v>1.4</v>
      </c>
      <c r="G93" s="620">
        <f>COUNTIF($A$86:$A$91,F93)</f>
        <v>1</v>
      </c>
      <c r="H93" s="240" t="str">
        <f>IF($P$3=1,SUMIF($A$86:$A$91,$F93,$H$86:$H$91),"")</f>
        <v/>
      </c>
      <c r="I93" s="240" t="str">
        <f>IF($T$3=1,SUMIF($A$86:$A$91,$F93,$I$86:$I$91),"")</f>
        <v/>
      </c>
      <c r="J93" s="240" t="str">
        <f>IF($X$3=1,SUMIF($A$86:$A$91,$F93,$J$86:$J$91),"")</f>
        <v/>
      </c>
      <c r="K93" s="240" t="str">
        <f>IF($AB$3=1,SUMIF($A$86:$A$91,$F93,$K$86:$K$91),"")</f>
        <v/>
      </c>
      <c r="L93" s="240" t="str">
        <f>IF($AF$3=1,SUMIF($A$86:$A$91,$F93,$L$86:$L$91),"")</f>
        <v/>
      </c>
      <c r="M93" s="240" t="str">
        <f>IF($AJ$3=1,SUMIF($A$86:$A$91,$F93,$M$86:$M$91),"")</f>
        <v/>
      </c>
      <c r="N93" s="242"/>
      <c r="P93" s="242"/>
      <c r="Q93" s="242"/>
      <c r="R93" s="242"/>
      <c r="S93" s="242"/>
      <c r="T93" s="242"/>
      <c r="U93" s="242"/>
      <c r="V93" s="251"/>
      <c r="X93" s="242"/>
      <c r="Y93" s="243"/>
      <c r="AD93" s="242"/>
      <c r="AE93" s="242"/>
      <c r="AG93" s="242"/>
      <c r="AI93" s="256"/>
      <c r="AJ93" s="256"/>
      <c r="AK93" s="256"/>
      <c r="AT93" s="242"/>
      <c r="AU93" s="242"/>
      <c r="AV93" s="242"/>
      <c r="AW93" s="242"/>
      <c r="AX93" s="242"/>
      <c r="AY93" s="242"/>
      <c r="AZ93" s="242"/>
      <c r="BA93" s="242"/>
      <c r="BB93" s="242"/>
      <c r="BC93" s="255"/>
      <c r="BD93" s="255"/>
      <c r="BE93" s="255"/>
      <c r="BF93" s="255"/>
      <c r="BG93" s="255"/>
      <c r="BH93" s="255"/>
      <c r="BI93" s="255"/>
      <c r="BJ93" s="255"/>
      <c r="BK93" s="255"/>
      <c r="BL93" s="255"/>
      <c r="BM93" s="255"/>
      <c r="BN93" s="255"/>
      <c r="BO93" s="255"/>
      <c r="BP93" s="255"/>
      <c r="BQ93" s="255"/>
      <c r="BR93" s="255"/>
    </row>
    <row r="94" spans="1:70" ht="15" customHeight="1">
      <c r="A94" s="1171" t="s">
        <v>640</v>
      </c>
      <c r="B94" s="1171"/>
      <c r="C94" s="1171"/>
      <c r="D94" s="1171"/>
      <c r="E94" s="1171"/>
      <c r="F94" s="1171"/>
      <c r="G94" s="1171"/>
      <c r="H94" s="1171"/>
      <c r="I94" s="1171"/>
      <c r="J94" s="1171"/>
      <c r="K94" s="1171"/>
      <c r="L94" s="1171"/>
      <c r="M94" s="1171"/>
      <c r="N94" s="1171"/>
      <c r="O94" s="1171"/>
      <c r="P94" s="1171"/>
      <c r="Q94" s="1171"/>
      <c r="R94" s="1171"/>
      <c r="S94" s="1171"/>
      <c r="T94" s="1171"/>
      <c r="U94" s="1171"/>
      <c r="V94" s="1171"/>
      <c r="W94" s="1171"/>
      <c r="X94" s="1171"/>
      <c r="Y94" s="1171"/>
      <c r="Z94" s="1171"/>
      <c r="AA94" s="1171"/>
      <c r="AB94" s="1171"/>
      <c r="AC94" s="1171"/>
      <c r="AD94" s="1171"/>
      <c r="AE94" s="1171"/>
      <c r="AF94" s="1171"/>
      <c r="AG94" s="1171"/>
      <c r="AH94" s="1171"/>
      <c r="AI94" s="117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row>
    <row r="95" spans="1:70" ht="15" customHeight="1" thickBot="1">
      <c r="A95" s="1171"/>
      <c r="B95" s="1171"/>
      <c r="C95" s="1171"/>
      <c r="D95" s="1171"/>
      <c r="E95" s="1171"/>
      <c r="F95" s="1171"/>
      <c r="G95" s="1171"/>
      <c r="H95" s="1171"/>
      <c r="I95" s="1171"/>
      <c r="J95" s="1171"/>
      <c r="K95" s="1171"/>
      <c r="L95" s="1171"/>
      <c r="M95" s="1171"/>
      <c r="N95" s="1171"/>
      <c r="O95" s="1171"/>
      <c r="P95" s="1171"/>
      <c r="Q95" s="1171"/>
      <c r="R95" s="1171"/>
      <c r="S95" s="1171"/>
      <c r="T95" s="1171"/>
      <c r="U95" s="1171"/>
      <c r="V95" s="1171"/>
      <c r="W95" s="1171"/>
      <c r="X95" s="1171"/>
      <c r="Y95" s="1171"/>
      <c r="Z95" s="1171"/>
      <c r="AA95" s="1171"/>
      <c r="AB95" s="1171"/>
      <c r="AC95" s="1171"/>
      <c r="AD95" s="1171"/>
      <c r="AE95" s="1171"/>
      <c r="AF95" s="1171"/>
      <c r="AG95" s="1171"/>
      <c r="AH95" s="1171"/>
      <c r="AI95" s="1171"/>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row>
    <row r="96" spans="1:70" ht="15" customHeight="1">
      <c r="A96" s="1172"/>
      <c r="B96" s="1173" t="s">
        <v>608</v>
      </c>
      <c r="C96" s="1173"/>
      <c r="D96" s="1173"/>
      <c r="E96" s="1173"/>
      <c r="F96" s="1173"/>
      <c r="G96" s="1173"/>
      <c r="H96" s="1343">
        <v>7</v>
      </c>
      <c r="I96" s="1174">
        <v>8</v>
      </c>
      <c r="J96" s="1620"/>
      <c r="K96" s="1621"/>
      <c r="L96" s="1621"/>
      <c r="M96" s="1622"/>
      <c r="N96" s="1703"/>
      <c r="O96" s="1691" t="s">
        <v>449</v>
      </c>
      <c r="P96" s="1692"/>
      <c r="Q96" s="1692"/>
      <c r="R96" s="1692"/>
      <c r="S96" s="1692"/>
      <c r="T96" s="1692"/>
      <c r="U96" s="1693"/>
      <c r="V96" s="1700"/>
      <c r="W96" s="1706" t="s">
        <v>448</v>
      </c>
      <c r="X96" s="1707"/>
      <c r="Y96" s="1707"/>
      <c r="Z96" s="1707"/>
      <c r="AA96" s="1707"/>
      <c r="AB96" s="1707"/>
      <c r="AC96" s="1707"/>
      <c r="AD96" s="613"/>
      <c r="AE96" s="613"/>
      <c r="AF96" s="613"/>
      <c r="AG96" s="613"/>
      <c r="AH96" s="613"/>
      <c r="AI96" s="613"/>
      <c r="AJ96" s="613"/>
      <c r="AK96" s="613"/>
      <c r="AL96" s="613"/>
      <c r="AM96" s="613"/>
      <c r="AN96" s="613"/>
      <c r="AO96" s="613"/>
      <c r="AP96" s="613"/>
      <c r="AQ96" s="613"/>
      <c r="AR96" s="613"/>
      <c r="AS96" s="613"/>
      <c r="AT96" s="613"/>
      <c r="AU96" s="613"/>
      <c r="AV96" s="613"/>
      <c r="AW96" s="613"/>
      <c r="AX96" s="613"/>
      <c r="AY96" s="613"/>
      <c r="AZ96" s="613"/>
      <c r="BA96" s="613"/>
      <c r="BB96" s="613"/>
      <c r="BC96" s="613"/>
      <c r="BD96" s="613"/>
      <c r="BE96" s="613"/>
      <c r="BF96" s="613"/>
      <c r="BG96" s="613"/>
      <c r="BH96" s="613"/>
      <c r="BI96" s="613"/>
      <c r="BJ96" s="613"/>
      <c r="BK96" s="613"/>
      <c r="BL96" s="613"/>
      <c r="BM96" s="613"/>
      <c r="BN96" s="255"/>
      <c r="BO96" s="255"/>
      <c r="BP96" s="255"/>
    </row>
    <row r="97" spans="1:68" ht="15" customHeight="1">
      <c r="A97" s="1172"/>
      <c r="B97" s="1173"/>
      <c r="C97" s="1173"/>
      <c r="D97" s="1173"/>
      <c r="E97" s="1173"/>
      <c r="F97" s="1173"/>
      <c r="G97" s="1173"/>
      <c r="H97" s="1344"/>
      <c r="I97" s="1174"/>
      <c r="J97" s="1620"/>
      <c r="K97" s="1621"/>
      <c r="L97" s="1621"/>
      <c r="M97" s="1622"/>
      <c r="N97" s="1704"/>
      <c r="O97" s="1694"/>
      <c r="P97" s="1695"/>
      <c r="Q97" s="1695"/>
      <c r="R97" s="1695"/>
      <c r="S97" s="1695"/>
      <c r="T97" s="1695"/>
      <c r="U97" s="1696"/>
      <c r="V97" s="1701"/>
      <c r="W97" s="1706"/>
      <c r="X97" s="1707"/>
      <c r="Y97" s="1707"/>
      <c r="Z97" s="1707"/>
      <c r="AA97" s="1707"/>
      <c r="AB97" s="1707"/>
      <c r="AC97" s="1707"/>
      <c r="AD97" s="613"/>
      <c r="AE97" s="613"/>
      <c r="AF97" s="613"/>
      <c r="AG97" s="613"/>
      <c r="AH97" s="613"/>
      <c r="AI97" s="613"/>
      <c r="AJ97" s="613"/>
      <c r="AK97" s="613"/>
      <c r="AL97" s="613"/>
      <c r="AM97" s="613"/>
      <c r="AN97" s="613"/>
      <c r="AO97" s="613"/>
      <c r="AP97" s="613"/>
      <c r="AQ97" s="613"/>
      <c r="AR97" s="613"/>
      <c r="AS97" s="613"/>
      <c r="AT97" s="613"/>
      <c r="AU97" s="613"/>
      <c r="AV97" s="613"/>
      <c r="AW97" s="613"/>
      <c r="AX97" s="613"/>
      <c r="AY97" s="613"/>
      <c r="AZ97" s="613"/>
      <c r="BA97" s="613"/>
      <c r="BB97" s="613"/>
      <c r="BC97" s="613"/>
      <c r="BD97" s="613"/>
      <c r="BE97" s="613"/>
      <c r="BF97" s="613"/>
      <c r="BG97" s="613"/>
      <c r="BH97" s="613"/>
      <c r="BI97" s="613"/>
      <c r="BJ97" s="613"/>
      <c r="BK97" s="613"/>
      <c r="BL97" s="613"/>
      <c r="BM97" s="613"/>
      <c r="BN97" s="255"/>
      <c r="BO97" s="255"/>
      <c r="BP97" s="255"/>
    </row>
    <row r="98" spans="1:68" ht="15" customHeight="1" thickBot="1">
      <c r="A98" s="1172"/>
      <c r="B98" s="1173"/>
      <c r="C98" s="1173"/>
      <c r="D98" s="1173"/>
      <c r="E98" s="1173"/>
      <c r="F98" s="1173"/>
      <c r="G98" s="1173"/>
      <c r="H98" s="1345"/>
      <c r="I98" s="1174"/>
      <c r="J98" s="1620"/>
      <c r="K98" s="1621"/>
      <c r="L98" s="1621"/>
      <c r="M98" s="1622"/>
      <c r="N98" s="1705"/>
      <c r="O98" s="1697"/>
      <c r="P98" s="1698"/>
      <c r="Q98" s="1698"/>
      <c r="R98" s="1698"/>
      <c r="S98" s="1698"/>
      <c r="T98" s="1698"/>
      <c r="U98" s="1699"/>
      <c r="V98" s="1702"/>
      <c r="W98" s="1707"/>
      <c r="X98" s="1707"/>
      <c r="Y98" s="1707"/>
      <c r="Z98" s="1707"/>
      <c r="AA98" s="1707"/>
      <c r="AB98" s="1707"/>
      <c r="AC98" s="1707"/>
      <c r="AD98" s="324"/>
      <c r="AF98" s="52"/>
      <c r="AO98" s="52"/>
      <c r="AU98" s="324"/>
      <c r="AV98" s="324"/>
      <c r="AW98" s="324"/>
      <c r="AX98" s="324"/>
      <c r="AY98" s="324"/>
      <c r="AZ98" s="324"/>
      <c r="BA98" s="324"/>
      <c r="BB98" s="324"/>
      <c r="BC98" s="324"/>
      <c r="BD98" s="324"/>
      <c r="BE98" s="324"/>
      <c r="BF98" s="324"/>
      <c r="BG98" s="324"/>
      <c r="BH98" s="324"/>
      <c r="BI98" s="324"/>
      <c r="BJ98" s="1182" t="s">
        <v>263</v>
      </c>
      <c r="BK98" s="1183"/>
      <c r="BL98" s="1183"/>
      <c r="BM98" s="1183"/>
      <c r="BN98" s="1183"/>
      <c r="BO98" s="1184"/>
      <c r="BP98" s="255"/>
    </row>
    <row r="99" spans="1:68" ht="15" customHeight="1">
      <c r="A99" s="1307">
        <v>1.1000000000000001</v>
      </c>
      <c r="B99" s="1161" t="s">
        <v>941</v>
      </c>
      <c r="C99" s="1162"/>
      <c r="D99" s="1162"/>
      <c r="E99" s="1162"/>
      <c r="F99" s="1162"/>
      <c r="G99" s="1199"/>
      <c r="H99" s="1205" t="str">
        <f>IF(ISBLANK(AN$3),"",1)</f>
        <v/>
      </c>
      <c r="I99" s="1205" t="str">
        <f>IF(ISBLANK(AR$3),"",1)</f>
        <v/>
      </c>
      <c r="J99" s="1620"/>
      <c r="K99" s="1621"/>
      <c r="L99" s="1621"/>
      <c r="M99" s="1622"/>
      <c r="N99" s="1685">
        <v>4.4000000000000004</v>
      </c>
      <c r="O99" s="1161" t="s">
        <v>342</v>
      </c>
      <c r="P99" s="1162"/>
      <c r="Q99" s="1162"/>
      <c r="R99" s="1162"/>
      <c r="S99" s="1162"/>
      <c r="T99" s="1199"/>
      <c r="U99" s="1688" t="str">
        <f>IF(ISBLANK(AN$3),"",1)</f>
        <v/>
      </c>
      <c r="V99" s="1686">
        <v>4.4000000000000004</v>
      </c>
      <c r="W99" s="1684" t="s">
        <v>374</v>
      </c>
      <c r="X99" s="1684"/>
      <c r="Y99" s="1684"/>
      <c r="Z99" s="1684"/>
      <c r="AA99" s="1684"/>
      <c r="AB99" s="1684"/>
      <c r="AC99" s="1342" t="str">
        <f>IF(ISBLANK(AR$3),"",1)</f>
        <v/>
      </c>
      <c r="AD99" s="324"/>
      <c r="AF99" s="52"/>
      <c r="AO99" s="52"/>
      <c r="AU99" s="324"/>
      <c r="AV99" s="324"/>
      <c r="AW99" s="324"/>
      <c r="AX99" s="324"/>
      <c r="AY99" s="324"/>
      <c r="AZ99" s="324"/>
      <c r="BA99" s="324"/>
      <c r="BB99" s="324"/>
      <c r="BC99" s="324"/>
      <c r="BD99" s="324"/>
      <c r="BE99" s="324"/>
      <c r="BF99" s="324"/>
      <c r="BG99" s="324"/>
      <c r="BH99" s="324"/>
      <c r="BI99" s="324"/>
      <c r="BJ99" s="1219"/>
      <c r="BK99" s="1220"/>
      <c r="BL99" s="1220"/>
      <c r="BM99" s="1220"/>
      <c r="BN99" s="1220"/>
      <c r="BO99" s="1221"/>
      <c r="BP99" s="255"/>
    </row>
    <row r="100" spans="1:68" ht="15" customHeight="1">
      <c r="A100" s="1308"/>
      <c r="B100" s="1163"/>
      <c r="C100" s="1164"/>
      <c r="D100" s="1164"/>
      <c r="E100" s="1164"/>
      <c r="F100" s="1164"/>
      <c r="G100" s="1201"/>
      <c r="H100" s="1206"/>
      <c r="I100" s="1206"/>
      <c r="J100" s="1620"/>
      <c r="K100" s="1621"/>
      <c r="L100" s="1621"/>
      <c r="M100" s="1622"/>
      <c r="N100" s="1685"/>
      <c r="O100" s="1163"/>
      <c r="P100" s="1164"/>
      <c r="Q100" s="1164"/>
      <c r="R100" s="1164"/>
      <c r="S100" s="1164"/>
      <c r="T100" s="1201"/>
      <c r="U100" s="1689"/>
      <c r="V100" s="1686"/>
      <c r="W100" s="1684"/>
      <c r="X100" s="1684"/>
      <c r="Y100" s="1684"/>
      <c r="Z100" s="1684"/>
      <c r="AA100" s="1684"/>
      <c r="AB100" s="1684"/>
      <c r="AC100" s="1342"/>
      <c r="AD100" s="325"/>
      <c r="AF100" s="52"/>
      <c r="AO100" s="52"/>
      <c r="AU100" s="325"/>
      <c r="AV100" s="325"/>
      <c r="AW100" s="325"/>
      <c r="AX100" s="325"/>
      <c r="AY100" s="325"/>
      <c r="AZ100" s="325"/>
      <c r="BA100" s="325"/>
      <c r="BB100" s="325"/>
      <c r="BC100" s="325"/>
      <c r="BD100" s="325"/>
      <c r="BE100" s="325"/>
      <c r="BF100" s="325"/>
      <c r="BG100" s="325"/>
      <c r="BH100" s="325"/>
      <c r="BI100" s="325"/>
      <c r="BJ100" s="1337"/>
      <c r="BK100" s="1338"/>
      <c r="BL100" s="1338"/>
      <c r="BM100" s="1338"/>
      <c r="BN100" s="1338"/>
      <c r="BO100" s="1339"/>
      <c r="BP100" s="255"/>
    </row>
    <row r="101" spans="1:68" ht="15" customHeight="1">
      <c r="A101" s="1309"/>
      <c r="B101" s="1165"/>
      <c r="C101" s="1166"/>
      <c r="D101" s="1166"/>
      <c r="E101" s="1166"/>
      <c r="F101" s="1166"/>
      <c r="G101" s="1292"/>
      <c r="H101" s="1207"/>
      <c r="I101" s="1207"/>
      <c r="J101" s="1620"/>
      <c r="K101" s="1621"/>
      <c r="L101" s="1621"/>
      <c r="M101" s="1622"/>
      <c r="N101" s="1685"/>
      <c r="O101" s="1165"/>
      <c r="P101" s="1166"/>
      <c r="Q101" s="1166"/>
      <c r="R101" s="1166"/>
      <c r="S101" s="1166"/>
      <c r="T101" s="1292"/>
      <c r="U101" s="1689"/>
      <c r="V101" s="1686"/>
      <c r="W101" s="1684"/>
      <c r="X101" s="1684"/>
      <c r="Y101" s="1684"/>
      <c r="Z101" s="1684"/>
      <c r="AA101" s="1684"/>
      <c r="AB101" s="1684"/>
      <c r="AC101" s="1342"/>
      <c r="AD101" s="325"/>
      <c r="AF101" s="52"/>
      <c r="AO101" s="52"/>
      <c r="AU101" s="325"/>
      <c r="AV101" s="325"/>
      <c r="AW101" s="325"/>
      <c r="AX101" s="325"/>
      <c r="AY101" s="325"/>
      <c r="AZ101" s="325"/>
      <c r="BA101" s="325"/>
      <c r="BB101" s="325"/>
      <c r="BC101" s="325"/>
      <c r="BD101" s="325"/>
      <c r="BE101" s="325"/>
      <c r="BF101" s="325"/>
      <c r="BG101" s="325"/>
      <c r="BH101" s="325"/>
      <c r="BI101" s="325"/>
      <c r="BJ101" s="1337"/>
      <c r="BK101" s="1338"/>
      <c r="BL101" s="1338"/>
      <c r="BM101" s="1338"/>
      <c r="BN101" s="1338"/>
      <c r="BO101" s="1339"/>
      <c r="BP101" s="255"/>
    </row>
    <row r="102" spans="1:68" ht="15" customHeight="1">
      <c r="A102" s="1304">
        <v>2.4</v>
      </c>
      <c r="B102" s="1161" t="s">
        <v>316</v>
      </c>
      <c r="C102" s="1162"/>
      <c r="D102" s="1162"/>
      <c r="E102" s="1162"/>
      <c r="F102" s="1162"/>
      <c r="G102" s="1199"/>
      <c r="H102" s="1205" t="str">
        <f t="shared" ref="H102" si="61">IF(ISBLANK(AN$3),"",1)</f>
        <v/>
      </c>
      <c r="I102" s="1205" t="str">
        <f t="shared" ref="I102" si="62">IF(ISBLANK(AR$3),"",1)</f>
        <v/>
      </c>
      <c r="J102" s="1620"/>
      <c r="K102" s="1621"/>
      <c r="L102" s="1621"/>
      <c r="M102" s="1622"/>
      <c r="N102" s="1685">
        <v>4.4000000000000004</v>
      </c>
      <c r="O102" s="1161" t="s">
        <v>319</v>
      </c>
      <c r="P102" s="1162"/>
      <c r="Q102" s="1162"/>
      <c r="R102" s="1162"/>
      <c r="S102" s="1162"/>
      <c r="T102" s="1199"/>
      <c r="U102" s="1688" t="str">
        <f>IF(ISBLANK(AN$3),"",1)</f>
        <v/>
      </c>
      <c r="V102" s="1686">
        <v>4.4000000000000004</v>
      </c>
      <c r="W102" s="1684" t="s">
        <v>375</v>
      </c>
      <c r="X102" s="1684"/>
      <c r="Y102" s="1684"/>
      <c r="Z102" s="1684"/>
      <c r="AA102" s="1684"/>
      <c r="AB102" s="1684"/>
      <c r="AC102" s="1342" t="str">
        <f>IF(ISBLANK(AR$3),"",1)</f>
        <v/>
      </c>
      <c r="AD102" s="325"/>
      <c r="AF102" s="52"/>
      <c r="AO102" s="52"/>
      <c r="AU102" s="325"/>
      <c r="AV102" s="325"/>
      <c r="AW102" s="325"/>
      <c r="AX102" s="325"/>
      <c r="AY102" s="325"/>
      <c r="AZ102" s="325"/>
      <c r="BA102" s="325"/>
      <c r="BB102" s="325"/>
      <c r="BC102" s="325"/>
      <c r="BD102" s="325"/>
      <c r="BE102" s="325"/>
      <c r="BF102" s="325"/>
      <c r="BG102" s="325"/>
      <c r="BH102" s="325"/>
      <c r="BI102" s="325"/>
      <c r="BJ102" s="1337"/>
      <c r="BK102" s="1338"/>
      <c r="BL102" s="1338"/>
      <c r="BM102" s="1338"/>
      <c r="BN102" s="1338"/>
      <c r="BO102" s="1339"/>
      <c r="BP102" s="255"/>
    </row>
    <row r="103" spans="1:68" ht="15" customHeight="1">
      <c r="A103" s="1290"/>
      <c r="B103" s="1163"/>
      <c r="C103" s="1164"/>
      <c r="D103" s="1164"/>
      <c r="E103" s="1164"/>
      <c r="F103" s="1164"/>
      <c r="G103" s="1201"/>
      <c r="H103" s="1206"/>
      <c r="I103" s="1206"/>
      <c r="J103" s="1620"/>
      <c r="K103" s="1621"/>
      <c r="L103" s="1621"/>
      <c r="M103" s="1622"/>
      <c r="N103" s="1685"/>
      <c r="O103" s="1163"/>
      <c r="P103" s="1164"/>
      <c r="Q103" s="1164"/>
      <c r="R103" s="1164"/>
      <c r="S103" s="1164"/>
      <c r="T103" s="1201"/>
      <c r="U103" s="1689"/>
      <c r="V103" s="1686"/>
      <c r="W103" s="1684"/>
      <c r="X103" s="1684"/>
      <c r="Y103" s="1684"/>
      <c r="Z103" s="1684"/>
      <c r="AA103" s="1684"/>
      <c r="AB103" s="1684"/>
      <c r="AC103" s="1342"/>
      <c r="AD103" s="325"/>
      <c r="AF103" s="52"/>
      <c r="AO103" s="52"/>
      <c r="AU103" s="325"/>
      <c r="AV103" s="325"/>
      <c r="AW103" s="325"/>
      <c r="AX103" s="325"/>
      <c r="AY103" s="325"/>
      <c r="AZ103" s="325"/>
      <c r="BA103" s="325"/>
      <c r="BB103" s="325"/>
      <c r="BC103" s="325"/>
      <c r="BD103" s="325"/>
      <c r="BE103" s="325"/>
      <c r="BF103" s="325"/>
      <c r="BG103" s="325"/>
      <c r="BH103" s="325"/>
      <c r="BI103" s="325"/>
      <c r="BJ103" s="1337"/>
      <c r="BK103" s="1338"/>
      <c r="BL103" s="1338"/>
      <c r="BM103" s="1338"/>
      <c r="BN103" s="1338"/>
      <c r="BO103" s="1339"/>
      <c r="BP103" s="255"/>
    </row>
    <row r="104" spans="1:68" ht="15" customHeight="1">
      <c r="A104" s="1291"/>
      <c r="B104" s="1165"/>
      <c r="C104" s="1166"/>
      <c r="D104" s="1166"/>
      <c r="E104" s="1166"/>
      <c r="F104" s="1166"/>
      <c r="G104" s="1292"/>
      <c r="H104" s="1207"/>
      <c r="I104" s="1207"/>
      <c r="J104" s="1620"/>
      <c r="K104" s="1621"/>
      <c r="L104" s="1621"/>
      <c r="M104" s="1622"/>
      <c r="N104" s="1685"/>
      <c r="O104" s="1165"/>
      <c r="P104" s="1166"/>
      <c r="Q104" s="1166"/>
      <c r="R104" s="1166"/>
      <c r="S104" s="1166"/>
      <c r="T104" s="1292"/>
      <c r="U104" s="1689"/>
      <c r="V104" s="1686"/>
      <c r="W104" s="1684"/>
      <c r="X104" s="1684"/>
      <c r="Y104" s="1684"/>
      <c r="Z104" s="1684"/>
      <c r="AA104" s="1684"/>
      <c r="AB104" s="1684"/>
      <c r="AC104" s="1342"/>
      <c r="AD104" s="325"/>
      <c r="AF104" s="52"/>
      <c r="AO104" s="52"/>
      <c r="AU104" s="325"/>
      <c r="AV104" s="325"/>
      <c r="AW104" s="325"/>
      <c r="AX104" s="325"/>
      <c r="AY104" s="325"/>
      <c r="AZ104" s="325"/>
      <c r="BA104" s="325"/>
      <c r="BB104" s="325"/>
      <c r="BC104" s="325"/>
      <c r="BD104" s="325"/>
      <c r="BE104" s="325"/>
      <c r="BF104" s="325"/>
      <c r="BG104" s="325"/>
      <c r="BH104" s="325"/>
      <c r="BI104" s="325"/>
      <c r="BJ104" s="1337"/>
      <c r="BK104" s="1338"/>
      <c r="BL104" s="1338"/>
      <c r="BM104" s="1338"/>
      <c r="BN104" s="1338"/>
      <c r="BO104" s="1339"/>
      <c r="BP104" s="255"/>
    </row>
    <row r="105" spans="1:68" ht="15" customHeight="1">
      <c r="A105" s="1307">
        <v>1.1000000000000001</v>
      </c>
      <c r="B105" s="1161" t="s">
        <v>320</v>
      </c>
      <c r="C105" s="1162"/>
      <c r="D105" s="1162"/>
      <c r="E105" s="1162"/>
      <c r="F105" s="1162"/>
      <c r="G105" s="1199"/>
      <c r="H105" s="1205" t="str">
        <f t="shared" ref="H105" si="63">IF(ISBLANK(AN$3),"",1)</f>
        <v/>
      </c>
      <c r="I105" s="1205" t="str">
        <f t="shared" ref="I105" si="64">IF(ISBLANK(AR$3),"",1)</f>
        <v/>
      </c>
      <c r="J105" s="1620"/>
      <c r="K105" s="1621"/>
      <c r="L105" s="1621"/>
      <c r="M105" s="1622"/>
      <c r="N105" s="1685">
        <v>4.4000000000000004</v>
      </c>
      <c r="O105" s="1161" t="s">
        <v>347</v>
      </c>
      <c r="P105" s="1162"/>
      <c r="Q105" s="1162"/>
      <c r="R105" s="1162"/>
      <c r="S105" s="1162"/>
      <c r="T105" s="1199"/>
      <c r="U105" s="1688" t="str">
        <f>IF(ISBLANK(AN$3),"",1)</f>
        <v/>
      </c>
      <c r="V105" s="1686">
        <v>4.4000000000000004</v>
      </c>
      <c r="W105" s="1684" t="s">
        <v>376</v>
      </c>
      <c r="X105" s="1684"/>
      <c r="Y105" s="1684"/>
      <c r="Z105" s="1684"/>
      <c r="AA105" s="1684"/>
      <c r="AB105" s="1684"/>
      <c r="AC105" s="1342" t="str">
        <f>IF(ISBLANK(AR$3),"",1)</f>
        <v/>
      </c>
      <c r="AD105" s="325"/>
      <c r="AF105" s="52"/>
      <c r="AO105" s="52"/>
      <c r="AU105" s="325"/>
      <c r="AV105" s="325"/>
      <c r="AW105" s="325"/>
      <c r="AX105" s="325"/>
      <c r="AY105" s="325"/>
      <c r="AZ105" s="325"/>
      <c r="BA105" s="325"/>
      <c r="BB105" s="325"/>
      <c r="BC105" s="325"/>
      <c r="BD105" s="325"/>
      <c r="BE105" s="325"/>
      <c r="BF105" s="325"/>
      <c r="BG105" s="325"/>
      <c r="BH105" s="325"/>
      <c r="BI105" s="325"/>
      <c r="BJ105" s="1337"/>
      <c r="BK105" s="1338"/>
      <c r="BL105" s="1338"/>
      <c r="BM105" s="1338"/>
      <c r="BN105" s="1338"/>
      <c r="BO105" s="1339"/>
      <c r="BP105" s="255"/>
    </row>
    <row r="106" spans="1:68" ht="15" customHeight="1">
      <c r="A106" s="1308"/>
      <c r="B106" s="1163"/>
      <c r="C106" s="1164"/>
      <c r="D106" s="1164"/>
      <c r="E106" s="1164"/>
      <c r="F106" s="1164"/>
      <c r="G106" s="1201"/>
      <c r="H106" s="1206"/>
      <c r="I106" s="1206"/>
      <c r="J106" s="1620"/>
      <c r="K106" s="1621"/>
      <c r="L106" s="1621"/>
      <c r="M106" s="1622"/>
      <c r="N106" s="1685"/>
      <c r="O106" s="1163"/>
      <c r="P106" s="1164"/>
      <c r="Q106" s="1164"/>
      <c r="R106" s="1164"/>
      <c r="S106" s="1164"/>
      <c r="T106" s="1201"/>
      <c r="U106" s="1689"/>
      <c r="V106" s="1686"/>
      <c r="W106" s="1684"/>
      <c r="X106" s="1684"/>
      <c r="Y106" s="1684"/>
      <c r="Z106" s="1684"/>
      <c r="AA106" s="1684"/>
      <c r="AB106" s="1684"/>
      <c r="AC106" s="1342"/>
      <c r="AD106" s="325"/>
      <c r="AF106" s="52"/>
      <c r="AO106" s="52"/>
      <c r="AU106" s="325"/>
      <c r="AV106" s="325"/>
      <c r="AW106" s="325"/>
      <c r="AX106" s="325"/>
      <c r="AY106" s="325"/>
      <c r="AZ106" s="325"/>
      <c r="BA106" s="325"/>
      <c r="BB106" s="325"/>
      <c r="BC106" s="325"/>
      <c r="BD106" s="325"/>
      <c r="BE106" s="325"/>
      <c r="BF106" s="325"/>
      <c r="BG106" s="325"/>
      <c r="BH106" s="325"/>
      <c r="BI106" s="325"/>
      <c r="BJ106" s="1337"/>
      <c r="BK106" s="1338"/>
      <c r="BL106" s="1338"/>
      <c r="BM106" s="1338"/>
      <c r="BN106" s="1338"/>
      <c r="BO106" s="1339"/>
      <c r="BP106" s="255"/>
    </row>
    <row r="107" spans="1:68" ht="15" customHeight="1">
      <c r="A107" s="1309"/>
      <c r="B107" s="1165"/>
      <c r="C107" s="1166"/>
      <c r="D107" s="1166"/>
      <c r="E107" s="1166"/>
      <c r="F107" s="1166"/>
      <c r="G107" s="1292"/>
      <c r="H107" s="1207"/>
      <c r="I107" s="1207"/>
      <c r="J107" s="1620"/>
      <c r="K107" s="1621"/>
      <c r="L107" s="1621"/>
      <c r="M107" s="1622"/>
      <c r="N107" s="1685"/>
      <c r="O107" s="1165"/>
      <c r="P107" s="1166"/>
      <c r="Q107" s="1166"/>
      <c r="R107" s="1166"/>
      <c r="S107" s="1166"/>
      <c r="T107" s="1292"/>
      <c r="U107" s="1689"/>
      <c r="V107" s="1686"/>
      <c r="W107" s="1684"/>
      <c r="X107" s="1684"/>
      <c r="Y107" s="1684"/>
      <c r="Z107" s="1684"/>
      <c r="AA107" s="1684"/>
      <c r="AB107" s="1684"/>
      <c r="AC107" s="1342"/>
      <c r="AD107" s="325"/>
      <c r="AF107" s="52"/>
      <c r="AO107" s="52"/>
      <c r="AU107" s="325"/>
      <c r="AV107" s="325"/>
      <c r="AW107" s="325"/>
      <c r="AX107" s="325"/>
      <c r="AY107" s="325"/>
      <c r="AZ107" s="325"/>
      <c r="BA107" s="325"/>
      <c r="BB107" s="325"/>
      <c r="BC107" s="325"/>
      <c r="BD107" s="325"/>
      <c r="BE107" s="325"/>
      <c r="BF107" s="325"/>
      <c r="BG107" s="325"/>
      <c r="BH107" s="325"/>
      <c r="BI107" s="325"/>
      <c r="BJ107" s="1337"/>
      <c r="BK107" s="1338"/>
      <c r="BL107" s="1338"/>
      <c r="BM107" s="1338"/>
      <c r="BN107" s="1338"/>
      <c r="BO107" s="1339"/>
      <c r="BP107" s="255"/>
    </row>
    <row r="108" spans="1:68" ht="15" customHeight="1">
      <c r="A108" s="1304">
        <v>2.1</v>
      </c>
      <c r="B108" s="1161" t="s">
        <v>322</v>
      </c>
      <c r="C108" s="1162"/>
      <c r="D108" s="1162"/>
      <c r="E108" s="1162"/>
      <c r="F108" s="1162"/>
      <c r="G108" s="1199"/>
      <c r="H108" s="1205" t="str">
        <f t="shared" ref="H108" si="65">IF(ISBLANK(AN$3),"",1)</f>
        <v/>
      </c>
      <c r="I108" s="1205" t="str">
        <f t="shared" ref="I108" si="66">IF(ISBLANK(AR$3),"",1)</f>
        <v/>
      </c>
      <c r="J108" s="1620"/>
      <c r="K108" s="1621"/>
      <c r="L108" s="1621"/>
      <c r="M108" s="1622"/>
      <c r="N108" s="1690">
        <v>4.4000000000000004</v>
      </c>
      <c r="O108" s="1161" t="s">
        <v>349</v>
      </c>
      <c r="P108" s="1162"/>
      <c r="Q108" s="1162"/>
      <c r="R108" s="1162"/>
      <c r="S108" s="1162"/>
      <c r="T108" s="1199"/>
      <c r="U108" s="1688" t="str">
        <f>IF(ISBLANK(AN$3),"",1)</f>
        <v/>
      </c>
      <c r="V108" s="1686">
        <v>4.4000000000000004</v>
      </c>
      <c r="W108" s="1684" t="s">
        <v>319</v>
      </c>
      <c r="X108" s="1684"/>
      <c r="Y108" s="1684"/>
      <c r="Z108" s="1684"/>
      <c r="AA108" s="1684"/>
      <c r="AB108" s="1684"/>
      <c r="AC108" s="1342" t="str">
        <f>IF(ISBLANK(AR$3),"",1)</f>
        <v/>
      </c>
      <c r="AD108" s="325"/>
      <c r="AF108" s="52"/>
      <c r="AO108" s="52"/>
      <c r="AU108" s="325"/>
      <c r="AV108" s="325"/>
      <c r="AW108" s="325"/>
      <c r="AX108" s="325"/>
      <c r="AY108" s="325"/>
      <c r="AZ108" s="325"/>
      <c r="BA108" s="325"/>
      <c r="BB108" s="325"/>
      <c r="BC108" s="325"/>
      <c r="BD108" s="325"/>
      <c r="BE108" s="325"/>
      <c r="BF108" s="325"/>
      <c r="BG108" s="325"/>
      <c r="BH108" s="325"/>
      <c r="BI108" s="325"/>
      <c r="BJ108" s="1337"/>
      <c r="BK108" s="1338"/>
      <c r="BL108" s="1338"/>
      <c r="BM108" s="1338"/>
      <c r="BN108" s="1338"/>
      <c r="BO108" s="1339"/>
      <c r="BP108" s="255"/>
    </row>
    <row r="109" spans="1:68" ht="15" customHeight="1">
      <c r="A109" s="1290"/>
      <c r="B109" s="1163"/>
      <c r="C109" s="1164"/>
      <c r="D109" s="1164"/>
      <c r="E109" s="1164"/>
      <c r="F109" s="1164"/>
      <c r="G109" s="1201"/>
      <c r="H109" s="1206"/>
      <c r="I109" s="1206"/>
      <c r="J109" s="1620"/>
      <c r="K109" s="1621"/>
      <c r="L109" s="1621"/>
      <c r="M109" s="1622"/>
      <c r="N109" s="1690"/>
      <c r="O109" s="1163"/>
      <c r="P109" s="1164"/>
      <c r="Q109" s="1164"/>
      <c r="R109" s="1164"/>
      <c r="S109" s="1164"/>
      <c r="T109" s="1201"/>
      <c r="U109" s="1689"/>
      <c r="V109" s="1686"/>
      <c r="W109" s="1684"/>
      <c r="X109" s="1684"/>
      <c r="Y109" s="1684"/>
      <c r="Z109" s="1684"/>
      <c r="AA109" s="1684"/>
      <c r="AB109" s="1684"/>
      <c r="AC109" s="1342"/>
      <c r="AD109" s="325"/>
      <c r="AF109" s="52"/>
      <c r="AO109" s="52"/>
      <c r="AU109" s="325"/>
      <c r="AV109" s="325"/>
      <c r="AW109" s="325"/>
      <c r="AX109" s="325"/>
      <c r="AY109" s="325"/>
      <c r="AZ109" s="325"/>
      <c r="BA109" s="325"/>
      <c r="BB109" s="325"/>
      <c r="BC109" s="325"/>
      <c r="BD109" s="325"/>
      <c r="BE109" s="325"/>
      <c r="BF109" s="325"/>
      <c r="BG109" s="325"/>
      <c r="BH109" s="325"/>
      <c r="BI109" s="325"/>
      <c r="BJ109" s="1337"/>
      <c r="BK109" s="1338"/>
      <c r="BL109" s="1338"/>
      <c r="BM109" s="1338"/>
      <c r="BN109" s="1338"/>
      <c r="BO109" s="1339"/>
      <c r="BP109" s="255"/>
    </row>
    <row r="110" spans="1:68" ht="15" customHeight="1">
      <c r="A110" s="1291"/>
      <c r="B110" s="1165"/>
      <c r="C110" s="1166"/>
      <c r="D110" s="1166"/>
      <c r="E110" s="1166"/>
      <c r="F110" s="1166"/>
      <c r="G110" s="1292"/>
      <c r="H110" s="1207"/>
      <c r="I110" s="1207"/>
      <c r="J110" s="1620"/>
      <c r="K110" s="1621"/>
      <c r="L110" s="1621"/>
      <c r="M110" s="1622"/>
      <c r="N110" s="1690"/>
      <c r="O110" s="1165"/>
      <c r="P110" s="1166"/>
      <c r="Q110" s="1166"/>
      <c r="R110" s="1166"/>
      <c r="S110" s="1166"/>
      <c r="T110" s="1292"/>
      <c r="U110" s="1689"/>
      <c r="V110" s="1686"/>
      <c r="W110" s="1684"/>
      <c r="X110" s="1684"/>
      <c r="Y110" s="1684"/>
      <c r="Z110" s="1684"/>
      <c r="AA110" s="1684"/>
      <c r="AB110" s="1684"/>
      <c r="AC110" s="1342"/>
      <c r="AD110" s="325"/>
      <c r="AF110" s="52"/>
      <c r="AO110" s="52"/>
      <c r="AU110" s="325"/>
      <c r="AV110" s="325"/>
      <c r="AW110" s="325"/>
      <c r="AX110" s="325"/>
      <c r="AY110" s="325"/>
      <c r="AZ110" s="325"/>
      <c r="BA110" s="325"/>
      <c r="BB110" s="325"/>
      <c r="BC110" s="325"/>
      <c r="BD110" s="325"/>
      <c r="BE110" s="325"/>
      <c r="BF110" s="325"/>
      <c r="BG110" s="325"/>
      <c r="BH110" s="325"/>
      <c r="BI110" s="325"/>
      <c r="BJ110" s="1337"/>
      <c r="BK110" s="1338"/>
      <c r="BL110" s="1338"/>
      <c r="BM110" s="1338"/>
      <c r="BN110" s="1338"/>
      <c r="BO110" s="1339"/>
      <c r="BP110" s="255"/>
    </row>
    <row r="111" spans="1:68" ht="15" customHeight="1">
      <c r="A111" s="1307">
        <v>1.1000000000000001</v>
      </c>
      <c r="B111" s="1161" t="s">
        <v>940</v>
      </c>
      <c r="C111" s="1162"/>
      <c r="D111" s="1162"/>
      <c r="E111" s="1162"/>
      <c r="F111" s="1162"/>
      <c r="G111" s="1199"/>
      <c r="H111" s="1205" t="str">
        <f t="shared" ref="H111" si="67">IF(ISBLANK(AN$3),"",1)</f>
        <v/>
      </c>
      <c r="I111" s="1205" t="str">
        <f t="shared" ref="I111" si="68">IF(ISBLANK(AR$3),"",1)</f>
        <v/>
      </c>
      <c r="J111" s="1620"/>
      <c r="K111" s="1621"/>
      <c r="L111" s="1621"/>
      <c r="M111" s="1622"/>
      <c r="N111" s="1690">
        <v>4.4000000000000004</v>
      </c>
      <c r="O111" s="1161" t="s">
        <v>354</v>
      </c>
      <c r="P111" s="1162"/>
      <c r="Q111" s="1162"/>
      <c r="R111" s="1162"/>
      <c r="S111" s="1162"/>
      <c r="T111" s="1199"/>
      <c r="U111" s="1688" t="str">
        <f>IF(ISBLANK(AN$3),"",1)</f>
        <v/>
      </c>
      <c r="V111" s="1686">
        <v>4.4000000000000004</v>
      </c>
      <c r="W111" s="1684" t="s">
        <v>321</v>
      </c>
      <c r="X111" s="1684"/>
      <c r="Y111" s="1684"/>
      <c r="Z111" s="1684"/>
      <c r="AA111" s="1684"/>
      <c r="AB111" s="1684"/>
      <c r="AC111" s="1342" t="str">
        <f>IF(ISBLANK(AR$3),"",1)</f>
        <v/>
      </c>
      <c r="AD111" s="325"/>
      <c r="AF111" s="52"/>
      <c r="AO111" s="52"/>
      <c r="AU111" s="325"/>
      <c r="AV111" s="325"/>
      <c r="AW111" s="325"/>
      <c r="AX111" s="325"/>
      <c r="AY111" s="325"/>
      <c r="AZ111" s="325"/>
      <c r="BA111" s="325"/>
      <c r="BB111" s="325"/>
      <c r="BC111" s="325"/>
      <c r="BD111" s="325"/>
      <c r="BE111" s="325"/>
      <c r="BF111" s="325"/>
      <c r="BG111" s="325"/>
      <c r="BH111" s="325"/>
      <c r="BI111" s="325"/>
      <c r="BJ111" s="1337"/>
      <c r="BK111" s="1338"/>
      <c r="BL111" s="1338"/>
      <c r="BM111" s="1338"/>
      <c r="BN111" s="1338"/>
      <c r="BO111" s="1339"/>
      <c r="BP111" s="255"/>
    </row>
    <row r="112" spans="1:68" ht="15" customHeight="1">
      <c r="A112" s="1308"/>
      <c r="B112" s="1163"/>
      <c r="C112" s="1164"/>
      <c r="D112" s="1164"/>
      <c r="E112" s="1164"/>
      <c r="F112" s="1164"/>
      <c r="G112" s="1201"/>
      <c r="H112" s="1206"/>
      <c r="I112" s="1206"/>
      <c r="J112" s="1620"/>
      <c r="K112" s="1621"/>
      <c r="L112" s="1621"/>
      <c r="M112" s="1622"/>
      <c r="N112" s="1690"/>
      <c r="O112" s="1163"/>
      <c r="P112" s="1164"/>
      <c r="Q112" s="1164"/>
      <c r="R112" s="1164"/>
      <c r="S112" s="1164"/>
      <c r="T112" s="1201"/>
      <c r="U112" s="1689"/>
      <c r="V112" s="1686"/>
      <c r="W112" s="1684"/>
      <c r="X112" s="1684"/>
      <c r="Y112" s="1684"/>
      <c r="Z112" s="1684"/>
      <c r="AA112" s="1684"/>
      <c r="AB112" s="1684"/>
      <c r="AC112" s="1342"/>
      <c r="AD112" s="325"/>
      <c r="AF112" s="52"/>
      <c r="AO112" s="52"/>
      <c r="AU112" s="325"/>
      <c r="AV112" s="325"/>
      <c r="AW112" s="325"/>
      <c r="AX112" s="325"/>
      <c r="AY112" s="325"/>
      <c r="AZ112" s="325"/>
      <c r="BA112" s="325"/>
      <c r="BB112" s="325"/>
      <c r="BC112" s="325"/>
      <c r="BD112" s="325"/>
      <c r="BE112" s="325"/>
      <c r="BF112" s="325"/>
      <c r="BG112" s="325"/>
      <c r="BH112" s="325"/>
      <c r="BI112" s="325"/>
      <c r="BJ112" s="1337"/>
      <c r="BK112" s="1338"/>
      <c r="BL112" s="1338"/>
      <c r="BM112" s="1338"/>
      <c r="BN112" s="1338"/>
      <c r="BO112" s="1339"/>
      <c r="BP112" s="255"/>
    </row>
    <row r="113" spans="1:68" ht="15" customHeight="1">
      <c r="A113" s="1309"/>
      <c r="B113" s="1165"/>
      <c r="C113" s="1166"/>
      <c r="D113" s="1166"/>
      <c r="E113" s="1166"/>
      <c r="F113" s="1166"/>
      <c r="G113" s="1292"/>
      <c r="H113" s="1207"/>
      <c r="I113" s="1207"/>
      <c r="J113" s="1620"/>
      <c r="K113" s="1621"/>
      <c r="L113" s="1621"/>
      <c r="M113" s="1622"/>
      <c r="N113" s="1690"/>
      <c r="O113" s="1165"/>
      <c r="P113" s="1166"/>
      <c r="Q113" s="1166"/>
      <c r="R113" s="1166"/>
      <c r="S113" s="1166"/>
      <c r="T113" s="1292"/>
      <c r="U113" s="1689"/>
      <c r="V113" s="1686"/>
      <c r="W113" s="1684"/>
      <c r="X113" s="1684"/>
      <c r="Y113" s="1684"/>
      <c r="Z113" s="1684"/>
      <c r="AA113" s="1684"/>
      <c r="AB113" s="1684"/>
      <c r="AC113" s="1342"/>
      <c r="AD113" s="325"/>
      <c r="AF113" s="52"/>
      <c r="AO113" s="52"/>
      <c r="AU113" s="325"/>
      <c r="AV113" s="325"/>
      <c r="AW113" s="325"/>
      <c r="AX113" s="325"/>
      <c r="AY113" s="325"/>
      <c r="AZ113" s="325"/>
      <c r="BA113" s="325"/>
      <c r="BB113" s="325"/>
      <c r="BC113" s="325"/>
      <c r="BD113" s="325"/>
      <c r="BE113" s="325"/>
      <c r="BF113" s="325"/>
      <c r="BG113" s="325"/>
      <c r="BH113" s="325"/>
      <c r="BI113" s="325"/>
      <c r="BJ113" s="1337"/>
      <c r="BK113" s="1338"/>
      <c r="BL113" s="1338"/>
      <c r="BM113" s="1338"/>
      <c r="BN113" s="1338"/>
      <c r="BO113" s="1339"/>
      <c r="BP113" s="255"/>
    </row>
    <row r="114" spans="1:68" ht="15" customHeight="1">
      <c r="A114" s="1307">
        <v>1.1000000000000001</v>
      </c>
      <c r="B114" s="1161" t="s">
        <v>330</v>
      </c>
      <c r="C114" s="1162"/>
      <c r="D114" s="1162"/>
      <c r="E114" s="1162"/>
      <c r="F114" s="1162"/>
      <c r="G114" s="1199"/>
      <c r="H114" s="1205" t="str">
        <f t="shared" ref="H114" si="69">IF(ISBLANK(AN$3),"",1)</f>
        <v/>
      </c>
      <c r="I114" s="1205" t="str">
        <f t="shared" ref="I114" si="70">IF(ISBLANK(AR$3),"",1)</f>
        <v/>
      </c>
      <c r="J114" s="1620"/>
      <c r="K114" s="1621"/>
      <c r="L114" s="1621"/>
      <c r="M114" s="1622"/>
      <c r="N114" s="1687">
        <v>2.4</v>
      </c>
      <c r="O114" s="1161" t="s">
        <v>335</v>
      </c>
      <c r="P114" s="1162"/>
      <c r="Q114" s="1162"/>
      <c r="R114" s="1162"/>
      <c r="S114" s="1162"/>
      <c r="T114" s="1199"/>
      <c r="U114" s="1688" t="str">
        <f>IF(ISBLANK(AN$3),"",1)</f>
        <v/>
      </c>
      <c r="V114" s="1686">
        <v>4.3</v>
      </c>
      <c r="W114" s="1684" t="s">
        <v>377</v>
      </c>
      <c r="X114" s="1684"/>
      <c r="Y114" s="1684"/>
      <c r="Z114" s="1684"/>
      <c r="AA114" s="1684"/>
      <c r="AB114" s="1684"/>
      <c r="AC114" s="1342" t="str">
        <f>IF(ISBLANK(AR$3),"",1)</f>
        <v/>
      </c>
      <c r="AD114" s="325"/>
      <c r="AF114" s="52"/>
      <c r="AO114" s="52"/>
      <c r="AU114" s="325"/>
      <c r="AV114" s="325"/>
      <c r="AW114" s="325"/>
      <c r="AX114" s="325"/>
      <c r="AY114" s="325"/>
      <c r="AZ114" s="325"/>
      <c r="BA114" s="325"/>
      <c r="BB114" s="325"/>
      <c r="BC114" s="325"/>
      <c r="BD114" s="325"/>
      <c r="BE114" s="325"/>
      <c r="BF114" s="325"/>
      <c r="BG114" s="325"/>
      <c r="BH114" s="325"/>
      <c r="BI114" s="325"/>
      <c r="BJ114" s="1337"/>
      <c r="BK114" s="1338"/>
      <c r="BL114" s="1338"/>
      <c r="BM114" s="1338"/>
      <c r="BN114" s="1338"/>
      <c r="BO114" s="1339"/>
      <c r="BP114" s="255"/>
    </row>
    <row r="115" spans="1:68" ht="15" customHeight="1">
      <c r="A115" s="1308"/>
      <c r="B115" s="1163"/>
      <c r="C115" s="1164"/>
      <c r="D115" s="1164"/>
      <c r="E115" s="1164"/>
      <c r="F115" s="1164"/>
      <c r="G115" s="1201"/>
      <c r="H115" s="1206"/>
      <c r="I115" s="1206"/>
      <c r="J115" s="1620"/>
      <c r="K115" s="1621"/>
      <c r="L115" s="1621"/>
      <c r="M115" s="1622"/>
      <c r="N115" s="1687"/>
      <c r="O115" s="1163"/>
      <c r="P115" s="1164"/>
      <c r="Q115" s="1164"/>
      <c r="R115" s="1164"/>
      <c r="S115" s="1164"/>
      <c r="T115" s="1201"/>
      <c r="U115" s="1689"/>
      <c r="V115" s="1686"/>
      <c r="W115" s="1684"/>
      <c r="X115" s="1684"/>
      <c r="Y115" s="1684"/>
      <c r="Z115" s="1684"/>
      <c r="AA115" s="1684"/>
      <c r="AB115" s="1684"/>
      <c r="AC115" s="1342"/>
      <c r="AD115" s="320"/>
      <c r="AF115" s="52"/>
      <c r="AO115" s="52"/>
      <c r="AU115" s="320"/>
      <c r="AV115" s="320"/>
      <c r="AW115" s="320"/>
      <c r="AX115" s="320"/>
      <c r="AY115" s="320"/>
      <c r="AZ115" s="320"/>
      <c r="BA115" s="320"/>
      <c r="BB115" s="320"/>
      <c r="BC115" s="320"/>
      <c r="BD115" s="320"/>
      <c r="BE115" s="320"/>
      <c r="BF115" s="320"/>
      <c r="BG115" s="320"/>
      <c r="BH115" s="320"/>
      <c r="BI115" s="320"/>
      <c r="BJ115" s="1337"/>
      <c r="BK115" s="1338"/>
      <c r="BL115" s="1338"/>
      <c r="BM115" s="1338"/>
      <c r="BN115" s="1338"/>
      <c r="BO115" s="1339"/>
      <c r="BP115" s="255"/>
    </row>
    <row r="116" spans="1:68" ht="15" customHeight="1">
      <c r="A116" s="1309"/>
      <c r="B116" s="1165"/>
      <c r="C116" s="1166"/>
      <c r="D116" s="1166"/>
      <c r="E116" s="1166"/>
      <c r="F116" s="1166"/>
      <c r="G116" s="1292"/>
      <c r="H116" s="1207"/>
      <c r="I116" s="1207"/>
      <c r="J116" s="1620"/>
      <c r="K116" s="1621"/>
      <c r="L116" s="1621"/>
      <c r="M116" s="1622"/>
      <c r="N116" s="1687"/>
      <c r="O116" s="1165"/>
      <c r="P116" s="1166"/>
      <c r="Q116" s="1166"/>
      <c r="R116" s="1166"/>
      <c r="S116" s="1166"/>
      <c r="T116" s="1292"/>
      <c r="U116" s="1689"/>
      <c r="V116" s="1686"/>
      <c r="W116" s="1684"/>
      <c r="X116" s="1684"/>
      <c r="Y116" s="1684"/>
      <c r="Z116" s="1684"/>
      <c r="AA116" s="1684"/>
      <c r="AB116" s="1684"/>
      <c r="AC116" s="1342"/>
      <c r="AD116" s="320"/>
      <c r="AF116" s="52"/>
      <c r="AO116" s="52"/>
      <c r="AU116" s="320"/>
      <c r="AV116" s="320"/>
      <c r="AW116" s="320"/>
      <c r="AX116" s="320"/>
      <c r="AY116" s="320"/>
      <c r="AZ116" s="320"/>
      <c r="BA116" s="320"/>
      <c r="BB116" s="320"/>
      <c r="BC116" s="320"/>
      <c r="BD116" s="320"/>
      <c r="BE116" s="320"/>
      <c r="BF116" s="320"/>
      <c r="BG116" s="320"/>
      <c r="BH116" s="320"/>
      <c r="BI116" s="320"/>
      <c r="BJ116" s="1337"/>
      <c r="BK116" s="1338"/>
      <c r="BL116" s="1338"/>
      <c r="BM116" s="1338"/>
      <c r="BN116" s="1338"/>
      <c r="BO116" s="1339"/>
      <c r="BP116" s="255"/>
    </row>
    <row r="117" spans="1:68" ht="15" customHeight="1">
      <c r="A117" s="1304">
        <v>1.5</v>
      </c>
      <c r="B117" s="1161" t="s">
        <v>336</v>
      </c>
      <c r="C117" s="1162"/>
      <c r="D117" s="1162"/>
      <c r="E117" s="1162"/>
      <c r="F117" s="1162"/>
      <c r="G117" s="1199"/>
      <c r="H117" s="1205" t="str">
        <f t="shared" ref="H117" si="71">IF(ISBLANK(AN$3),"",1)</f>
        <v/>
      </c>
      <c r="I117" s="1205" t="str">
        <f t="shared" ref="I117" si="72">IF(ISBLANK(AR$3),"",1)</f>
        <v/>
      </c>
      <c r="J117" s="1620"/>
      <c r="K117" s="1621"/>
      <c r="L117" s="1621"/>
      <c r="M117" s="1622"/>
      <c r="N117" s="1687">
        <v>2.4</v>
      </c>
      <c r="O117" s="1161" t="s">
        <v>337</v>
      </c>
      <c r="P117" s="1162"/>
      <c r="Q117" s="1162"/>
      <c r="R117" s="1162"/>
      <c r="S117" s="1162"/>
      <c r="T117" s="1199"/>
      <c r="U117" s="1688" t="str">
        <f>IF(ISBLANK(AN$3),"",1)</f>
        <v/>
      </c>
      <c r="V117" s="1683">
        <v>2.4</v>
      </c>
      <c r="W117" s="1684" t="s">
        <v>378</v>
      </c>
      <c r="X117" s="1684"/>
      <c r="Y117" s="1684"/>
      <c r="Z117" s="1684"/>
      <c r="AA117" s="1684"/>
      <c r="AB117" s="1684"/>
      <c r="AC117" s="1342" t="str">
        <f>IF(ISBLANK(AR$3),"",1)</f>
        <v/>
      </c>
      <c r="AD117" s="320"/>
      <c r="AF117" s="52"/>
      <c r="AO117" s="52"/>
      <c r="AU117" s="320"/>
      <c r="AV117" s="320"/>
      <c r="AW117" s="320"/>
      <c r="AX117" s="320"/>
      <c r="AY117" s="320"/>
      <c r="AZ117" s="320"/>
      <c r="BA117" s="320"/>
      <c r="BB117" s="320"/>
      <c r="BC117" s="320"/>
      <c r="BD117" s="320"/>
      <c r="BE117" s="320"/>
      <c r="BF117" s="320"/>
      <c r="BG117" s="320"/>
      <c r="BH117" s="320"/>
      <c r="BI117" s="320"/>
      <c r="BJ117" s="1337"/>
      <c r="BK117" s="1338"/>
      <c r="BL117" s="1338"/>
      <c r="BM117" s="1338"/>
      <c r="BN117" s="1338"/>
      <c r="BO117" s="1339"/>
      <c r="BP117" s="255"/>
    </row>
    <row r="118" spans="1:68" ht="15" customHeight="1">
      <c r="A118" s="1290"/>
      <c r="B118" s="1163"/>
      <c r="C118" s="1164"/>
      <c r="D118" s="1164"/>
      <c r="E118" s="1164"/>
      <c r="F118" s="1164"/>
      <c r="G118" s="1201"/>
      <c r="H118" s="1206"/>
      <c r="I118" s="1206"/>
      <c r="J118" s="1620"/>
      <c r="K118" s="1621"/>
      <c r="L118" s="1621"/>
      <c r="M118" s="1622"/>
      <c r="N118" s="1687"/>
      <c r="O118" s="1163"/>
      <c r="P118" s="1164"/>
      <c r="Q118" s="1164"/>
      <c r="R118" s="1164"/>
      <c r="S118" s="1164"/>
      <c r="T118" s="1201"/>
      <c r="U118" s="1689"/>
      <c r="V118" s="1683"/>
      <c r="W118" s="1684"/>
      <c r="X118" s="1684"/>
      <c r="Y118" s="1684"/>
      <c r="Z118" s="1684"/>
      <c r="AA118" s="1684"/>
      <c r="AB118" s="1684"/>
      <c r="AC118" s="1342"/>
      <c r="AD118" s="320"/>
      <c r="AF118" s="52"/>
      <c r="AO118" s="52"/>
      <c r="AU118" s="320"/>
      <c r="AV118" s="320"/>
      <c r="AW118" s="320"/>
      <c r="AX118" s="320"/>
      <c r="AY118" s="320"/>
      <c r="AZ118" s="320"/>
      <c r="BA118" s="320"/>
      <c r="BB118" s="320"/>
      <c r="BC118" s="320"/>
      <c r="BD118" s="320"/>
      <c r="BE118" s="320"/>
      <c r="BF118" s="320"/>
      <c r="BG118" s="320"/>
      <c r="BH118" s="320"/>
      <c r="BI118" s="320"/>
      <c r="BJ118" s="1337"/>
      <c r="BK118" s="1338"/>
      <c r="BL118" s="1338"/>
      <c r="BM118" s="1338"/>
      <c r="BN118" s="1338"/>
      <c r="BO118" s="1339"/>
      <c r="BP118" s="255"/>
    </row>
    <row r="119" spans="1:68" ht="15" customHeight="1">
      <c r="A119" s="1291"/>
      <c r="B119" s="1165"/>
      <c r="C119" s="1166"/>
      <c r="D119" s="1166"/>
      <c r="E119" s="1166"/>
      <c r="F119" s="1166"/>
      <c r="G119" s="1292"/>
      <c r="H119" s="1207"/>
      <c r="I119" s="1207"/>
      <c r="J119" s="1620"/>
      <c r="K119" s="1621"/>
      <c r="L119" s="1621"/>
      <c r="M119" s="1622"/>
      <c r="N119" s="1687"/>
      <c r="O119" s="1165"/>
      <c r="P119" s="1166"/>
      <c r="Q119" s="1166"/>
      <c r="R119" s="1166"/>
      <c r="S119" s="1166"/>
      <c r="T119" s="1292"/>
      <c r="U119" s="1689"/>
      <c r="V119" s="1683"/>
      <c r="W119" s="1684"/>
      <c r="X119" s="1684"/>
      <c r="Y119" s="1684"/>
      <c r="Z119" s="1684"/>
      <c r="AA119" s="1684"/>
      <c r="AB119" s="1684"/>
      <c r="AC119" s="1342"/>
      <c r="AD119" s="320"/>
      <c r="AF119" s="52"/>
      <c r="AO119" s="52"/>
      <c r="AU119" s="320"/>
      <c r="AV119" s="320"/>
      <c r="AW119" s="320"/>
      <c r="AX119" s="320"/>
      <c r="AY119" s="320"/>
      <c r="AZ119" s="320"/>
      <c r="BA119" s="320"/>
      <c r="BB119" s="320"/>
      <c r="BC119" s="320"/>
      <c r="BD119" s="320"/>
      <c r="BE119" s="320"/>
      <c r="BF119" s="320"/>
      <c r="BG119" s="320"/>
      <c r="BH119" s="320"/>
      <c r="BI119" s="320"/>
      <c r="BJ119" s="1337"/>
      <c r="BK119" s="1338"/>
      <c r="BL119" s="1338"/>
      <c r="BM119" s="1338"/>
      <c r="BN119" s="1338"/>
      <c r="BO119" s="1339"/>
      <c r="BP119" s="255"/>
    </row>
    <row r="120" spans="1:68" ht="15" customHeight="1">
      <c r="A120" s="1304">
        <v>2.1</v>
      </c>
      <c r="B120" s="1161" t="s">
        <v>360</v>
      </c>
      <c r="C120" s="1162"/>
      <c r="D120" s="1162"/>
      <c r="E120" s="1162"/>
      <c r="F120" s="1162"/>
      <c r="G120" s="1199"/>
      <c r="H120" s="1205" t="str">
        <f t="shared" ref="H120" si="73">IF(ISBLANK(AN$3),"",1)</f>
        <v/>
      </c>
      <c r="I120" s="1205" t="str">
        <f t="shared" ref="I120" si="74">IF(ISBLANK(AR$3),"",1)</f>
        <v/>
      </c>
      <c r="J120" s="1623"/>
      <c r="K120" s="1621"/>
      <c r="L120" s="1621"/>
      <c r="M120" s="1621"/>
      <c r="N120" s="255"/>
      <c r="O120" s="255"/>
      <c r="P120" s="255"/>
      <c r="Q120" s="255"/>
      <c r="R120" s="255"/>
      <c r="S120" s="326">
        <v>2.4</v>
      </c>
      <c r="T120" s="312">
        <f>COUNTIF($N$99:$N$119,S120)</f>
        <v>2</v>
      </c>
      <c r="U120" s="240" t="str">
        <f>IF($AN$3=1,SUMIF($N$99:$N$119,S120,$U$99:$U$119),"")</f>
        <v/>
      </c>
      <c r="V120" s="1683">
        <v>2.4</v>
      </c>
      <c r="W120" s="1684" t="s">
        <v>335</v>
      </c>
      <c r="X120" s="1684"/>
      <c r="Y120" s="1684"/>
      <c r="Z120" s="1684"/>
      <c r="AA120" s="1684"/>
      <c r="AB120" s="1684"/>
      <c r="AC120" s="1342" t="str">
        <f>IF(ISBLANK(AR$3),"",1)</f>
        <v/>
      </c>
      <c r="AD120" s="320"/>
      <c r="AF120" s="52"/>
      <c r="AO120" s="52"/>
      <c r="AU120" s="320"/>
      <c r="AV120" s="320"/>
      <c r="AW120" s="320"/>
      <c r="AX120" s="320"/>
      <c r="AY120" s="320"/>
      <c r="AZ120" s="320"/>
      <c r="BA120" s="320"/>
      <c r="BB120" s="320"/>
      <c r="BC120" s="320"/>
      <c r="BD120" s="320"/>
      <c r="BE120" s="320"/>
      <c r="BF120" s="320"/>
      <c r="BG120" s="320"/>
      <c r="BH120" s="320"/>
      <c r="BI120" s="320"/>
      <c r="BJ120" s="1337"/>
      <c r="BK120" s="1338"/>
      <c r="BL120" s="1338"/>
      <c r="BM120" s="1338"/>
      <c r="BN120" s="1338"/>
      <c r="BO120" s="1339"/>
      <c r="BP120" s="255"/>
    </row>
    <row r="121" spans="1:68" ht="15" customHeight="1">
      <c r="A121" s="1290"/>
      <c r="B121" s="1163"/>
      <c r="C121" s="1164"/>
      <c r="D121" s="1164"/>
      <c r="E121" s="1164"/>
      <c r="F121" s="1164"/>
      <c r="G121" s="1201"/>
      <c r="H121" s="1206"/>
      <c r="I121" s="1206"/>
      <c r="J121" s="1623"/>
      <c r="K121" s="1621"/>
      <c r="L121" s="1621"/>
      <c r="M121" s="1621"/>
      <c r="N121" s="255"/>
      <c r="O121" s="255"/>
      <c r="P121" s="255"/>
      <c r="Q121" s="255"/>
      <c r="R121" s="255"/>
      <c r="S121" s="327">
        <v>4.4000000000000004</v>
      </c>
      <c r="T121" s="312">
        <f>COUNTIF($N$99:$N$119,S121)</f>
        <v>5</v>
      </c>
      <c r="U121" s="240" t="str">
        <f>IF($AN$3=1,SUMIF($N$99:$N$119,S121,$U$99:$U$119),"")</f>
        <v/>
      </c>
      <c r="V121" s="1683"/>
      <c r="W121" s="1684"/>
      <c r="X121" s="1684"/>
      <c r="Y121" s="1684"/>
      <c r="Z121" s="1684"/>
      <c r="AA121" s="1684"/>
      <c r="AB121" s="1684"/>
      <c r="AC121" s="1342"/>
      <c r="AD121" s="320"/>
      <c r="AF121" s="52"/>
      <c r="AO121" s="52"/>
      <c r="AU121" s="320"/>
      <c r="AV121" s="320"/>
      <c r="AW121" s="320"/>
      <c r="AX121" s="320"/>
      <c r="AY121" s="320"/>
      <c r="AZ121" s="320"/>
      <c r="BA121" s="320"/>
      <c r="BB121" s="320"/>
      <c r="BC121" s="320"/>
      <c r="BD121" s="320"/>
      <c r="BE121" s="320"/>
      <c r="BF121" s="320"/>
      <c r="BG121" s="320"/>
      <c r="BH121" s="320"/>
      <c r="BI121" s="320"/>
      <c r="BJ121" s="1337"/>
      <c r="BK121" s="1338"/>
      <c r="BL121" s="1338"/>
      <c r="BM121" s="1338"/>
      <c r="BN121" s="1338"/>
      <c r="BO121" s="1339"/>
      <c r="BP121" s="255"/>
    </row>
    <row r="122" spans="1:68" ht="15" customHeight="1">
      <c r="A122" s="1291"/>
      <c r="B122" s="1165"/>
      <c r="C122" s="1166"/>
      <c r="D122" s="1166"/>
      <c r="E122" s="1166"/>
      <c r="F122" s="1166"/>
      <c r="G122" s="1292"/>
      <c r="H122" s="1207"/>
      <c r="I122" s="1207"/>
      <c r="J122" s="1623"/>
      <c r="K122" s="1621"/>
      <c r="L122" s="1621"/>
      <c r="M122" s="1621"/>
      <c r="N122" s="255"/>
      <c r="O122" s="255"/>
      <c r="P122" s="255"/>
      <c r="Q122" s="255"/>
      <c r="R122" s="255"/>
      <c r="S122" s="255"/>
      <c r="T122" s="255"/>
      <c r="U122" s="255"/>
      <c r="V122" s="1683"/>
      <c r="W122" s="1684"/>
      <c r="X122" s="1684"/>
      <c r="Y122" s="1684"/>
      <c r="Z122" s="1684"/>
      <c r="AA122" s="1684"/>
      <c r="AB122" s="1684"/>
      <c r="AC122" s="1342"/>
      <c r="AD122" s="320"/>
      <c r="AF122" s="52"/>
      <c r="AO122" s="52"/>
      <c r="AU122" s="320"/>
      <c r="AV122" s="320"/>
      <c r="AW122" s="320"/>
      <c r="AX122" s="320"/>
      <c r="AY122" s="320"/>
      <c r="AZ122" s="320"/>
      <c r="BA122" s="320"/>
      <c r="BB122" s="320"/>
      <c r="BC122" s="320"/>
      <c r="BD122" s="320"/>
      <c r="BE122" s="320"/>
      <c r="BF122" s="320"/>
      <c r="BG122" s="320"/>
      <c r="BH122" s="320"/>
      <c r="BI122" s="320"/>
      <c r="BJ122" s="1337"/>
      <c r="BK122" s="1338"/>
      <c r="BL122" s="1338"/>
      <c r="BM122" s="1338"/>
      <c r="BN122" s="1338"/>
      <c r="BO122" s="1339"/>
      <c r="BP122" s="255"/>
    </row>
    <row r="123" spans="1:68" ht="15" customHeight="1">
      <c r="A123" s="1304">
        <v>2.4</v>
      </c>
      <c r="B123" s="1161" t="s">
        <v>942</v>
      </c>
      <c r="C123" s="1162"/>
      <c r="D123" s="1162"/>
      <c r="E123" s="1162"/>
      <c r="F123" s="1162"/>
      <c r="G123" s="1199"/>
      <c r="H123" s="1205" t="str">
        <f t="shared" ref="H123" si="75">IF(ISBLANK(AN$3),"",1)</f>
        <v/>
      </c>
      <c r="I123" s="1205" t="str">
        <f t="shared" ref="I123" si="76">IF(ISBLANK(AR$3),"",1)</f>
        <v/>
      </c>
      <c r="J123" s="1623"/>
      <c r="K123" s="1621"/>
      <c r="L123" s="1621"/>
      <c r="M123" s="1621"/>
      <c r="N123" s="255"/>
      <c r="O123" s="255"/>
      <c r="P123" s="255"/>
      <c r="Q123" s="255"/>
      <c r="R123" s="255"/>
      <c r="S123" s="255"/>
      <c r="T123" s="255"/>
      <c r="U123" s="255"/>
      <c r="V123" s="1683">
        <v>2.4</v>
      </c>
      <c r="W123" s="1684" t="s">
        <v>337</v>
      </c>
      <c r="X123" s="1684"/>
      <c r="Y123" s="1684"/>
      <c r="Z123" s="1684"/>
      <c r="AA123" s="1684"/>
      <c r="AB123" s="1684"/>
      <c r="AC123" s="1342" t="str">
        <f>IF(ISBLANK(AR$3),"",1)</f>
        <v/>
      </c>
      <c r="AD123" s="320"/>
      <c r="AF123" s="52"/>
      <c r="AO123" s="52"/>
      <c r="AU123" s="320"/>
      <c r="AV123" s="320"/>
      <c r="AW123" s="320"/>
      <c r="AX123" s="320"/>
      <c r="AY123" s="320"/>
      <c r="AZ123" s="320"/>
      <c r="BA123" s="320"/>
      <c r="BB123" s="320"/>
      <c r="BC123" s="320"/>
      <c r="BD123" s="320"/>
      <c r="BE123" s="320"/>
      <c r="BF123" s="320"/>
      <c r="BG123" s="320"/>
      <c r="BH123" s="320"/>
      <c r="BI123" s="320"/>
      <c r="BJ123" s="1337"/>
      <c r="BK123" s="1338"/>
      <c r="BL123" s="1338"/>
      <c r="BM123" s="1338"/>
      <c r="BN123" s="1338"/>
      <c r="BO123" s="1339"/>
      <c r="BP123" s="255"/>
    </row>
    <row r="124" spans="1:68" ht="15" customHeight="1">
      <c r="A124" s="1290"/>
      <c r="B124" s="1163"/>
      <c r="C124" s="1164"/>
      <c r="D124" s="1164"/>
      <c r="E124" s="1164"/>
      <c r="F124" s="1164"/>
      <c r="G124" s="1201"/>
      <c r="H124" s="1206"/>
      <c r="I124" s="1206"/>
      <c r="J124" s="1623"/>
      <c r="K124" s="1621"/>
      <c r="L124" s="1621"/>
      <c r="M124" s="1621"/>
      <c r="N124" s="255"/>
      <c r="O124" s="255"/>
      <c r="P124" s="255"/>
      <c r="Q124" s="255"/>
      <c r="R124" s="255"/>
      <c r="S124" s="255"/>
      <c r="T124" s="255"/>
      <c r="U124" s="255"/>
      <c r="V124" s="1683"/>
      <c r="W124" s="1684"/>
      <c r="X124" s="1684"/>
      <c r="Y124" s="1684"/>
      <c r="Z124" s="1684"/>
      <c r="AA124" s="1684"/>
      <c r="AB124" s="1684"/>
      <c r="AC124" s="1342"/>
      <c r="AD124" s="320"/>
      <c r="AF124" s="52"/>
      <c r="AO124" s="52"/>
      <c r="AU124" s="320"/>
      <c r="AV124" s="320"/>
      <c r="AW124" s="320"/>
      <c r="AX124" s="320"/>
      <c r="AY124" s="320"/>
      <c r="AZ124" s="320"/>
      <c r="BA124" s="320"/>
      <c r="BB124" s="320"/>
      <c r="BC124" s="320"/>
      <c r="BD124" s="320"/>
      <c r="BE124" s="320"/>
      <c r="BF124" s="320"/>
      <c r="BG124" s="320"/>
      <c r="BH124" s="320"/>
      <c r="BI124" s="320"/>
      <c r="BJ124" s="1337"/>
      <c r="BK124" s="1338"/>
      <c r="BL124" s="1338"/>
      <c r="BM124" s="1338"/>
      <c r="BN124" s="1338"/>
      <c r="BO124" s="1339"/>
      <c r="BP124" s="255"/>
    </row>
    <row r="125" spans="1:68" ht="15" customHeight="1">
      <c r="A125" s="1291"/>
      <c r="B125" s="1165"/>
      <c r="C125" s="1166"/>
      <c r="D125" s="1166"/>
      <c r="E125" s="1166"/>
      <c r="F125" s="1166"/>
      <c r="G125" s="1292"/>
      <c r="H125" s="1207"/>
      <c r="I125" s="1207"/>
      <c r="J125" s="1623"/>
      <c r="K125" s="1621"/>
      <c r="L125" s="1621"/>
      <c r="M125" s="1621"/>
      <c r="N125" s="255"/>
      <c r="O125" s="255"/>
      <c r="P125" s="255"/>
      <c r="Q125" s="255"/>
      <c r="R125" s="255"/>
      <c r="S125" s="255"/>
      <c r="T125" s="255"/>
      <c r="U125" s="255"/>
      <c r="V125" s="1683"/>
      <c r="W125" s="1684"/>
      <c r="X125" s="1684"/>
      <c r="Y125" s="1684"/>
      <c r="Z125" s="1684"/>
      <c r="AA125" s="1684"/>
      <c r="AB125" s="1684"/>
      <c r="AC125" s="1342"/>
      <c r="AD125" s="320"/>
      <c r="AF125" s="52"/>
      <c r="AO125" s="52"/>
      <c r="AU125" s="320"/>
      <c r="AV125" s="320"/>
      <c r="AW125" s="320"/>
      <c r="AX125" s="320"/>
      <c r="AY125" s="320"/>
      <c r="AZ125" s="320"/>
      <c r="BA125" s="320"/>
      <c r="BB125" s="320"/>
      <c r="BC125" s="320"/>
      <c r="BD125" s="320"/>
      <c r="BE125" s="320"/>
      <c r="BF125" s="320"/>
      <c r="BG125" s="320"/>
      <c r="BH125" s="320"/>
      <c r="BI125" s="320"/>
      <c r="BJ125" s="1337"/>
      <c r="BK125" s="1338"/>
      <c r="BL125" s="1338"/>
      <c r="BM125" s="1338"/>
      <c r="BN125" s="1338"/>
      <c r="BO125" s="1339"/>
      <c r="BP125" s="255"/>
    </row>
    <row r="126" spans="1:68" ht="15" customHeight="1">
      <c r="A126" s="252"/>
      <c r="B126" s="243"/>
      <c r="C126" s="242"/>
      <c r="D126" s="242"/>
      <c r="F126" s="278">
        <v>1.1000000000000001</v>
      </c>
      <c r="G126" s="311">
        <f>COUNTIF($A$99:$A$125,F126)</f>
        <v>4</v>
      </c>
      <c r="H126" s="240" t="str">
        <f>IF($AN$3=1,SUMIF($A$99:$A$125,F126,H99:H125),"")</f>
        <v/>
      </c>
      <c r="I126" s="240" t="str">
        <f>IF($AR$3=1,SUMIF($A$99:$A$125,F126,$I$99:$I$125),"")</f>
        <v/>
      </c>
      <c r="J126" s="255"/>
      <c r="K126" s="255"/>
      <c r="L126" s="255"/>
      <c r="M126" s="255"/>
      <c r="N126" s="255"/>
      <c r="O126" s="255"/>
      <c r="P126" s="255"/>
      <c r="Q126" s="255"/>
      <c r="R126" s="255"/>
      <c r="S126" s="255"/>
      <c r="T126" s="255"/>
      <c r="U126" s="255"/>
      <c r="V126" s="1686">
        <v>4.4000000000000004</v>
      </c>
      <c r="W126" s="1684" t="s">
        <v>379</v>
      </c>
      <c r="X126" s="1684"/>
      <c r="Y126" s="1684"/>
      <c r="Z126" s="1684"/>
      <c r="AA126" s="1684"/>
      <c r="AB126" s="1684"/>
      <c r="AC126" s="1342" t="str">
        <f>IF(ISBLANK(AR$3),"",1)</f>
        <v/>
      </c>
      <c r="AD126" s="320"/>
      <c r="AF126" s="52"/>
      <c r="AO126" s="52"/>
      <c r="AU126" s="320"/>
      <c r="AV126" s="320"/>
      <c r="AW126" s="320"/>
      <c r="AX126" s="320"/>
      <c r="AY126" s="320"/>
      <c r="AZ126" s="320"/>
      <c r="BA126" s="320"/>
      <c r="BB126" s="320"/>
      <c r="BC126" s="320"/>
      <c r="BD126" s="320"/>
      <c r="BE126" s="320"/>
      <c r="BF126" s="320"/>
      <c r="BG126" s="320"/>
      <c r="BH126" s="320"/>
      <c r="BI126" s="320"/>
      <c r="BJ126" s="1337"/>
      <c r="BK126" s="1338"/>
      <c r="BL126" s="1338"/>
      <c r="BM126" s="1338"/>
      <c r="BN126" s="1338"/>
      <c r="BO126" s="1339"/>
      <c r="BP126" s="255"/>
    </row>
    <row r="127" spans="1:68" ht="15" customHeight="1">
      <c r="A127" s="252"/>
      <c r="B127" s="243"/>
      <c r="C127" s="242"/>
      <c r="D127" s="242"/>
      <c r="F127" s="278">
        <v>1.5</v>
      </c>
      <c r="G127" s="311">
        <f t="shared" ref="G127:G129" si="77">COUNTIF($A$99:$A$125,F127)</f>
        <v>1</v>
      </c>
      <c r="H127" s="240" t="str">
        <f>IF($AN$3=1,SUMIF($A$99:$A$125,F127,H99:H125),"")</f>
        <v/>
      </c>
      <c r="I127" s="240" t="str">
        <f t="shared" ref="I127:I129" si="78">IF($AR$3=1,SUMIF($A$99:$A$125,F127,$I$99:$I$125),"")</f>
        <v/>
      </c>
      <c r="J127" s="255"/>
      <c r="K127" s="255"/>
      <c r="L127" s="255"/>
      <c r="M127" s="255"/>
      <c r="N127" s="255"/>
      <c r="O127" s="255"/>
      <c r="P127" s="255"/>
      <c r="Q127" s="255"/>
      <c r="R127" s="255"/>
      <c r="S127" s="255"/>
      <c r="T127" s="255"/>
      <c r="U127" s="255"/>
      <c r="V127" s="1686"/>
      <c r="W127" s="1684"/>
      <c r="X127" s="1684"/>
      <c r="Y127" s="1684"/>
      <c r="Z127" s="1684"/>
      <c r="AA127" s="1684"/>
      <c r="AB127" s="1684"/>
      <c r="AC127" s="1342"/>
      <c r="AD127" s="322"/>
      <c r="AF127" s="52"/>
      <c r="AO127" s="52"/>
      <c r="AU127" s="322"/>
      <c r="AV127" s="322"/>
      <c r="AW127" s="322"/>
      <c r="AX127" s="322"/>
      <c r="AY127" s="322"/>
      <c r="AZ127" s="322"/>
      <c r="BA127" s="322"/>
      <c r="BB127" s="322"/>
      <c r="BC127" s="322"/>
      <c r="BD127" s="322"/>
      <c r="BE127" s="322"/>
      <c r="BF127" s="322"/>
      <c r="BG127" s="322"/>
      <c r="BH127" s="322"/>
      <c r="BI127" s="322"/>
      <c r="BJ127" s="1337"/>
      <c r="BK127" s="1338"/>
      <c r="BL127" s="1338"/>
      <c r="BM127" s="1338"/>
      <c r="BN127" s="1338"/>
      <c r="BO127" s="1339"/>
      <c r="BP127" s="255"/>
    </row>
    <row r="128" spans="1:68" ht="15" customHeight="1">
      <c r="A128" s="249"/>
      <c r="B128" s="249"/>
      <c r="C128" s="249"/>
      <c r="D128" s="249"/>
      <c r="F128" s="277">
        <v>2.1</v>
      </c>
      <c r="G128" s="311">
        <f t="shared" si="77"/>
        <v>2</v>
      </c>
      <c r="H128" s="240" t="str">
        <f>IF($AN$3=1,SUMIF($A$99:$A$125,F128,H99:H125),"")</f>
        <v/>
      </c>
      <c r="I128" s="240" t="str">
        <f t="shared" si="78"/>
        <v/>
      </c>
      <c r="J128" s="255"/>
      <c r="K128" s="255"/>
      <c r="L128" s="255"/>
      <c r="M128" s="255"/>
      <c r="N128" s="255"/>
      <c r="O128" s="255"/>
      <c r="P128" s="255"/>
      <c r="Q128" s="255"/>
      <c r="R128" s="255"/>
      <c r="S128" s="255"/>
      <c r="T128" s="255"/>
      <c r="U128" s="255"/>
      <c r="V128" s="1686"/>
      <c r="W128" s="1684"/>
      <c r="X128" s="1684"/>
      <c r="Y128" s="1684"/>
      <c r="Z128" s="1684"/>
      <c r="AA128" s="1684"/>
      <c r="AB128" s="1684"/>
      <c r="AC128" s="1342"/>
      <c r="AD128" s="323"/>
      <c r="AF128" s="52"/>
      <c r="AO128" s="52"/>
      <c r="AU128" s="323"/>
      <c r="AV128" s="323"/>
      <c r="AW128" s="323"/>
      <c r="AX128" s="323"/>
      <c r="AY128" s="323"/>
      <c r="AZ128" s="323"/>
      <c r="BA128" s="323"/>
      <c r="BB128" s="323"/>
      <c r="BC128" s="323"/>
      <c r="BD128" s="323"/>
      <c r="BE128" s="323"/>
      <c r="BF128" s="323"/>
      <c r="BG128" s="323"/>
      <c r="BH128" s="323"/>
      <c r="BI128" s="323"/>
      <c r="BJ128" s="1337"/>
      <c r="BK128" s="1338"/>
      <c r="BL128" s="1338"/>
      <c r="BM128" s="1338"/>
      <c r="BN128" s="1338"/>
      <c r="BO128" s="1339"/>
      <c r="BP128" s="255"/>
    </row>
    <row r="129" spans="1:70" ht="15" customHeight="1">
      <c r="F129" s="277">
        <v>2.4</v>
      </c>
      <c r="G129" s="311">
        <f t="shared" si="77"/>
        <v>2</v>
      </c>
      <c r="H129" s="240" t="str">
        <f>IF($AN$3=1,SUMIF($A$99:$A$125,F129,H99:H125),"")</f>
        <v/>
      </c>
      <c r="I129" s="240" t="str">
        <f t="shared" si="78"/>
        <v/>
      </c>
      <c r="J129" s="303"/>
      <c r="K129" s="303"/>
      <c r="L129" s="303"/>
      <c r="M129" s="303"/>
      <c r="N129" s="303"/>
      <c r="O129" s="303"/>
      <c r="P129" s="303"/>
      <c r="Q129" s="303"/>
      <c r="R129" s="303"/>
      <c r="S129" s="303"/>
      <c r="T129" s="303"/>
      <c r="U129" s="303"/>
      <c r="V129" s="318"/>
      <c r="W129" s="303"/>
      <c r="X129" s="303"/>
      <c r="Y129" s="319"/>
      <c r="Z129" s="82"/>
      <c r="AA129" s="329">
        <v>2.4</v>
      </c>
      <c r="AB129" s="312">
        <f>COUNTIF($V$99:$V$128,AA129)</f>
        <v>3</v>
      </c>
      <c r="AC129" s="240" t="str">
        <f>IF($AR$3=1,SUMIF($V$99:$V$128,AA129,$AC$99:$AC$128),"")</f>
        <v/>
      </c>
      <c r="AD129" s="307"/>
      <c r="AF129" s="52"/>
      <c r="AO129" s="52"/>
      <c r="AU129" s="307"/>
      <c r="AV129" s="307"/>
      <c r="AW129" s="307"/>
      <c r="AX129" s="307"/>
      <c r="AY129" s="307"/>
      <c r="AZ129" s="307"/>
      <c r="BA129" s="307"/>
      <c r="BB129" s="307"/>
      <c r="BC129" s="307"/>
      <c r="BD129" s="307"/>
      <c r="BE129" s="307"/>
      <c r="BF129" s="307"/>
      <c r="BG129" s="307"/>
      <c r="BH129" s="307"/>
      <c r="BI129" s="307"/>
      <c r="BJ129" s="1222"/>
      <c r="BK129" s="1223"/>
      <c r="BL129" s="1223"/>
      <c r="BM129" s="1223"/>
      <c r="BN129" s="1223"/>
      <c r="BO129" s="1224"/>
      <c r="BP129" s="255"/>
    </row>
    <row r="130" spans="1:70" ht="15" customHeight="1">
      <c r="N130" s="255"/>
      <c r="O130" s="255"/>
      <c r="P130" s="255"/>
      <c r="Q130" s="255"/>
      <c r="R130" s="255"/>
      <c r="S130" s="255"/>
      <c r="T130" s="255"/>
      <c r="U130" s="255"/>
      <c r="V130" s="255"/>
      <c r="W130" s="255"/>
      <c r="X130" s="255"/>
      <c r="Y130" s="255"/>
      <c r="Z130" s="255"/>
      <c r="AA130" s="328">
        <v>4.3</v>
      </c>
      <c r="AB130" s="312">
        <f>COUNTIF($V$99:$V$128,AA130)</f>
        <v>1</v>
      </c>
      <c r="AC130" s="240" t="str">
        <f>IF($AR$3=1,SUMIF($V$99:$V$128,AA130,$AC$99:$AC$128),"")</f>
        <v/>
      </c>
      <c r="AD130" s="307"/>
      <c r="AF130" s="52"/>
      <c r="AO130" s="52"/>
      <c r="AU130" s="307"/>
      <c r="AV130" s="307"/>
      <c r="AW130" s="307"/>
      <c r="AX130" s="307"/>
      <c r="AY130" s="307"/>
      <c r="AZ130" s="307"/>
      <c r="BA130" s="307"/>
      <c r="BB130" s="307"/>
      <c r="BC130" s="307"/>
      <c r="BD130" s="307"/>
      <c r="BE130" s="307"/>
      <c r="BF130" s="307"/>
      <c r="BG130" s="307"/>
      <c r="BH130" s="307"/>
      <c r="BI130" s="307"/>
      <c r="BJ130" s="255"/>
      <c r="BK130" s="255"/>
      <c r="BL130" s="255"/>
      <c r="BM130" s="255"/>
      <c r="BN130" s="255"/>
      <c r="BO130" s="255"/>
      <c r="BP130" s="255"/>
    </row>
    <row r="131" spans="1:70" ht="15" customHeight="1">
      <c r="A131" s="1209"/>
      <c r="B131" s="1210" t="s">
        <v>609</v>
      </c>
      <c r="C131" s="1211"/>
      <c r="D131" s="1211"/>
      <c r="E131" s="1211"/>
      <c r="F131" s="1211"/>
      <c r="G131" s="1211"/>
      <c r="H131" s="1174">
        <v>7</v>
      </c>
      <c r="I131" s="1174">
        <v>8</v>
      </c>
      <c r="J131" s="289"/>
      <c r="K131" s="289"/>
      <c r="L131" s="289"/>
      <c r="M131" s="289"/>
      <c r="N131" s="289"/>
      <c r="O131" s="289"/>
      <c r="P131" s="289"/>
      <c r="Q131" s="289"/>
      <c r="R131" s="289"/>
      <c r="S131" s="289"/>
      <c r="T131" s="289"/>
      <c r="U131" s="289"/>
      <c r="V131" s="289"/>
      <c r="Z131" s="256"/>
      <c r="AA131" s="328">
        <v>4.4000000000000004</v>
      </c>
      <c r="AB131" s="312">
        <f>COUNTIF($V$99:$V$128,AA131)</f>
        <v>6</v>
      </c>
      <c r="AC131" s="240" t="str">
        <f>IF($AR$3=1,SUMIF($V$99:$V$128,AA131,$AC$99:$AC$128),"")</f>
        <v/>
      </c>
      <c r="AF131" s="52"/>
      <c r="AO131" s="52"/>
      <c r="AQ131" s="256"/>
      <c r="AR131" s="256"/>
      <c r="AS131" s="256"/>
      <c r="AT131" s="256"/>
      <c r="AU131" s="256"/>
      <c r="AV131" s="256"/>
      <c r="AW131" s="256"/>
      <c r="AX131" s="256"/>
      <c r="AY131" s="256"/>
      <c r="AZ131" s="256"/>
      <c r="BA131" s="256"/>
      <c r="BB131" s="256"/>
      <c r="BC131" s="256"/>
      <c r="BD131" s="256"/>
      <c r="BE131" s="256"/>
      <c r="BF131" s="255"/>
      <c r="BG131" s="255"/>
      <c r="BH131" s="255"/>
      <c r="BI131" s="255"/>
      <c r="BJ131" s="255"/>
      <c r="BK131" s="255"/>
      <c r="BL131" s="255"/>
    </row>
    <row r="132" spans="1:70" ht="15" customHeight="1">
      <c r="A132" s="1209"/>
      <c r="B132" s="1340"/>
      <c r="C132" s="1341"/>
      <c r="D132" s="1341"/>
      <c r="E132" s="1341"/>
      <c r="F132" s="1341"/>
      <c r="G132" s="1341"/>
      <c r="H132" s="1174"/>
      <c r="I132" s="1174"/>
      <c r="O132" s="52"/>
      <c r="W132" s="52"/>
      <c r="Z132" s="289"/>
      <c r="AF132" s="52"/>
      <c r="AO132" s="52"/>
      <c r="AQ132" s="289"/>
      <c r="AR132" s="289"/>
      <c r="AS132" s="289"/>
      <c r="AT132" s="289"/>
      <c r="AU132" s="289"/>
      <c r="AV132" s="289"/>
      <c r="AW132" s="289"/>
      <c r="AX132" s="289"/>
      <c r="AY132" s="289"/>
      <c r="AZ132" s="289"/>
      <c r="BA132" s="289"/>
      <c r="BB132" s="289"/>
      <c r="BC132" s="289"/>
      <c r="BD132" s="289"/>
      <c r="BE132" s="289"/>
      <c r="BF132" s="289"/>
      <c r="BG132" s="289"/>
      <c r="BH132" s="289"/>
      <c r="BI132" s="289"/>
    </row>
    <row r="133" spans="1:70" ht="15" customHeight="1">
      <c r="A133" s="1209"/>
      <c r="B133" s="1212"/>
      <c r="C133" s="1213"/>
      <c r="D133" s="1213"/>
      <c r="E133" s="1213"/>
      <c r="F133" s="1213"/>
      <c r="G133" s="1213"/>
      <c r="H133" s="1174"/>
      <c r="I133" s="1174"/>
      <c r="O133" s="52"/>
      <c r="W133" s="52"/>
      <c r="Z133" s="613"/>
      <c r="AF133" s="52"/>
      <c r="AO133" s="52"/>
      <c r="AQ133" s="613"/>
      <c r="AR133" s="613"/>
      <c r="AS133" s="613"/>
      <c r="AT133" s="613"/>
      <c r="AU133" s="613"/>
      <c r="AV133" s="613"/>
      <c r="AW133" s="613"/>
      <c r="AX133" s="613"/>
      <c r="AY133" s="613"/>
      <c r="AZ133" s="613"/>
      <c r="BA133" s="613"/>
      <c r="BB133" s="613"/>
      <c r="BC133" s="613"/>
      <c r="BD133" s="613"/>
      <c r="BE133" s="613"/>
      <c r="BF133" s="613"/>
      <c r="BG133" s="613"/>
      <c r="BH133" s="613"/>
      <c r="BI133" s="613"/>
    </row>
    <row r="134" spans="1:70" ht="15" customHeight="1">
      <c r="A134" s="1336">
        <v>3.1</v>
      </c>
      <c r="B134" s="1198" t="s">
        <v>366</v>
      </c>
      <c r="C134" s="1162"/>
      <c r="D134" s="1162"/>
      <c r="E134" s="1162"/>
      <c r="F134" s="1162"/>
      <c r="G134" s="1265"/>
      <c r="H134" s="1205" t="str">
        <f t="shared" ref="H134" si="79">IF(ISBLANK(AN$3),"",1)</f>
        <v/>
      </c>
      <c r="I134" s="1205" t="str">
        <f t="shared" ref="I134" si="80">IF(ISBLANK(AR$3),"",1)</f>
        <v/>
      </c>
      <c r="O134" s="52"/>
      <c r="W134" s="52"/>
      <c r="Z134" s="613"/>
      <c r="AF134" s="52"/>
      <c r="AO134" s="52"/>
      <c r="AQ134" s="613"/>
      <c r="AR134" s="613"/>
      <c r="AS134" s="613"/>
      <c r="AT134" s="613"/>
      <c r="AU134" s="613"/>
      <c r="AV134" s="613"/>
      <c r="AW134" s="613"/>
      <c r="AX134" s="613"/>
      <c r="AY134" s="613"/>
      <c r="AZ134" s="613"/>
      <c r="BA134" s="613"/>
      <c r="BB134" s="613"/>
      <c r="BC134" s="613"/>
      <c r="BD134" s="613"/>
      <c r="BE134" s="613"/>
      <c r="BF134" s="613"/>
      <c r="BG134" s="613"/>
      <c r="BH134" s="613"/>
      <c r="BI134" s="613"/>
    </row>
    <row r="135" spans="1:70" ht="15" customHeight="1">
      <c r="A135" s="1159"/>
      <c r="B135" s="1200"/>
      <c r="C135" s="1164"/>
      <c r="D135" s="1164"/>
      <c r="E135" s="1164"/>
      <c r="F135" s="1164"/>
      <c r="G135" s="1266"/>
      <c r="H135" s="1206"/>
      <c r="I135" s="1206"/>
      <c r="O135" s="52"/>
      <c r="W135" s="52"/>
      <c r="Z135" s="613"/>
      <c r="AF135" s="52"/>
      <c r="AO135" s="52"/>
      <c r="AQ135" s="613"/>
      <c r="AR135" s="613"/>
      <c r="AS135" s="613"/>
      <c r="AT135" s="613"/>
      <c r="AU135" s="613"/>
      <c r="AV135" s="613"/>
      <c r="AW135" s="613"/>
      <c r="AX135" s="613"/>
      <c r="AY135" s="613"/>
      <c r="AZ135" s="613"/>
      <c r="BA135" s="613"/>
      <c r="BB135" s="613"/>
      <c r="BC135" s="613"/>
      <c r="BD135" s="613"/>
      <c r="BE135" s="613"/>
      <c r="BF135" s="613"/>
      <c r="BG135" s="613"/>
      <c r="BH135" s="613"/>
      <c r="BI135" s="613"/>
    </row>
    <row r="136" spans="1:70" ht="15" customHeight="1">
      <c r="A136" s="1160"/>
      <c r="B136" s="1200"/>
      <c r="C136" s="1164"/>
      <c r="D136" s="1164"/>
      <c r="E136" s="1164"/>
      <c r="F136" s="1164"/>
      <c r="G136" s="1266"/>
      <c r="H136" s="1207"/>
      <c r="I136" s="1207"/>
      <c r="O136" s="52"/>
      <c r="W136" s="52"/>
      <c r="Z136" s="613"/>
      <c r="AF136" s="52"/>
      <c r="AO136" s="52"/>
      <c r="AQ136" s="613"/>
      <c r="AR136" s="613"/>
      <c r="AS136" s="613"/>
      <c r="AT136" s="613"/>
      <c r="AU136" s="613"/>
      <c r="AV136" s="613"/>
      <c r="AW136" s="613"/>
      <c r="AX136" s="613"/>
      <c r="AY136" s="613"/>
      <c r="AZ136" s="613"/>
      <c r="BA136" s="613"/>
      <c r="BB136" s="613"/>
      <c r="BC136" s="613"/>
      <c r="BD136" s="613"/>
      <c r="BE136" s="613"/>
      <c r="BF136" s="613"/>
      <c r="BG136" s="613"/>
      <c r="BH136" s="613"/>
      <c r="BI136" s="613"/>
    </row>
    <row r="137" spans="1:70" ht="15" customHeight="1">
      <c r="A137" s="1336">
        <v>1.4</v>
      </c>
      <c r="B137" s="1198" t="s">
        <v>943</v>
      </c>
      <c r="C137" s="1162"/>
      <c r="D137" s="1162"/>
      <c r="E137" s="1162"/>
      <c r="F137" s="1162"/>
      <c r="G137" s="1265"/>
      <c r="H137" s="1205" t="str">
        <f t="shared" ref="H137" si="81">IF(ISBLANK(AN$3),"",1)</f>
        <v/>
      </c>
      <c r="I137" s="1205" t="str">
        <f t="shared" ref="I137" si="82">IF(ISBLANK(AR$3),"",1)</f>
        <v/>
      </c>
      <c r="O137" s="52"/>
      <c r="W137" s="52"/>
      <c r="Z137" s="613"/>
      <c r="AF137" s="52"/>
      <c r="AO137" s="52"/>
      <c r="AQ137" s="613"/>
      <c r="AR137" s="613"/>
      <c r="AS137" s="613"/>
      <c r="AT137" s="613"/>
      <c r="AU137" s="613"/>
      <c r="AV137" s="613"/>
      <c r="AW137" s="613"/>
      <c r="AX137" s="613"/>
      <c r="AY137" s="613"/>
      <c r="AZ137" s="613"/>
      <c r="BA137" s="613"/>
      <c r="BB137" s="613"/>
      <c r="BC137" s="613"/>
      <c r="BD137" s="613"/>
      <c r="BE137" s="613"/>
      <c r="BF137" s="613"/>
      <c r="BG137" s="613"/>
      <c r="BH137" s="613"/>
      <c r="BI137" s="613"/>
    </row>
    <row r="138" spans="1:70" ht="15" customHeight="1">
      <c r="A138" s="1159"/>
      <c r="B138" s="1200"/>
      <c r="C138" s="1164"/>
      <c r="D138" s="1164"/>
      <c r="E138" s="1164"/>
      <c r="F138" s="1164"/>
      <c r="G138" s="1266"/>
      <c r="H138" s="1206"/>
      <c r="I138" s="1206"/>
      <c r="O138" s="52"/>
      <c r="W138" s="52"/>
      <c r="Z138" s="613"/>
      <c r="AF138" s="52"/>
      <c r="AO138" s="52"/>
      <c r="AQ138" s="613"/>
      <c r="AR138" s="613"/>
      <c r="AS138" s="613"/>
      <c r="AT138" s="613"/>
      <c r="AU138" s="613"/>
      <c r="AV138" s="613"/>
      <c r="AW138" s="613"/>
      <c r="AX138" s="613"/>
      <c r="AY138" s="613"/>
      <c r="AZ138" s="613"/>
      <c r="BA138" s="613"/>
      <c r="BB138" s="613"/>
      <c r="BC138" s="613"/>
      <c r="BD138" s="613"/>
      <c r="BE138" s="613"/>
      <c r="BF138" s="613"/>
      <c r="BG138" s="613"/>
      <c r="BH138" s="613"/>
      <c r="BI138" s="613"/>
    </row>
    <row r="139" spans="1:70" ht="15" customHeight="1">
      <c r="A139" s="1160"/>
      <c r="B139" s="1200"/>
      <c r="C139" s="1164"/>
      <c r="D139" s="1164"/>
      <c r="E139" s="1164"/>
      <c r="F139" s="1164"/>
      <c r="G139" s="1266"/>
      <c r="H139" s="1207"/>
      <c r="I139" s="1207"/>
      <c r="O139" s="52"/>
      <c r="W139" s="52"/>
      <c r="Z139" s="613"/>
      <c r="AF139" s="52"/>
      <c r="AO139" s="52"/>
      <c r="AQ139" s="613"/>
      <c r="AR139" s="613"/>
      <c r="AS139" s="613"/>
      <c r="AT139" s="613"/>
      <c r="AU139" s="613"/>
      <c r="AV139" s="613"/>
      <c r="AW139" s="613"/>
      <c r="AX139" s="613"/>
      <c r="AY139" s="613"/>
      <c r="AZ139" s="613"/>
      <c r="BA139" s="613"/>
      <c r="BB139" s="613"/>
      <c r="BC139" s="613"/>
      <c r="BD139" s="613"/>
      <c r="BE139" s="613"/>
      <c r="BF139" s="613"/>
      <c r="BG139" s="613"/>
      <c r="BH139" s="613"/>
      <c r="BI139" s="613"/>
    </row>
    <row r="140" spans="1:70" ht="15" customHeight="1">
      <c r="A140" s="1168" t="s">
        <v>637</v>
      </c>
      <c r="B140" s="1168"/>
      <c r="C140" s="1168"/>
      <c r="D140" s="1168"/>
      <c r="E140" s="1169"/>
      <c r="F140" s="614">
        <v>3.1</v>
      </c>
      <c r="G140" s="620">
        <f>COUNTIF($A$134:$A$139,F140)</f>
        <v>1</v>
      </c>
      <c r="H140" s="240" t="str">
        <f>IF($AN$3=1,SUMIF($A$134:$A$139,$F140,$H$134:$H$139),"")</f>
        <v/>
      </c>
      <c r="I140" s="240" t="str">
        <f>IF($AR$3=1,SUMIF($A$134:$A$139,$F140,$I$134:$I$139),"")</f>
        <v/>
      </c>
      <c r="O140" s="52"/>
      <c r="W140" s="52"/>
      <c r="Z140" s="613"/>
      <c r="AF140" s="52"/>
      <c r="AO140" s="52"/>
      <c r="AQ140" s="613"/>
      <c r="AR140" s="613"/>
      <c r="AS140" s="613"/>
      <c r="AT140" s="613"/>
      <c r="AU140" s="613"/>
      <c r="AV140" s="613"/>
      <c r="AW140" s="613"/>
      <c r="AX140" s="613"/>
      <c r="AY140" s="613"/>
      <c r="AZ140" s="613"/>
      <c r="BA140" s="613"/>
      <c r="BB140" s="613"/>
      <c r="BC140" s="613"/>
      <c r="BD140" s="613"/>
      <c r="BE140" s="613"/>
      <c r="BF140" s="613"/>
      <c r="BG140" s="613"/>
      <c r="BH140" s="613"/>
      <c r="BI140" s="613"/>
    </row>
    <row r="141" spans="1:70" ht="15" customHeight="1">
      <c r="F141" s="614">
        <v>1.4</v>
      </c>
      <c r="G141" s="620">
        <f>COUNTIF($A$134:$A$139,F141)</f>
        <v>1</v>
      </c>
      <c r="H141" s="240" t="str">
        <f>IF($AN$3=1,SUMIF($A$134:$A$139,$F141,$H$134:$H$139),"")</f>
        <v/>
      </c>
      <c r="I141" s="240" t="str">
        <f>IF($AR$3=1,SUMIF($A$134:$A$139,$F141,$I$134:$I$139),"")</f>
        <v/>
      </c>
      <c r="O141" s="52"/>
      <c r="W141" s="52"/>
      <c r="Z141" s="613"/>
      <c r="AF141" s="52"/>
      <c r="AO141" s="52"/>
      <c r="AQ141" s="613"/>
      <c r="AR141" s="613"/>
      <c r="AS141" s="613"/>
      <c r="AT141" s="613"/>
      <c r="AU141" s="613"/>
      <c r="AV141" s="613"/>
      <c r="AW141" s="613"/>
      <c r="AX141" s="613"/>
      <c r="AY141" s="613"/>
      <c r="AZ141" s="613"/>
      <c r="BA141" s="613"/>
      <c r="BB141" s="613"/>
      <c r="BC141" s="613"/>
      <c r="BD141" s="613"/>
      <c r="BE141" s="613"/>
      <c r="BF141" s="613"/>
      <c r="BG141" s="613"/>
      <c r="BH141" s="613"/>
      <c r="BI141" s="613"/>
    </row>
    <row r="142" spans="1:70" ht="15" customHeight="1">
      <c r="A142" s="1171" t="s">
        <v>17</v>
      </c>
      <c r="B142" s="1171"/>
      <c r="C142" s="1171"/>
      <c r="D142" s="1171"/>
      <c r="E142" s="1171"/>
      <c r="F142" s="1171"/>
      <c r="G142" s="1171"/>
      <c r="H142" s="1171"/>
      <c r="I142" s="1171"/>
      <c r="J142" s="1171"/>
      <c r="K142" s="1171"/>
      <c r="L142" s="1171"/>
      <c r="M142" s="1171"/>
      <c r="N142" s="1171"/>
      <c r="O142" s="1171"/>
      <c r="P142" s="1171"/>
      <c r="Q142" s="1171"/>
      <c r="R142" s="1171"/>
      <c r="S142" s="1171"/>
      <c r="T142" s="1171"/>
      <c r="U142" s="1171"/>
      <c r="V142" s="1171"/>
      <c r="W142" s="1171"/>
      <c r="X142" s="1171"/>
      <c r="Y142" s="1171"/>
      <c r="Z142" s="1171"/>
      <c r="AA142" s="1171"/>
      <c r="AB142" s="1171"/>
      <c r="AC142" s="1171"/>
      <c r="AD142" s="1171"/>
      <c r="AE142" s="1171"/>
      <c r="AF142" s="1171"/>
      <c r="AG142" s="1171"/>
      <c r="AH142" s="1171"/>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row>
    <row r="143" spans="1:70" ht="15" customHeight="1">
      <c r="A143" s="1171"/>
      <c r="B143" s="1171"/>
      <c r="C143" s="1171"/>
      <c r="D143" s="1171"/>
      <c r="E143" s="1171"/>
      <c r="F143" s="1171"/>
      <c r="G143" s="1171"/>
      <c r="H143" s="1171"/>
      <c r="I143" s="1171"/>
      <c r="J143" s="1171"/>
      <c r="K143" s="1171"/>
      <c r="L143" s="1171"/>
      <c r="M143" s="1171"/>
      <c r="N143" s="1171"/>
      <c r="O143" s="1171"/>
      <c r="P143" s="1171"/>
      <c r="Q143" s="1171"/>
      <c r="R143" s="1171"/>
      <c r="S143" s="1171"/>
      <c r="T143" s="1171"/>
      <c r="U143" s="1171"/>
      <c r="V143" s="1171"/>
      <c r="W143" s="1171"/>
      <c r="X143" s="1171"/>
      <c r="Y143" s="1171"/>
      <c r="Z143" s="1171"/>
      <c r="AA143" s="1171"/>
      <c r="AB143" s="1171"/>
      <c r="AC143" s="1171"/>
      <c r="AD143" s="117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row>
    <row r="144" spans="1:70" ht="15" customHeight="1">
      <c r="A144" s="1172"/>
      <c r="B144" s="1173" t="s">
        <v>608</v>
      </c>
      <c r="C144" s="1173"/>
      <c r="D144" s="1173"/>
      <c r="E144" s="1173"/>
      <c r="F144" s="1173"/>
      <c r="G144" s="1173"/>
      <c r="H144" s="1343">
        <v>1</v>
      </c>
      <c r="I144" s="1174">
        <v>2</v>
      </c>
      <c r="J144" s="1174">
        <v>3</v>
      </c>
      <c r="K144" s="1174">
        <v>4</v>
      </c>
      <c r="L144" s="1174">
        <v>5</v>
      </c>
      <c r="M144" s="1343">
        <v>6</v>
      </c>
      <c r="N144" s="1277"/>
      <c r="O144" s="1516" t="s">
        <v>432</v>
      </c>
      <c r="P144" s="1517"/>
      <c r="Q144" s="1517"/>
      <c r="R144" s="1517"/>
      <c r="S144" s="1517"/>
      <c r="T144" s="1517"/>
      <c r="U144" s="1518"/>
      <c r="V144" s="1281"/>
      <c r="W144" s="1464" t="s">
        <v>881</v>
      </c>
      <c r="X144" s="1465"/>
      <c r="Y144" s="1465"/>
      <c r="Z144" s="1465"/>
      <c r="AA144" s="1465"/>
      <c r="AB144" s="1465"/>
      <c r="AC144" s="1466"/>
      <c r="AD144" s="1473"/>
      <c r="AE144" s="1496" t="s">
        <v>911</v>
      </c>
      <c r="AF144" s="1497"/>
      <c r="AG144" s="1497"/>
      <c r="AH144" s="1497"/>
      <c r="AI144" s="1497"/>
      <c r="AJ144" s="1497"/>
      <c r="AK144" s="1498"/>
      <c r="AL144" s="1505"/>
      <c r="AM144" s="1476" t="s">
        <v>912</v>
      </c>
      <c r="AN144" s="1477"/>
      <c r="AO144" s="1477"/>
      <c r="AP144" s="1477"/>
      <c r="AQ144" s="1477"/>
      <c r="AR144" s="1477"/>
      <c r="AS144" s="1478"/>
      <c r="AT144" s="1485"/>
      <c r="AU144" s="1506" t="s">
        <v>913</v>
      </c>
      <c r="AV144" s="1507"/>
      <c r="AW144" s="1507"/>
      <c r="AX144" s="1507"/>
      <c r="AY144" s="1507"/>
      <c r="AZ144" s="1507"/>
      <c r="BA144" s="1508"/>
      <c r="BB144" s="1515"/>
      <c r="BC144" s="1487" t="s">
        <v>914</v>
      </c>
      <c r="BD144" s="1488"/>
      <c r="BE144" s="1488"/>
      <c r="BF144" s="1488"/>
      <c r="BG144" s="1488"/>
      <c r="BH144" s="1488"/>
      <c r="BI144" s="1489"/>
      <c r="BJ144" s="1182" t="s">
        <v>263</v>
      </c>
      <c r="BK144" s="1183"/>
      <c r="BL144" s="1183"/>
      <c r="BM144" s="1183"/>
      <c r="BN144" s="1183"/>
      <c r="BO144" s="1184"/>
    </row>
    <row r="145" spans="1:67" ht="15" customHeight="1">
      <c r="A145" s="1172"/>
      <c r="B145" s="1173"/>
      <c r="C145" s="1173"/>
      <c r="D145" s="1173"/>
      <c r="E145" s="1173"/>
      <c r="F145" s="1173"/>
      <c r="G145" s="1173"/>
      <c r="H145" s="1344"/>
      <c r="I145" s="1174"/>
      <c r="J145" s="1174"/>
      <c r="K145" s="1174"/>
      <c r="L145" s="1174"/>
      <c r="M145" s="1344"/>
      <c r="N145" s="1277"/>
      <c r="O145" s="1519"/>
      <c r="P145" s="1520"/>
      <c r="Q145" s="1520"/>
      <c r="R145" s="1520"/>
      <c r="S145" s="1520"/>
      <c r="T145" s="1520"/>
      <c r="U145" s="1521"/>
      <c r="V145" s="1281"/>
      <c r="W145" s="1467"/>
      <c r="X145" s="1468"/>
      <c r="Y145" s="1468"/>
      <c r="Z145" s="1468"/>
      <c r="AA145" s="1468"/>
      <c r="AB145" s="1468"/>
      <c r="AC145" s="1469"/>
      <c r="AD145" s="1474"/>
      <c r="AE145" s="1499"/>
      <c r="AF145" s="1500"/>
      <c r="AG145" s="1500"/>
      <c r="AH145" s="1500"/>
      <c r="AI145" s="1500"/>
      <c r="AJ145" s="1500"/>
      <c r="AK145" s="1501"/>
      <c r="AL145" s="1505"/>
      <c r="AM145" s="1479"/>
      <c r="AN145" s="1480"/>
      <c r="AO145" s="1480"/>
      <c r="AP145" s="1480"/>
      <c r="AQ145" s="1480"/>
      <c r="AR145" s="1480"/>
      <c r="AS145" s="1481"/>
      <c r="AT145" s="1485"/>
      <c r="AU145" s="1509"/>
      <c r="AV145" s="1510"/>
      <c r="AW145" s="1510"/>
      <c r="AX145" s="1510"/>
      <c r="AY145" s="1510"/>
      <c r="AZ145" s="1510"/>
      <c r="BA145" s="1511"/>
      <c r="BB145" s="1515"/>
      <c r="BC145" s="1490"/>
      <c r="BD145" s="1491"/>
      <c r="BE145" s="1491"/>
      <c r="BF145" s="1491"/>
      <c r="BG145" s="1491"/>
      <c r="BH145" s="1491"/>
      <c r="BI145" s="1492"/>
      <c r="BJ145" s="1219"/>
      <c r="BK145" s="1220"/>
      <c r="BL145" s="1220"/>
      <c r="BM145" s="1220"/>
      <c r="BN145" s="1220"/>
      <c r="BO145" s="1221"/>
    </row>
    <row r="146" spans="1:67" ht="15" customHeight="1" thickBot="1">
      <c r="A146" s="1172"/>
      <c r="B146" s="1173"/>
      <c r="C146" s="1173"/>
      <c r="D146" s="1173"/>
      <c r="E146" s="1173"/>
      <c r="F146" s="1173"/>
      <c r="G146" s="1173"/>
      <c r="H146" s="1345"/>
      <c r="I146" s="1174"/>
      <c r="J146" s="1174"/>
      <c r="K146" s="1174"/>
      <c r="L146" s="1174"/>
      <c r="M146" s="1486"/>
      <c r="N146" s="1277"/>
      <c r="O146" s="1522"/>
      <c r="P146" s="1523"/>
      <c r="Q146" s="1523"/>
      <c r="R146" s="1523"/>
      <c r="S146" s="1523"/>
      <c r="T146" s="1523"/>
      <c r="U146" s="1524"/>
      <c r="V146" s="1281"/>
      <c r="W146" s="1470"/>
      <c r="X146" s="1471"/>
      <c r="Y146" s="1471"/>
      <c r="Z146" s="1471"/>
      <c r="AA146" s="1471"/>
      <c r="AB146" s="1471"/>
      <c r="AC146" s="1472"/>
      <c r="AD146" s="1475"/>
      <c r="AE146" s="1502"/>
      <c r="AF146" s="1503"/>
      <c r="AG146" s="1503"/>
      <c r="AH146" s="1503"/>
      <c r="AI146" s="1503"/>
      <c r="AJ146" s="1503"/>
      <c r="AK146" s="1504"/>
      <c r="AL146" s="1505"/>
      <c r="AM146" s="1482"/>
      <c r="AN146" s="1483"/>
      <c r="AO146" s="1483"/>
      <c r="AP146" s="1483"/>
      <c r="AQ146" s="1483"/>
      <c r="AR146" s="1483"/>
      <c r="AS146" s="1484"/>
      <c r="AT146" s="1485"/>
      <c r="AU146" s="1512"/>
      <c r="AV146" s="1513"/>
      <c r="AW146" s="1513"/>
      <c r="AX146" s="1513"/>
      <c r="AY146" s="1513"/>
      <c r="AZ146" s="1513"/>
      <c r="BA146" s="1514"/>
      <c r="BB146" s="1515"/>
      <c r="BC146" s="1493"/>
      <c r="BD146" s="1494"/>
      <c r="BE146" s="1494"/>
      <c r="BF146" s="1494"/>
      <c r="BG146" s="1494"/>
      <c r="BH146" s="1494"/>
      <c r="BI146" s="1495"/>
      <c r="BJ146" s="1337"/>
      <c r="BK146" s="1338"/>
      <c r="BL146" s="1338"/>
      <c r="BM146" s="1338"/>
      <c r="BN146" s="1338"/>
      <c r="BO146" s="1339"/>
    </row>
    <row r="147" spans="1:67" ht="15" customHeight="1">
      <c r="A147" s="1307">
        <v>1.1000000000000001</v>
      </c>
      <c r="B147" s="1161" t="s">
        <v>941</v>
      </c>
      <c r="C147" s="1162"/>
      <c r="D147" s="1162"/>
      <c r="E147" s="1162"/>
      <c r="F147" s="1162"/>
      <c r="G147" s="1199"/>
      <c r="H147" s="1268" t="str">
        <f>IF(ISBLANK(D$5),"",1)</f>
        <v/>
      </c>
      <c r="I147" s="1205" t="str">
        <f>IF(ISBLANK(H$5),"",1)</f>
        <v/>
      </c>
      <c r="J147" s="1205" t="str">
        <f>IF(ISBLANK(L$5),"",1)</f>
        <v/>
      </c>
      <c r="K147" s="1205" t="str">
        <f>IF(ISBLANK(P$5),"",1)</f>
        <v/>
      </c>
      <c r="L147" s="1205" t="str">
        <f>IF(ISBLANK(T$5),"",1)</f>
        <v/>
      </c>
      <c r="M147" s="1248" t="str">
        <f>IF(ISBLANK(X$5),"",1)</f>
        <v/>
      </c>
      <c r="N147" s="1525">
        <v>4.3</v>
      </c>
      <c r="O147" s="1526" t="s">
        <v>629</v>
      </c>
      <c r="P147" s="1527"/>
      <c r="Q147" s="1527"/>
      <c r="R147" s="1527"/>
      <c r="S147" s="1527"/>
      <c r="T147" s="1528"/>
      <c r="U147" s="1399" t="str">
        <f>IF(ISBLANK(D$5),"",1)</f>
        <v/>
      </c>
      <c r="V147" s="1258">
        <v>4.3</v>
      </c>
      <c r="W147" s="1161" t="s">
        <v>404</v>
      </c>
      <c r="X147" s="1162"/>
      <c r="Y147" s="1162"/>
      <c r="Z147" s="1162"/>
      <c r="AA147" s="1162"/>
      <c r="AB147" s="1199"/>
      <c r="AC147" s="1399" t="str">
        <f>IF(ISBLANK(H$5),"",1)</f>
        <v/>
      </c>
      <c r="AD147" s="1258">
        <v>4.3</v>
      </c>
      <c r="AE147" s="1198" t="s">
        <v>387</v>
      </c>
      <c r="AF147" s="1162"/>
      <c r="AG147" s="1162"/>
      <c r="AH147" s="1162"/>
      <c r="AI147" s="1162"/>
      <c r="AJ147" s="1199"/>
      <c r="AK147" s="1226" t="str">
        <f>IF(ISBLANK(L$5),"",1)</f>
        <v/>
      </c>
      <c r="AL147" s="1196">
        <v>4.3</v>
      </c>
      <c r="AM147" s="1198" t="s">
        <v>404</v>
      </c>
      <c r="AN147" s="1162"/>
      <c r="AO147" s="1162"/>
      <c r="AP147" s="1162"/>
      <c r="AQ147" s="1162"/>
      <c r="AR147" s="1199"/>
      <c r="AS147" s="1226" t="str">
        <f>IF(ISBLANK(P$5),"",1)</f>
        <v/>
      </c>
      <c r="AT147" s="1258">
        <v>4.3</v>
      </c>
      <c r="AU147" s="1198" t="s">
        <v>398</v>
      </c>
      <c r="AV147" s="1162"/>
      <c r="AW147" s="1162"/>
      <c r="AX147" s="1162"/>
      <c r="AY147" s="1162"/>
      <c r="AZ147" s="1199"/>
      <c r="BA147" s="1226" t="str">
        <f>IF(ISBLANK(T$5),"",1)</f>
        <v/>
      </c>
      <c r="BB147" s="1258">
        <v>4.3</v>
      </c>
      <c r="BC147" s="1198" t="s">
        <v>398</v>
      </c>
      <c r="BD147" s="1162"/>
      <c r="BE147" s="1162"/>
      <c r="BF147" s="1162"/>
      <c r="BG147" s="1162"/>
      <c r="BH147" s="1199"/>
      <c r="BI147" s="1226" t="str">
        <f>IF(ISBLANK(X$5),"",1)</f>
        <v/>
      </c>
      <c r="BJ147" s="1337"/>
      <c r="BK147" s="1338"/>
      <c r="BL147" s="1338"/>
      <c r="BM147" s="1338"/>
      <c r="BN147" s="1338"/>
      <c r="BO147" s="1339"/>
    </row>
    <row r="148" spans="1:67" ht="15" customHeight="1">
      <c r="A148" s="1308"/>
      <c r="B148" s="1163"/>
      <c r="C148" s="1164"/>
      <c r="D148" s="1164"/>
      <c r="E148" s="1164"/>
      <c r="F148" s="1164"/>
      <c r="G148" s="1201"/>
      <c r="H148" s="1269"/>
      <c r="I148" s="1206"/>
      <c r="J148" s="1206"/>
      <c r="K148" s="1206"/>
      <c r="L148" s="1206"/>
      <c r="M148" s="1206"/>
      <c r="N148" s="1302"/>
      <c r="O148" s="1317"/>
      <c r="P148" s="1296"/>
      <c r="Q148" s="1296"/>
      <c r="R148" s="1296"/>
      <c r="S148" s="1296"/>
      <c r="T148" s="1318"/>
      <c r="U148" s="1269"/>
      <c r="V148" s="1258"/>
      <c r="W148" s="1163"/>
      <c r="X148" s="1164"/>
      <c r="Y148" s="1164"/>
      <c r="Z148" s="1164"/>
      <c r="AA148" s="1164"/>
      <c r="AB148" s="1201"/>
      <c r="AC148" s="1269"/>
      <c r="AD148" s="1258"/>
      <c r="AE148" s="1200"/>
      <c r="AF148" s="1164"/>
      <c r="AG148" s="1164"/>
      <c r="AH148" s="1164"/>
      <c r="AI148" s="1164"/>
      <c r="AJ148" s="1201"/>
      <c r="AK148" s="1342"/>
      <c r="AL148" s="1197"/>
      <c r="AM148" s="1200"/>
      <c r="AN148" s="1164"/>
      <c r="AO148" s="1164"/>
      <c r="AP148" s="1164"/>
      <c r="AQ148" s="1164"/>
      <c r="AR148" s="1201"/>
      <c r="AS148" s="1342"/>
      <c r="AT148" s="1258"/>
      <c r="AU148" s="1200"/>
      <c r="AV148" s="1164"/>
      <c r="AW148" s="1164"/>
      <c r="AX148" s="1164"/>
      <c r="AY148" s="1164"/>
      <c r="AZ148" s="1201"/>
      <c r="BA148" s="1342"/>
      <c r="BB148" s="1258"/>
      <c r="BC148" s="1200"/>
      <c r="BD148" s="1164"/>
      <c r="BE148" s="1164"/>
      <c r="BF148" s="1164"/>
      <c r="BG148" s="1164"/>
      <c r="BH148" s="1201"/>
      <c r="BI148" s="1342"/>
      <c r="BJ148" s="1337"/>
      <c r="BK148" s="1338"/>
      <c r="BL148" s="1338"/>
      <c r="BM148" s="1338"/>
      <c r="BN148" s="1338"/>
      <c r="BO148" s="1339"/>
    </row>
    <row r="149" spans="1:67" ht="15" customHeight="1">
      <c r="A149" s="1309"/>
      <c r="B149" s="1165"/>
      <c r="C149" s="1166"/>
      <c r="D149" s="1166"/>
      <c r="E149" s="1166"/>
      <c r="F149" s="1166"/>
      <c r="G149" s="1292"/>
      <c r="H149" s="1270"/>
      <c r="I149" s="1207"/>
      <c r="J149" s="1207"/>
      <c r="K149" s="1207"/>
      <c r="L149" s="1207"/>
      <c r="M149" s="1207"/>
      <c r="N149" s="1303"/>
      <c r="O149" s="1319"/>
      <c r="P149" s="1320"/>
      <c r="Q149" s="1320"/>
      <c r="R149" s="1320"/>
      <c r="S149" s="1320"/>
      <c r="T149" s="1321"/>
      <c r="U149" s="1270"/>
      <c r="V149" s="1258"/>
      <c r="W149" s="1165"/>
      <c r="X149" s="1166"/>
      <c r="Y149" s="1166"/>
      <c r="Z149" s="1166"/>
      <c r="AA149" s="1166"/>
      <c r="AB149" s="1292"/>
      <c r="AC149" s="1270"/>
      <c r="AD149" s="1258"/>
      <c r="AE149" s="1202"/>
      <c r="AF149" s="1203"/>
      <c r="AG149" s="1203"/>
      <c r="AH149" s="1203"/>
      <c r="AI149" s="1203"/>
      <c r="AJ149" s="1204"/>
      <c r="AK149" s="1342"/>
      <c r="AL149" s="1197"/>
      <c r="AM149" s="1202"/>
      <c r="AN149" s="1203"/>
      <c r="AO149" s="1203"/>
      <c r="AP149" s="1203"/>
      <c r="AQ149" s="1203"/>
      <c r="AR149" s="1204"/>
      <c r="AS149" s="1342"/>
      <c r="AT149" s="1258"/>
      <c r="AU149" s="1202"/>
      <c r="AV149" s="1203"/>
      <c r="AW149" s="1203"/>
      <c r="AX149" s="1203"/>
      <c r="AY149" s="1203"/>
      <c r="AZ149" s="1204"/>
      <c r="BA149" s="1342"/>
      <c r="BB149" s="1258"/>
      <c r="BC149" s="1202"/>
      <c r="BD149" s="1203"/>
      <c r="BE149" s="1203"/>
      <c r="BF149" s="1203"/>
      <c r="BG149" s="1203"/>
      <c r="BH149" s="1204"/>
      <c r="BI149" s="1342"/>
      <c r="BJ149" s="1337"/>
      <c r="BK149" s="1338"/>
      <c r="BL149" s="1338"/>
      <c r="BM149" s="1338"/>
      <c r="BN149" s="1338"/>
      <c r="BO149" s="1339"/>
    </row>
    <row r="150" spans="1:67" ht="15" customHeight="1">
      <c r="A150" s="1304">
        <v>2.4</v>
      </c>
      <c r="B150" s="1161" t="s">
        <v>316</v>
      </c>
      <c r="C150" s="1162"/>
      <c r="D150" s="1162"/>
      <c r="E150" s="1162"/>
      <c r="F150" s="1162"/>
      <c r="G150" s="1199"/>
      <c r="H150" s="1268" t="str">
        <f t="shared" ref="H150" si="83">IF(ISBLANK(D$5),"",1)</f>
        <v/>
      </c>
      <c r="I150" s="1205" t="str">
        <f t="shared" ref="I150" si="84">IF(ISBLANK(H$5),"",1)</f>
        <v/>
      </c>
      <c r="J150" s="1205" t="str">
        <f t="shared" ref="J150" si="85">IF(ISBLANK(L$5),"",1)</f>
        <v/>
      </c>
      <c r="K150" s="1205" t="str">
        <f t="shared" ref="K150" si="86">IF(ISBLANK(P$5),"",1)</f>
        <v/>
      </c>
      <c r="L150" s="1205" t="str">
        <f t="shared" ref="L150" si="87">IF(ISBLANK(T$5),"",1)</f>
        <v/>
      </c>
      <c r="M150" s="1248" t="str">
        <f t="shared" ref="M150" si="88">IF(ISBLANK(X$5),"",1)</f>
        <v/>
      </c>
      <c r="N150" s="1304">
        <v>4.3</v>
      </c>
      <c r="O150" s="1161" t="s">
        <v>399</v>
      </c>
      <c r="P150" s="1162"/>
      <c r="Q150" s="1162"/>
      <c r="R150" s="1162"/>
      <c r="S150" s="1162"/>
      <c r="T150" s="1199"/>
      <c r="U150" s="1399" t="str">
        <f t="shared" ref="U150" si="89">IF(ISBLANK(D$5),"",1)</f>
        <v/>
      </c>
      <c r="V150" s="1304">
        <v>4.3</v>
      </c>
      <c r="W150" s="1161" t="s">
        <v>405</v>
      </c>
      <c r="X150" s="1162"/>
      <c r="Y150" s="1162"/>
      <c r="Z150" s="1162"/>
      <c r="AA150" s="1162"/>
      <c r="AB150" s="1199"/>
      <c r="AC150" s="1399" t="str">
        <f t="shared" ref="AC150" si="90">IF(ISBLANK(H$5),"",1)</f>
        <v/>
      </c>
      <c r="AD150" s="1304">
        <v>4.3</v>
      </c>
      <c r="AE150" s="1198" t="s">
        <v>405</v>
      </c>
      <c r="AF150" s="1162"/>
      <c r="AG150" s="1162"/>
      <c r="AH150" s="1162"/>
      <c r="AI150" s="1162"/>
      <c r="AJ150" s="1199"/>
      <c r="AK150" s="1226" t="str">
        <f t="shared" ref="AK150" si="91">IF(ISBLANK(L$5),"",1)</f>
        <v/>
      </c>
      <c r="AL150" s="1304">
        <v>4.3</v>
      </c>
      <c r="AM150" s="1198" t="s">
        <v>891</v>
      </c>
      <c r="AN150" s="1162"/>
      <c r="AO150" s="1162"/>
      <c r="AP150" s="1162"/>
      <c r="AQ150" s="1162"/>
      <c r="AR150" s="1199"/>
      <c r="AS150" s="1226" t="str">
        <f t="shared" ref="AS150" si="92">IF(ISBLANK(P$5),"",1)</f>
        <v/>
      </c>
      <c r="AT150" s="1304">
        <v>4.3</v>
      </c>
      <c r="AU150" s="1198" t="s">
        <v>891</v>
      </c>
      <c r="AV150" s="1162"/>
      <c r="AW150" s="1162"/>
      <c r="AX150" s="1162"/>
      <c r="AY150" s="1162"/>
      <c r="AZ150" s="1199"/>
      <c r="BA150" s="1226" t="str">
        <f t="shared" ref="BA150" si="93">IF(ISBLANK(T$5),"",1)</f>
        <v/>
      </c>
      <c r="BB150" s="1304">
        <v>4.3</v>
      </c>
      <c r="BC150" s="1198" t="s">
        <v>891</v>
      </c>
      <c r="BD150" s="1162"/>
      <c r="BE150" s="1162"/>
      <c r="BF150" s="1162"/>
      <c r="BG150" s="1162"/>
      <c r="BH150" s="1199"/>
      <c r="BI150" s="1226" t="str">
        <f t="shared" ref="BI150" si="94">IF(ISBLANK(X$5),"",1)</f>
        <v/>
      </c>
      <c r="BJ150" s="1337"/>
      <c r="BK150" s="1338"/>
      <c r="BL150" s="1338"/>
      <c r="BM150" s="1338"/>
      <c r="BN150" s="1338"/>
      <c r="BO150" s="1339"/>
    </row>
    <row r="151" spans="1:67" ht="15" customHeight="1">
      <c r="A151" s="1290"/>
      <c r="B151" s="1163"/>
      <c r="C151" s="1164"/>
      <c r="D151" s="1164"/>
      <c r="E151" s="1164"/>
      <c r="F151" s="1164"/>
      <c r="G151" s="1201"/>
      <c r="H151" s="1269"/>
      <c r="I151" s="1206"/>
      <c r="J151" s="1206"/>
      <c r="K151" s="1206"/>
      <c r="L151" s="1206"/>
      <c r="M151" s="1206"/>
      <c r="N151" s="1290"/>
      <c r="O151" s="1163"/>
      <c r="P151" s="1164"/>
      <c r="Q151" s="1164"/>
      <c r="R151" s="1164"/>
      <c r="S151" s="1164"/>
      <c r="T151" s="1201"/>
      <c r="U151" s="1269"/>
      <c r="V151" s="1290"/>
      <c r="W151" s="1163"/>
      <c r="X151" s="1164"/>
      <c r="Y151" s="1164"/>
      <c r="Z151" s="1164"/>
      <c r="AA151" s="1164"/>
      <c r="AB151" s="1201"/>
      <c r="AC151" s="1269"/>
      <c r="AD151" s="1290"/>
      <c r="AE151" s="1200"/>
      <c r="AF151" s="1164"/>
      <c r="AG151" s="1164"/>
      <c r="AH151" s="1164"/>
      <c r="AI151" s="1164"/>
      <c r="AJ151" s="1201"/>
      <c r="AK151" s="1342"/>
      <c r="AL151" s="1290"/>
      <c r="AM151" s="1200"/>
      <c r="AN151" s="1164"/>
      <c r="AO151" s="1164"/>
      <c r="AP151" s="1164"/>
      <c r="AQ151" s="1164"/>
      <c r="AR151" s="1201"/>
      <c r="AS151" s="1342"/>
      <c r="AT151" s="1290"/>
      <c r="AU151" s="1200"/>
      <c r="AV151" s="1164"/>
      <c r="AW151" s="1164"/>
      <c r="AX151" s="1164"/>
      <c r="AY151" s="1164"/>
      <c r="AZ151" s="1201"/>
      <c r="BA151" s="1342"/>
      <c r="BB151" s="1290"/>
      <c r="BC151" s="1200"/>
      <c r="BD151" s="1164"/>
      <c r="BE151" s="1164"/>
      <c r="BF151" s="1164"/>
      <c r="BG151" s="1164"/>
      <c r="BH151" s="1201"/>
      <c r="BI151" s="1342"/>
      <c r="BJ151" s="1337"/>
      <c r="BK151" s="1338"/>
      <c r="BL151" s="1338"/>
      <c r="BM151" s="1338"/>
      <c r="BN151" s="1338"/>
      <c r="BO151" s="1339"/>
    </row>
    <row r="152" spans="1:67" ht="15" customHeight="1">
      <c r="A152" s="1291"/>
      <c r="B152" s="1165"/>
      <c r="C152" s="1166"/>
      <c r="D152" s="1166"/>
      <c r="E152" s="1166"/>
      <c r="F152" s="1166"/>
      <c r="G152" s="1292"/>
      <c r="H152" s="1270"/>
      <c r="I152" s="1207"/>
      <c r="J152" s="1207"/>
      <c r="K152" s="1207"/>
      <c r="L152" s="1207"/>
      <c r="M152" s="1207"/>
      <c r="N152" s="1291"/>
      <c r="O152" s="1165"/>
      <c r="P152" s="1166"/>
      <c r="Q152" s="1166"/>
      <c r="R152" s="1166"/>
      <c r="S152" s="1166"/>
      <c r="T152" s="1292"/>
      <c r="U152" s="1270"/>
      <c r="V152" s="1291"/>
      <c r="W152" s="1165"/>
      <c r="X152" s="1166"/>
      <c r="Y152" s="1166"/>
      <c r="Z152" s="1166"/>
      <c r="AA152" s="1166"/>
      <c r="AB152" s="1292"/>
      <c r="AC152" s="1270"/>
      <c r="AD152" s="1291"/>
      <c r="AE152" s="1202"/>
      <c r="AF152" s="1203"/>
      <c r="AG152" s="1203"/>
      <c r="AH152" s="1203"/>
      <c r="AI152" s="1203"/>
      <c r="AJ152" s="1204"/>
      <c r="AK152" s="1342"/>
      <c r="AL152" s="1291"/>
      <c r="AM152" s="1202"/>
      <c r="AN152" s="1203"/>
      <c r="AO152" s="1203"/>
      <c r="AP152" s="1203"/>
      <c r="AQ152" s="1203"/>
      <c r="AR152" s="1204"/>
      <c r="AS152" s="1342"/>
      <c r="AT152" s="1291"/>
      <c r="AU152" s="1202"/>
      <c r="AV152" s="1203"/>
      <c r="AW152" s="1203"/>
      <c r="AX152" s="1203"/>
      <c r="AY152" s="1203"/>
      <c r="AZ152" s="1204"/>
      <c r="BA152" s="1342"/>
      <c r="BB152" s="1291"/>
      <c r="BC152" s="1202"/>
      <c r="BD152" s="1203"/>
      <c r="BE152" s="1203"/>
      <c r="BF152" s="1203"/>
      <c r="BG152" s="1203"/>
      <c r="BH152" s="1204"/>
      <c r="BI152" s="1342"/>
      <c r="BJ152" s="1337"/>
      <c r="BK152" s="1338"/>
      <c r="BL152" s="1338"/>
      <c r="BM152" s="1338"/>
      <c r="BN152" s="1338"/>
      <c r="BO152" s="1339"/>
    </row>
    <row r="153" spans="1:67" ht="15" customHeight="1">
      <c r="A153" s="1307">
        <v>1.1000000000000001</v>
      </c>
      <c r="B153" s="1161" t="s">
        <v>320</v>
      </c>
      <c r="C153" s="1162"/>
      <c r="D153" s="1162"/>
      <c r="E153" s="1162"/>
      <c r="F153" s="1162"/>
      <c r="G153" s="1199"/>
      <c r="H153" s="1268" t="str">
        <f t="shared" ref="H153" si="95">IF(ISBLANK(D$5),"",1)</f>
        <v/>
      </c>
      <c r="I153" s="1205" t="str">
        <f t="shared" ref="I153" si="96">IF(ISBLANK(H$5),"",1)</f>
        <v/>
      </c>
      <c r="J153" s="1205" t="str">
        <f t="shared" ref="J153" si="97">IF(ISBLANK(L$5),"",1)</f>
        <v/>
      </c>
      <c r="K153" s="1205" t="str">
        <f t="shared" ref="K153" si="98">IF(ISBLANK(P$5),"",1)</f>
        <v/>
      </c>
      <c r="L153" s="1205" t="str">
        <f t="shared" ref="L153" si="99">IF(ISBLANK(T$5),"",1)</f>
        <v/>
      </c>
      <c r="M153" s="1248" t="str">
        <f t="shared" ref="M153" si="100">IF(ISBLANK(X$5),"",1)</f>
        <v/>
      </c>
      <c r="N153" s="1301">
        <v>4.3</v>
      </c>
      <c r="O153" s="1161" t="s">
        <v>388</v>
      </c>
      <c r="P153" s="1162"/>
      <c r="Q153" s="1162"/>
      <c r="R153" s="1162"/>
      <c r="S153" s="1162"/>
      <c r="T153" s="1199"/>
      <c r="U153" s="1399" t="str">
        <f t="shared" ref="U153" si="101">IF(ISBLANK(D$5),"",1)</f>
        <v/>
      </c>
      <c r="V153" s="1258">
        <v>4.3</v>
      </c>
      <c r="W153" s="1161" t="s">
        <v>406</v>
      </c>
      <c r="X153" s="1162"/>
      <c r="Y153" s="1162"/>
      <c r="Z153" s="1162"/>
      <c r="AA153" s="1162"/>
      <c r="AB153" s="1199"/>
      <c r="AC153" s="1399" t="str">
        <f t="shared" ref="AC153" si="102">IF(ISBLANK(H$5),"",1)</f>
        <v/>
      </c>
      <c r="AD153" s="1258">
        <v>4.3</v>
      </c>
      <c r="AE153" s="1198" t="s">
        <v>406</v>
      </c>
      <c r="AF153" s="1162"/>
      <c r="AG153" s="1162"/>
      <c r="AH153" s="1162"/>
      <c r="AI153" s="1162"/>
      <c r="AJ153" s="1199"/>
      <c r="AK153" s="1226" t="str">
        <f t="shared" ref="AK153" si="103">IF(ISBLANK(L$5),"",1)</f>
        <v/>
      </c>
      <c r="AL153" s="1196">
        <v>4.3</v>
      </c>
      <c r="AM153" s="1198" t="s">
        <v>406</v>
      </c>
      <c r="AN153" s="1162"/>
      <c r="AO153" s="1162"/>
      <c r="AP153" s="1162"/>
      <c r="AQ153" s="1162"/>
      <c r="AR153" s="1199"/>
      <c r="AS153" s="1226" t="str">
        <f t="shared" ref="AS153" si="104">IF(ISBLANK(P$5),"",1)</f>
        <v/>
      </c>
      <c r="AT153" s="1258">
        <v>4.3</v>
      </c>
      <c r="AU153" s="1198" t="s">
        <v>406</v>
      </c>
      <c r="AV153" s="1162"/>
      <c r="AW153" s="1162"/>
      <c r="AX153" s="1162"/>
      <c r="AY153" s="1162"/>
      <c r="AZ153" s="1199"/>
      <c r="BA153" s="1226" t="str">
        <f>IF(ISBLANK(T$5),"",1)</f>
        <v/>
      </c>
      <c r="BB153" s="1258">
        <v>4.3</v>
      </c>
      <c r="BC153" s="1198" t="s">
        <v>406</v>
      </c>
      <c r="BD153" s="1162"/>
      <c r="BE153" s="1162"/>
      <c r="BF153" s="1162"/>
      <c r="BG153" s="1162"/>
      <c r="BH153" s="1199"/>
      <c r="BI153" s="1226" t="str">
        <f t="shared" ref="BI153" si="105">IF(ISBLANK(X$5),"",1)</f>
        <v/>
      </c>
      <c r="BJ153" s="1337"/>
      <c r="BK153" s="1338"/>
      <c r="BL153" s="1338"/>
      <c r="BM153" s="1338"/>
      <c r="BN153" s="1338"/>
      <c r="BO153" s="1339"/>
    </row>
    <row r="154" spans="1:67" ht="15" customHeight="1">
      <c r="A154" s="1308"/>
      <c r="B154" s="1163"/>
      <c r="C154" s="1164"/>
      <c r="D154" s="1164"/>
      <c r="E154" s="1164"/>
      <c r="F154" s="1164"/>
      <c r="G154" s="1201"/>
      <c r="H154" s="1269"/>
      <c r="I154" s="1206"/>
      <c r="J154" s="1206"/>
      <c r="K154" s="1206"/>
      <c r="L154" s="1206"/>
      <c r="M154" s="1206"/>
      <c r="N154" s="1302"/>
      <c r="O154" s="1163"/>
      <c r="P154" s="1164"/>
      <c r="Q154" s="1164"/>
      <c r="R154" s="1164"/>
      <c r="S154" s="1164"/>
      <c r="T154" s="1201"/>
      <c r="U154" s="1269"/>
      <c r="V154" s="1258"/>
      <c r="W154" s="1163"/>
      <c r="X154" s="1164"/>
      <c r="Y154" s="1164"/>
      <c r="Z154" s="1164"/>
      <c r="AA154" s="1164"/>
      <c r="AB154" s="1201"/>
      <c r="AC154" s="1269"/>
      <c r="AD154" s="1258"/>
      <c r="AE154" s="1200"/>
      <c r="AF154" s="1164"/>
      <c r="AG154" s="1164"/>
      <c r="AH154" s="1164"/>
      <c r="AI154" s="1164"/>
      <c r="AJ154" s="1201"/>
      <c r="AK154" s="1342"/>
      <c r="AL154" s="1197"/>
      <c r="AM154" s="1200"/>
      <c r="AN154" s="1164"/>
      <c r="AO154" s="1164"/>
      <c r="AP154" s="1164"/>
      <c r="AQ154" s="1164"/>
      <c r="AR154" s="1201"/>
      <c r="AS154" s="1342"/>
      <c r="AT154" s="1258"/>
      <c r="AU154" s="1200"/>
      <c r="AV154" s="1164"/>
      <c r="AW154" s="1164"/>
      <c r="AX154" s="1164"/>
      <c r="AY154" s="1164"/>
      <c r="AZ154" s="1201"/>
      <c r="BA154" s="1342"/>
      <c r="BB154" s="1258"/>
      <c r="BC154" s="1200"/>
      <c r="BD154" s="1164"/>
      <c r="BE154" s="1164"/>
      <c r="BF154" s="1164"/>
      <c r="BG154" s="1164"/>
      <c r="BH154" s="1201"/>
      <c r="BI154" s="1342"/>
      <c r="BJ154" s="1337"/>
      <c r="BK154" s="1338"/>
      <c r="BL154" s="1338"/>
      <c r="BM154" s="1338"/>
      <c r="BN154" s="1338"/>
      <c r="BO154" s="1339"/>
    </row>
    <row r="155" spans="1:67" ht="15" customHeight="1">
      <c r="A155" s="1309"/>
      <c r="B155" s="1165"/>
      <c r="C155" s="1166"/>
      <c r="D155" s="1166"/>
      <c r="E155" s="1166"/>
      <c r="F155" s="1166"/>
      <c r="G155" s="1292"/>
      <c r="H155" s="1270"/>
      <c r="I155" s="1207"/>
      <c r="J155" s="1207"/>
      <c r="K155" s="1207"/>
      <c r="L155" s="1207"/>
      <c r="M155" s="1207"/>
      <c r="N155" s="1303"/>
      <c r="O155" s="1165"/>
      <c r="P155" s="1166"/>
      <c r="Q155" s="1166"/>
      <c r="R155" s="1166"/>
      <c r="S155" s="1166"/>
      <c r="T155" s="1292"/>
      <c r="U155" s="1270"/>
      <c r="V155" s="1258"/>
      <c r="W155" s="1165"/>
      <c r="X155" s="1166"/>
      <c r="Y155" s="1166"/>
      <c r="Z155" s="1166"/>
      <c r="AA155" s="1166"/>
      <c r="AB155" s="1292"/>
      <c r="AC155" s="1270"/>
      <c r="AD155" s="1258"/>
      <c r="AE155" s="1202"/>
      <c r="AF155" s="1203"/>
      <c r="AG155" s="1203"/>
      <c r="AH155" s="1203"/>
      <c r="AI155" s="1203"/>
      <c r="AJ155" s="1204"/>
      <c r="AK155" s="1342"/>
      <c r="AL155" s="1197"/>
      <c r="AM155" s="1202"/>
      <c r="AN155" s="1203"/>
      <c r="AO155" s="1203"/>
      <c r="AP155" s="1203"/>
      <c r="AQ155" s="1203"/>
      <c r="AR155" s="1204"/>
      <c r="AS155" s="1342"/>
      <c r="AT155" s="1258"/>
      <c r="AU155" s="1202"/>
      <c r="AV155" s="1203"/>
      <c r="AW155" s="1203"/>
      <c r="AX155" s="1203"/>
      <c r="AY155" s="1203"/>
      <c r="AZ155" s="1204"/>
      <c r="BA155" s="1342"/>
      <c r="BB155" s="1258"/>
      <c r="BC155" s="1202"/>
      <c r="BD155" s="1203"/>
      <c r="BE155" s="1203"/>
      <c r="BF155" s="1203"/>
      <c r="BG155" s="1203"/>
      <c r="BH155" s="1204"/>
      <c r="BI155" s="1342"/>
      <c r="BJ155" s="1337"/>
      <c r="BK155" s="1338"/>
      <c r="BL155" s="1338"/>
      <c r="BM155" s="1338"/>
      <c r="BN155" s="1338"/>
      <c r="BO155" s="1339"/>
    </row>
    <row r="156" spans="1:67" ht="15" customHeight="1">
      <c r="A156" s="1304">
        <v>2.1</v>
      </c>
      <c r="B156" s="1161" t="s">
        <v>322</v>
      </c>
      <c r="C156" s="1162"/>
      <c r="D156" s="1162"/>
      <c r="E156" s="1162"/>
      <c r="F156" s="1162"/>
      <c r="G156" s="1199"/>
      <c r="H156" s="1268" t="str">
        <f t="shared" ref="H156" si="106">IF(ISBLANK(D$5),"",1)</f>
        <v/>
      </c>
      <c r="I156" s="1205" t="str">
        <f t="shared" ref="I156" si="107">IF(ISBLANK(H$5),"",1)</f>
        <v/>
      </c>
      <c r="J156" s="1205" t="str">
        <f t="shared" ref="J156" si="108">IF(ISBLANK(L$5),"",1)</f>
        <v/>
      </c>
      <c r="K156" s="1205" t="str">
        <f t="shared" ref="K156" si="109">IF(ISBLANK(P$5),"",1)</f>
        <v/>
      </c>
      <c r="L156" s="1205" t="str">
        <f t="shared" ref="L156" si="110">IF(ISBLANK(T$5),"",1)</f>
        <v/>
      </c>
      <c r="M156" s="1248" t="str">
        <f t="shared" ref="M156" si="111">IF(ISBLANK(X$5),"",1)</f>
        <v/>
      </c>
      <c r="N156" s="1301">
        <v>4.4000000000000004</v>
      </c>
      <c r="O156" s="1161" t="s">
        <v>400</v>
      </c>
      <c r="P156" s="1162"/>
      <c r="Q156" s="1162"/>
      <c r="R156" s="1162"/>
      <c r="S156" s="1162"/>
      <c r="T156" s="1199"/>
      <c r="U156" s="1399" t="str">
        <f t="shared" ref="U156" si="112">IF(ISBLANK(D$5),"",1)</f>
        <v/>
      </c>
      <c r="V156" s="1258">
        <v>4.3</v>
      </c>
      <c r="W156" s="1161" t="s">
        <v>388</v>
      </c>
      <c r="X156" s="1162"/>
      <c r="Y156" s="1162"/>
      <c r="Z156" s="1162"/>
      <c r="AA156" s="1162"/>
      <c r="AB156" s="1199"/>
      <c r="AC156" s="1399" t="str">
        <f t="shared" ref="AC156" si="113">IF(ISBLANK(H$5),"",1)</f>
        <v/>
      </c>
      <c r="AD156" s="1258">
        <v>4.3</v>
      </c>
      <c r="AE156" s="1198" t="s">
        <v>388</v>
      </c>
      <c r="AF156" s="1162"/>
      <c r="AG156" s="1162"/>
      <c r="AH156" s="1162"/>
      <c r="AI156" s="1162"/>
      <c r="AJ156" s="1199"/>
      <c r="AK156" s="1226" t="str">
        <f t="shared" ref="AK156" si="114">IF(ISBLANK(L$5),"",1)</f>
        <v/>
      </c>
      <c r="AL156" s="1196">
        <v>4.3</v>
      </c>
      <c r="AM156" s="1198" t="s">
        <v>388</v>
      </c>
      <c r="AN156" s="1162"/>
      <c r="AO156" s="1162"/>
      <c r="AP156" s="1162"/>
      <c r="AQ156" s="1162"/>
      <c r="AR156" s="1199"/>
      <c r="AS156" s="1226" t="str">
        <f t="shared" ref="AS156" si="115">IF(ISBLANK(P$5),"",1)</f>
        <v/>
      </c>
      <c r="AT156" s="1258">
        <v>4.3</v>
      </c>
      <c r="AU156" s="1198" t="s">
        <v>388</v>
      </c>
      <c r="AV156" s="1162"/>
      <c r="AW156" s="1162"/>
      <c r="AX156" s="1162"/>
      <c r="AY156" s="1162"/>
      <c r="AZ156" s="1199"/>
      <c r="BA156" s="1226" t="str">
        <f t="shared" ref="BA156" si="116">IF(ISBLANK(T$5),"",1)</f>
        <v/>
      </c>
      <c r="BB156" s="1258">
        <v>4.3</v>
      </c>
      <c r="BC156" s="1198" t="s">
        <v>388</v>
      </c>
      <c r="BD156" s="1162"/>
      <c r="BE156" s="1162"/>
      <c r="BF156" s="1162"/>
      <c r="BG156" s="1162"/>
      <c r="BH156" s="1199"/>
      <c r="BI156" s="1226" t="str">
        <f t="shared" ref="BI156" si="117">IF(ISBLANK(X$5),"",1)</f>
        <v/>
      </c>
      <c r="BJ156" s="1337"/>
      <c r="BK156" s="1338"/>
      <c r="BL156" s="1338"/>
      <c r="BM156" s="1338"/>
      <c r="BN156" s="1338"/>
      <c r="BO156" s="1339"/>
    </row>
    <row r="157" spans="1:67" ht="15" customHeight="1">
      <c r="A157" s="1290"/>
      <c r="B157" s="1163"/>
      <c r="C157" s="1164"/>
      <c r="D157" s="1164"/>
      <c r="E157" s="1164"/>
      <c r="F157" s="1164"/>
      <c r="G157" s="1201"/>
      <c r="H157" s="1269"/>
      <c r="I157" s="1206"/>
      <c r="J157" s="1206"/>
      <c r="K157" s="1206"/>
      <c r="L157" s="1206"/>
      <c r="M157" s="1206"/>
      <c r="N157" s="1302"/>
      <c r="O157" s="1163"/>
      <c r="P157" s="1164"/>
      <c r="Q157" s="1164"/>
      <c r="R157" s="1164"/>
      <c r="S157" s="1164"/>
      <c r="T157" s="1201"/>
      <c r="U157" s="1269"/>
      <c r="V157" s="1258"/>
      <c r="W157" s="1163"/>
      <c r="X157" s="1164"/>
      <c r="Y157" s="1164"/>
      <c r="Z157" s="1164"/>
      <c r="AA157" s="1164"/>
      <c r="AB157" s="1201"/>
      <c r="AC157" s="1269"/>
      <c r="AD157" s="1258"/>
      <c r="AE157" s="1200"/>
      <c r="AF157" s="1164"/>
      <c r="AG157" s="1164"/>
      <c r="AH157" s="1164"/>
      <c r="AI157" s="1164"/>
      <c r="AJ157" s="1201"/>
      <c r="AK157" s="1342"/>
      <c r="AL157" s="1197"/>
      <c r="AM157" s="1200"/>
      <c r="AN157" s="1164"/>
      <c r="AO157" s="1164"/>
      <c r="AP157" s="1164"/>
      <c r="AQ157" s="1164"/>
      <c r="AR157" s="1201"/>
      <c r="AS157" s="1342"/>
      <c r="AT157" s="1258"/>
      <c r="AU157" s="1200"/>
      <c r="AV157" s="1164"/>
      <c r="AW157" s="1164"/>
      <c r="AX157" s="1164"/>
      <c r="AY157" s="1164"/>
      <c r="AZ157" s="1201"/>
      <c r="BA157" s="1342"/>
      <c r="BB157" s="1258"/>
      <c r="BC157" s="1200"/>
      <c r="BD157" s="1164"/>
      <c r="BE157" s="1164"/>
      <c r="BF157" s="1164"/>
      <c r="BG157" s="1164"/>
      <c r="BH157" s="1201"/>
      <c r="BI157" s="1342"/>
      <c r="BJ157" s="1337"/>
      <c r="BK157" s="1338"/>
      <c r="BL157" s="1338"/>
      <c r="BM157" s="1338"/>
      <c r="BN157" s="1338"/>
      <c r="BO157" s="1339"/>
    </row>
    <row r="158" spans="1:67" ht="15" customHeight="1">
      <c r="A158" s="1291"/>
      <c r="B158" s="1165"/>
      <c r="C158" s="1166"/>
      <c r="D158" s="1166"/>
      <c r="E158" s="1166"/>
      <c r="F158" s="1166"/>
      <c r="G158" s="1292"/>
      <c r="H158" s="1270"/>
      <c r="I158" s="1207"/>
      <c r="J158" s="1207"/>
      <c r="K158" s="1207"/>
      <c r="L158" s="1207"/>
      <c r="M158" s="1207"/>
      <c r="N158" s="1303"/>
      <c r="O158" s="1165"/>
      <c r="P158" s="1166"/>
      <c r="Q158" s="1166"/>
      <c r="R158" s="1166"/>
      <c r="S158" s="1166"/>
      <c r="T158" s="1292"/>
      <c r="U158" s="1270"/>
      <c r="V158" s="1258"/>
      <c r="W158" s="1165"/>
      <c r="X158" s="1166"/>
      <c r="Y158" s="1166"/>
      <c r="Z158" s="1166"/>
      <c r="AA158" s="1166"/>
      <c r="AB158" s="1292"/>
      <c r="AC158" s="1270"/>
      <c r="AD158" s="1258"/>
      <c r="AE158" s="1202"/>
      <c r="AF158" s="1203"/>
      <c r="AG158" s="1203"/>
      <c r="AH158" s="1203"/>
      <c r="AI158" s="1203"/>
      <c r="AJ158" s="1204"/>
      <c r="AK158" s="1342"/>
      <c r="AL158" s="1197"/>
      <c r="AM158" s="1202"/>
      <c r="AN158" s="1203"/>
      <c r="AO158" s="1203"/>
      <c r="AP158" s="1203"/>
      <c r="AQ158" s="1203"/>
      <c r="AR158" s="1204"/>
      <c r="AS158" s="1342"/>
      <c r="AT158" s="1258"/>
      <c r="AU158" s="1202"/>
      <c r="AV158" s="1203"/>
      <c r="AW158" s="1203"/>
      <c r="AX158" s="1203"/>
      <c r="AY158" s="1203"/>
      <c r="AZ158" s="1204"/>
      <c r="BA158" s="1342"/>
      <c r="BB158" s="1258"/>
      <c r="BC158" s="1202"/>
      <c r="BD158" s="1203"/>
      <c r="BE158" s="1203"/>
      <c r="BF158" s="1203"/>
      <c r="BG158" s="1203"/>
      <c r="BH158" s="1204"/>
      <c r="BI158" s="1342"/>
      <c r="BJ158" s="1337"/>
      <c r="BK158" s="1338"/>
      <c r="BL158" s="1338"/>
      <c r="BM158" s="1338"/>
      <c r="BN158" s="1338"/>
      <c r="BO158" s="1339"/>
    </row>
    <row r="159" spans="1:67" ht="15" customHeight="1">
      <c r="A159" s="1307">
        <v>1.1000000000000001</v>
      </c>
      <c r="B159" s="1161" t="s">
        <v>940</v>
      </c>
      <c r="C159" s="1162"/>
      <c r="D159" s="1162"/>
      <c r="E159" s="1162"/>
      <c r="F159" s="1162"/>
      <c r="G159" s="1199"/>
      <c r="H159" s="1268" t="str">
        <f t="shared" ref="H159" si="118">IF(ISBLANK(D$5),"",1)</f>
        <v/>
      </c>
      <c r="I159" s="1205" t="str">
        <f t="shared" ref="I159" si="119">IF(ISBLANK(H$5),"",1)</f>
        <v/>
      </c>
      <c r="J159" s="1205" t="str">
        <f t="shared" ref="J159" si="120">IF(ISBLANK(L$5),"",1)</f>
        <v/>
      </c>
      <c r="K159" s="1205" t="str">
        <f t="shared" ref="K159" si="121">IF(ISBLANK(P$5),"",1)</f>
        <v/>
      </c>
      <c r="L159" s="1205" t="str">
        <f t="shared" ref="L159" si="122">IF(ISBLANK(T$5),"",1)</f>
        <v/>
      </c>
      <c r="M159" s="1248" t="str">
        <f t="shared" ref="M159" si="123">IF(ISBLANK(X$5),"",1)</f>
        <v/>
      </c>
      <c r="N159" s="1301">
        <v>4.4000000000000004</v>
      </c>
      <c r="O159" s="1161" t="s">
        <v>401</v>
      </c>
      <c r="P159" s="1162"/>
      <c r="Q159" s="1162"/>
      <c r="R159" s="1162"/>
      <c r="S159" s="1162"/>
      <c r="T159" s="1199"/>
      <c r="U159" s="1399" t="str">
        <f t="shared" ref="U159" si="124">IF(ISBLANK(D$5),"",1)</f>
        <v/>
      </c>
      <c r="V159" s="1258">
        <v>4.4000000000000004</v>
      </c>
      <c r="W159" s="1161" t="s">
        <v>407</v>
      </c>
      <c r="X159" s="1162"/>
      <c r="Y159" s="1162"/>
      <c r="Z159" s="1162"/>
      <c r="AA159" s="1162"/>
      <c r="AB159" s="1199"/>
      <c r="AC159" s="1399" t="str">
        <f t="shared" ref="AC159" si="125">IF(ISBLANK(H$5),"",1)</f>
        <v/>
      </c>
      <c r="AD159" s="1258">
        <v>4.3</v>
      </c>
      <c r="AE159" s="1198" t="s">
        <v>390</v>
      </c>
      <c r="AF159" s="1162"/>
      <c r="AG159" s="1162"/>
      <c r="AH159" s="1162"/>
      <c r="AI159" s="1162"/>
      <c r="AJ159" s="1199"/>
      <c r="AK159" s="1226" t="str">
        <f t="shared" ref="AK159" si="126">IF(ISBLANK(L$5),"",1)</f>
        <v/>
      </c>
      <c r="AL159" s="1304">
        <v>4.4000000000000004</v>
      </c>
      <c r="AM159" s="1198" t="s">
        <v>407</v>
      </c>
      <c r="AN159" s="1162"/>
      <c r="AO159" s="1162"/>
      <c r="AP159" s="1162"/>
      <c r="AQ159" s="1162"/>
      <c r="AR159" s="1199"/>
      <c r="AS159" s="1226" t="str">
        <f t="shared" ref="AS159" si="127">IF(ISBLANK(P$5),"",1)</f>
        <v/>
      </c>
      <c r="AT159" s="1258">
        <v>4.3</v>
      </c>
      <c r="AU159" s="1198" t="s">
        <v>390</v>
      </c>
      <c r="AV159" s="1162"/>
      <c r="AW159" s="1162"/>
      <c r="AX159" s="1162"/>
      <c r="AY159" s="1162"/>
      <c r="AZ159" s="1199"/>
      <c r="BA159" s="1226" t="str">
        <f t="shared" ref="BA159" si="128">IF(ISBLANK(T$5),"",1)</f>
        <v/>
      </c>
      <c r="BB159" s="1258">
        <v>4.3</v>
      </c>
      <c r="BC159" s="1198" t="s">
        <v>390</v>
      </c>
      <c r="BD159" s="1162"/>
      <c r="BE159" s="1162"/>
      <c r="BF159" s="1162"/>
      <c r="BG159" s="1162"/>
      <c r="BH159" s="1199"/>
      <c r="BI159" s="1226" t="str">
        <f t="shared" ref="BI159" si="129">IF(ISBLANK(X$5),"",1)</f>
        <v/>
      </c>
      <c r="BJ159" s="1337"/>
      <c r="BK159" s="1338"/>
      <c r="BL159" s="1338"/>
      <c r="BM159" s="1338"/>
      <c r="BN159" s="1338"/>
      <c r="BO159" s="1339"/>
    </row>
    <row r="160" spans="1:67" ht="15" customHeight="1">
      <c r="A160" s="1308"/>
      <c r="B160" s="1163"/>
      <c r="C160" s="1164"/>
      <c r="D160" s="1164"/>
      <c r="E160" s="1164"/>
      <c r="F160" s="1164"/>
      <c r="G160" s="1201"/>
      <c r="H160" s="1269"/>
      <c r="I160" s="1206"/>
      <c r="J160" s="1206"/>
      <c r="K160" s="1206"/>
      <c r="L160" s="1206"/>
      <c r="M160" s="1206"/>
      <c r="N160" s="1302"/>
      <c r="O160" s="1163"/>
      <c r="P160" s="1164"/>
      <c r="Q160" s="1164"/>
      <c r="R160" s="1164"/>
      <c r="S160" s="1164"/>
      <c r="T160" s="1201"/>
      <c r="U160" s="1269"/>
      <c r="V160" s="1258"/>
      <c r="W160" s="1163"/>
      <c r="X160" s="1164"/>
      <c r="Y160" s="1164"/>
      <c r="Z160" s="1164"/>
      <c r="AA160" s="1164"/>
      <c r="AB160" s="1201"/>
      <c r="AC160" s="1269"/>
      <c r="AD160" s="1258"/>
      <c r="AE160" s="1200"/>
      <c r="AF160" s="1164"/>
      <c r="AG160" s="1164"/>
      <c r="AH160" s="1164"/>
      <c r="AI160" s="1164"/>
      <c r="AJ160" s="1201"/>
      <c r="AK160" s="1342"/>
      <c r="AL160" s="1290"/>
      <c r="AM160" s="1200"/>
      <c r="AN160" s="1164"/>
      <c r="AO160" s="1164"/>
      <c r="AP160" s="1164"/>
      <c r="AQ160" s="1164"/>
      <c r="AR160" s="1201"/>
      <c r="AS160" s="1342"/>
      <c r="AT160" s="1258"/>
      <c r="AU160" s="1200"/>
      <c r="AV160" s="1164"/>
      <c r="AW160" s="1164"/>
      <c r="AX160" s="1164"/>
      <c r="AY160" s="1164"/>
      <c r="AZ160" s="1201"/>
      <c r="BA160" s="1342"/>
      <c r="BB160" s="1258"/>
      <c r="BC160" s="1200"/>
      <c r="BD160" s="1164"/>
      <c r="BE160" s="1164"/>
      <c r="BF160" s="1164"/>
      <c r="BG160" s="1164"/>
      <c r="BH160" s="1201"/>
      <c r="BI160" s="1342"/>
      <c r="BJ160" s="1337"/>
      <c r="BK160" s="1338"/>
      <c r="BL160" s="1338"/>
      <c r="BM160" s="1338"/>
      <c r="BN160" s="1338"/>
      <c r="BO160" s="1339"/>
    </row>
    <row r="161" spans="1:67" ht="15" customHeight="1">
      <c r="A161" s="1309"/>
      <c r="B161" s="1165"/>
      <c r="C161" s="1166"/>
      <c r="D161" s="1166"/>
      <c r="E161" s="1166"/>
      <c r="F161" s="1166"/>
      <c r="G161" s="1292"/>
      <c r="H161" s="1270"/>
      <c r="I161" s="1207"/>
      <c r="J161" s="1207"/>
      <c r="K161" s="1207"/>
      <c r="L161" s="1207"/>
      <c r="M161" s="1207"/>
      <c r="N161" s="1303"/>
      <c r="O161" s="1165"/>
      <c r="P161" s="1166"/>
      <c r="Q161" s="1166"/>
      <c r="R161" s="1166"/>
      <c r="S161" s="1166"/>
      <c r="T161" s="1292"/>
      <c r="U161" s="1270"/>
      <c r="V161" s="1258"/>
      <c r="W161" s="1165"/>
      <c r="X161" s="1166"/>
      <c r="Y161" s="1166"/>
      <c r="Z161" s="1166"/>
      <c r="AA161" s="1166"/>
      <c r="AB161" s="1292"/>
      <c r="AC161" s="1270"/>
      <c r="AD161" s="1258"/>
      <c r="AE161" s="1202"/>
      <c r="AF161" s="1203"/>
      <c r="AG161" s="1203"/>
      <c r="AH161" s="1203"/>
      <c r="AI161" s="1203"/>
      <c r="AJ161" s="1204"/>
      <c r="AK161" s="1342"/>
      <c r="AL161" s="1291"/>
      <c r="AM161" s="1202"/>
      <c r="AN161" s="1203"/>
      <c r="AO161" s="1203"/>
      <c r="AP161" s="1203"/>
      <c r="AQ161" s="1203"/>
      <c r="AR161" s="1204"/>
      <c r="AS161" s="1342"/>
      <c r="AT161" s="1258"/>
      <c r="AU161" s="1202"/>
      <c r="AV161" s="1203"/>
      <c r="AW161" s="1203"/>
      <c r="AX161" s="1203"/>
      <c r="AY161" s="1203"/>
      <c r="AZ161" s="1204"/>
      <c r="BA161" s="1342"/>
      <c r="BB161" s="1258"/>
      <c r="BC161" s="1202"/>
      <c r="BD161" s="1203"/>
      <c r="BE161" s="1203"/>
      <c r="BF161" s="1203"/>
      <c r="BG161" s="1203"/>
      <c r="BH161" s="1204"/>
      <c r="BI161" s="1342"/>
      <c r="BJ161" s="1337"/>
      <c r="BK161" s="1338"/>
      <c r="BL161" s="1338"/>
      <c r="BM161" s="1338"/>
      <c r="BN161" s="1338"/>
      <c r="BO161" s="1339"/>
    </row>
    <row r="162" spans="1:67" ht="15" customHeight="1">
      <c r="A162" s="1307">
        <v>1.1000000000000001</v>
      </c>
      <c r="B162" s="1161" t="s">
        <v>330</v>
      </c>
      <c r="C162" s="1162"/>
      <c r="D162" s="1162"/>
      <c r="E162" s="1162"/>
      <c r="F162" s="1162"/>
      <c r="G162" s="1199"/>
      <c r="H162" s="1268" t="str">
        <f t="shared" ref="H162" si="130">IF(ISBLANK(D$5),"",1)</f>
        <v/>
      </c>
      <c r="I162" s="1205" t="str">
        <f t="shared" ref="I162" si="131">IF(ISBLANK(H$5),"",1)</f>
        <v/>
      </c>
      <c r="J162" s="1205" t="str">
        <f t="shared" ref="J162" si="132">IF(ISBLANK(L$5),"",1)</f>
        <v/>
      </c>
      <c r="K162" s="1205" t="str">
        <f t="shared" ref="K162" si="133">IF(ISBLANK(P$5),"",1)</f>
        <v/>
      </c>
      <c r="L162" s="1205" t="str">
        <f t="shared" ref="L162" si="134">IF(ISBLANK(T$5),"",1)</f>
        <v/>
      </c>
      <c r="M162" s="1248" t="str">
        <f t="shared" ref="M162" si="135">IF(ISBLANK(X$5),"",1)</f>
        <v/>
      </c>
      <c r="N162" s="1304">
        <v>4.4000000000000004</v>
      </c>
      <c r="O162" s="1161" t="s">
        <v>402</v>
      </c>
      <c r="P162" s="1162"/>
      <c r="Q162" s="1162"/>
      <c r="R162" s="1162"/>
      <c r="S162" s="1162"/>
      <c r="T162" s="1199"/>
      <c r="U162" s="1399" t="str">
        <f t="shared" ref="U162" si="136">IF(ISBLANK(D$5),"",1)</f>
        <v/>
      </c>
      <c r="V162" s="1258">
        <v>4.4000000000000004</v>
      </c>
      <c r="W162" s="1161" t="s">
        <v>393</v>
      </c>
      <c r="X162" s="1162"/>
      <c r="Y162" s="1162"/>
      <c r="Z162" s="1162"/>
      <c r="AA162" s="1162"/>
      <c r="AB162" s="1199"/>
      <c r="AC162" s="1399" t="str">
        <f t="shared" ref="AC162" si="137">IF(ISBLANK(H$5),"",1)</f>
        <v/>
      </c>
      <c r="AD162" s="1258">
        <v>4.4000000000000004</v>
      </c>
      <c r="AE162" s="1198" t="s">
        <v>415</v>
      </c>
      <c r="AF162" s="1162"/>
      <c r="AG162" s="1162"/>
      <c r="AH162" s="1162"/>
      <c r="AI162" s="1162"/>
      <c r="AJ162" s="1199"/>
      <c r="AK162" s="1226" t="str">
        <f t="shared" ref="AK162" si="138">IF(ISBLANK(L$5),"",1)</f>
        <v/>
      </c>
      <c r="AL162" s="1304">
        <v>4.4000000000000004</v>
      </c>
      <c r="AM162" s="1198" t="s">
        <v>393</v>
      </c>
      <c r="AN162" s="1162"/>
      <c r="AO162" s="1162"/>
      <c r="AP162" s="1162"/>
      <c r="AQ162" s="1162"/>
      <c r="AR162" s="1199"/>
      <c r="AS162" s="1226" t="str">
        <f t="shared" ref="AS162" si="139">IF(ISBLANK(P$5),"",1)</f>
        <v/>
      </c>
      <c r="AT162" s="1258">
        <v>4.4000000000000004</v>
      </c>
      <c r="AU162" s="1198" t="s">
        <v>892</v>
      </c>
      <c r="AV162" s="1162"/>
      <c r="AW162" s="1162"/>
      <c r="AX162" s="1162"/>
      <c r="AY162" s="1162"/>
      <c r="AZ162" s="1199"/>
      <c r="BA162" s="1226" t="str">
        <f t="shared" ref="BA162" si="140">IF(ISBLANK(T$5),"",1)</f>
        <v/>
      </c>
      <c r="BB162" s="1258">
        <v>4.4000000000000004</v>
      </c>
      <c r="BC162" s="1198" t="s">
        <v>892</v>
      </c>
      <c r="BD162" s="1162"/>
      <c r="BE162" s="1162"/>
      <c r="BF162" s="1162"/>
      <c r="BG162" s="1162"/>
      <c r="BH162" s="1199"/>
      <c r="BI162" s="1226" t="str">
        <f t="shared" ref="BI162" si="141">IF(ISBLANK(X$5),"",1)</f>
        <v/>
      </c>
      <c r="BJ162" s="1337"/>
      <c r="BK162" s="1338"/>
      <c r="BL162" s="1338"/>
      <c r="BM162" s="1338"/>
      <c r="BN162" s="1338"/>
      <c r="BO162" s="1339"/>
    </row>
    <row r="163" spans="1:67" ht="15" customHeight="1">
      <c r="A163" s="1308"/>
      <c r="B163" s="1163"/>
      <c r="C163" s="1164"/>
      <c r="D163" s="1164"/>
      <c r="E163" s="1164"/>
      <c r="F163" s="1164"/>
      <c r="G163" s="1201"/>
      <c r="H163" s="1269"/>
      <c r="I163" s="1206"/>
      <c r="J163" s="1206"/>
      <c r="K163" s="1206"/>
      <c r="L163" s="1206"/>
      <c r="M163" s="1206"/>
      <c r="N163" s="1290"/>
      <c r="O163" s="1163"/>
      <c r="P163" s="1164"/>
      <c r="Q163" s="1164"/>
      <c r="R163" s="1164"/>
      <c r="S163" s="1164"/>
      <c r="T163" s="1201"/>
      <c r="U163" s="1269"/>
      <c r="V163" s="1258"/>
      <c r="W163" s="1163"/>
      <c r="X163" s="1164"/>
      <c r="Y163" s="1164"/>
      <c r="Z163" s="1164"/>
      <c r="AA163" s="1164"/>
      <c r="AB163" s="1201"/>
      <c r="AC163" s="1269"/>
      <c r="AD163" s="1258"/>
      <c r="AE163" s="1200"/>
      <c r="AF163" s="1164"/>
      <c r="AG163" s="1164"/>
      <c r="AH163" s="1164"/>
      <c r="AI163" s="1164"/>
      <c r="AJ163" s="1201"/>
      <c r="AK163" s="1342"/>
      <c r="AL163" s="1290"/>
      <c r="AM163" s="1200"/>
      <c r="AN163" s="1164"/>
      <c r="AO163" s="1164"/>
      <c r="AP163" s="1164"/>
      <c r="AQ163" s="1164"/>
      <c r="AR163" s="1201"/>
      <c r="AS163" s="1342"/>
      <c r="AT163" s="1258"/>
      <c r="AU163" s="1200"/>
      <c r="AV163" s="1164"/>
      <c r="AW163" s="1164"/>
      <c r="AX163" s="1164"/>
      <c r="AY163" s="1164"/>
      <c r="AZ163" s="1201"/>
      <c r="BA163" s="1342"/>
      <c r="BB163" s="1258"/>
      <c r="BC163" s="1200"/>
      <c r="BD163" s="1164"/>
      <c r="BE163" s="1164"/>
      <c r="BF163" s="1164"/>
      <c r="BG163" s="1164"/>
      <c r="BH163" s="1201"/>
      <c r="BI163" s="1342"/>
      <c r="BJ163" s="1337"/>
      <c r="BK163" s="1338"/>
      <c r="BL163" s="1338"/>
      <c r="BM163" s="1338"/>
      <c r="BN163" s="1338"/>
      <c r="BO163" s="1339"/>
    </row>
    <row r="164" spans="1:67" ht="15" customHeight="1">
      <c r="A164" s="1309"/>
      <c r="B164" s="1165"/>
      <c r="C164" s="1166"/>
      <c r="D164" s="1166"/>
      <c r="E164" s="1166"/>
      <c r="F164" s="1166"/>
      <c r="G164" s="1292"/>
      <c r="H164" s="1270"/>
      <c r="I164" s="1207"/>
      <c r="J164" s="1207"/>
      <c r="K164" s="1207"/>
      <c r="L164" s="1207"/>
      <c r="M164" s="1207"/>
      <c r="N164" s="1291"/>
      <c r="O164" s="1165"/>
      <c r="P164" s="1166"/>
      <c r="Q164" s="1166"/>
      <c r="R164" s="1166"/>
      <c r="S164" s="1166"/>
      <c r="T164" s="1292"/>
      <c r="U164" s="1270"/>
      <c r="V164" s="1258"/>
      <c r="W164" s="1165"/>
      <c r="X164" s="1166"/>
      <c r="Y164" s="1166"/>
      <c r="Z164" s="1166"/>
      <c r="AA164" s="1166"/>
      <c r="AB164" s="1292"/>
      <c r="AC164" s="1270"/>
      <c r="AD164" s="1258"/>
      <c r="AE164" s="1202"/>
      <c r="AF164" s="1203"/>
      <c r="AG164" s="1203"/>
      <c r="AH164" s="1203"/>
      <c r="AI164" s="1203"/>
      <c r="AJ164" s="1204"/>
      <c r="AK164" s="1342"/>
      <c r="AL164" s="1291"/>
      <c r="AM164" s="1202"/>
      <c r="AN164" s="1203"/>
      <c r="AO164" s="1203"/>
      <c r="AP164" s="1203"/>
      <c r="AQ164" s="1203"/>
      <c r="AR164" s="1204"/>
      <c r="AS164" s="1342"/>
      <c r="AT164" s="1258"/>
      <c r="AU164" s="1202"/>
      <c r="AV164" s="1203"/>
      <c r="AW164" s="1203"/>
      <c r="AX164" s="1203"/>
      <c r="AY164" s="1203"/>
      <c r="AZ164" s="1204"/>
      <c r="BA164" s="1342"/>
      <c r="BB164" s="1258"/>
      <c r="BC164" s="1202"/>
      <c r="BD164" s="1203"/>
      <c r="BE164" s="1203"/>
      <c r="BF164" s="1203"/>
      <c r="BG164" s="1203"/>
      <c r="BH164" s="1204"/>
      <c r="BI164" s="1342"/>
      <c r="BJ164" s="1337"/>
      <c r="BK164" s="1338"/>
      <c r="BL164" s="1338"/>
      <c r="BM164" s="1338"/>
      <c r="BN164" s="1338"/>
      <c r="BO164" s="1339"/>
    </row>
    <row r="165" spans="1:67" ht="15" customHeight="1">
      <c r="A165" s="1304">
        <v>1.5</v>
      </c>
      <c r="B165" s="1161" t="s">
        <v>336</v>
      </c>
      <c r="C165" s="1162"/>
      <c r="D165" s="1162"/>
      <c r="E165" s="1162"/>
      <c r="F165" s="1162"/>
      <c r="G165" s="1199"/>
      <c r="H165" s="1268" t="str">
        <f t="shared" ref="H165" si="142">IF(ISBLANK(D$5),"",1)</f>
        <v/>
      </c>
      <c r="I165" s="1205" t="str">
        <f t="shared" ref="I165" si="143">IF(ISBLANK(H$5),"",1)</f>
        <v/>
      </c>
      <c r="J165" s="1205" t="str">
        <f t="shared" ref="J165" si="144">IF(ISBLANK(L$5),"",1)</f>
        <v/>
      </c>
      <c r="K165" s="1205" t="str">
        <f t="shared" ref="K165" si="145">IF(ISBLANK(P$5),"",1)</f>
        <v/>
      </c>
      <c r="L165" s="1205" t="str">
        <f t="shared" ref="L165" si="146">IF(ISBLANK(T$5),"",1)</f>
        <v/>
      </c>
      <c r="M165" s="1248" t="str">
        <f t="shared" ref="M165" si="147">IF(ISBLANK(X$5),"",1)</f>
        <v/>
      </c>
      <c r="N165" s="1304">
        <v>4.4000000000000004</v>
      </c>
      <c r="O165" s="1161" t="s">
        <v>403</v>
      </c>
      <c r="P165" s="1162"/>
      <c r="Q165" s="1162"/>
      <c r="R165" s="1162"/>
      <c r="S165" s="1162"/>
      <c r="T165" s="1199"/>
      <c r="U165" s="1399" t="str">
        <f t="shared" ref="U165" si="148">IF(ISBLANK(D$5),"",1)</f>
        <v/>
      </c>
      <c r="V165" s="1304">
        <v>4.4000000000000004</v>
      </c>
      <c r="W165" s="1161" t="s">
        <v>359</v>
      </c>
      <c r="X165" s="1162"/>
      <c r="Y165" s="1162"/>
      <c r="Z165" s="1162"/>
      <c r="AA165" s="1162"/>
      <c r="AB165" s="1199"/>
      <c r="AC165" s="1399" t="str">
        <f t="shared" ref="AC165" si="149">IF(ISBLANK(H$5),"",1)</f>
        <v/>
      </c>
      <c r="AD165" s="1304">
        <v>4.3</v>
      </c>
      <c r="AE165" s="1310" t="s">
        <v>879</v>
      </c>
      <c r="AF165" s="1311"/>
      <c r="AG165" s="1311"/>
      <c r="AH165" s="1311"/>
      <c r="AI165" s="1311"/>
      <c r="AJ165" s="1316"/>
      <c r="AK165" s="1226" t="str">
        <f t="shared" ref="AK165" si="150">IF(ISBLANK(L$5),"",1)</f>
        <v/>
      </c>
      <c r="AL165" s="1196">
        <v>4.4000000000000004</v>
      </c>
      <c r="AM165" s="1198" t="s">
        <v>890</v>
      </c>
      <c r="AN165" s="1162"/>
      <c r="AO165" s="1162"/>
      <c r="AP165" s="1162"/>
      <c r="AQ165" s="1162"/>
      <c r="AR165" s="1199"/>
      <c r="AS165" s="1226" t="str">
        <f t="shared" ref="AS165" si="151">IF(ISBLANK(P$5),"",1)</f>
        <v/>
      </c>
      <c r="AT165" s="1258">
        <v>4.3</v>
      </c>
      <c r="AU165" s="1198" t="s">
        <v>879</v>
      </c>
      <c r="AV165" s="1162"/>
      <c r="AW165" s="1162"/>
      <c r="AX165" s="1162"/>
      <c r="AY165" s="1162"/>
      <c r="AZ165" s="1199"/>
      <c r="BA165" s="1226" t="str">
        <f t="shared" ref="BA165" si="152">IF(ISBLANK(T$5),"",1)</f>
        <v/>
      </c>
      <c r="BB165" s="1258">
        <v>4.3</v>
      </c>
      <c r="BC165" s="1198" t="s">
        <v>879</v>
      </c>
      <c r="BD165" s="1162"/>
      <c r="BE165" s="1162"/>
      <c r="BF165" s="1162"/>
      <c r="BG165" s="1162"/>
      <c r="BH165" s="1199"/>
      <c r="BI165" s="1226" t="str">
        <f t="shared" ref="BI165" si="153">IF(ISBLANK(X$5),"",1)</f>
        <v/>
      </c>
      <c r="BJ165" s="1337"/>
      <c r="BK165" s="1338"/>
      <c r="BL165" s="1338"/>
      <c r="BM165" s="1338"/>
      <c r="BN165" s="1338"/>
      <c r="BO165" s="1339"/>
    </row>
    <row r="166" spans="1:67" ht="15" customHeight="1">
      <c r="A166" s="1290"/>
      <c r="B166" s="1163"/>
      <c r="C166" s="1164"/>
      <c r="D166" s="1164"/>
      <c r="E166" s="1164"/>
      <c r="F166" s="1164"/>
      <c r="G166" s="1201"/>
      <c r="H166" s="1269"/>
      <c r="I166" s="1206"/>
      <c r="J166" s="1206"/>
      <c r="K166" s="1206"/>
      <c r="L166" s="1206"/>
      <c r="M166" s="1206"/>
      <c r="N166" s="1290"/>
      <c r="O166" s="1163"/>
      <c r="P166" s="1164"/>
      <c r="Q166" s="1164"/>
      <c r="R166" s="1164"/>
      <c r="S166" s="1164"/>
      <c r="T166" s="1201"/>
      <c r="U166" s="1269"/>
      <c r="V166" s="1290"/>
      <c r="W166" s="1163"/>
      <c r="X166" s="1164"/>
      <c r="Y166" s="1164"/>
      <c r="Z166" s="1164"/>
      <c r="AA166" s="1164"/>
      <c r="AB166" s="1201"/>
      <c r="AC166" s="1269"/>
      <c r="AD166" s="1290"/>
      <c r="AE166" s="1295"/>
      <c r="AF166" s="1296"/>
      <c r="AG166" s="1296"/>
      <c r="AH166" s="1296"/>
      <c r="AI166" s="1296"/>
      <c r="AJ166" s="1318"/>
      <c r="AK166" s="1342"/>
      <c r="AL166" s="1197"/>
      <c r="AM166" s="1200"/>
      <c r="AN166" s="1164"/>
      <c r="AO166" s="1164"/>
      <c r="AP166" s="1164"/>
      <c r="AQ166" s="1164"/>
      <c r="AR166" s="1201"/>
      <c r="AS166" s="1342"/>
      <c r="AT166" s="1258"/>
      <c r="AU166" s="1200"/>
      <c r="AV166" s="1164"/>
      <c r="AW166" s="1164"/>
      <c r="AX166" s="1164"/>
      <c r="AY166" s="1164"/>
      <c r="AZ166" s="1201"/>
      <c r="BA166" s="1342"/>
      <c r="BB166" s="1258"/>
      <c r="BC166" s="1200"/>
      <c r="BD166" s="1164"/>
      <c r="BE166" s="1164"/>
      <c r="BF166" s="1164"/>
      <c r="BG166" s="1164"/>
      <c r="BH166" s="1201"/>
      <c r="BI166" s="1342"/>
      <c r="BJ166" s="1337"/>
      <c r="BK166" s="1338"/>
      <c r="BL166" s="1338"/>
      <c r="BM166" s="1338"/>
      <c r="BN166" s="1338"/>
      <c r="BO166" s="1339"/>
    </row>
    <row r="167" spans="1:67" ht="15" customHeight="1">
      <c r="A167" s="1291"/>
      <c r="B167" s="1165"/>
      <c r="C167" s="1166"/>
      <c r="D167" s="1166"/>
      <c r="E167" s="1166"/>
      <c r="F167" s="1166"/>
      <c r="G167" s="1292"/>
      <c r="H167" s="1270"/>
      <c r="I167" s="1207"/>
      <c r="J167" s="1207"/>
      <c r="K167" s="1207"/>
      <c r="L167" s="1207"/>
      <c r="M167" s="1207"/>
      <c r="N167" s="1291"/>
      <c r="O167" s="1165"/>
      <c r="P167" s="1166"/>
      <c r="Q167" s="1166"/>
      <c r="R167" s="1166"/>
      <c r="S167" s="1166"/>
      <c r="T167" s="1292"/>
      <c r="U167" s="1270"/>
      <c r="V167" s="1291"/>
      <c r="W167" s="1165"/>
      <c r="X167" s="1166"/>
      <c r="Y167" s="1166"/>
      <c r="Z167" s="1166"/>
      <c r="AA167" s="1166"/>
      <c r="AB167" s="1292"/>
      <c r="AC167" s="1270"/>
      <c r="AD167" s="1291"/>
      <c r="AE167" s="1298"/>
      <c r="AF167" s="1299"/>
      <c r="AG167" s="1299"/>
      <c r="AH167" s="1299"/>
      <c r="AI167" s="1299"/>
      <c r="AJ167" s="1335"/>
      <c r="AK167" s="1342"/>
      <c r="AL167" s="1197"/>
      <c r="AM167" s="1202"/>
      <c r="AN167" s="1203"/>
      <c r="AO167" s="1203"/>
      <c r="AP167" s="1203"/>
      <c r="AQ167" s="1203"/>
      <c r="AR167" s="1204"/>
      <c r="AS167" s="1342"/>
      <c r="AT167" s="1258"/>
      <c r="AU167" s="1202"/>
      <c r="AV167" s="1203"/>
      <c r="AW167" s="1203"/>
      <c r="AX167" s="1203"/>
      <c r="AY167" s="1203"/>
      <c r="AZ167" s="1204"/>
      <c r="BA167" s="1342"/>
      <c r="BB167" s="1258"/>
      <c r="BC167" s="1202"/>
      <c r="BD167" s="1203"/>
      <c r="BE167" s="1203"/>
      <c r="BF167" s="1203"/>
      <c r="BG167" s="1203"/>
      <c r="BH167" s="1204"/>
      <c r="BI167" s="1342"/>
      <c r="BJ167" s="1337"/>
      <c r="BK167" s="1338"/>
      <c r="BL167" s="1338"/>
      <c r="BM167" s="1338"/>
      <c r="BN167" s="1338"/>
      <c r="BO167" s="1339"/>
    </row>
    <row r="168" spans="1:67" ht="15" customHeight="1">
      <c r="A168" s="1304">
        <v>2.1</v>
      </c>
      <c r="B168" s="1161" t="s">
        <v>360</v>
      </c>
      <c r="C168" s="1162"/>
      <c r="D168" s="1162"/>
      <c r="E168" s="1162"/>
      <c r="F168" s="1162"/>
      <c r="G168" s="1199"/>
      <c r="H168" s="1268" t="str">
        <f t="shared" ref="H168" si="154">IF(ISBLANK(D$5),"",1)</f>
        <v/>
      </c>
      <c r="I168" s="1205" t="str">
        <f t="shared" ref="I168" si="155">IF(ISBLANK(H$5),"",1)</f>
        <v/>
      </c>
      <c r="J168" s="1205" t="str">
        <f t="shared" ref="J168" si="156">IF(ISBLANK(L$5),"",1)</f>
        <v/>
      </c>
      <c r="K168" s="1205" t="str">
        <f t="shared" ref="K168" si="157">IF(ISBLANK(P$5),"",1)</f>
        <v/>
      </c>
      <c r="L168" s="1205" t="str">
        <f t="shared" ref="L168" si="158">IF(ISBLANK(T$5),"",1)</f>
        <v/>
      </c>
      <c r="M168" s="1248" t="str">
        <f t="shared" ref="M168" si="159">IF(ISBLANK(X$5),"",1)</f>
        <v/>
      </c>
      <c r="N168" s="1304">
        <v>4.4000000000000004</v>
      </c>
      <c r="O168" s="1161" t="s">
        <v>359</v>
      </c>
      <c r="P168" s="1162"/>
      <c r="Q168" s="1162"/>
      <c r="R168" s="1162"/>
      <c r="S168" s="1162"/>
      <c r="T168" s="1199"/>
      <c r="U168" s="1399" t="str">
        <f t="shared" ref="U168" si="160">IF(ISBLANK(D$5),"",1)</f>
        <v/>
      </c>
      <c r="V168" s="1322">
        <v>4.4000000000000004</v>
      </c>
      <c r="W168" s="1161" t="s">
        <v>395</v>
      </c>
      <c r="X168" s="1162"/>
      <c r="Y168" s="1162"/>
      <c r="Z168" s="1162"/>
      <c r="AA168" s="1162"/>
      <c r="AB168" s="1199"/>
      <c r="AC168" s="1399" t="str">
        <f t="shared" ref="AC168" si="161">IF(ISBLANK(H$5),"",1)</f>
        <v/>
      </c>
      <c r="AD168" s="1258">
        <v>4.4000000000000004</v>
      </c>
      <c r="AE168" s="1198" t="s">
        <v>882</v>
      </c>
      <c r="AF168" s="1162"/>
      <c r="AG168" s="1162"/>
      <c r="AH168" s="1162"/>
      <c r="AI168" s="1162"/>
      <c r="AJ168" s="1199"/>
      <c r="AK168" s="1226" t="str">
        <f t="shared" ref="AK168" si="162">IF(ISBLANK(L$5),"",1)</f>
        <v/>
      </c>
      <c r="AL168" s="1196">
        <v>4.4000000000000004</v>
      </c>
      <c r="AM168" s="1198" t="s">
        <v>886</v>
      </c>
      <c r="AN168" s="1162"/>
      <c r="AO168" s="1162"/>
      <c r="AP168" s="1162"/>
      <c r="AQ168" s="1162"/>
      <c r="AR168" s="1199"/>
      <c r="AS168" s="1226" t="str">
        <f t="shared" ref="AS168" si="163">IF(ISBLANK(P$5),"",1)</f>
        <v/>
      </c>
      <c r="AT168" s="1258">
        <v>4.4000000000000004</v>
      </c>
      <c r="AU168" s="1198" t="s">
        <v>888</v>
      </c>
      <c r="AV168" s="1162"/>
      <c r="AW168" s="1162"/>
      <c r="AX168" s="1162"/>
      <c r="AY168" s="1162"/>
      <c r="AZ168" s="1199"/>
      <c r="BA168" s="1226" t="str">
        <f t="shared" ref="BA168" si="164">IF(ISBLANK(T$5),"",1)</f>
        <v/>
      </c>
      <c r="BB168" s="1258">
        <v>4.4000000000000004</v>
      </c>
      <c r="BC168" s="1198" t="s">
        <v>889</v>
      </c>
      <c r="BD168" s="1162"/>
      <c r="BE168" s="1162"/>
      <c r="BF168" s="1162"/>
      <c r="BG168" s="1162"/>
      <c r="BH168" s="1199"/>
      <c r="BI168" s="1226" t="str">
        <f t="shared" ref="BI168" si="165">IF(ISBLANK(X$5),"",1)</f>
        <v/>
      </c>
      <c r="BJ168" s="1337"/>
      <c r="BK168" s="1338"/>
      <c r="BL168" s="1338"/>
      <c r="BM168" s="1338"/>
      <c r="BN168" s="1338"/>
      <c r="BO168" s="1339"/>
    </row>
    <row r="169" spans="1:67" ht="15" customHeight="1">
      <c r="A169" s="1290"/>
      <c r="B169" s="1163"/>
      <c r="C169" s="1164"/>
      <c r="D169" s="1164"/>
      <c r="E169" s="1164"/>
      <c r="F169" s="1164"/>
      <c r="G169" s="1201"/>
      <c r="H169" s="1269"/>
      <c r="I169" s="1206"/>
      <c r="J169" s="1206"/>
      <c r="K169" s="1206"/>
      <c r="L169" s="1206"/>
      <c r="M169" s="1206"/>
      <c r="N169" s="1290"/>
      <c r="O169" s="1163"/>
      <c r="P169" s="1164"/>
      <c r="Q169" s="1164"/>
      <c r="R169" s="1164"/>
      <c r="S169" s="1164"/>
      <c r="T169" s="1201"/>
      <c r="U169" s="1269"/>
      <c r="V169" s="1293"/>
      <c r="W169" s="1163"/>
      <c r="X169" s="1164"/>
      <c r="Y169" s="1164"/>
      <c r="Z169" s="1164"/>
      <c r="AA169" s="1164"/>
      <c r="AB169" s="1201"/>
      <c r="AC169" s="1269"/>
      <c r="AD169" s="1258"/>
      <c r="AE169" s="1200"/>
      <c r="AF169" s="1164"/>
      <c r="AG169" s="1164"/>
      <c r="AH169" s="1164"/>
      <c r="AI169" s="1164"/>
      <c r="AJ169" s="1201"/>
      <c r="AK169" s="1342"/>
      <c r="AL169" s="1197"/>
      <c r="AM169" s="1200"/>
      <c r="AN169" s="1164"/>
      <c r="AO169" s="1164"/>
      <c r="AP169" s="1164"/>
      <c r="AQ169" s="1164"/>
      <c r="AR169" s="1201"/>
      <c r="AS169" s="1342"/>
      <c r="AT169" s="1258"/>
      <c r="AU169" s="1200"/>
      <c r="AV169" s="1164"/>
      <c r="AW169" s="1164"/>
      <c r="AX169" s="1164"/>
      <c r="AY169" s="1164"/>
      <c r="AZ169" s="1201"/>
      <c r="BA169" s="1342"/>
      <c r="BB169" s="1258"/>
      <c r="BC169" s="1200"/>
      <c r="BD169" s="1164"/>
      <c r="BE169" s="1164"/>
      <c r="BF169" s="1164"/>
      <c r="BG169" s="1164"/>
      <c r="BH169" s="1201"/>
      <c r="BI169" s="1342"/>
      <c r="BJ169" s="1337"/>
      <c r="BK169" s="1338"/>
      <c r="BL169" s="1338"/>
      <c r="BM169" s="1338"/>
      <c r="BN169" s="1338"/>
      <c r="BO169" s="1339"/>
    </row>
    <row r="170" spans="1:67" ht="15" customHeight="1">
      <c r="A170" s="1291"/>
      <c r="B170" s="1165"/>
      <c r="C170" s="1166"/>
      <c r="D170" s="1166"/>
      <c r="E170" s="1166"/>
      <c r="F170" s="1166"/>
      <c r="G170" s="1292"/>
      <c r="H170" s="1270"/>
      <c r="I170" s="1207"/>
      <c r="J170" s="1207"/>
      <c r="K170" s="1207"/>
      <c r="L170" s="1207"/>
      <c r="M170" s="1207"/>
      <c r="N170" s="1291"/>
      <c r="O170" s="1165"/>
      <c r="P170" s="1166"/>
      <c r="Q170" s="1166"/>
      <c r="R170" s="1166"/>
      <c r="S170" s="1166"/>
      <c r="T170" s="1292"/>
      <c r="U170" s="1270"/>
      <c r="V170" s="1294"/>
      <c r="W170" s="1165"/>
      <c r="X170" s="1166"/>
      <c r="Y170" s="1166"/>
      <c r="Z170" s="1166"/>
      <c r="AA170" s="1166"/>
      <c r="AB170" s="1292"/>
      <c r="AC170" s="1270"/>
      <c r="AD170" s="1258"/>
      <c r="AE170" s="1202"/>
      <c r="AF170" s="1203"/>
      <c r="AG170" s="1203"/>
      <c r="AH170" s="1203"/>
      <c r="AI170" s="1203"/>
      <c r="AJ170" s="1204"/>
      <c r="AK170" s="1342"/>
      <c r="AL170" s="1197"/>
      <c r="AM170" s="1202"/>
      <c r="AN170" s="1203"/>
      <c r="AO170" s="1203"/>
      <c r="AP170" s="1203"/>
      <c r="AQ170" s="1203"/>
      <c r="AR170" s="1204"/>
      <c r="AS170" s="1342"/>
      <c r="AT170" s="1258"/>
      <c r="AU170" s="1202"/>
      <c r="AV170" s="1203"/>
      <c r="AW170" s="1203"/>
      <c r="AX170" s="1203"/>
      <c r="AY170" s="1203"/>
      <c r="AZ170" s="1204"/>
      <c r="BA170" s="1342"/>
      <c r="BB170" s="1258"/>
      <c r="BC170" s="1202"/>
      <c r="BD170" s="1203"/>
      <c r="BE170" s="1203"/>
      <c r="BF170" s="1203"/>
      <c r="BG170" s="1203"/>
      <c r="BH170" s="1204"/>
      <c r="BI170" s="1342"/>
      <c r="BJ170" s="1337"/>
      <c r="BK170" s="1338"/>
      <c r="BL170" s="1338"/>
      <c r="BM170" s="1338"/>
      <c r="BN170" s="1338"/>
      <c r="BO170" s="1339"/>
    </row>
    <row r="171" spans="1:67" ht="15" customHeight="1">
      <c r="A171" s="1304">
        <v>2.4</v>
      </c>
      <c r="B171" s="1161" t="s">
        <v>942</v>
      </c>
      <c r="C171" s="1162"/>
      <c r="D171" s="1162"/>
      <c r="E171" s="1162"/>
      <c r="F171" s="1162"/>
      <c r="G171" s="1199"/>
      <c r="H171" s="1268" t="str">
        <f t="shared" ref="H171" si="166">IF(ISBLANK(D$5),"",1)</f>
        <v/>
      </c>
      <c r="I171" s="1205" t="str">
        <f t="shared" ref="I171" si="167">IF(ISBLANK(H$5),"",1)</f>
        <v/>
      </c>
      <c r="J171" s="1205" t="str">
        <f t="shared" ref="J171" si="168">IF(ISBLANK(L$5),"",1)</f>
        <v/>
      </c>
      <c r="K171" s="1205" t="str">
        <f t="shared" ref="K171" si="169">IF(ISBLANK(P$5),"",1)</f>
        <v/>
      </c>
      <c r="L171" s="1205" t="str">
        <f t="shared" ref="L171" si="170">IF(ISBLANK(T$5),"",1)</f>
        <v/>
      </c>
      <c r="M171" s="1248" t="str">
        <f t="shared" ref="M171" si="171">IF(ISBLANK(X$5),"",1)</f>
        <v/>
      </c>
      <c r="N171" s="1301">
        <v>4.4000000000000004</v>
      </c>
      <c r="O171" s="1161" t="s">
        <v>395</v>
      </c>
      <c r="P171" s="1162"/>
      <c r="Q171" s="1162"/>
      <c r="R171" s="1162"/>
      <c r="S171" s="1162"/>
      <c r="T171" s="1199"/>
      <c r="U171" s="1399" t="str">
        <f t="shared" ref="U171" si="172">IF(ISBLANK(D$5),"",1)</f>
        <v/>
      </c>
      <c r="V171" s="1304">
        <v>4.4000000000000004</v>
      </c>
      <c r="W171" s="1161" t="s">
        <v>878</v>
      </c>
      <c r="X171" s="1162"/>
      <c r="Y171" s="1162"/>
      <c r="Z171" s="1162"/>
      <c r="AA171" s="1162"/>
      <c r="AB171" s="1199"/>
      <c r="AC171" s="1399" t="str">
        <f t="shared" ref="AC171" si="173">IF(ISBLANK(H$5),"",1)</f>
        <v/>
      </c>
      <c r="AD171" s="1258">
        <v>4.4000000000000004</v>
      </c>
      <c r="AE171" s="1198" t="s">
        <v>417</v>
      </c>
      <c r="AF171" s="1162"/>
      <c r="AG171" s="1162"/>
      <c r="AH171" s="1162"/>
      <c r="AI171" s="1162"/>
      <c r="AJ171" s="1199"/>
      <c r="AK171" s="1226" t="str">
        <f t="shared" ref="AK171" si="174">IF(ISBLANK(L$5),"",1)</f>
        <v/>
      </c>
      <c r="AL171" s="1196">
        <v>4.4000000000000004</v>
      </c>
      <c r="AM171" s="1198" t="s">
        <v>359</v>
      </c>
      <c r="AN171" s="1162"/>
      <c r="AO171" s="1162"/>
      <c r="AP171" s="1162"/>
      <c r="AQ171" s="1162"/>
      <c r="AR171" s="1199"/>
      <c r="AS171" s="1226" t="str">
        <f t="shared" ref="AS171" si="175">IF(ISBLANK(P$5),"",1)</f>
        <v/>
      </c>
      <c r="AT171" s="1258">
        <v>4.4000000000000004</v>
      </c>
      <c r="AU171" s="1198" t="s">
        <v>417</v>
      </c>
      <c r="AV171" s="1162"/>
      <c r="AW171" s="1162"/>
      <c r="AX171" s="1162"/>
      <c r="AY171" s="1162"/>
      <c r="AZ171" s="1199"/>
      <c r="BA171" s="1226" t="str">
        <f t="shared" ref="BA171" si="176">IF(ISBLANK(T$5),"",1)</f>
        <v/>
      </c>
      <c r="BB171" s="1258">
        <v>4.4000000000000004</v>
      </c>
      <c r="BC171" s="1198" t="s">
        <v>417</v>
      </c>
      <c r="BD171" s="1162"/>
      <c r="BE171" s="1162"/>
      <c r="BF171" s="1162"/>
      <c r="BG171" s="1162"/>
      <c r="BH171" s="1199"/>
      <c r="BI171" s="1226" t="str">
        <f t="shared" ref="BI171" si="177">IF(ISBLANK(X$5),"",1)</f>
        <v/>
      </c>
      <c r="BJ171" s="1337"/>
      <c r="BK171" s="1338"/>
      <c r="BL171" s="1338"/>
      <c r="BM171" s="1338"/>
      <c r="BN171" s="1338"/>
      <c r="BO171" s="1339"/>
    </row>
    <row r="172" spans="1:67" ht="15" customHeight="1">
      <c r="A172" s="1290"/>
      <c r="B172" s="1163"/>
      <c r="C172" s="1164"/>
      <c r="D172" s="1164"/>
      <c r="E172" s="1164"/>
      <c r="F172" s="1164"/>
      <c r="G172" s="1201"/>
      <c r="H172" s="1269"/>
      <c r="I172" s="1206"/>
      <c r="J172" s="1206"/>
      <c r="K172" s="1206"/>
      <c r="L172" s="1206"/>
      <c r="M172" s="1206"/>
      <c r="N172" s="1302"/>
      <c r="O172" s="1163"/>
      <c r="P172" s="1164"/>
      <c r="Q172" s="1164"/>
      <c r="R172" s="1164"/>
      <c r="S172" s="1164"/>
      <c r="T172" s="1201"/>
      <c r="U172" s="1269"/>
      <c r="V172" s="1290"/>
      <c r="W172" s="1163"/>
      <c r="X172" s="1164"/>
      <c r="Y172" s="1164"/>
      <c r="Z172" s="1164"/>
      <c r="AA172" s="1164"/>
      <c r="AB172" s="1201"/>
      <c r="AC172" s="1269"/>
      <c r="AD172" s="1258"/>
      <c r="AE172" s="1200"/>
      <c r="AF172" s="1164"/>
      <c r="AG172" s="1164"/>
      <c r="AH172" s="1164"/>
      <c r="AI172" s="1164"/>
      <c r="AJ172" s="1201"/>
      <c r="AK172" s="1342"/>
      <c r="AL172" s="1197"/>
      <c r="AM172" s="1200"/>
      <c r="AN172" s="1164"/>
      <c r="AO172" s="1164"/>
      <c r="AP172" s="1164"/>
      <c r="AQ172" s="1164"/>
      <c r="AR172" s="1201"/>
      <c r="AS172" s="1342"/>
      <c r="AT172" s="1258"/>
      <c r="AU172" s="1200"/>
      <c r="AV172" s="1164"/>
      <c r="AW172" s="1164"/>
      <c r="AX172" s="1164"/>
      <c r="AY172" s="1164"/>
      <c r="AZ172" s="1201"/>
      <c r="BA172" s="1342"/>
      <c r="BB172" s="1258"/>
      <c r="BC172" s="1200"/>
      <c r="BD172" s="1164"/>
      <c r="BE172" s="1164"/>
      <c r="BF172" s="1164"/>
      <c r="BG172" s="1164"/>
      <c r="BH172" s="1201"/>
      <c r="BI172" s="1342"/>
      <c r="BJ172" s="1337"/>
      <c r="BK172" s="1338"/>
      <c r="BL172" s="1338"/>
      <c r="BM172" s="1338"/>
      <c r="BN172" s="1338"/>
      <c r="BO172" s="1339"/>
    </row>
    <row r="173" spans="1:67" ht="15" customHeight="1">
      <c r="A173" s="1291"/>
      <c r="B173" s="1165"/>
      <c r="C173" s="1166"/>
      <c r="D173" s="1166"/>
      <c r="E173" s="1166"/>
      <c r="F173" s="1166"/>
      <c r="G173" s="1292"/>
      <c r="H173" s="1270"/>
      <c r="I173" s="1207"/>
      <c r="J173" s="1207"/>
      <c r="K173" s="1207"/>
      <c r="L173" s="1207"/>
      <c r="M173" s="1207"/>
      <c r="N173" s="1303"/>
      <c r="O173" s="1165"/>
      <c r="P173" s="1166"/>
      <c r="Q173" s="1166"/>
      <c r="R173" s="1166"/>
      <c r="S173" s="1166"/>
      <c r="T173" s="1292"/>
      <c r="U173" s="1270"/>
      <c r="V173" s="1291"/>
      <c r="W173" s="1165"/>
      <c r="X173" s="1166"/>
      <c r="Y173" s="1166"/>
      <c r="Z173" s="1166"/>
      <c r="AA173" s="1166"/>
      <c r="AB173" s="1292"/>
      <c r="AC173" s="1270"/>
      <c r="AD173" s="1258"/>
      <c r="AE173" s="1202"/>
      <c r="AF173" s="1203"/>
      <c r="AG173" s="1203"/>
      <c r="AH173" s="1203"/>
      <c r="AI173" s="1203"/>
      <c r="AJ173" s="1204"/>
      <c r="AK173" s="1342"/>
      <c r="AL173" s="1197"/>
      <c r="AM173" s="1202"/>
      <c r="AN173" s="1203"/>
      <c r="AO173" s="1203"/>
      <c r="AP173" s="1203"/>
      <c r="AQ173" s="1203"/>
      <c r="AR173" s="1204"/>
      <c r="AS173" s="1342"/>
      <c r="AT173" s="1258"/>
      <c r="AU173" s="1202"/>
      <c r="AV173" s="1203"/>
      <c r="AW173" s="1203"/>
      <c r="AX173" s="1203"/>
      <c r="AY173" s="1203"/>
      <c r="AZ173" s="1204"/>
      <c r="BA173" s="1342"/>
      <c r="BB173" s="1258"/>
      <c r="BC173" s="1202"/>
      <c r="BD173" s="1203"/>
      <c r="BE173" s="1203"/>
      <c r="BF173" s="1203"/>
      <c r="BG173" s="1203"/>
      <c r="BH173" s="1204"/>
      <c r="BI173" s="1342"/>
      <c r="BJ173" s="1337"/>
      <c r="BK173" s="1338"/>
      <c r="BL173" s="1338"/>
      <c r="BM173" s="1338"/>
      <c r="BN173" s="1338"/>
      <c r="BO173" s="1339"/>
    </row>
    <row r="174" spans="1:67" ht="15" customHeight="1">
      <c r="A174" s="252"/>
      <c r="B174" s="243"/>
      <c r="C174" s="242"/>
      <c r="D174" s="242"/>
      <c r="F174" s="278">
        <v>1.1000000000000001</v>
      </c>
      <c r="G174" s="311">
        <f>COUNTIF($A$147:$A$173,F174)</f>
        <v>4</v>
      </c>
      <c r="H174" s="240" t="str">
        <f>IF($D$5=1,SUMIF($A$147:$A$173,$F174,$H$147:$H$173),"")</f>
        <v/>
      </c>
      <c r="I174" s="240" t="str">
        <f>IF($H$5=1,SUMIF($A$147:$A$173,$F174,$I$147:$I$173),"")</f>
        <v/>
      </c>
      <c r="J174" s="240" t="str">
        <f>IF($L$5=1,SUMIF($A$147:$A$173,$F174,$J$147:$J$173),"")</f>
        <v/>
      </c>
      <c r="K174" s="240" t="str">
        <f>IF($P$5=1,SUMIF($A$147:$A$173,$F174,$K$147:$K$173),"")</f>
        <v/>
      </c>
      <c r="L174" s="240" t="str">
        <f>IF($T$5=1,SUMIF($A$147:$A$173,$F174,$L$147:$L$173),"")</f>
        <v/>
      </c>
      <c r="M174" s="240" t="str">
        <f>IF($X$5=1,SUMIF($A$147:$A$173,$F174,$M$147:$M$173),"")</f>
        <v/>
      </c>
      <c r="N174" s="1304">
        <v>4.4000000000000004</v>
      </c>
      <c r="O174" s="1161" t="s">
        <v>878</v>
      </c>
      <c r="P174" s="1162"/>
      <c r="Q174" s="1162"/>
      <c r="R174" s="1162"/>
      <c r="S174" s="1162"/>
      <c r="T174" s="1199"/>
      <c r="U174" s="1399" t="str">
        <f t="shared" ref="U174" si="178">IF(ISBLANK(D$5),"",1)</f>
        <v/>
      </c>
      <c r="V174" s="1307">
        <v>1.5</v>
      </c>
      <c r="W174" s="1315" t="s">
        <v>373</v>
      </c>
      <c r="X174" s="1311"/>
      <c r="Y174" s="1311"/>
      <c r="Z174" s="1311"/>
      <c r="AA174" s="1311"/>
      <c r="AB174" s="1316"/>
      <c r="AC174" s="1399" t="str">
        <f t="shared" ref="AC174" si="179">IF(ISBLANK(H$5),"",1)</f>
        <v/>
      </c>
      <c r="AD174" s="1304">
        <v>4.4000000000000004</v>
      </c>
      <c r="AE174" s="1198" t="s">
        <v>359</v>
      </c>
      <c r="AF174" s="1162"/>
      <c r="AG174" s="1162"/>
      <c r="AH174" s="1162"/>
      <c r="AI174" s="1162"/>
      <c r="AJ174" s="1199"/>
      <c r="AK174" s="1226" t="str">
        <f t="shared" ref="AK174" si="180">IF(ISBLANK(L$5),"",1)</f>
        <v/>
      </c>
      <c r="AL174" s="1196">
        <v>4.4000000000000004</v>
      </c>
      <c r="AM174" s="1198" t="s">
        <v>887</v>
      </c>
      <c r="AN174" s="1162"/>
      <c r="AO174" s="1162"/>
      <c r="AP174" s="1162"/>
      <c r="AQ174" s="1162"/>
      <c r="AR174" s="1199"/>
      <c r="AS174" s="1226" t="str">
        <f t="shared" ref="AS174" si="181">IF(ISBLANK(P$5),"",1)</f>
        <v/>
      </c>
      <c r="AT174" s="1304">
        <v>4.4000000000000004</v>
      </c>
      <c r="AU174" s="1198" t="s">
        <v>359</v>
      </c>
      <c r="AV174" s="1162"/>
      <c r="AW174" s="1162"/>
      <c r="AX174" s="1162"/>
      <c r="AY174" s="1162"/>
      <c r="AZ174" s="1199"/>
      <c r="BA174" s="1226" t="str">
        <f t="shared" ref="BA174" si="182">IF(ISBLANK(T$5),"",1)</f>
        <v/>
      </c>
      <c r="BB174" s="1304">
        <v>4.4000000000000004</v>
      </c>
      <c r="BC174" s="1198" t="s">
        <v>359</v>
      </c>
      <c r="BD174" s="1162"/>
      <c r="BE174" s="1162"/>
      <c r="BF174" s="1162"/>
      <c r="BG174" s="1162"/>
      <c r="BH174" s="1199"/>
      <c r="BI174" s="1226" t="str">
        <f t="shared" ref="BI174" si="183">IF(ISBLANK(X$5),"",1)</f>
        <v/>
      </c>
      <c r="BJ174" s="1337"/>
      <c r="BK174" s="1338"/>
      <c r="BL174" s="1338"/>
      <c r="BM174" s="1338"/>
      <c r="BN174" s="1338"/>
      <c r="BO174" s="1339"/>
    </row>
    <row r="175" spans="1:67" ht="15" customHeight="1">
      <c r="A175" s="252"/>
      <c r="B175" s="243"/>
      <c r="C175" s="242"/>
      <c r="D175" s="242"/>
      <c r="F175" s="278">
        <v>1.5</v>
      </c>
      <c r="G175" s="311">
        <f t="shared" ref="G175:G177" si="184">COUNTIF($A$147:$A$173,F175)</f>
        <v>1</v>
      </c>
      <c r="H175" s="240" t="str">
        <f t="shared" ref="H175:H177" si="185">IF($D$5=1,SUMIF($A$147:$A$173,$F175,$H$147:$H$173),"")</f>
        <v/>
      </c>
      <c r="I175" s="240" t="str">
        <f t="shared" ref="I175:I177" si="186">IF($H$5=1,SUMIF($A$147:$A$173,$F175,$I$147:$I$173),"")</f>
        <v/>
      </c>
      <c r="J175" s="240" t="str">
        <f t="shared" ref="J175:J177" si="187">IF($L$5=1,SUMIF($A$147:$A$173,$F175,$J$147:$J$173),"")</f>
        <v/>
      </c>
      <c r="K175" s="240" t="str">
        <f t="shared" ref="K175:K177" si="188">IF($P$5=1,SUMIF($A$147:$A$173,$F175,$K$147:$K$173),"")</f>
        <v/>
      </c>
      <c r="L175" s="240" t="str">
        <f t="shared" ref="L175:L177" si="189">IF($T$5=1,SUMIF($A$147:$A$173,$F175,$L$147:$L$173),"")</f>
        <v/>
      </c>
      <c r="M175" s="240" t="str">
        <f t="shared" ref="M175:M177" si="190">IF($X$5=1,SUMIF($A$147:$A$173,$F175,$M$147:$M$173),"")</f>
        <v/>
      </c>
      <c r="N175" s="1290"/>
      <c r="O175" s="1163"/>
      <c r="P175" s="1164"/>
      <c r="Q175" s="1164"/>
      <c r="R175" s="1164"/>
      <c r="S175" s="1164"/>
      <c r="T175" s="1201"/>
      <c r="U175" s="1269"/>
      <c r="V175" s="1308"/>
      <c r="W175" s="1317"/>
      <c r="X175" s="1296"/>
      <c r="Y175" s="1296"/>
      <c r="Z175" s="1296"/>
      <c r="AA175" s="1296"/>
      <c r="AB175" s="1318"/>
      <c r="AC175" s="1269"/>
      <c r="AD175" s="1290"/>
      <c r="AE175" s="1200"/>
      <c r="AF175" s="1164"/>
      <c r="AG175" s="1164"/>
      <c r="AH175" s="1164"/>
      <c r="AI175" s="1164"/>
      <c r="AJ175" s="1201"/>
      <c r="AK175" s="1342"/>
      <c r="AL175" s="1197"/>
      <c r="AM175" s="1200"/>
      <c r="AN175" s="1164"/>
      <c r="AO175" s="1164"/>
      <c r="AP175" s="1164"/>
      <c r="AQ175" s="1164"/>
      <c r="AR175" s="1201"/>
      <c r="AS175" s="1342"/>
      <c r="AT175" s="1290"/>
      <c r="AU175" s="1200"/>
      <c r="AV175" s="1164"/>
      <c r="AW175" s="1164"/>
      <c r="AX175" s="1164"/>
      <c r="AY175" s="1164"/>
      <c r="AZ175" s="1201"/>
      <c r="BA175" s="1342"/>
      <c r="BB175" s="1290"/>
      <c r="BC175" s="1200"/>
      <c r="BD175" s="1164"/>
      <c r="BE175" s="1164"/>
      <c r="BF175" s="1164"/>
      <c r="BG175" s="1164"/>
      <c r="BH175" s="1201"/>
      <c r="BI175" s="1342"/>
      <c r="BJ175" s="1222"/>
      <c r="BK175" s="1223"/>
      <c r="BL175" s="1223"/>
      <c r="BM175" s="1223"/>
      <c r="BN175" s="1223"/>
      <c r="BO175" s="1224"/>
    </row>
    <row r="176" spans="1:67" ht="15" customHeight="1">
      <c r="A176" s="249"/>
      <c r="B176" s="249"/>
      <c r="C176" s="249"/>
      <c r="D176" s="249"/>
      <c r="F176" s="277">
        <v>2.1</v>
      </c>
      <c r="G176" s="311">
        <f t="shared" si="184"/>
        <v>2</v>
      </c>
      <c r="H176" s="240" t="str">
        <f t="shared" si="185"/>
        <v/>
      </c>
      <c r="I176" s="240" t="str">
        <f t="shared" si="186"/>
        <v/>
      </c>
      <c r="J176" s="240" t="str">
        <f t="shared" si="187"/>
        <v/>
      </c>
      <c r="K176" s="240" t="str">
        <f t="shared" si="188"/>
        <v/>
      </c>
      <c r="L176" s="240" t="str">
        <f t="shared" si="189"/>
        <v/>
      </c>
      <c r="M176" s="240" t="str">
        <f t="shared" si="190"/>
        <v/>
      </c>
      <c r="N176" s="1291"/>
      <c r="O176" s="1165"/>
      <c r="P176" s="1166"/>
      <c r="Q176" s="1166"/>
      <c r="R176" s="1166"/>
      <c r="S176" s="1166"/>
      <c r="T176" s="1292"/>
      <c r="U176" s="1270"/>
      <c r="V176" s="1309"/>
      <c r="W176" s="1319"/>
      <c r="X176" s="1320"/>
      <c r="Y176" s="1320"/>
      <c r="Z176" s="1320"/>
      <c r="AA176" s="1320"/>
      <c r="AB176" s="1321"/>
      <c r="AC176" s="1270"/>
      <c r="AD176" s="1291"/>
      <c r="AE176" s="1202"/>
      <c r="AF176" s="1203"/>
      <c r="AG176" s="1203"/>
      <c r="AH176" s="1203"/>
      <c r="AI176" s="1203"/>
      <c r="AJ176" s="1204"/>
      <c r="AK176" s="1342"/>
      <c r="AL176" s="1197"/>
      <c r="AM176" s="1202"/>
      <c r="AN176" s="1203"/>
      <c r="AO176" s="1203"/>
      <c r="AP176" s="1203"/>
      <c r="AQ176" s="1203"/>
      <c r="AR176" s="1204"/>
      <c r="AS176" s="1342"/>
      <c r="AT176" s="1291"/>
      <c r="AU176" s="1202"/>
      <c r="AV176" s="1203"/>
      <c r="AW176" s="1203"/>
      <c r="AX176" s="1203"/>
      <c r="AY176" s="1203"/>
      <c r="AZ176" s="1204"/>
      <c r="BA176" s="1342"/>
      <c r="BB176" s="1291"/>
      <c r="BC176" s="1202"/>
      <c r="BD176" s="1203"/>
      <c r="BE176" s="1203"/>
      <c r="BF176" s="1203"/>
      <c r="BG176" s="1203"/>
      <c r="BH176" s="1204"/>
      <c r="BI176" s="1342"/>
    </row>
    <row r="177" spans="1:65" ht="15" customHeight="1">
      <c r="F177" s="277">
        <v>2.4</v>
      </c>
      <c r="G177" s="311">
        <f t="shared" si="184"/>
        <v>2</v>
      </c>
      <c r="H177" s="240" t="str">
        <f t="shared" si="185"/>
        <v/>
      </c>
      <c r="I177" s="240" t="str">
        <f t="shared" si="186"/>
        <v/>
      </c>
      <c r="J177" s="240" t="str">
        <f t="shared" si="187"/>
        <v/>
      </c>
      <c r="K177" s="240" t="str">
        <f t="shared" si="188"/>
        <v/>
      </c>
      <c r="L177" s="240" t="str">
        <f t="shared" si="189"/>
        <v/>
      </c>
      <c r="M177" s="240" t="str">
        <f t="shared" si="190"/>
        <v/>
      </c>
      <c r="N177" s="1307">
        <v>1.5</v>
      </c>
      <c r="O177" s="1315" t="s">
        <v>373</v>
      </c>
      <c r="P177" s="1311"/>
      <c r="Q177" s="1311"/>
      <c r="R177" s="1311"/>
      <c r="S177" s="1311"/>
      <c r="T177" s="1316"/>
      <c r="U177" s="1399" t="str">
        <f t="shared" ref="U177" si="191">IF(ISBLANK(D$5),"",1)</f>
        <v/>
      </c>
      <c r="V177" s="1322">
        <v>4.4000000000000004</v>
      </c>
      <c r="W177" s="1161" t="s">
        <v>397</v>
      </c>
      <c r="X177" s="1162"/>
      <c r="Y177" s="1162"/>
      <c r="Z177" s="1162"/>
      <c r="AA177" s="1162"/>
      <c r="AB177" s="1199"/>
      <c r="AC177" s="1399" t="str">
        <f t="shared" ref="AC177" si="192">IF(ISBLANK(H$5),"",1)</f>
        <v/>
      </c>
      <c r="AD177" s="1258">
        <v>4.4000000000000004</v>
      </c>
      <c r="AE177" s="1198" t="s">
        <v>395</v>
      </c>
      <c r="AF177" s="1162"/>
      <c r="AG177" s="1162"/>
      <c r="AH177" s="1162"/>
      <c r="AI177" s="1162"/>
      <c r="AJ177" s="1199"/>
      <c r="AK177" s="1226" t="str">
        <f t="shared" ref="AK177" si="193">IF(ISBLANK(L$5),"",1)</f>
        <v/>
      </c>
      <c r="AL177" s="1304">
        <v>4.4000000000000004</v>
      </c>
      <c r="AM177" s="1198" t="s">
        <v>395</v>
      </c>
      <c r="AN177" s="1162"/>
      <c r="AO177" s="1162"/>
      <c r="AP177" s="1162"/>
      <c r="AQ177" s="1162"/>
      <c r="AR177" s="1199"/>
      <c r="AS177" s="1226" t="str">
        <f t="shared" ref="AS177" si="194">IF(ISBLANK(P$5),"",1)</f>
        <v/>
      </c>
      <c r="AT177" s="1258">
        <v>4.4000000000000004</v>
      </c>
      <c r="AU177" s="1198" t="s">
        <v>395</v>
      </c>
      <c r="AV177" s="1162"/>
      <c r="AW177" s="1162"/>
      <c r="AX177" s="1162"/>
      <c r="AY177" s="1162"/>
      <c r="AZ177" s="1199"/>
      <c r="BA177" s="1226" t="str">
        <f t="shared" ref="BA177" si="195">IF(ISBLANK(T$5),"",1)</f>
        <v/>
      </c>
      <c r="BB177" s="1258">
        <v>4.4000000000000004</v>
      </c>
      <c r="BC177" s="1198" t="s">
        <v>395</v>
      </c>
      <c r="BD177" s="1162"/>
      <c r="BE177" s="1162"/>
      <c r="BF177" s="1162"/>
      <c r="BG177" s="1162"/>
      <c r="BH177" s="1199"/>
      <c r="BI177" s="1226" t="str">
        <f t="shared" ref="BI177" si="196">IF(ISBLANK(X$5),"",1)</f>
        <v/>
      </c>
    </row>
    <row r="178" spans="1:65" ht="15" customHeight="1">
      <c r="N178" s="1308"/>
      <c r="O178" s="1317"/>
      <c r="P178" s="1296"/>
      <c r="Q178" s="1296"/>
      <c r="R178" s="1296"/>
      <c r="S178" s="1296"/>
      <c r="T178" s="1318"/>
      <c r="U178" s="1269"/>
      <c r="V178" s="1293"/>
      <c r="W178" s="1163"/>
      <c r="X178" s="1164"/>
      <c r="Y178" s="1164"/>
      <c r="Z178" s="1164"/>
      <c r="AA178" s="1164"/>
      <c r="AB178" s="1201"/>
      <c r="AC178" s="1269"/>
      <c r="AD178" s="1258"/>
      <c r="AE178" s="1200"/>
      <c r="AF178" s="1164"/>
      <c r="AG178" s="1164"/>
      <c r="AH178" s="1164"/>
      <c r="AI178" s="1164"/>
      <c r="AJ178" s="1201"/>
      <c r="AK178" s="1342"/>
      <c r="AL178" s="1290"/>
      <c r="AM178" s="1200"/>
      <c r="AN178" s="1164"/>
      <c r="AO178" s="1164"/>
      <c r="AP178" s="1164"/>
      <c r="AQ178" s="1164"/>
      <c r="AR178" s="1201"/>
      <c r="AS178" s="1342"/>
      <c r="AT178" s="1258"/>
      <c r="AU178" s="1200"/>
      <c r="AV178" s="1164"/>
      <c r="AW178" s="1164"/>
      <c r="AX178" s="1164"/>
      <c r="AY178" s="1164"/>
      <c r="AZ178" s="1201"/>
      <c r="BA178" s="1342"/>
      <c r="BB178" s="1258"/>
      <c r="BC178" s="1200"/>
      <c r="BD178" s="1164"/>
      <c r="BE178" s="1164"/>
      <c r="BF178" s="1164"/>
      <c r="BG178" s="1164"/>
      <c r="BH178" s="1201"/>
      <c r="BI178" s="1342"/>
    </row>
    <row r="179" spans="1:65" ht="15" customHeight="1">
      <c r="A179" s="1209"/>
      <c r="B179" s="1210" t="s">
        <v>609</v>
      </c>
      <c r="C179" s="1211"/>
      <c r="D179" s="1211"/>
      <c r="E179" s="1211"/>
      <c r="F179" s="1211"/>
      <c r="G179" s="1211"/>
      <c r="H179" s="1174">
        <v>1</v>
      </c>
      <c r="I179" s="1174">
        <v>2</v>
      </c>
      <c r="J179" s="1174">
        <v>3</v>
      </c>
      <c r="K179" s="1174">
        <v>4</v>
      </c>
      <c r="L179" s="1174">
        <v>5</v>
      </c>
      <c r="M179" s="1174">
        <v>6</v>
      </c>
      <c r="N179" s="1309"/>
      <c r="O179" s="1319"/>
      <c r="P179" s="1320"/>
      <c r="Q179" s="1320"/>
      <c r="R179" s="1320"/>
      <c r="S179" s="1320"/>
      <c r="T179" s="1321"/>
      <c r="U179" s="1270"/>
      <c r="V179" s="1306"/>
      <c r="W179" s="1165"/>
      <c r="X179" s="1166"/>
      <c r="Y179" s="1166"/>
      <c r="Z179" s="1166"/>
      <c r="AA179" s="1166"/>
      <c r="AB179" s="1292"/>
      <c r="AC179" s="1270"/>
      <c r="AD179" s="1258"/>
      <c r="AE179" s="1202"/>
      <c r="AF179" s="1203"/>
      <c r="AG179" s="1203"/>
      <c r="AH179" s="1203"/>
      <c r="AI179" s="1203"/>
      <c r="AJ179" s="1204"/>
      <c r="AK179" s="1342"/>
      <c r="AL179" s="1291"/>
      <c r="AM179" s="1202"/>
      <c r="AN179" s="1203"/>
      <c r="AO179" s="1203"/>
      <c r="AP179" s="1203"/>
      <c r="AQ179" s="1203"/>
      <c r="AR179" s="1204"/>
      <c r="AS179" s="1342"/>
      <c r="AT179" s="1258"/>
      <c r="AU179" s="1202"/>
      <c r="AV179" s="1203"/>
      <c r="AW179" s="1203"/>
      <c r="AX179" s="1203"/>
      <c r="AY179" s="1203"/>
      <c r="AZ179" s="1204"/>
      <c r="BA179" s="1342"/>
      <c r="BB179" s="1258"/>
      <c r="BC179" s="1202"/>
      <c r="BD179" s="1203"/>
      <c r="BE179" s="1203"/>
      <c r="BF179" s="1203"/>
      <c r="BG179" s="1203"/>
      <c r="BH179" s="1204"/>
      <c r="BI179" s="1342"/>
    </row>
    <row r="180" spans="1:65" ht="15" customHeight="1">
      <c r="A180" s="1209"/>
      <c r="B180" s="1212"/>
      <c r="C180" s="1213"/>
      <c r="D180" s="1213"/>
      <c r="E180" s="1213"/>
      <c r="F180" s="1213"/>
      <c r="G180" s="1213"/>
      <c r="H180" s="1174"/>
      <c r="I180" s="1174"/>
      <c r="J180" s="1174"/>
      <c r="K180" s="1174"/>
      <c r="L180" s="1174"/>
      <c r="M180" s="1174"/>
      <c r="N180" s="1301">
        <v>4.4000000000000004</v>
      </c>
      <c r="O180" s="1161" t="s">
        <v>397</v>
      </c>
      <c r="P180" s="1162"/>
      <c r="Q180" s="1162"/>
      <c r="R180" s="1162"/>
      <c r="S180" s="1162"/>
      <c r="T180" s="1199"/>
      <c r="U180" s="1399" t="str">
        <f t="shared" ref="U180" si="197">IF(ISBLANK(D$5),"",1)</f>
        <v/>
      </c>
      <c r="V180" s="247"/>
      <c r="W180" s="52"/>
      <c r="AA180" s="273">
        <v>1.5</v>
      </c>
      <c r="AB180" s="240">
        <f>COUNTIF(V147:V179,AA180)</f>
        <v>1</v>
      </c>
      <c r="AC180" s="240" t="str">
        <f>IF($H$5=1,SUMIF($V$147:$V$179,AA180,$AC$147:$AC$179),"")</f>
        <v/>
      </c>
      <c r="AD180" s="1304">
        <v>4.4000000000000004</v>
      </c>
      <c r="AE180" s="1198" t="s">
        <v>878</v>
      </c>
      <c r="AF180" s="1162"/>
      <c r="AG180" s="1162"/>
      <c r="AH180" s="1162"/>
      <c r="AI180" s="1162"/>
      <c r="AJ180" s="1199"/>
      <c r="AK180" s="1226" t="str">
        <f t="shared" ref="AK180" si="198">IF(ISBLANK(L$5),"",1)</f>
        <v/>
      </c>
      <c r="AL180" s="1196">
        <v>4.4000000000000004</v>
      </c>
      <c r="AM180" s="1198" t="s">
        <v>878</v>
      </c>
      <c r="AN180" s="1162"/>
      <c r="AO180" s="1162"/>
      <c r="AP180" s="1162"/>
      <c r="AQ180" s="1162"/>
      <c r="AR180" s="1199"/>
      <c r="AS180" s="1226" t="str">
        <f t="shared" ref="AS180" si="199">IF(ISBLANK(P$5),"",1)</f>
        <v/>
      </c>
      <c r="AT180" s="1304">
        <v>4.4000000000000004</v>
      </c>
      <c r="AU180" s="1198" t="s">
        <v>878</v>
      </c>
      <c r="AV180" s="1162"/>
      <c r="AW180" s="1162"/>
      <c r="AX180" s="1162"/>
      <c r="AY180" s="1162"/>
      <c r="AZ180" s="1199"/>
      <c r="BA180" s="1226" t="str">
        <f t="shared" ref="BA180" si="200">IF(ISBLANK(T$5),"",1)</f>
        <v/>
      </c>
      <c r="BB180" s="1304">
        <v>4.4000000000000004</v>
      </c>
      <c r="BC180" s="1198" t="s">
        <v>878</v>
      </c>
      <c r="BD180" s="1162"/>
      <c r="BE180" s="1162"/>
      <c r="BF180" s="1162"/>
      <c r="BG180" s="1162"/>
      <c r="BH180" s="1199"/>
      <c r="BI180" s="1226" t="str">
        <f t="shared" ref="BI180" si="201">IF(ISBLANK(X$5),"",1)</f>
        <v/>
      </c>
    </row>
    <row r="181" spans="1:65" ht="15" customHeight="1">
      <c r="A181" s="1336">
        <v>3.1</v>
      </c>
      <c r="B181" s="1198" t="s">
        <v>366</v>
      </c>
      <c r="C181" s="1162"/>
      <c r="D181" s="1162"/>
      <c r="E181" s="1162"/>
      <c r="F181" s="1162"/>
      <c r="G181" s="1265"/>
      <c r="H181" s="1268" t="str">
        <f t="shared" ref="H181" si="202">IF(ISBLANK(D$5),"",1)</f>
        <v/>
      </c>
      <c r="I181" s="1205" t="str">
        <f t="shared" ref="I181" si="203">IF(ISBLANK(H$5),"",1)</f>
        <v/>
      </c>
      <c r="J181" s="1205" t="str">
        <f t="shared" ref="J181" si="204">IF(ISBLANK(L$5),"",1)</f>
        <v/>
      </c>
      <c r="K181" s="1205" t="str">
        <f t="shared" ref="K181" si="205">IF(ISBLANK(P$5),"",1)</f>
        <v/>
      </c>
      <c r="L181" s="1205" t="str">
        <f t="shared" ref="L181" si="206">IF(ISBLANK(T$5),"",1)</f>
        <v/>
      </c>
      <c r="M181" s="1248" t="str">
        <f t="shared" ref="M181" si="207">IF(ISBLANK(X$5),"",1)</f>
        <v/>
      </c>
      <c r="N181" s="1302"/>
      <c r="O181" s="1163"/>
      <c r="P181" s="1164"/>
      <c r="Q181" s="1164"/>
      <c r="R181" s="1164"/>
      <c r="S181" s="1164"/>
      <c r="T181" s="1201"/>
      <c r="U181" s="1269"/>
      <c r="V181" s="248"/>
      <c r="W181" s="52"/>
      <c r="AA181" s="275">
        <v>4.3</v>
      </c>
      <c r="AB181" s="240">
        <f>COUNTIF(V147:V179,AA181)</f>
        <v>4</v>
      </c>
      <c r="AC181" s="240" t="str">
        <f>IF($H$5=1,SUMIF($V$147:$V$179,AA181,$AC$147:$AC$179),"")</f>
        <v/>
      </c>
      <c r="AD181" s="1290"/>
      <c r="AE181" s="1200"/>
      <c r="AF181" s="1164"/>
      <c r="AG181" s="1164"/>
      <c r="AH181" s="1164"/>
      <c r="AI181" s="1164"/>
      <c r="AJ181" s="1201"/>
      <c r="AK181" s="1342"/>
      <c r="AL181" s="1197"/>
      <c r="AM181" s="1200"/>
      <c r="AN181" s="1164"/>
      <c r="AO181" s="1164"/>
      <c r="AP181" s="1164"/>
      <c r="AQ181" s="1164"/>
      <c r="AR181" s="1201"/>
      <c r="AS181" s="1342"/>
      <c r="AT181" s="1290"/>
      <c r="AU181" s="1200"/>
      <c r="AV181" s="1164"/>
      <c r="AW181" s="1164"/>
      <c r="AX181" s="1164"/>
      <c r="AY181" s="1164"/>
      <c r="AZ181" s="1201"/>
      <c r="BA181" s="1342"/>
      <c r="BB181" s="1290"/>
      <c r="BC181" s="1200"/>
      <c r="BD181" s="1164"/>
      <c r="BE181" s="1164"/>
      <c r="BF181" s="1164"/>
      <c r="BG181" s="1164"/>
      <c r="BH181" s="1201"/>
      <c r="BI181" s="1342"/>
    </row>
    <row r="182" spans="1:65" ht="15" customHeight="1">
      <c r="A182" s="1159"/>
      <c r="B182" s="1200"/>
      <c r="C182" s="1164"/>
      <c r="D182" s="1164"/>
      <c r="E182" s="1164"/>
      <c r="F182" s="1164"/>
      <c r="G182" s="1266"/>
      <c r="H182" s="1269"/>
      <c r="I182" s="1206"/>
      <c r="J182" s="1206"/>
      <c r="K182" s="1206"/>
      <c r="L182" s="1206"/>
      <c r="M182" s="1206"/>
      <c r="N182" s="1303"/>
      <c r="O182" s="1165"/>
      <c r="P182" s="1166"/>
      <c r="Q182" s="1166"/>
      <c r="R182" s="1166"/>
      <c r="S182" s="1166"/>
      <c r="T182" s="1292"/>
      <c r="U182" s="1270"/>
      <c r="V182" s="248"/>
      <c r="W182" s="52"/>
      <c r="AA182" s="276">
        <v>4.4000000000000004</v>
      </c>
      <c r="AB182" s="240">
        <f>COUNTIF(V147:V179,AA182)</f>
        <v>6</v>
      </c>
      <c r="AC182" s="240" t="str">
        <f>IF($H$5=1,SUMIF($V$147:$V$179,AA182,$AC$147:$AC$179),"")</f>
        <v/>
      </c>
      <c r="AD182" s="1291"/>
      <c r="AE182" s="1202"/>
      <c r="AF182" s="1203"/>
      <c r="AG182" s="1203"/>
      <c r="AH182" s="1203"/>
      <c r="AI182" s="1203"/>
      <c r="AJ182" s="1204"/>
      <c r="AK182" s="1342"/>
      <c r="AL182" s="1197"/>
      <c r="AM182" s="1202"/>
      <c r="AN182" s="1203"/>
      <c r="AO182" s="1203"/>
      <c r="AP182" s="1203"/>
      <c r="AQ182" s="1203"/>
      <c r="AR182" s="1204"/>
      <c r="AS182" s="1342"/>
      <c r="AT182" s="1291"/>
      <c r="AU182" s="1202"/>
      <c r="AV182" s="1203"/>
      <c r="AW182" s="1203"/>
      <c r="AX182" s="1203"/>
      <c r="AY182" s="1203"/>
      <c r="AZ182" s="1204"/>
      <c r="BA182" s="1342"/>
      <c r="BB182" s="1291"/>
      <c r="BC182" s="1202"/>
      <c r="BD182" s="1203"/>
      <c r="BE182" s="1203"/>
      <c r="BF182" s="1203"/>
      <c r="BG182" s="1203"/>
      <c r="BH182" s="1204"/>
      <c r="BI182" s="1342"/>
    </row>
    <row r="183" spans="1:65" ht="15" customHeight="1">
      <c r="A183" s="1160"/>
      <c r="B183" s="1200"/>
      <c r="C183" s="1164"/>
      <c r="D183" s="1164"/>
      <c r="E183" s="1164"/>
      <c r="F183" s="1164"/>
      <c r="G183" s="1266"/>
      <c r="H183" s="1270"/>
      <c r="I183" s="1207"/>
      <c r="J183" s="1207"/>
      <c r="K183" s="1207"/>
      <c r="L183" s="1207"/>
      <c r="M183" s="1207"/>
      <c r="N183" s="242"/>
      <c r="O183" s="52"/>
      <c r="Q183" s="247"/>
      <c r="S183" s="273">
        <v>1.5</v>
      </c>
      <c r="T183" s="240">
        <f>COUNTIF(N147:N182,S183)</f>
        <v>1</v>
      </c>
      <c r="U183" s="240" t="str">
        <f>IF($D$5=1,SUMIF($N$147:$N$182,S183,$U$147:$U$182),"")</f>
        <v/>
      </c>
      <c r="V183" s="242"/>
      <c r="W183" s="52"/>
      <c r="AD183" s="1307">
        <v>1.5</v>
      </c>
      <c r="AE183" s="1198" t="s">
        <v>373</v>
      </c>
      <c r="AF183" s="1162"/>
      <c r="AG183" s="1162"/>
      <c r="AH183" s="1162"/>
      <c r="AI183" s="1162"/>
      <c r="AJ183" s="1199"/>
      <c r="AK183" s="1226" t="str">
        <f t="shared" ref="AK183" si="208">IF(ISBLANK(L$5),"",1)</f>
        <v/>
      </c>
      <c r="AL183" s="1304">
        <v>1.5</v>
      </c>
      <c r="AM183" s="1198" t="s">
        <v>373</v>
      </c>
      <c r="AN183" s="1162"/>
      <c r="AO183" s="1162"/>
      <c r="AP183" s="1162"/>
      <c r="AQ183" s="1162"/>
      <c r="AR183" s="1199"/>
      <c r="AS183" s="1226" t="str">
        <f t="shared" ref="AS183" si="209">IF(ISBLANK(P$5),"",1)</f>
        <v/>
      </c>
      <c r="AT183" s="1307">
        <v>1.5</v>
      </c>
      <c r="AU183" s="1198" t="s">
        <v>373</v>
      </c>
      <c r="AV183" s="1162"/>
      <c r="AW183" s="1162"/>
      <c r="AX183" s="1162"/>
      <c r="AY183" s="1162"/>
      <c r="AZ183" s="1199"/>
      <c r="BA183" s="1226" t="str">
        <f t="shared" ref="BA183" si="210">IF(ISBLANK(T$5),"",1)</f>
        <v/>
      </c>
      <c r="BB183" s="1307">
        <v>1.5</v>
      </c>
      <c r="BC183" s="1198" t="s">
        <v>373</v>
      </c>
      <c r="BD183" s="1162"/>
      <c r="BE183" s="1162"/>
      <c r="BF183" s="1162"/>
      <c r="BG183" s="1162"/>
      <c r="BH183" s="1199"/>
      <c r="BI183" s="1226" t="str">
        <f t="shared" ref="BI183" si="211">IF(ISBLANK(X$5),"",1)</f>
        <v/>
      </c>
    </row>
    <row r="184" spans="1:65" ht="15" customHeight="1">
      <c r="A184" s="1336">
        <v>1.4</v>
      </c>
      <c r="B184" s="1198" t="s">
        <v>943</v>
      </c>
      <c r="C184" s="1162"/>
      <c r="D184" s="1162"/>
      <c r="E184" s="1162"/>
      <c r="F184" s="1162"/>
      <c r="G184" s="1265"/>
      <c r="H184" s="1268" t="str">
        <f t="shared" ref="H184" si="212">IF(ISBLANK(D$5),"",1)</f>
        <v/>
      </c>
      <c r="I184" s="1205" t="str">
        <f t="shared" ref="I184" si="213">IF(ISBLANK(H$5),"",1)</f>
        <v/>
      </c>
      <c r="J184" s="1205" t="str">
        <f t="shared" ref="J184" si="214">IF(ISBLANK(L$5),"",1)</f>
        <v/>
      </c>
      <c r="K184" s="1205" t="str">
        <f t="shared" ref="K184" si="215">IF(ISBLANK(P$5),"",1)</f>
        <v/>
      </c>
      <c r="L184" s="1205" t="str">
        <f t="shared" ref="L184" si="216">IF(ISBLANK(T$5),"",1)</f>
        <v/>
      </c>
      <c r="M184" s="1248" t="str">
        <f t="shared" ref="M184" si="217">IF(ISBLANK(X$5),"",1)</f>
        <v/>
      </c>
      <c r="N184" s="242"/>
      <c r="O184" s="52"/>
      <c r="Q184" s="248"/>
      <c r="S184" s="275">
        <v>4.3</v>
      </c>
      <c r="T184" s="240">
        <f>COUNTIF(N147:N182,S184)</f>
        <v>3</v>
      </c>
      <c r="U184" s="240" t="str">
        <f>IF($D$5=1,SUMIF($N$147:$N$182,S184,$U$147:$U$182),"")</f>
        <v/>
      </c>
      <c r="V184" s="242"/>
      <c r="W184" s="52"/>
      <c r="AD184" s="1308"/>
      <c r="AE184" s="1200"/>
      <c r="AF184" s="1164"/>
      <c r="AG184" s="1164"/>
      <c r="AH184" s="1164"/>
      <c r="AI184" s="1164"/>
      <c r="AJ184" s="1201"/>
      <c r="AK184" s="1342"/>
      <c r="AL184" s="1290"/>
      <c r="AM184" s="1200"/>
      <c r="AN184" s="1164"/>
      <c r="AO184" s="1164"/>
      <c r="AP184" s="1164"/>
      <c r="AQ184" s="1164"/>
      <c r="AR184" s="1201"/>
      <c r="AS184" s="1342"/>
      <c r="AT184" s="1308"/>
      <c r="AU184" s="1200"/>
      <c r="AV184" s="1164"/>
      <c r="AW184" s="1164"/>
      <c r="AX184" s="1164"/>
      <c r="AY184" s="1164"/>
      <c r="AZ184" s="1201"/>
      <c r="BA184" s="1342"/>
      <c r="BB184" s="1308"/>
      <c r="BC184" s="1200"/>
      <c r="BD184" s="1164"/>
      <c r="BE184" s="1164"/>
      <c r="BF184" s="1164"/>
      <c r="BG184" s="1164"/>
      <c r="BH184" s="1201"/>
      <c r="BI184" s="1342"/>
    </row>
    <row r="185" spans="1:65" ht="15" customHeight="1">
      <c r="A185" s="1159"/>
      <c r="B185" s="1200"/>
      <c r="C185" s="1164"/>
      <c r="D185" s="1164"/>
      <c r="E185" s="1164"/>
      <c r="F185" s="1164"/>
      <c r="G185" s="1266"/>
      <c r="H185" s="1269"/>
      <c r="I185" s="1206"/>
      <c r="J185" s="1206"/>
      <c r="K185" s="1206"/>
      <c r="L185" s="1206"/>
      <c r="M185" s="1206"/>
      <c r="N185" s="242"/>
      <c r="O185" s="52"/>
      <c r="Q185" s="248"/>
      <c r="S185" s="276">
        <v>4.4000000000000004</v>
      </c>
      <c r="T185" s="240">
        <f>COUNTIF(N147:N182,S185)</f>
        <v>8</v>
      </c>
      <c r="U185" s="240" t="str">
        <f>IF($D$5=1,SUMIF($N$147:$N$182,S185,$U$147:$U$182),"")</f>
        <v/>
      </c>
      <c r="W185" s="52"/>
      <c r="AD185" s="1309"/>
      <c r="AE185" s="1202"/>
      <c r="AF185" s="1203"/>
      <c r="AG185" s="1203"/>
      <c r="AH185" s="1203"/>
      <c r="AI185" s="1203"/>
      <c r="AJ185" s="1204"/>
      <c r="AK185" s="1342"/>
      <c r="AL185" s="1291"/>
      <c r="AM185" s="1202"/>
      <c r="AN185" s="1203"/>
      <c r="AO185" s="1203"/>
      <c r="AP185" s="1203"/>
      <c r="AQ185" s="1203"/>
      <c r="AR185" s="1204"/>
      <c r="AS185" s="1342"/>
      <c r="AT185" s="1309"/>
      <c r="AU185" s="1202"/>
      <c r="AV185" s="1203"/>
      <c r="AW185" s="1203"/>
      <c r="AX185" s="1203"/>
      <c r="AY185" s="1203"/>
      <c r="AZ185" s="1204"/>
      <c r="BA185" s="1342"/>
      <c r="BB185" s="1309"/>
      <c r="BC185" s="1202"/>
      <c r="BD185" s="1203"/>
      <c r="BE185" s="1203"/>
      <c r="BF185" s="1203"/>
      <c r="BG185" s="1203"/>
      <c r="BH185" s="1204"/>
      <c r="BI185" s="1342"/>
    </row>
    <row r="186" spans="1:65" ht="15" customHeight="1">
      <c r="A186" s="1160"/>
      <c r="B186" s="1200"/>
      <c r="C186" s="1164"/>
      <c r="D186" s="1164"/>
      <c r="E186" s="1164"/>
      <c r="F186" s="1164"/>
      <c r="G186" s="1266"/>
      <c r="H186" s="1270"/>
      <c r="I186" s="1207"/>
      <c r="J186" s="1207"/>
      <c r="K186" s="1207"/>
      <c r="L186" s="1207"/>
      <c r="M186" s="1207"/>
      <c r="N186" s="242"/>
      <c r="O186" s="52"/>
      <c r="Q186" s="248"/>
      <c r="S186" s="332"/>
      <c r="T186" s="332"/>
      <c r="U186" s="332"/>
      <c r="W186" s="52"/>
      <c r="AD186" s="1307">
        <v>4.4000000000000004</v>
      </c>
      <c r="AE186" s="1198" t="s">
        <v>397</v>
      </c>
      <c r="AF186" s="1162"/>
      <c r="AG186" s="1162"/>
      <c r="AH186" s="1162"/>
      <c r="AI186" s="1162"/>
      <c r="AJ186" s="1199"/>
      <c r="AK186" s="1226" t="str">
        <f t="shared" ref="AK186" si="218">IF(ISBLANK(L$5),"",1)</f>
        <v/>
      </c>
      <c r="AM186" s="242"/>
      <c r="AO186" s="52"/>
      <c r="AQ186" s="273">
        <v>1.5</v>
      </c>
      <c r="AR186" s="240">
        <f>COUNTIF($AL$147:$AL$185,AQ186)</f>
        <v>1</v>
      </c>
      <c r="AS186" s="240" t="str">
        <f>IF($P$5=1,SUMIF($AL$147:$AL$185,AQ186,$AS$147:$AS$185),"")</f>
        <v/>
      </c>
      <c r="AT186" s="1307">
        <v>4.4000000000000004</v>
      </c>
      <c r="AU186" s="1198" t="s">
        <v>397</v>
      </c>
      <c r="AV186" s="1162"/>
      <c r="AW186" s="1162"/>
      <c r="AX186" s="1162"/>
      <c r="AY186" s="1162"/>
      <c r="AZ186" s="1199"/>
      <c r="BA186" s="1226" t="str">
        <f t="shared" ref="BA186" si="219">IF(ISBLANK(T$5),"",1)</f>
        <v/>
      </c>
      <c r="BB186" s="1307">
        <v>4.4000000000000004</v>
      </c>
      <c r="BC186" s="1198" t="s">
        <v>397</v>
      </c>
      <c r="BD186" s="1162"/>
      <c r="BE186" s="1162"/>
      <c r="BF186" s="1162"/>
      <c r="BG186" s="1162"/>
      <c r="BH186" s="1199"/>
      <c r="BI186" s="1226" t="str">
        <f t="shared" ref="BI186" si="220">IF(ISBLANK(X$5),"",1)</f>
        <v/>
      </c>
    </row>
    <row r="187" spans="1:65" ht="15" customHeight="1">
      <c r="A187" s="1168" t="s">
        <v>637</v>
      </c>
      <c r="B187" s="1168"/>
      <c r="C187" s="1168"/>
      <c r="D187" s="1168"/>
      <c r="E187" s="1169"/>
      <c r="F187" s="614">
        <v>3.1</v>
      </c>
      <c r="G187" s="620">
        <f>COUNTIF($A$181:$A$186,F187)</f>
        <v>1</v>
      </c>
      <c r="H187" s="240" t="str">
        <f>IF($D$5=1,SUMIF($A$181:$A$186,$F187,$H$181:$H$186),"")</f>
        <v/>
      </c>
      <c r="I187" s="240" t="str">
        <f>IF($H$5=1,SUMIF($A$181:$A$186,$F187,$I$181:$I$186),"")</f>
        <v/>
      </c>
      <c r="J187" s="240" t="str">
        <f>IF($L$5=1,SUMIF($A$181:$A$186,$F187,$J$181:$J$186),"")</f>
        <v/>
      </c>
      <c r="K187" s="240" t="str">
        <f>IF($P$5=1,SUMIF($A$181:$A$186,$F187,$K$181:$K$186),"")</f>
        <v/>
      </c>
      <c r="L187" s="240" t="str">
        <f>IF($T$5=1,SUMIF($A$181:$A$186,$F187,$L$181:$L$186),"")</f>
        <v/>
      </c>
      <c r="M187" s="240" t="str">
        <f>IF($X$5=1,SUMIF($A$181:$A$186,$F187,$M$181:$M$186),"")</f>
        <v/>
      </c>
      <c r="N187" s="332"/>
      <c r="O187" s="332"/>
      <c r="P187" s="332"/>
      <c r="Q187" s="332"/>
      <c r="R187" s="332"/>
      <c r="S187" s="332"/>
      <c r="T187" s="332"/>
      <c r="U187" s="332"/>
      <c r="W187" s="52"/>
      <c r="AD187" s="1308"/>
      <c r="AE187" s="1200"/>
      <c r="AF187" s="1164"/>
      <c r="AG187" s="1164"/>
      <c r="AH187" s="1164"/>
      <c r="AI187" s="1164"/>
      <c r="AJ187" s="1201"/>
      <c r="AK187" s="1342"/>
      <c r="AM187" s="242"/>
      <c r="AO187" s="52"/>
      <c r="AQ187" s="274">
        <v>4.3</v>
      </c>
      <c r="AR187" s="240">
        <f t="shared" ref="AR187:AR188" si="221">COUNTIF($AL$147:$AL$185,AQ187)</f>
        <v>4</v>
      </c>
      <c r="AS187" s="240" t="str">
        <f>IF($P$5=1,SUMIF($AL$147:$AL$185,AQ187,$AS$147:$AS$185),"")</f>
        <v/>
      </c>
      <c r="AT187" s="1308"/>
      <c r="AU187" s="1200"/>
      <c r="AV187" s="1164"/>
      <c r="AW187" s="1164"/>
      <c r="AX187" s="1164"/>
      <c r="AY187" s="1164"/>
      <c r="AZ187" s="1201"/>
      <c r="BA187" s="1342"/>
      <c r="BB187" s="1308"/>
      <c r="BC187" s="1200"/>
      <c r="BD187" s="1164"/>
      <c r="BE187" s="1164"/>
      <c r="BF187" s="1164"/>
      <c r="BG187" s="1164"/>
      <c r="BH187" s="1201"/>
      <c r="BI187" s="1342"/>
    </row>
    <row r="188" spans="1:65" ht="15" customHeight="1">
      <c r="F188" s="614">
        <v>1.4</v>
      </c>
      <c r="G188" s="620">
        <f>COUNTIF($A$181:$A$186,F188)</f>
        <v>1</v>
      </c>
      <c r="H188" s="240" t="str">
        <f>IF($D$5=1,SUMIF($A$181:$A$186,$F188,$H$181:$H$186),"")</f>
        <v/>
      </c>
      <c r="I188" s="240" t="str">
        <f>IF($H$5=1,SUMIF($A$181:$A$186,$F188,$I$181:$I$186),"")</f>
        <v/>
      </c>
      <c r="J188" s="240" t="str">
        <f>IF($L$5=1,SUMIF($A$181:$A$186,$F188,$J$181:$J$186),"")</f>
        <v/>
      </c>
      <c r="K188" s="240" t="str">
        <f>IF($P$5=1,SUMIF($A$181:$A$186,$F188,$K$181:$K$186),"")</f>
        <v/>
      </c>
      <c r="L188" s="240" t="str">
        <f>IF($T$5=1,SUMIF($A$181:$A$186,$F188,$L$181:$L$186),"")</f>
        <v/>
      </c>
      <c r="M188" s="240" t="str">
        <f>IF($X$5=1,SUMIF($A$181:$A$186,$F188,$M$181:$M$186),"")</f>
        <v/>
      </c>
      <c r="N188" s="332"/>
      <c r="O188" s="332"/>
      <c r="P188" s="332"/>
      <c r="Q188" s="332"/>
      <c r="R188" s="332"/>
      <c r="S188" s="332"/>
      <c r="T188" s="332"/>
      <c r="U188" s="332"/>
      <c r="W188" s="52"/>
      <c r="AD188" s="1309"/>
      <c r="AE188" s="1202"/>
      <c r="AF188" s="1203"/>
      <c r="AG188" s="1203"/>
      <c r="AH188" s="1203"/>
      <c r="AI188" s="1203"/>
      <c r="AJ188" s="1204"/>
      <c r="AK188" s="1342"/>
      <c r="AM188" s="242"/>
      <c r="AO188" s="52"/>
      <c r="AQ188" s="274">
        <v>4.4000000000000004</v>
      </c>
      <c r="AR188" s="240">
        <f t="shared" si="221"/>
        <v>8</v>
      </c>
      <c r="AS188" s="240" t="str">
        <f>IF($P$5=1,SUMIF($AL$147:$AL$185,AQ188,$AS$147:$AS$185),"")</f>
        <v/>
      </c>
      <c r="AT188" s="1309"/>
      <c r="AU188" s="1202"/>
      <c r="AV188" s="1203"/>
      <c r="AW188" s="1203"/>
      <c r="AX188" s="1203"/>
      <c r="AY188" s="1203"/>
      <c r="AZ188" s="1204"/>
      <c r="BA188" s="1342"/>
      <c r="BB188" s="1309"/>
      <c r="BC188" s="1202"/>
      <c r="BD188" s="1203"/>
      <c r="BE188" s="1203"/>
      <c r="BF188" s="1203"/>
      <c r="BG188" s="1203"/>
      <c r="BH188" s="1204"/>
      <c r="BI188" s="1342"/>
    </row>
    <row r="189" spans="1:65" ht="15" customHeight="1">
      <c r="N189" s="332"/>
      <c r="O189" s="332"/>
      <c r="P189" s="332"/>
      <c r="Q189" s="332"/>
      <c r="R189" s="332"/>
      <c r="S189" s="332"/>
      <c r="T189" s="332"/>
      <c r="U189" s="332"/>
      <c r="W189" s="52"/>
      <c r="AD189" s="242"/>
      <c r="AF189" s="52"/>
      <c r="AG189" s="247"/>
      <c r="AI189" s="273">
        <v>1.5</v>
      </c>
      <c r="AJ189" s="240">
        <f>COUNTIF(AD147:AD188,AI189)</f>
        <v>1</v>
      </c>
      <c r="AK189" s="240" t="str">
        <f>IF($L$5=1,SUMIF($AD$147:$AD$188,AI189,$AK$147:$AK$188),"")</f>
        <v/>
      </c>
      <c r="AM189" s="242"/>
      <c r="AO189" s="52"/>
      <c r="AV189" s="242"/>
      <c r="AY189" s="273">
        <v>1.5</v>
      </c>
      <c r="AZ189" s="240">
        <f>COUNTIF($AT$147:$AT$188,AY189)</f>
        <v>1</v>
      </c>
      <c r="BA189" s="240" t="str">
        <f>IF($T$5=1,SUMIF($AT$147:$AT$188,AY189,$BA$147:$BA$188),"")</f>
        <v/>
      </c>
      <c r="BE189" s="242"/>
      <c r="BG189" s="273">
        <v>1.5</v>
      </c>
      <c r="BH189" s="240">
        <f>COUNTIF($BB$147:$BB$188,BG189)</f>
        <v>1</v>
      </c>
      <c r="BI189" s="240" t="str">
        <f>IF($X$5=1,SUMIF($BB$147:$BB$188,BG189,$BI$147:$BI$188),"")</f>
        <v/>
      </c>
    </row>
    <row r="190" spans="1:65" ht="15" customHeight="1">
      <c r="N190" s="332"/>
      <c r="O190" s="332"/>
      <c r="P190" s="332"/>
      <c r="Q190" s="332"/>
      <c r="R190" s="332"/>
      <c r="S190" s="332"/>
      <c r="T190" s="332"/>
      <c r="U190" s="332"/>
      <c r="W190" s="52"/>
      <c r="AD190" s="242"/>
      <c r="AF190" s="52"/>
      <c r="AG190" s="248"/>
      <c r="AI190" s="274">
        <v>4.3</v>
      </c>
      <c r="AJ190" s="240">
        <f>COUNTIF(AD147:AD188,AI190)</f>
        <v>6</v>
      </c>
      <c r="AK190" s="240" t="str">
        <f>IF($L$5=1,SUMIF($AD$147:$AD$188,AI190,$AK$147:$AK$188),"")</f>
        <v/>
      </c>
      <c r="AM190" s="242"/>
      <c r="AO190" s="52"/>
      <c r="AV190" s="242"/>
      <c r="AY190" s="274">
        <v>4.3</v>
      </c>
      <c r="AZ190" s="240">
        <f t="shared" ref="AZ190:AZ191" si="222">COUNTIF($AT$147:$AT$188,AY190)</f>
        <v>6</v>
      </c>
      <c r="BA190" s="240" t="str">
        <f>IF($T$5=1,SUMIF($AT$147:$AT$188,AY190,$BA$147:$BA$188),"")</f>
        <v/>
      </c>
      <c r="BE190" s="242"/>
      <c r="BG190" s="274">
        <v>4.3</v>
      </c>
      <c r="BH190" s="240">
        <f t="shared" ref="BH190:BH191" si="223">COUNTIF($BB$147:$BB$188,BG190)</f>
        <v>6</v>
      </c>
      <c r="BI190" s="240" t="str">
        <f>IF($X$5=1,SUMIF($BB$147:$BB$188,BG190,$BI$147:$BI$188),"")</f>
        <v/>
      </c>
    </row>
    <row r="191" spans="1:65" ht="15" customHeight="1">
      <c r="N191" s="332"/>
      <c r="O191" s="332"/>
      <c r="P191" s="332"/>
      <c r="Q191" s="332"/>
      <c r="R191" s="332"/>
      <c r="S191" s="332"/>
      <c r="T191" s="332"/>
      <c r="U191" s="332"/>
      <c r="W191" s="52"/>
      <c r="AD191" s="242"/>
      <c r="AF191" s="52"/>
      <c r="AG191" s="248"/>
      <c r="AI191" s="274">
        <v>4.4000000000000004</v>
      </c>
      <c r="AJ191" s="240">
        <f>COUNTIF(AD147:AD188,AI191)</f>
        <v>7</v>
      </c>
      <c r="AK191" s="240" t="str">
        <f>IF($L$5=1,SUMIF($AD$147:$AD$188,AI191,$AK$147:$AK$188),"")</f>
        <v/>
      </c>
      <c r="AM191" s="242"/>
      <c r="AO191" s="52"/>
      <c r="AV191" s="242"/>
      <c r="AY191" s="274">
        <v>4.4000000000000004</v>
      </c>
      <c r="AZ191" s="240">
        <f t="shared" si="222"/>
        <v>7</v>
      </c>
      <c r="BA191" s="240" t="str">
        <f>IF($T$5=1,SUMIF($AT$147:$AT$188,AY191,$BA$147:$BA$188),"")</f>
        <v/>
      </c>
      <c r="BE191" s="242"/>
      <c r="BG191" s="274">
        <v>4.4000000000000004</v>
      </c>
      <c r="BH191" s="240">
        <f t="shared" si="223"/>
        <v>7</v>
      </c>
      <c r="BI191" s="240" t="str">
        <f>IF($X$5=1,SUMIF($BB$147:$BB$188,BG191,$BI$147:$BI$188),"")</f>
        <v/>
      </c>
    </row>
    <row r="192" spans="1:65" ht="15" customHeight="1">
      <c r="A192" s="613" t="s">
        <v>17</v>
      </c>
      <c r="B192" s="613"/>
      <c r="C192" s="613"/>
      <c r="D192" s="613"/>
      <c r="E192" s="613"/>
      <c r="F192" s="613"/>
      <c r="G192" s="613"/>
      <c r="H192" s="613"/>
      <c r="I192" s="613"/>
      <c r="J192" s="613"/>
      <c r="K192" s="613"/>
      <c r="L192" s="613"/>
      <c r="M192" s="613"/>
      <c r="N192" s="613"/>
      <c r="O192" s="613"/>
      <c r="P192" s="613"/>
      <c r="Q192" s="613"/>
      <c r="R192" s="613"/>
      <c r="S192" s="613"/>
      <c r="T192" s="613"/>
      <c r="U192" s="613"/>
      <c r="V192" s="613"/>
      <c r="W192" s="613"/>
      <c r="X192" s="613"/>
      <c r="Y192" s="613"/>
      <c r="Z192" s="613"/>
      <c r="AA192" s="613"/>
      <c r="AB192" s="613"/>
      <c r="AC192" s="613"/>
      <c r="AD192" s="613"/>
      <c r="AE192" s="613"/>
      <c r="AF192" s="613"/>
      <c r="AG192" s="613"/>
      <c r="AH192" s="613"/>
      <c r="AI192" s="613"/>
      <c r="AJ192" s="613"/>
      <c r="AK192" s="613"/>
      <c r="AL192" s="613"/>
      <c r="AM192" s="613"/>
      <c r="AN192" s="613"/>
      <c r="AO192" s="613"/>
      <c r="AP192" s="613"/>
      <c r="AQ192" s="613"/>
      <c r="AR192" s="613"/>
      <c r="AS192" s="613"/>
      <c r="AT192" s="613"/>
      <c r="AU192" s="613"/>
      <c r="AV192" s="613"/>
      <c r="AW192" s="613"/>
      <c r="AX192" s="613"/>
      <c r="AY192" s="613"/>
      <c r="AZ192" s="613"/>
      <c r="BA192" s="613"/>
      <c r="BB192" s="613"/>
      <c r="BC192" s="613"/>
      <c r="BD192" s="613"/>
      <c r="BE192" s="613"/>
      <c r="BF192" s="613"/>
      <c r="BG192" s="613"/>
      <c r="BH192" s="613"/>
      <c r="BI192" s="613"/>
      <c r="BJ192" s="613"/>
      <c r="BK192" s="613"/>
      <c r="BL192" s="613"/>
      <c r="BM192" s="613"/>
    </row>
    <row r="193" spans="1:67" ht="15" customHeight="1">
      <c r="A193" s="615"/>
      <c r="B193" s="615"/>
      <c r="C193" s="615"/>
      <c r="D193" s="615"/>
      <c r="E193" s="615"/>
      <c r="F193" s="615"/>
      <c r="G193" s="615"/>
      <c r="H193" s="615"/>
      <c r="I193" s="615"/>
      <c r="J193" s="615"/>
      <c r="K193" s="615"/>
      <c r="L193" s="615"/>
      <c r="M193" s="615"/>
      <c r="N193" s="615"/>
      <c r="O193" s="615"/>
      <c r="P193" s="615"/>
      <c r="Q193" s="615"/>
      <c r="R193" s="615"/>
      <c r="S193" s="615"/>
      <c r="T193" s="615"/>
      <c r="U193" s="615"/>
      <c r="V193" s="615"/>
      <c r="W193" s="615"/>
      <c r="X193" s="615"/>
      <c r="Y193" s="615"/>
      <c r="Z193" s="615"/>
      <c r="AA193" s="615"/>
      <c r="AB193" s="615"/>
      <c r="AC193" s="615"/>
      <c r="AD193" s="615"/>
      <c r="AE193" s="615"/>
      <c r="AF193" s="615"/>
      <c r="AG193" s="615"/>
      <c r="AH193" s="615"/>
      <c r="AI193" s="615"/>
      <c r="AJ193" s="615"/>
      <c r="AK193" s="615"/>
      <c r="AL193" s="615"/>
      <c r="AM193" s="615"/>
      <c r="AN193" s="615"/>
      <c r="AO193" s="615"/>
      <c r="AP193" s="615"/>
      <c r="AQ193" s="615"/>
      <c r="AR193" s="615"/>
      <c r="AS193" s="615"/>
      <c r="AT193" s="615"/>
      <c r="AU193" s="615"/>
      <c r="AV193" s="615"/>
      <c r="AW193" s="615"/>
      <c r="AX193" s="615"/>
      <c r="AY193" s="615"/>
      <c r="AZ193" s="615"/>
      <c r="BA193" s="615"/>
      <c r="BB193" s="615"/>
      <c r="BC193" s="615"/>
      <c r="BD193" s="615"/>
      <c r="BE193" s="615"/>
      <c r="BF193" s="615"/>
      <c r="BG193" s="615"/>
      <c r="BH193" s="615"/>
      <c r="BI193" s="615"/>
      <c r="BJ193" s="615"/>
      <c r="BK193" s="615"/>
      <c r="BL193" s="615"/>
      <c r="BM193" s="615"/>
    </row>
    <row r="194" spans="1:67" ht="15" customHeight="1">
      <c r="A194" s="1172"/>
      <c r="B194" s="1173" t="s">
        <v>608</v>
      </c>
      <c r="C194" s="1173"/>
      <c r="D194" s="1173"/>
      <c r="E194" s="1173"/>
      <c r="F194" s="1173"/>
      <c r="G194" s="1173"/>
      <c r="H194" s="1343">
        <v>7</v>
      </c>
      <c r="I194" s="1174">
        <v>8</v>
      </c>
      <c r="J194" s="1343">
        <v>9</v>
      </c>
      <c r="K194" s="1174">
        <v>10</v>
      </c>
      <c r="L194" s="1343">
        <v>11</v>
      </c>
      <c r="M194" s="1174">
        <v>12</v>
      </c>
      <c r="N194" s="1283"/>
      <c r="O194" s="1446" t="s">
        <v>915</v>
      </c>
      <c r="P194" s="1447"/>
      <c r="Q194" s="1447"/>
      <c r="R194" s="1447"/>
      <c r="S194" s="1447"/>
      <c r="T194" s="1447"/>
      <c r="U194" s="1448"/>
      <c r="V194" s="1285"/>
      <c r="W194" s="1437" t="s">
        <v>916</v>
      </c>
      <c r="X194" s="1438"/>
      <c r="Y194" s="1438"/>
      <c r="Z194" s="1438"/>
      <c r="AA194" s="1438"/>
      <c r="AB194" s="1438"/>
      <c r="AC194" s="1439"/>
      <c r="AD194" s="1287"/>
      <c r="AE194" s="1400" t="s">
        <v>917</v>
      </c>
      <c r="AF194" s="1401"/>
      <c r="AG194" s="1401"/>
      <c r="AH194" s="1401"/>
      <c r="AI194" s="1401"/>
      <c r="AJ194" s="1401"/>
      <c r="AK194" s="1402"/>
      <c r="AL194" s="1278"/>
      <c r="AM194" s="1409" t="s">
        <v>918</v>
      </c>
      <c r="AN194" s="1410"/>
      <c r="AO194" s="1410"/>
      <c r="AP194" s="1410"/>
      <c r="AQ194" s="1410"/>
      <c r="AR194" s="1410"/>
      <c r="AS194" s="1411"/>
      <c r="AT194" s="1418"/>
      <c r="AU194" s="1611" t="s">
        <v>919</v>
      </c>
      <c r="AV194" s="1612"/>
      <c r="AW194" s="1612"/>
      <c r="AX194" s="1612"/>
      <c r="AY194" s="1612"/>
      <c r="AZ194" s="1612"/>
      <c r="BA194" s="1613"/>
      <c r="BB194" s="1421"/>
      <c r="BC194" s="1424" t="s">
        <v>920</v>
      </c>
      <c r="BD194" s="1425"/>
      <c r="BE194" s="1425"/>
      <c r="BF194" s="1425"/>
      <c r="BG194" s="1425"/>
      <c r="BH194" s="1425"/>
      <c r="BI194" s="1426"/>
      <c r="BJ194" s="1182" t="s">
        <v>263</v>
      </c>
      <c r="BK194" s="1183"/>
      <c r="BL194" s="1183"/>
      <c r="BM194" s="1183"/>
      <c r="BN194" s="1183"/>
      <c r="BO194" s="1184"/>
    </row>
    <row r="195" spans="1:67" ht="15" customHeight="1">
      <c r="A195" s="1172"/>
      <c r="B195" s="1173"/>
      <c r="C195" s="1173"/>
      <c r="D195" s="1173"/>
      <c r="E195" s="1173"/>
      <c r="F195" s="1173"/>
      <c r="G195" s="1173"/>
      <c r="H195" s="1344"/>
      <c r="I195" s="1174"/>
      <c r="J195" s="1344"/>
      <c r="K195" s="1174"/>
      <c r="L195" s="1344"/>
      <c r="M195" s="1174"/>
      <c r="N195" s="1283"/>
      <c r="O195" s="1449"/>
      <c r="P195" s="1450"/>
      <c r="Q195" s="1450"/>
      <c r="R195" s="1450"/>
      <c r="S195" s="1450"/>
      <c r="T195" s="1450"/>
      <c r="U195" s="1451"/>
      <c r="V195" s="1285"/>
      <c r="W195" s="1440"/>
      <c r="X195" s="1441"/>
      <c r="Y195" s="1441"/>
      <c r="Z195" s="1441"/>
      <c r="AA195" s="1441"/>
      <c r="AB195" s="1441"/>
      <c r="AC195" s="1442"/>
      <c r="AD195" s="1287"/>
      <c r="AE195" s="1403"/>
      <c r="AF195" s="1404"/>
      <c r="AG195" s="1404"/>
      <c r="AH195" s="1404"/>
      <c r="AI195" s="1404"/>
      <c r="AJ195" s="1404"/>
      <c r="AK195" s="1405"/>
      <c r="AL195" s="1278"/>
      <c r="AM195" s="1412"/>
      <c r="AN195" s="1413"/>
      <c r="AO195" s="1413"/>
      <c r="AP195" s="1413"/>
      <c r="AQ195" s="1413"/>
      <c r="AR195" s="1413"/>
      <c r="AS195" s="1414"/>
      <c r="AT195" s="1419"/>
      <c r="AU195" s="1614"/>
      <c r="AV195" s="1615"/>
      <c r="AW195" s="1615"/>
      <c r="AX195" s="1615"/>
      <c r="AY195" s="1615"/>
      <c r="AZ195" s="1615"/>
      <c r="BA195" s="1616"/>
      <c r="BB195" s="1422"/>
      <c r="BC195" s="1427"/>
      <c r="BD195" s="1428"/>
      <c r="BE195" s="1428"/>
      <c r="BF195" s="1428"/>
      <c r="BG195" s="1428"/>
      <c r="BH195" s="1428"/>
      <c r="BI195" s="1429"/>
      <c r="BJ195" s="1219"/>
      <c r="BK195" s="1220"/>
      <c r="BL195" s="1220"/>
      <c r="BM195" s="1220"/>
      <c r="BN195" s="1220"/>
      <c r="BO195" s="1221"/>
    </row>
    <row r="196" spans="1:67" ht="15" customHeight="1">
      <c r="A196" s="1172"/>
      <c r="B196" s="1173"/>
      <c r="C196" s="1173"/>
      <c r="D196" s="1173"/>
      <c r="E196" s="1173"/>
      <c r="F196" s="1173"/>
      <c r="G196" s="1173"/>
      <c r="H196" s="1345"/>
      <c r="I196" s="1174"/>
      <c r="J196" s="1345"/>
      <c r="K196" s="1174"/>
      <c r="L196" s="1345"/>
      <c r="M196" s="1174"/>
      <c r="N196" s="1283"/>
      <c r="O196" s="1452"/>
      <c r="P196" s="1453"/>
      <c r="Q196" s="1453"/>
      <c r="R196" s="1453"/>
      <c r="S196" s="1453"/>
      <c r="T196" s="1453"/>
      <c r="U196" s="1454"/>
      <c r="V196" s="1285"/>
      <c r="W196" s="1443"/>
      <c r="X196" s="1444"/>
      <c r="Y196" s="1444"/>
      <c r="Z196" s="1444"/>
      <c r="AA196" s="1444"/>
      <c r="AB196" s="1444"/>
      <c r="AC196" s="1445"/>
      <c r="AD196" s="1287"/>
      <c r="AE196" s="1406"/>
      <c r="AF196" s="1407"/>
      <c r="AG196" s="1407"/>
      <c r="AH196" s="1407"/>
      <c r="AI196" s="1407"/>
      <c r="AJ196" s="1407"/>
      <c r="AK196" s="1408"/>
      <c r="AL196" s="1278"/>
      <c r="AM196" s="1415"/>
      <c r="AN196" s="1416"/>
      <c r="AO196" s="1416"/>
      <c r="AP196" s="1416"/>
      <c r="AQ196" s="1416"/>
      <c r="AR196" s="1416"/>
      <c r="AS196" s="1417"/>
      <c r="AT196" s="1420"/>
      <c r="AU196" s="1617"/>
      <c r="AV196" s="1618"/>
      <c r="AW196" s="1618"/>
      <c r="AX196" s="1618"/>
      <c r="AY196" s="1618"/>
      <c r="AZ196" s="1618"/>
      <c r="BA196" s="1619"/>
      <c r="BB196" s="1423"/>
      <c r="BC196" s="1430"/>
      <c r="BD196" s="1431"/>
      <c r="BE196" s="1431"/>
      <c r="BF196" s="1431"/>
      <c r="BG196" s="1431"/>
      <c r="BH196" s="1431"/>
      <c r="BI196" s="1432"/>
      <c r="BJ196" s="1337"/>
      <c r="BK196" s="1338"/>
      <c r="BL196" s="1338"/>
      <c r="BM196" s="1338"/>
      <c r="BN196" s="1338"/>
      <c r="BO196" s="1339"/>
    </row>
    <row r="197" spans="1:67" ht="15" customHeight="1">
      <c r="A197" s="1307">
        <v>1.1000000000000001</v>
      </c>
      <c r="B197" s="1161" t="s">
        <v>941</v>
      </c>
      <c r="C197" s="1162"/>
      <c r="D197" s="1162"/>
      <c r="E197" s="1162"/>
      <c r="F197" s="1162"/>
      <c r="G197" s="1199"/>
      <c r="H197" s="1205" t="str">
        <f>IF(ISBLANK(AB$5),"",1)</f>
        <v/>
      </c>
      <c r="I197" s="1205" t="str">
        <f>IF(ISBLANK(AF$5),"",1)</f>
        <v/>
      </c>
      <c r="J197" s="1205" t="str">
        <f>IF(ISBLANK(AJ$5),"",1)</f>
        <v/>
      </c>
      <c r="K197" s="1205" t="str">
        <f>IF(ISBLANK(AN$5),"",1)</f>
        <v/>
      </c>
      <c r="L197" s="1205" t="str">
        <f>IF(ISBLANK(AR$5),"",1)</f>
        <v/>
      </c>
      <c r="M197" s="1205" t="str">
        <f>IF(ISBLANK(AV$5),"",1)</f>
        <v/>
      </c>
      <c r="N197" s="1322">
        <v>4.3</v>
      </c>
      <c r="O197" s="1198" t="s">
        <v>387</v>
      </c>
      <c r="P197" s="1162"/>
      <c r="Q197" s="1162"/>
      <c r="R197" s="1162"/>
      <c r="S197" s="1162"/>
      <c r="T197" s="1265"/>
      <c r="U197" s="1205" t="str">
        <f>IF(ISBLANK(AB$5),"",1)</f>
        <v/>
      </c>
      <c r="V197" s="1322">
        <v>4.3</v>
      </c>
      <c r="W197" s="1198" t="s">
        <v>387</v>
      </c>
      <c r="X197" s="1162"/>
      <c r="Y197" s="1162"/>
      <c r="Z197" s="1162"/>
      <c r="AA197" s="1162"/>
      <c r="AB197" s="1265"/>
      <c r="AC197" s="1205" t="str">
        <f>IF(ISBLANK(AF$5),"",1)</f>
        <v/>
      </c>
      <c r="AD197" s="1258">
        <v>4.3</v>
      </c>
      <c r="AE197" s="1198" t="s">
        <v>409</v>
      </c>
      <c r="AF197" s="1162"/>
      <c r="AG197" s="1162"/>
      <c r="AH197" s="1162"/>
      <c r="AI197" s="1162"/>
      <c r="AJ197" s="1265"/>
      <c r="AK197" s="1205" t="str">
        <f>IF(ISBLANK(AJ$5),"",1)</f>
        <v/>
      </c>
      <c r="AL197" s="1258">
        <v>4.3</v>
      </c>
      <c r="AM197" s="1198" t="s">
        <v>387</v>
      </c>
      <c r="AN197" s="1162"/>
      <c r="AO197" s="1162"/>
      <c r="AP197" s="1162"/>
      <c r="AQ197" s="1162"/>
      <c r="AR197" s="1265"/>
      <c r="AS197" s="1205" t="str">
        <f>IF(ISBLANK(AN$5),"",1)</f>
        <v/>
      </c>
      <c r="AT197" s="1258">
        <v>4.3</v>
      </c>
      <c r="AU197" s="1198" t="s">
        <v>398</v>
      </c>
      <c r="AV197" s="1162"/>
      <c r="AW197" s="1162"/>
      <c r="AX197" s="1162"/>
      <c r="AY197" s="1162"/>
      <c r="AZ197" s="1199"/>
      <c r="BA197" s="1226" t="str">
        <f>IF(ISBLANK(AR$5),"",1)</f>
        <v/>
      </c>
      <c r="BB197" s="1258">
        <v>4.3</v>
      </c>
      <c r="BC197" s="1198" t="s">
        <v>398</v>
      </c>
      <c r="BD197" s="1162"/>
      <c r="BE197" s="1162"/>
      <c r="BF197" s="1162"/>
      <c r="BG197" s="1162"/>
      <c r="BH197" s="1199"/>
      <c r="BI197" s="1226" t="str">
        <f>IF(ISBLANK(AV$5),"",1)</f>
        <v/>
      </c>
      <c r="BJ197" s="1337"/>
      <c r="BK197" s="1338"/>
      <c r="BL197" s="1338"/>
      <c r="BM197" s="1338"/>
      <c r="BN197" s="1338"/>
      <c r="BO197" s="1339"/>
    </row>
    <row r="198" spans="1:67" ht="15" customHeight="1">
      <c r="A198" s="1308"/>
      <c r="B198" s="1163"/>
      <c r="C198" s="1164"/>
      <c r="D198" s="1164"/>
      <c r="E198" s="1164"/>
      <c r="F198" s="1164"/>
      <c r="G198" s="1201"/>
      <c r="H198" s="1206"/>
      <c r="I198" s="1206"/>
      <c r="J198" s="1206"/>
      <c r="K198" s="1206"/>
      <c r="L198" s="1206"/>
      <c r="M198" s="1206"/>
      <c r="N198" s="1293"/>
      <c r="O198" s="1200"/>
      <c r="P198" s="1164"/>
      <c r="Q198" s="1164"/>
      <c r="R198" s="1164"/>
      <c r="S198" s="1164"/>
      <c r="T198" s="1266"/>
      <c r="U198" s="1206"/>
      <c r="V198" s="1293"/>
      <c r="W198" s="1200"/>
      <c r="X198" s="1164"/>
      <c r="Y198" s="1164"/>
      <c r="Z198" s="1164"/>
      <c r="AA198" s="1164"/>
      <c r="AB198" s="1266"/>
      <c r="AC198" s="1206"/>
      <c r="AD198" s="1258"/>
      <c r="AE198" s="1200"/>
      <c r="AF198" s="1164"/>
      <c r="AG198" s="1164"/>
      <c r="AH198" s="1164"/>
      <c r="AI198" s="1164"/>
      <c r="AJ198" s="1266"/>
      <c r="AK198" s="1206"/>
      <c r="AL198" s="1258"/>
      <c r="AM198" s="1200"/>
      <c r="AN198" s="1164"/>
      <c r="AO198" s="1164"/>
      <c r="AP198" s="1164"/>
      <c r="AQ198" s="1164"/>
      <c r="AR198" s="1266"/>
      <c r="AS198" s="1206"/>
      <c r="AT198" s="1258"/>
      <c r="AU198" s="1200"/>
      <c r="AV198" s="1164"/>
      <c r="AW198" s="1164"/>
      <c r="AX198" s="1164"/>
      <c r="AY198" s="1164"/>
      <c r="AZ198" s="1201"/>
      <c r="BA198" s="1342"/>
      <c r="BB198" s="1258"/>
      <c r="BC198" s="1200"/>
      <c r="BD198" s="1164"/>
      <c r="BE198" s="1164"/>
      <c r="BF198" s="1164"/>
      <c r="BG198" s="1164"/>
      <c r="BH198" s="1201"/>
      <c r="BI198" s="1342"/>
      <c r="BJ198" s="1337"/>
      <c r="BK198" s="1338"/>
      <c r="BL198" s="1338"/>
      <c r="BM198" s="1338"/>
      <c r="BN198" s="1338"/>
      <c r="BO198" s="1339"/>
    </row>
    <row r="199" spans="1:67" ht="15" customHeight="1">
      <c r="A199" s="1309"/>
      <c r="B199" s="1165"/>
      <c r="C199" s="1166"/>
      <c r="D199" s="1166"/>
      <c r="E199" s="1166"/>
      <c r="F199" s="1166"/>
      <c r="G199" s="1292"/>
      <c r="H199" s="1207"/>
      <c r="I199" s="1207"/>
      <c r="J199" s="1207"/>
      <c r="K199" s="1207"/>
      <c r="L199" s="1207"/>
      <c r="M199" s="1207"/>
      <c r="N199" s="1294"/>
      <c r="O199" s="1202"/>
      <c r="P199" s="1203"/>
      <c r="Q199" s="1203"/>
      <c r="R199" s="1203"/>
      <c r="S199" s="1203"/>
      <c r="T199" s="1305"/>
      <c r="U199" s="1207"/>
      <c r="V199" s="1294"/>
      <c r="W199" s="1202"/>
      <c r="X199" s="1203"/>
      <c r="Y199" s="1203"/>
      <c r="Z199" s="1203"/>
      <c r="AA199" s="1203"/>
      <c r="AB199" s="1305"/>
      <c r="AC199" s="1207"/>
      <c r="AD199" s="1258"/>
      <c r="AE199" s="1202"/>
      <c r="AF199" s="1203"/>
      <c r="AG199" s="1203"/>
      <c r="AH199" s="1203"/>
      <c r="AI199" s="1203"/>
      <c r="AJ199" s="1305"/>
      <c r="AK199" s="1207"/>
      <c r="AL199" s="1258"/>
      <c r="AM199" s="1202"/>
      <c r="AN199" s="1203"/>
      <c r="AO199" s="1203"/>
      <c r="AP199" s="1203"/>
      <c r="AQ199" s="1203"/>
      <c r="AR199" s="1305"/>
      <c r="AS199" s="1207"/>
      <c r="AT199" s="1258"/>
      <c r="AU199" s="1202"/>
      <c r="AV199" s="1203"/>
      <c r="AW199" s="1203"/>
      <c r="AX199" s="1203"/>
      <c r="AY199" s="1203"/>
      <c r="AZ199" s="1204"/>
      <c r="BA199" s="1342"/>
      <c r="BB199" s="1258"/>
      <c r="BC199" s="1202"/>
      <c r="BD199" s="1203"/>
      <c r="BE199" s="1203"/>
      <c r="BF199" s="1203"/>
      <c r="BG199" s="1203"/>
      <c r="BH199" s="1204"/>
      <c r="BI199" s="1342"/>
      <c r="BJ199" s="1337"/>
      <c r="BK199" s="1338"/>
      <c r="BL199" s="1338"/>
      <c r="BM199" s="1338"/>
      <c r="BN199" s="1338"/>
      <c r="BO199" s="1339"/>
    </row>
    <row r="200" spans="1:67" ht="15" customHeight="1">
      <c r="A200" s="1304">
        <v>2.4</v>
      </c>
      <c r="B200" s="1161" t="s">
        <v>316</v>
      </c>
      <c r="C200" s="1162"/>
      <c r="D200" s="1162"/>
      <c r="E200" s="1162"/>
      <c r="F200" s="1162"/>
      <c r="G200" s="1199"/>
      <c r="H200" s="1205" t="str">
        <f t="shared" ref="H200" si="224">IF(ISBLANK(AB$5),"",1)</f>
        <v/>
      </c>
      <c r="I200" s="1205" t="str">
        <f t="shared" ref="I200" si="225">IF(ISBLANK(AF$5),"",1)</f>
        <v/>
      </c>
      <c r="J200" s="1205" t="str">
        <f t="shared" ref="J200" si="226">IF(ISBLANK(AJ$5),"",1)</f>
        <v/>
      </c>
      <c r="K200" s="1205" t="str">
        <f t="shared" ref="K200" si="227">IF(ISBLANK(AN$5),"",1)</f>
        <v/>
      </c>
      <c r="L200" s="1205" t="str">
        <f t="shared" ref="L200" si="228">IF(ISBLANK(AR$5),"",1)</f>
        <v/>
      </c>
      <c r="M200" s="1205" t="str">
        <f t="shared" ref="M200" si="229">IF(ISBLANK(AV$5),"",1)</f>
        <v/>
      </c>
      <c r="N200" s="1322">
        <v>4.3</v>
      </c>
      <c r="O200" s="1198" t="s">
        <v>388</v>
      </c>
      <c r="P200" s="1162"/>
      <c r="Q200" s="1162"/>
      <c r="R200" s="1162"/>
      <c r="S200" s="1162"/>
      <c r="T200" s="1265"/>
      <c r="U200" s="1205" t="str">
        <f t="shared" ref="U200" si="230">IF(ISBLANK(AB$5),"",1)</f>
        <v/>
      </c>
      <c r="V200" s="1322">
        <v>4.3</v>
      </c>
      <c r="W200" s="1198" t="s">
        <v>388</v>
      </c>
      <c r="X200" s="1162"/>
      <c r="Y200" s="1162"/>
      <c r="Z200" s="1162"/>
      <c r="AA200" s="1162"/>
      <c r="AB200" s="1265"/>
      <c r="AC200" s="1205" t="str">
        <f t="shared" ref="AC200" si="231">IF(ISBLANK(AF$5),"",1)</f>
        <v/>
      </c>
      <c r="AD200" s="1304">
        <v>4.3</v>
      </c>
      <c r="AE200" s="1455" t="s">
        <v>639</v>
      </c>
      <c r="AF200" s="1456"/>
      <c r="AG200" s="1456"/>
      <c r="AH200" s="1456"/>
      <c r="AI200" s="1456"/>
      <c r="AJ200" s="1457"/>
      <c r="AK200" s="1205" t="str">
        <f t="shared" ref="AK200" si="232">IF(ISBLANK(AJ$5),"",1)</f>
        <v/>
      </c>
      <c r="AL200" s="1258">
        <v>4.4000000000000004</v>
      </c>
      <c r="AM200" s="1198" t="s">
        <v>388</v>
      </c>
      <c r="AN200" s="1162"/>
      <c r="AO200" s="1162"/>
      <c r="AP200" s="1162"/>
      <c r="AQ200" s="1162"/>
      <c r="AR200" s="1265"/>
      <c r="AS200" s="1205" t="str">
        <f t="shared" ref="AS200" si="233">IF(ISBLANK(AN$5),"",1)</f>
        <v/>
      </c>
      <c r="AT200" s="1258">
        <v>4.3</v>
      </c>
      <c r="AU200" s="1198" t="s">
        <v>388</v>
      </c>
      <c r="AV200" s="1162"/>
      <c r="AW200" s="1162"/>
      <c r="AX200" s="1162"/>
      <c r="AY200" s="1162"/>
      <c r="AZ200" s="1199"/>
      <c r="BA200" s="1226" t="str">
        <f t="shared" ref="BA200" si="234">IF(ISBLANK(AR$5),"",1)</f>
        <v/>
      </c>
      <c r="BB200" s="1258">
        <v>4.3</v>
      </c>
      <c r="BC200" s="1198" t="s">
        <v>388</v>
      </c>
      <c r="BD200" s="1162"/>
      <c r="BE200" s="1162"/>
      <c r="BF200" s="1162"/>
      <c r="BG200" s="1162"/>
      <c r="BH200" s="1199"/>
      <c r="BI200" s="1226" t="str">
        <f t="shared" ref="BI200" si="235">IF(ISBLANK(AV$5),"",1)</f>
        <v/>
      </c>
      <c r="BJ200" s="1337"/>
      <c r="BK200" s="1338"/>
      <c r="BL200" s="1338"/>
      <c r="BM200" s="1338"/>
      <c r="BN200" s="1338"/>
      <c r="BO200" s="1339"/>
    </row>
    <row r="201" spans="1:67" ht="15" customHeight="1">
      <c r="A201" s="1290"/>
      <c r="B201" s="1163"/>
      <c r="C201" s="1164"/>
      <c r="D201" s="1164"/>
      <c r="E201" s="1164"/>
      <c r="F201" s="1164"/>
      <c r="G201" s="1201"/>
      <c r="H201" s="1206"/>
      <c r="I201" s="1206"/>
      <c r="J201" s="1206"/>
      <c r="K201" s="1206"/>
      <c r="L201" s="1206"/>
      <c r="M201" s="1206"/>
      <c r="N201" s="1293"/>
      <c r="O201" s="1200" t="s">
        <v>389</v>
      </c>
      <c r="P201" s="1164"/>
      <c r="Q201" s="1164"/>
      <c r="R201" s="1164"/>
      <c r="S201" s="1164"/>
      <c r="T201" s="1266"/>
      <c r="U201" s="1206"/>
      <c r="V201" s="1293"/>
      <c r="W201" s="1200"/>
      <c r="X201" s="1164"/>
      <c r="Y201" s="1164"/>
      <c r="Z201" s="1164"/>
      <c r="AA201" s="1164"/>
      <c r="AB201" s="1266"/>
      <c r="AC201" s="1206"/>
      <c r="AD201" s="1290"/>
      <c r="AE201" s="1458"/>
      <c r="AF201" s="1459"/>
      <c r="AG201" s="1459"/>
      <c r="AH201" s="1459"/>
      <c r="AI201" s="1459"/>
      <c r="AJ201" s="1460"/>
      <c r="AK201" s="1206"/>
      <c r="AL201" s="1258"/>
      <c r="AM201" s="1200"/>
      <c r="AN201" s="1164"/>
      <c r="AO201" s="1164"/>
      <c r="AP201" s="1164"/>
      <c r="AQ201" s="1164"/>
      <c r="AR201" s="1266"/>
      <c r="AS201" s="1206"/>
      <c r="AT201" s="1258"/>
      <c r="AU201" s="1200"/>
      <c r="AV201" s="1164"/>
      <c r="AW201" s="1164"/>
      <c r="AX201" s="1164"/>
      <c r="AY201" s="1164"/>
      <c r="AZ201" s="1201"/>
      <c r="BA201" s="1342"/>
      <c r="BB201" s="1258"/>
      <c r="BC201" s="1200"/>
      <c r="BD201" s="1164"/>
      <c r="BE201" s="1164"/>
      <c r="BF201" s="1164"/>
      <c r="BG201" s="1164"/>
      <c r="BH201" s="1201"/>
      <c r="BI201" s="1342"/>
      <c r="BJ201" s="1337"/>
      <c r="BK201" s="1338"/>
      <c r="BL201" s="1338"/>
      <c r="BM201" s="1338"/>
      <c r="BN201" s="1338"/>
      <c r="BO201" s="1339"/>
    </row>
    <row r="202" spans="1:67" ht="15" customHeight="1">
      <c r="A202" s="1291"/>
      <c r="B202" s="1165"/>
      <c r="C202" s="1166"/>
      <c r="D202" s="1166"/>
      <c r="E202" s="1166"/>
      <c r="F202" s="1166"/>
      <c r="G202" s="1292"/>
      <c r="H202" s="1207"/>
      <c r="I202" s="1207"/>
      <c r="J202" s="1207"/>
      <c r="K202" s="1207"/>
      <c r="L202" s="1207"/>
      <c r="M202" s="1207"/>
      <c r="N202" s="1294"/>
      <c r="O202" s="1202"/>
      <c r="P202" s="1203"/>
      <c r="Q202" s="1203"/>
      <c r="R202" s="1203"/>
      <c r="S202" s="1203"/>
      <c r="T202" s="1305"/>
      <c r="U202" s="1207"/>
      <c r="V202" s="1294"/>
      <c r="W202" s="1202"/>
      <c r="X202" s="1203"/>
      <c r="Y202" s="1203"/>
      <c r="Z202" s="1203"/>
      <c r="AA202" s="1203"/>
      <c r="AB202" s="1305"/>
      <c r="AC202" s="1207"/>
      <c r="AD202" s="1291"/>
      <c r="AE202" s="1461"/>
      <c r="AF202" s="1462"/>
      <c r="AG202" s="1462"/>
      <c r="AH202" s="1462"/>
      <c r="AI202" s="1462"/>
      <c r="AJ202" s="1463"/>
      <c r="AK202" s="1207"/>
      <c r="AL202" s="1258"/>
      <c r="AM202" s="1202"/>
      <c r="AN202" s="1203"/>
      <c r="AO202" s="1203"/>
      <c r="AP202" s="1203"/>
      <c r="AQ202" s="1203"/>
      <c r="AR202" s="1305"/>
      <c r="AS202" s="1207"/>
      <c r="AT202" s="1258"/>
      <c r="AU202" s="1202"/>
      <c r="AV202" s="1203"/>
      <c r="AW202" s="1203"/>
      <c r="AX202" s="1203"/>
      <c r="AY202" s="1203"/>
      <c r="AZ202" s="1204"/>
      <c r="BA202" s="1342"/>
      <c r="BB202" s="1258"/>
      <c r="BC202" s="1202"/>
      <c r="BD202" s="1203"/>
      <c r="BE202" s="1203"/>
      <c r="BF202" s="1203"/>
      <c r="BG202" s="1203"/>
      <c r="BH202" s="1204"/>
      <c r="BI202" s="1342"/>
      <c r="BJ202" s="1337"/>
      <c r="BK202" s="1338"/>
      <c r="BL202" s="1338"/>
      <c r="BM202" s="1338"/>
      <c r="BN202" s="1338"/>
      <c r="BO202" s="1339"/>
    </row>
    <row r="203" spans="1:67" ht="15" customHeight="1">
      <c r="A203" s="1307">
        <v>1.1000000000000001</v>
      </c>
      <c r="B203" s="1161" t="s">
        <v>320</v>
      </c>
      <c r="C203" s="1162"/>
      <c r="D203" s="1162"/>
      <c r="E203" s="1162"/>
      <c r="F203" s="1162"/>
      <c r="G203" s="1199"/>
      <c r="H203" s="1205" t="str">
        <f t="shared" ref="H203" si="236">IF(ISBLANK(AB$5),"",1)</f>
        <v/>
      </c>
      <c r="I203" s="1205" t="str">
        <f t="shared" ref="I203" si="237">IF(ISBLANK(AF$5),"",1)</f>
        <v/>
      </c>
      <c r="J203" s="1205" t="str">
        <f t="shared" ref="J203" si="238">IF(ISBLANK(AJ$5),"",1)</f>
        <v/>
      </c>
      <c r="K203" s="1205" t="str">
        <f t="shared" ref="K203" si="239">IF(ISBLANK(AN$5),"",1)</f>
        <v/>
      </c>
      <c r="L203" s="1205" t="str">
        <f t="shared" ref="L203" si="240">IF(ISBLANK(AR$5),"",1)</f>
        <v/>
      </c>
      <c r="M203" s="1205" t="str">
        <f t="shared" ref="M203" si="241">IF(ISBLANK(AV$5),"",1)</f>
        <v/>
      </c>
      <c r="N203" s="1322">
        <v>4.3</v>
      </c>
      <c r="O203" s="1198" t="s">
        <v>423</v>
      </c>
      <c r="P203" s="1162"/>
      <c r="Q203" s="1162"/>
      <c r="R203" s="1162"/>
      <c r="S203" s="1162"/>
      <c r="T203" s="1265"/>
      <c r="U203" s="1205" t="str">
        <f t="shared" ref="U203" si="242">IF(ISBLANK(AB$5),"",1)</f>
        <v/>
      </c>
      <c r="V203" s="1322">
        <v>4.3</v>
      </c>
      <c r="W203" s="1198" t="s">
        <v>390</v>
      </c>
      <c r="X203" s="1162"/>
      <c r="Y203" s="1162"/>
      <c r="Z203" s="1162"/>
      <c r="AA203" s="1162"/>
      <c r="AB203" s="1265"/>
      <c r="AC203" s="1205" t="str">
        <f t="shared" ref="AC203" si="243">IF(ISBLANK(AF$5),"",1)</f>
        <v/>
      </c>
      <c r="AD203" s="1398">
        <v>4.4000000000000004</v>
      </c>
      <c r="AE203" s="1198" t="s">
        <v>410</v>
      </c>
      <c r="AF203" s="1162"/>
      <c r="AG203" s="1162"/>
      <c r="AH203" s="1162"/>
      <c r="AI203" s="1162"/>
      <c r="AJ203" s="1265"/>
      <c r="AK203" s="1205" t="str">
        <f t="shared" ref="AK203" si="244">IF(ISBLANK(AJ$5),"",1)</f>
        <v/>
      </c>
      <c r="AL203" s="1322">
        <v>4.4000000000000004</v>
      </c>
      <c r="AM203" s="1198" t="s">
        <v>408</v>
      </c>
      <c r="AN203" s="1162"/>
      <c r="AO203" s="1162"/>
      <c r="AP203" s="1162"/>
      <c r="AQ203" s="1162"/>
      <c r="AR203" s="1265"/>
      <c r="AS203" s="1205" t="str">
        <f t="shared" ref="AS203" si="245">IF(ISBLANK(AN$5),"",1)</f>
        <v/>
      </c>
      <c r="AT203" s="1258">
        <v>4.3</v>
      </c>
      <c r="AU203" s="1198" t="s">
        <v>390</v>
      </c>
      <c r="AV203" s="1162"/>
      <c r="AW203" s="1162"/>
      <c r="AX203" s="1162"/>
      <c r="AY203" s="1162"/>
      <c r="AZ203" s="1199"/>
      <c r="BA203" s="1226" t="str">
        <f t="shared" ref="BA203" si="246">IF(ISBLANK(AR$5),"",1)</f>
        <v/>
      </c>
      <c r="BB203" s="1258">
        <v>4.3</v>
      </c>
      <c r="BC203" s="1198" t="s">
        <v>390</v>
      </c>
      <c r="BD203" s="1162"/>
      <c r="BE203" s="1162"/>
      <c r="BF203" s="1162"/>
      <c r="BG203" s="1162"/>
      <c r="BH203" s="1199"/>
      <c r="BI203" s="1226" t="str">
        <f t="shared" ref="BI203" si="247">IF(ISBLANK(AV$5),"",1)</f>
        <v/>
      </c>
      <c r="BJ203" s="1337"/>
      <c r="BK203" s="1338"/>
      <c r="BL203" s="1338"/>
      <c r="BM203" s="1338"/>
      <c r="BN203" s="1338"/>
      <c r="BO203" s="1339"/>
    </row>
    <row r="204" spans="1:67" ht="15" customHeight="1">
      <c r="A204" s="1308"/>
      <c r="B204" s="1163"/>
      <c r="C204" s="1164"/>
      <c r="D204" s="1164"/>
      <c r="E204" s="1164"/>
      <c r="F204" s="1164"/>
      <c r="G204" s="1201"/>
      <c r="H204" s="1206"/>
      <c r="I204" s="1206"/>
      <c r="J204" s="1206"/>
      <c r="K204" s="1206"/>
      <c r="L204" s="1206"/>
      <c r="M204" s="1206"/>
      <c r="N204" s="1293"/>
      <c r="O204" s="1200" t="s">
        <v>389</v>
      </c>
      <c r="P204" s="1164"/>
      <c r="Q204" s="1164"/>
      <c r="R204" s="1164"/>
      <c r="S204" s="1164"/>
      <c r="T204" s="1266"/>
      <c r="U204" s="1206"/>
      <c r="V204" s="1293"/>
      <c r="W204" s="1200"/>
      <c r="X204" s="1164"/>
      <c r="Y204" s="1164"/>
      <c r="Z204" s="1164"/>
      <c r="AA204" s="1164"/>
      <c r="AB204" s="1266"/>
      <c r="AC204" s="1206"/>
      <c r="AD204" s="1293"/>
      <c r="AE204" s="1200"/>
      <c r="AF204" s="1164"/>
      <c r="AG204" s="1164"/>
      <c r="AH204" s="1164"/>
      <c r="AI204" s="1164"/>
      <c r="AJ204" s="1266"/>
      <c r="AK204" s="1206"/>
      <c r="AL204" s="1293"/>
      <c r="AM204" s="1200"/>
      <c r="AN204" s="1164"/>
      <c r="AO204" s="1164"/>
      <c r="AP204" s="1164"/>
      <c r="AQ204" s="1164"/>
      <c r="AR204" s="1266"/>
      <c r="AS204" s="1206"/>
      <c r="AT204" s="1258"/>
      <c r="AU204" s="1200"/>
      <c r="AV204" s="1164"/>
      <c r="AW204" s="1164"/>
      <c r="AX204" s="1164"/>
      <c r="AY204" s="1164"/>
      <c r="AZ204" s="1201"/>
      <c r="BA204" s="1342"/>
      <c r="BB204" s="1258"/>
      <c r="BC204" s="1200"/>
      <c r="BD204" s="1164"/>
      <c r="BE204" s="1164"/>
      <c r="BF204" s="1164"/>
      <c r="BG204" s="1164"/>
      <c r="BH204" s="1201"/>
      <c r="BI204" s="1342"/>
      <c r="BJ204" s="1337"/>
      <c r="BK204" s="1338"/>
      <c r="BL204" s="1338"/>
      <c r="BM204" s="1338"/>
      <c r="BN204" s="1338"/>
      <c r="BO204" s="1339"/>
    </row>
    <row r="205" spans="1:67" ht="15" customHeight="1">
      <c r="A205" s="1309"/>
      <c r="B205" s="1165"/>
      <c r="C205" s="1166"/>
      <c r="D205" s="1166"/>
      <c r="E205" s="1166"/>
      <c r="F205" s="1166"/>
      <c r="G205" s="1292"/>
      <c r="H205" s="1207"/>
      <c r="I205" s="1207"/>
      <c r="J205" s="1207"/>
      <c r="K205" s="1207"/>
      <c r="L205" s="1207"/>
      <c r="M205" s="1207"/>
      <c r="N205" s="1294"/>
      <c r="O205" s="1202"/>
      <c r="P205" s="1203"/>
      <c r="Q205" s="1203"/>
      <c r="R205" s="1203"/>
      <c r="S205" s="1203"/>
      <c r="T205" s="1305"/>
      <c r="U205" s="1207"/>
      <c r="V205" s="1294"/>
      <c r="W205" s="1202"/>
      <c r="X205" s="1203"/>
      <c r="Y205" s="1203"/>
      <c r="Z205" s="1203"/>
      <c r="AA205" s="1203"/>
      <c r="AB205" s="1305"/>
      <c r="AC205" s="1207"/>
      <c r="AD205" s="1294"/>
      <c r="AE205" s="1202"/>
      <c r="AF205" s="1203"/>
      <c r="AG205" s="1203"/>
      <c r="AH205" s="1203"/>
      <c r="AI205" s="1203"/>
      <c r="AJ205" s="1305"/>
      <c r="AK205" s="1207"/>
      <c r="AL205" s="1306"/>
      <c r="AM205" s="1202"/>
      <c r="AN205" s="1203"/>
      <c r="AO205" s="1203"/>
      <c r="AP205" s="1203"/>
      <c r="AQ205" s="1203"/>
      <c r="AR205" s="1305"/>
      <c r="AS205" s="1207"/>
      <c r="AT205" s="1258"/>
      <c r="AU205" s="1202"/>
      <c r="AV205" s="1203"/>
      <c r="AW205" s="1203"/>
      <c r="AX205" s="1203"/>
      <c r="AY205" s="1203"/>
      <c r="AZ205" s="1204"/>
      <c r="BA205" s="1342"/>
      <c r="BB205" s="1258"/>
      <c r="BC205" s="1202"/>
      <c r="BD205" s="1203"/>
      <c r="BE205" s="1203"/>
      <c r="BF205" s="1203"/>
      <c r="BG205" s="1203"/>
      <c r="BH205" s="1204"/>
      <c r="BI205" s="1342"/>
      <c r="BJ205" s="1337"/>
      <c r="BK205" s="1338"/>
      <c r="BL205" s="1338"/>
      <c r="BM205" s="1338"/>
      <c r="BN205" s="1338"/>
      <c r="BO205" s="1339"/>
    </row>
    <row r="206" spans="1:67" ht="15" customHeight="1">
      <c r="A206" s="1304">
        <v>2.1</v>
      </c>
      <c r="B206" s="1161" t="s">
        <v>322</v>
      </c>
      <c r="C206" s="1162"/>
      <c r="D206" s="1162"/>
      <c r="E206" s="1162"/>
      <c r="F206" s="1162"/>
      <c r="G206" s="1199"/>
      <c r="H206" s="1205" t="str">
        <f t="shared" ref="H206" si="248">IF(ISBLANK(AB$5),"",1)</f>
        <v/>
      </c>
      <c r="I206" s="1205" t="str">
        <f t="shared" ref="I206" si="249">IF(ISBLANK(AF$5),"",1)</f>
        <v/>
      </c>
      <c r="J206" s="1205" t="str">
        <f t="shared" ref="J206" si="250">IF(ISBLANK(AJ$5),"",1)</f>
        <v/>
      </c>
      <c r="K206" s="1205" t="str">
        <f t="shared" ref="K206" si="251">IF(ISBLANK(AN$5),"",1)</f>
        <v/>
      </c>
      <c r="L206" s="1205" t="str">
        <f t="shared" ref="L206" si="252">IF(ISBLANK(AR$5),"",1)</f>
        <v/>
      </c>
      <c r="M206" s="1205" t="str">
        <f t="shared" ref="M206" si="253">IF(ISBLANK(AV$5),"",1)</f>
        <v/>
      </c>
      <c r="N206" s="1322">
        <v>4.4000000000000004</v>
      </c>
      <c r="O206" s="1198" t="s">
        <v>407</v>
      </c>
      <c r="P206" s="1162"/>
      <c r="Q206" s="1162"/>
      <c r="R206" s="1162"/>
      <c r="S206" s="1162"/>
      <c r="T206" s="1265"/>
      <c r="U206" s="1205" t="str">
        <f t="shared" ref="U206" si="254">IF(ISBLANK(AB$5),"",1)</f>
        <v/>
      </c>
      <c r="V206" s="1322">
        <v>4.4000000000000004</v>
      </c>
      <c r="W206" s="1198" t="s">
        <v>391</v>
      </c>
      <c r="X206" s="1162"/>
      <c r="Y206" s="1162"/>
      <c r="Z206" s="1162"/>
      <c r="AA206" s="1162"/>
      <c r="AB206" s="1265"/>
      <c r="AC206" s="1205" t="str">
        <f t="shared" ref="AC206" si="255">IF(ISBLANK(AF$5),"",1)</f>
        <v/>
      </c>
      <c r="AD206" s="1322">
        <v>4.4000000000000004</v>
      </c>
      <c r="AE206" s="1198" t="s">
        <v>411</v>
      </c>
      <c r="AF206" s="1162"/>
      <c r="AG206" s="1162"/>
      <c r="AH206" s="1162"/>
      <c r="AI206" s="1162"/>
      <c r="AJ206" s="1265"/>
      <c r="AK206" s="1205" t="str">
        <f t="shared" ref="AK206" si="256">IF(ISBLANK(AJ$5),"",1)</f>
        <v/>
      </c>
      <c r="AL206" s="1322">
        <v>4.4000000000000004</v>
      </c>
      <c r="AM206" s="1198" t="s">
        <v>393</v>
      </c>
      <c r="AN206" s="1162"/>
      <c r="AO206" s="1162"/>
      <c r="AP206" s="1162"/>
      <c r="AQ206" s="1162"/>
      <c r="AR206" s="1265"/>
      <c r="AS206" s="1205" t="str">
        <f t="shared" ref="AS206" si="257">IF(ISBLANK(AN$5),"",1)</f>
        <v/>
      </c>
      <c r="AT206" s="1258">
        <v>4.4000000000000004</v>
      </c>
      <c r="AU206" s="1198" t="s">
        <v>407</v>
      </c>
      <c r="AV206" s="1162"/>
      <c r="AW206" s="1162"/>
      <c r="AX206" s="1162"/>
      <c r="AY206" s="1162"/>
      <c r="AZ206" s="1199"/>
      <c r="BA206" s="1226" t="str">
        <f t="shared" ref="BA206" si="258">IF(ISBLANK(AR$5),"",1)</f>
        <v/>
      </c>
      <c r="BB206" s="1258">
        <v>4.4000000000000004</v>
      </c>
      <c r="BC206" s="1198" t="s">
        <v>407</v>
      </c>
      <c r="BD206" s="1162"/>
      <c r="BE206" s="1162"/>
      <c r="BF206" s="1162"/>
      <c r="BG206" s="1162"/>
      <c r="BH206" s="1199"/>
      <c r="BI206" s="1226" t="str">
        <f t="shared" ref="BI206" si="259">IF(ISBLANK(AV$5),"",1)</f>
        <v/>
      </c>
      <c r="BJ206" s="1337"/>
      <c r="BK206" s="1338"/>
      <c r="BL206" s="1338"/>
      <c r="BM206" s="1338"/>
      <c r="BN206" s="1338"/>
      <c r="BO206" s="1339"/>
    </row>
    <row r="207" spans="1:67" ht="15" customHeight="1">
      <c r="A207" s="1290"/>
      <c r="B207" s="1163"/>
      <c r="C207" s="1164"/>
      <c r="D207" s="1164"/>
      <c r="E207" s="1164"/>
      <c r="F207" s="1164"/>
      <c r="G207" s="1201"/>
      <c r="H207" s="1206"/>
      <c r="I207" s="1206"/>
      <c r="J207" s="1206"/>
      <c r="K207" s="1206"/>
      <c r="L207" s="1206"/>
      <c r="M207" s="1206"/>
      <c r="N207" s="1293"/>
      <c r="O207" s="1200" t="s">
        <v>368</v>
      </c>
      <c r="P207" s="1164"/>
      <c r="Q207" s="1164"/>
      <c r="R207" s="1164"/>
      <c r="S207" s="1164"/>
      <c r="T207" s="1266"/>
      <c r="U207" s="1206"/>
      <c r="V207" s="1293"/>
      <c r="W207" s="1200"/>
      <c r="X207" s="1164"/>
      <c r="Y207" s="1164"/>
      <c r="Z207" s="1164"/>
      <c r="AA207" s="1164"/>
      <c r="AB207" s="1266"/>
      <c r="AC207" s="1206"/>
      <c r="AD207" s="1293"/>
      <c r="AE207" s="1200"/>
      <c r="AF207" s="1164"/>
      <c r="AG207" s="1164"/>
      <c r="AH207" s="1164"/>
      <c r="AI207" s="1164"/>
      <c r="AJ207" s="1266"/>
      <c r="AK207" s="1206"/>
      <c r="AL207" s="1293"/>
      <c r="AM207" s="1200"/>
      <c r="AN207" s="1164"/>
      <c r="AO207" s="1164"/>
      <c r="AP207" s="1164"/>
      <c r="AQ207" s="1164"/>
      <c r="AR207" s="1266"/>
      <c r="AS207" s="1206"/>
      <c r="AT207" s="1258"/>
      <c r="AU207" s="1200"/>
      <c r="AV207" s="1164"/>
      <c r="AW207" s="1164"/>
      <c r="AX207" s="1164"/>
      <c r="AY207" s="1164"/>
      <c r="AZ207" s="1201"/>
      <c r="BA207" s="1342"/>
      <c r="BB207" s="1258"/>
      <c r="BC207" s="1200"/>
      <c r="BD207" s="1164"/>
      <c r="BE207" s="1164"/>
      <c r="BF207" s="1164"/>
      <c r="BG207" s="1164"/>
      <c r="BH207" s="1201"/>
      <c r="BI207" s="1342"/>
      <c r="BJ207" s="1337"/>
      <c r="BK207" s="1338"/>
      <c r="BL207" s="1338"/>
      <c r="BM207" s="1338"/>
      <c r="BN207" s="1338"/>
      <c r="BO207" s="1339"/>
    </row>
    <row r="208" spans="1:67" ht="15" customHeight="1">
      <c r="A208" s="1291"/>
      <c r="B208" s="1165"/>
      <c r="C208" s="1166"/>
      <c r="D208" s="1166"/>
      <c r="E208" s="1166"/>
      <c r="F208" s="1166"/>
      <c r="G208" s="1292"/>
      <c r="H208" s="1207"/>
      <c r="I208" s="1207"/>
      <c r="J208" s="1207"/>
      <c r="K208" s="1207"/>
      <c r="L208" s="1207"/>
      <c r="M208" s="1207"/>
      <c r="N208" s="1294"/>
      <c r="O208" s="1202" t="s">
        <v>392</v>
      </c>
      <c r="P208" s="1203"/>
      <c r="Q208" s="1203"/>
      <c r="R208" s="1203"/>
      <c r="S208" s="1203"/>
      <c r="T208" s="1305"/>
      <c r="U208" s="1207"/>
      <c r="V208" s="1294"/>
      <c r="W208" s="1202"/>
      <c r="X208" s="1203"/>
      <c r="Y208" s="1203"/>
      <c r="Z208" s="1203"/>
      <c r="AA208" s="1203"/>
      <c r="AB208" s="1305"/>
      <c r="AC208" s="1207"/>
      <c r="AD208" s="1294"/>
      <c r="AE208" s="1202"/>
      <c r="AF208" s="1203"/>
      <c r="AG208" s="1203"/>
      <c r="AH208" s="1203"/>
      <c r="AI208" s="1203"/>
      <c r="AJ208" s="1305"/>
      <c r="AK208" s="1207"/>
      <c r="AL208" s="1306"/>
      <c r="AM208" s="1202"/>
      <c r="AN208" s="1203"/>
      <c r="AO208" s="1203"/>
      <c r="AP208" s="1203"/>
      <c r="AQ208" s="1203"/>
      <c r="AR208" s="1305"/>
      <c r="AS208" s="1207"/>
      <c r="AT208" s="1258"/>
      <c r="AU208" s="1202"/>
      <c r="AV208" s="1203"/>
      <c r="AW208" s="1203"/>
      <c r="AX208" s="1203"/>
      <c r="AY208" s="1203"/>
      <c r="AZ208" s="1204"/>
      <c r="BA208" s="1342"/>
      <c r="BB208" s="1258"/>
      <c r="BC208" s="1202"/>
      <c r="BD208" s="1203"/>
      <c r="BE208" s="1203"/>
      <c r="BF208" s="1203"/>
      <c r="BG208" s="1203"/>
      <c r="BH208" s="1204"/>
      <c r="BI208" s="1342"/>
      <c r="BJ208" s="1337"/>
      <c r="BK208" s="1338"/>
      <c r="BL208" s="1338"/>
      <c r="BM208" s="1338"/>
      <c r="BN208" s="1338"/>
      <c r="BO208" s="1339"/>
    </row>
    <row r="209" spans="1:67" ht="15" customHeight="1">
      <c r="A209" s="1307">
        <v>1.1000000000000001</v>
      </c>
      <c r="B209" s="1161" t="s">
        <v>940</v>
      </c>
      <c r="C209" s="1162"/>
      <c r="D209" s="1162"/>
      <c r="E209" s="1162"/>
      <c r="F209" s="1162"/>
      <c r="G209" s="1199"/>
      <c r="H209" s="1205" t="str">
        <f t="shared" ref="H209" si="260">IF(ISBLANK(AB$5),"",1)</f>
        <v/>
      </c>
      <c r="I209" s="1205" t="str">
        <f t="shared" ref="I209" si="261">IF(ISBLANK(AF$5),"",1)</f>
        <v/>
      </c>
      <c r="J209" s="1205" t="str">
        <f t="shared" ref="J209" si="262">IF(ISBLANK(AJ$5),"",1)</f>
        <v/>
      </c>
      <c r="K209" s="1205" t="str">
        <f t="shared" ref="K209" si="263">IF(ISBLANK(AN$5),"",1)</f>
        <v/>
      </c>
      <c r="L209" s="1205" t="str">
        <f t="shared" ref="L209" si="264">IF(ISBLANK(AR$5),"",1)</f>
        <v/>
      </c>
      <c r="M209" s="1205" t="str">
        <f t="shared" ref="M209" si="265">IF(ISBLANK(AV$5),"",1)</f>
        <v/>
      </c>
      <c r="N209" s="1391">
        <v>4.3</v>
      </c>
      <c r="O209" s="1310" t="s">
        <v>879</v>
      </c>
      <c r="P209" s="1311"/>
      <c r="Q209" s="1311"/>
      <c r="R209" s="1311"/>
      <c r="S209" s="1311"/>
      <c r="T209" s="1312"/>
      <c r="U209" s="1205" t="str">
        <f t="shared" ref="U209" si="266">IF(ISBLANK(AB$5),"",1)</f>
        <v/>
      </c>
      <c r="V209" s="1322">
        <v>4.4000000000000004</v>
      </c>
      <c r="W209" s="1198" t="s">
        <v>880</v>
      </c>
      <c r="X209" s="1162"/>
      <c r="Y209" s="1162"/>
      <c r="Z209" s="1162"/>
      <c r="AA209" s="1162"/>
      <c r="AB209" s="1265"/>
      <c r="AC209" s="1205" t="str">
        <f t="shared" ref="AC209" si="267">IF(ISBLANK(AF$5),"",1)</f>
        <v/>
      </c>
      <c r="AD209" s="1322">
        <v>4.4000000000000004</v>
      </c>
      <c r="AE209" s="1198" t="s">
        <v>412</v>
      </c>
      <c r="AF209" s="1162"/>
      <c r="AG209" s="1162"/>
      <c r="AH209" s="1162"/>
      <c r="AI209" s="1162"/>
      <c r="AJ209" s="1265"/>
      <c r="AK209" s="1205" t="str">
        <f t="shared" ref="AK209" si="268">IF(ISBLANK(AJ$5),"",1)</f>
        <v/>
      </c>
      <c r="AL209" s="1304">
        <v>4.4000000000000004</v>
      </c>
      <c r="AM209" s="1198" t="s">
        <v>359</v>
      </c>
      <c r="AN209" s="1162"/>
      <c r="AO209" s="1162"/>
      <c r="AP209" s="1162"/>
      <c r="AQ209" s="1162"/>
      <c r="AR209" s="1265"/>
      <c r="AS209" s="1205" t="str">
        <f t="shared" ref="AS209" si="269">IF(ISBLANK(AN$5),"",1)</f>
        <v/>
      </c>
      <c r="AT209" s="1304">
        <v>4.3</v>
      </c>
      <c r="AU209" s="1310" t="s">
        <v>879</v>
      </c>
      <c r="AV209" s="1311"/>
      <c r="AW209" s="1311"/>
      <c r="AX209" s="1311"/>
      <c r="AY209" s="1311"/>
      <c r="AZ209" s="1316"/>
      <c r="BA209" s="1226" t="str">
        <f t="shared" ref="BA209" si="270">IF(ISBLANK(AR$5),"",1)</f>
        <v/>
      </c>
      <c r="BB209" s="1304">
        <v>4.3</v>
      </c>
      <c r="BC209" s="1310" t="s">
        <v>879</v>
      </c>
      <c r="BD209" s="1311"/>
      <c r="BE209" s="1311"/>
      <c r="BF209" s="1311"/>
      <c r="BG209" s="1311"/>
      <c r="BH209" s="1316"/>
      <c r="BI209" s="1226" t="str">
        <f t="shared" ref="BI209" si="271">IF(ISBLANK(AV$5),"",1)</f>
        <v/>
      </c>
      <c r="BJ209" s="1337"/>
      <c r="BK209" s="1338"/>
      <c r="BL209" s="1338"/>
      <c r="BM209" s="1338"/>
      <c r="BN209" s="1338"/>
      <c r="BO209" s="1339"/>
    </row>
    <row r="210" spans="1:67" ht="15" customHeight="1">
      <c r="A210" s="1308"/>
      <c r="B210" s="1163"/>
      <c r="C210" s="1164"/>
      <c r="D210" s="1164"/>
      <c r="E210" s="1164"/>
      <c r="F210" s="1164"/>
      <c r="G210" s="1201"/>
      <c r="H210" s="1206"/>
      <c r="I210" s="1206"/>
      <c r="J210" s="1206"/>
      <c r="K210" s="1206"/>
      <c r="L210" s="1206"/>
      <c r="M210" s="1206"/>
      <c r="N210" s="1392"/>
      <c r="O210" s="1295" t="s">
        <v>368</v>
      </c>
      <c r="P210" s="1296"/>
      <c r="Q210" s="1296"/>
      <c r="R210" s="1296"/>
      <c r="S210" s="1296"/>
      <c r="T210" s="1297"/>
      <c r="U210" s="1206"/>
      <c r="V210" s="1293"/>
      <c r="W210" s="1200"/>
      <c r="X210" s="1164"/>
      <c r="Y210" s="1164"/>
      <c r="Z210" s="1164"/>
      <c r="AA210" s="1164"/>
      <c r="AB210" s="1266"/>
      <c r="AC210" s="1206"/>
      <c r="AD210" s="1293"/>
      <c r="AE210" s="1200"/>
      <c r="AF210" s="1164"/>
      <c r="AG210" s="1164"/>
      <c r="AH210" s="1164"/>
      <c r="AI210" s="1164"/>
      <c r="AJ210" s="1266"/>
      <c r="AK210" s="1206"/>
      <c r="AL210" s="1290"/>
      <c r="AM210" s="1200"/>
      <c r="AN210" s="1164"/>
      <c r="AO210" s="1164"/>
      <c r="AP210" s="1164"/>
      <c r="AQ210" s="1164"/>
      <c r="AR210" s="1266"/>
      <c r="AS210" s="1206"/>
      <c r="AT210" s="1290"/>
      <c r="AU210" s="1295"/>
      <c r="AV210" s="1296"/>
      <c r="AW210" s="1296"/>
      <c r="AX210" s="1296"/>
      <c r="AY210" s="1296"/>
      <c r="AZ210" s="1318"/>
      <c r="BA210" s="1342"/>
      <c r="BB210" s="1290"/>
      <c r="BC210" s="1295"/>
      <c r="BD210" s="1296"/>
      <c r="BE210" s="1296"/>
      <c r="BF210" s="1296"/>
      <c r="BG210" s="1296"/>
      <c r="BH210" s="1318"/>
      <c r="BI210" s="1342"/>
      <c r="BJ210" s="1337"/>
      <c r="BK210" s="1338"/>
      <c r="BL210" s="1338"/>
      <c r="BM210" s="1338"/>
      <c r="BN210" s="1338"/>
      <c r="BO210" s="1339"/>
    </row>
    <row r="211" spans="1:67" ht="15" customHeight="1">
      <c r="A211" s="1309"/>
      <c r="B211" s="1165"/>
      <c r="C211" s="1166"/>
      <c r="D211" s="1166"/>
      <c r="E211" s="1166"/>
      <c r="F211" s="1166"/>
      <c r="G211" s="1292"/>
      <c r="H211" s="1207"/>
      <c r="I211" s="1207"/>
      <c r="J211" s="1207"/>
      <c r="K211" s="1207"/>
      <c r="L211" s="1207"/>
      <c r="M211" s="1207"/>
      <c r="N211" s="1393"/>
      <c r="O211" s="1298" t="s">
        <v>416</v>
      </c>
      <c r="P211" s="1299"/>
      <c r="Q211" s="1299"/>
      <c r="R211" s="1299"/>
      <c r="S211" s="1299"/>
      <c r="T211" s="1300"/>
      <c r="U211" s="1207"/>
      <c r="V211" s="1294"/>
      <c r="W211" s="1202"/>
      <c r="X211" s="1203"/>
      <c r="Y211" s="1203"/>
      <c r="Z211" s="1203"/>
      <c r="AA211" s="1203"/>
      <c r="AB211" s="1305"/>
      <c r="AC211" s="1207"/>
      <c r="AD211" s="1294"/>
      <c r="AE211" s="1202"/>
      <c r="AF211" s="1203"/>
      <c r="AG211" s="1203"/>
      <c r="AH211" s="1203"/>
      <c r="AI211" s="1203"/>
      <c r="AJ211" s="1305"/>
      <c r="AK211" s="1207"/>
      <c r="AL211" s="1291"/>
      <c r="AM211" s="1202"/>
      <c r="AN211" s="1203"/>
      <c r="AO211" s="1203"/>
      <c r="AP211" s="1203"/>
      <c r="AQ211" s="1203"/>
      <c r="AR211" s="1305"/>
      <c r="AS211" s="1207"/>
      <c r="AT211" s="1291"/>
      <c r="AU211" s="1298"/>
      <c r="AV211" s="1299"/>
      <c r="AW211" s="1299"/>
      <c r="AX211" s="1299"/>
      <c r="AY211" s="1299"/>
      <c r="AZ211" s="1335"/>
      <c r="BA211" s="1342"/>
      <c r="BB211" s="1291"/>
      <c r="BC211" s="1298"/>
      <c r="BD211" s="1299"/>
      <c r="BE211" s="1299"/>
      <c r="BF211" s="1299"/>
      <c r="BG211" s="1299"/>
      <c r="BH211" s="1335"/>
      <c r="BI211" s="1342"/>
      <c r="BJ211" s="1337"/>
      <c r="BK211" s="1338"/>
      <c r="BL211" s="1338"/>
      <c r="BM211" s="1338"/>
      <c r="BN211" s="1338"/>
      <c r="BO211" s="1339"/>
    </row>
    <row r="212" spans="1:67" ht="15" customHeight="1">
      <c r="A212" s="1307">
        <v>1.1000000000000001</v>
      </c>
      <c r="B212" s="1161" t="s">
        <v>330</v>
      </c>
      <c r="C212" s="1162"/>
      <c r="D212" s="1162"/>
      <c r="E212" s="1162"/>
      <c r="F212" s="1162"/>
      <c r="G212" s="1199"/>
      <c r="H212" s="1205" t="str">
        <f t="shared" ref="H212" si="272">IF(ISBLANK(AB$5),"",1)</f>
        <v/>
      </c>
      <c r="I212" s="1205" t="str">
        <f t="shared" ref="I212" si="273">IF(ISBLANK(AF$5),"",1)</f>
        <v/>
      </c>
      <c r="J212" s="1205" t="str">
        <f t="shared" ref="J212" si="274">IF(ISBLANK(AJ$5),"",1)</f>
        <v/>
      </c>
      <c r="K212" s="1205" t="str">
        <f t="shared" ref="K212" si="275">IF(ISBLANK(AN$5),"",1)</f>
        <v/>
      </c>
      <c r="L212" s="1205" t="str">
        <f t="shared" ref="L212" si="276">IF(ISBLANK(AR$5),"",1)</f>
        <v/>
      </c>
      <c r="M212" s="1205" t="str">
        <f t="shared" ref="M212" si="277">IF(ISBLANK(AV$5),"",1)</f>
        <v/>
      </c>
      <c r="N212" s="1322">
        <v>4.4000000000000004</v>
      </c>
      <c r="O212" s="1198" t="s">
        <v>393</v>
      </c>
      <c r="P212" s="1162"/>
      <c r="Q212" s="1162"/>
      <c r="R212" s="1162"/>
      <c r="S212" s="1162"/>
      <c r="T212" s="1265"/>
      <c r="U212" s="1205" t="str">
        <f t="shared" ref="U212" si="278">IF(ISBLANK(AB$5),"",1)</f>
        <v/>
      </c>
      <c r="V212" s="1304">
        <v>4.4000000000000004</v>
      </c>
      <c r="W212" s="1395" t="s">
        <v>359</v>
      </c>
      <c r="X212" s="1396"/>
      <c r="Y212" s="1396"/>
      <c r="Z212" s="1396"/>
      <c r="AA212" s="1396"/>
      <c r="AB212" s="1397"/>
      <c r="AC212" s="1205" t="str">
        <f t="shared" ref="AC212" si="279">IF(ISBLANK(AF$5),"",1)</f>
        <v/>
      </c>
      <c r="AD212" s="1322">
        <v>4.4000000000000004</v>
      </c>
      <c r="AE212" s="1198" t="s">
        <v>413</v>
      </c>
      <c r="AF212" s="1162"/>
      <c r="AG212" s="1162"/>
      <c r="AH212" s="1162"/>
      <c r="AI212" s="1162"/>
      <c r="AJ212" s="1265"/>
      <c r="AK212" s="1205" t="str">
        <f t="shared" ref="AK212" si="280">IF(ISBLANK(AJ$5),"",1)</f>
        <v/>
      </c>
      <c r="AL212" s="1322">
        <v>4.3</v>
      </c>
      <c r="AM212" s="1198" t="s">
        <v>395</v>
      </c>
      <c r="AN212" s="1162"/>
      <c r="AO212" s="1162"/>
      <c r="AP212" s="1162"/>
      <c r="AQ212" s="1162"/>
      <c r="AR212" s="1265"/>
      <c r="AS212" s="1205" t="str">
        <f t="shared" ref="AS212" si="281">IF(ISBLANK(AN$5),"",1)</f>
        <v/>
      </c>
      <c r="AT212" s="1258">
        <v>4.4000000000000004</v>
      </c>
      <c r="AU212" s="1198" t="s">
        <v>418</v>
      </c>
      <c r="AV212" s="1162"/>
      <c r="AW212" s="1162"/>
      <c r="AX212" s="1162"/>
      <c r="AY212" s="1162"/>
      <c r="AZ212" s="1199"/>
      <c r="BA212" s="1226" t="str">
        <f t="shared" ref="BA212" si="282">IF(ISBLANK(AR$5),"",1)</f>
        <v/>
      </c>
      <c r="BB212" s="1258">
        <v>4.3</v>
      </c>
      <c r="BC212" s="1198" t="s">
        <v>418</v>
      </c>
      <c r="BD212" s="1162"/>
      <c r="BE212" s="1162"/>
      <c r="BF212" s="1162"/>
      <c r="BG212" s="1162"/>
      <c r="BH212" s="1199"/>
      <c r="BI212" s="1226" t="str">
        <f t="shared" ref="BI212" si="283">IF(ISBLANK(AV$5),"",1)</f>
        <v/>
      </c>
      <c r="BJ212" s="1337"/>
      <c r="BK212" s="1338"/>
      <c r="BL212" s="1338"/>
      <c r="BM212" s="1338"/>
      <c r="BN212" s="1338"/>
      <c r="BO212" s="1339"/>
    </row>
    <row r="213" spans="1:67" ht="15" customHeight="1">
      <c r="A213" s="1308"/>
      <c r="B213" s="1163"/>
      <c r="C213" s="1164"/>
      <c r="D213" s="1164"/>
      <c r="E213" s="1164"/>
      <c r="F213" s="1164"/>
      <c r="G213" s="1201"/>
      <c r="H213" s="1206"/>
      <c r="I213" s="1206"/>
      <c r="J213" s="1206"/>
      <c r="K213" s="1206"/>
      <c r="L213" s="1206"/>
      <c r="M213" s="1206"/>
      <c r="N213" s="1293"/>
      <c r="O213" s="1200"/>
      <c r="P213" s="1164"/>
      <c r="Q213" s="1164"/>
      <c r="R213" s="1164"/>
      <c r="S213" s="1164"/>
      <c r="T213" s="1266"/>
      <c r="U213" s="1206"/>
      <c r="V213" s="1290"/>
      <c r="W213" s="1163"/>
      <c r="X213" s="1164"/>
      <c r="Y213" s="1164"/>
      <c r="Z213" s="1164"/>
      <c r="AA213" s="1164"/>
      <c r="AB213" s="1201"/>
      <c r="AC213" s="1206"/>
      <c r="AD213" s="1293"/>
      <c r="AE213" s="1200"/>
      <c r="AF213" s="1164"/>
      <c r="AG213" s="1164"/>
      <c r="AH213" s="1164"/>
      <c r="AI213" s="1164"/>
      <c r="AJ213" s="1266"/>
      <c r="AK213" s="1206"/>
      <c r="AL213" s="1293"/>
      <c r="AM213" s="1200"/>
      <c r="AN213" s="1164"/>
      <c r="AO213" s="1164"/>
      <c r="AP213" s="1164"/>
      <c r="AQ213" s="1164"/>
      <c r="AR213" s="1266"/>
      <c r="AS213" s="1206"/>
      <c r="AT213" s="1258"/>
      <c r="AU213" s="1200"/>
      <c r="AV213" s="1164"/>
      <c r="AW213" s="1164"/>
      <c r="AX213" s="1164"/>
      <c r="AY213" s="1164"/>
      <c r="AZ213" s="1201"/>
      <c r="BA213" s="1342"/>
      <c r="BB213" s="1258"/>
      <c r="BC213" s="1200"/>
      <c r="BD213" s="1164"/>
      <c r="BE213" s="1164"/>
      <c r="BF213" s="1164"/>
      <c r="BG213" s="1164"/>
      <c r="BH213" s="1201"/>
      <c r="BI213" s="1342"/>
      <c r="BJ213" s="1337"/>
      <c r="BK213" s="1338"/>
      <c r="BL213" s="1338"/>
      <c r="BM213" s="1338"/>
      <c r="BN213" s="1338"/>
      <c r="BO213" s="1339"/>
    </row>
    <row r="214" spans="1:67" ht="15" customHeight="1">
      <c r="A214" s="1309"/>
      <c r="B214" s="1165"/>
      <c r="C214" s="1166"/>
      <c r="D214" s="1166"/>
      <c r="E214" s="1166"/>
      <c r="F214" s="1166"/>
      <c r="G214" s="1292"/>
      <c r="H214" s="1207"/>
      <c r="I214" s="1207"/>
      <c r="J214" s="1207"/>
      <c r="K214" s="1207"/>
      <c r="L214" s="1207"/>
      <c r="M214" s="1207"/>
      <c r="N214" s="1294"/>
      <c r="O214" s="1202" t="s">
        <v>394</v>
      </c>
      <c r="P214" s="1203"/>
      <c r="Q214" s="1203"/>
      <c r="R214" s="1203"/>
      <c r="S214" s="1203"/>
      <c r="T214" s="1305"/>
      <c r="U214" s="1207"/>
      <c r="V214" s="1291"/>
      <c r="W214" s="1165"/>
      <c r="X214" s="1166"/>
      <c r="Y214" s="1166"/>
      <c r="Z214" s="1166"/>
      <c r="AA214" s="1166"/>
      <c r="AB214" s="1292"/>
      <c r="AC214" s="1207"/>
      <c r="AD214" s="1294"/>
      <c r="AE214" s="1202"/>
      <c r="AF214" s="1203"/>
      <c r="AG214" s="1203"/>
      <c r="AH214" s="1203"/>
      <c r="AI214" s="1203"/>
      <c r="AJ214" s="1305"/>
      <c r="AK214" s="1207"/>
      <c r="AL214" s="1306"/>
      <c r="AM214" s="1202"/>
      <c r="AN214" s="1203"/>
      <c r="AO214" s="1203"/>
      <c r="AP214" s="1203"/>
      <c r="AQ214" s="1203"/>
      <c r="AR214" s="1305"/>
      <c r="AS214" s="1207"/>
      <c r="AT214" s="1258"/>
      <c r="AU214" s="1202"/>
      <c r="AV214" s="1203"/>
      <c r="AW214" s="1203"/>
      <c r="AX214" s="1203"/>
      <c r="AY214" s="1203"/>
      <c r="AZ214" s="1204"/>
      <c r="BA214" s="1342"/>
      <c r="BB214" s="1258"/>
      <c r="BC214" s="1202"/>
      <c r="BD214" s="1203"/>
      <c r="BE214" s="1203"/>
      <c r="BF214" s="1203"/>
      <c r="BG214" s="1203"/>
      <c r="BH214" s="1204"/>
      <c r="BI214" s="1342"/>
      <c r="BJ214" s="1337"/>
      <c r="BK214" s="1338"/>
      <c r="BL214" s="1338"/>
      <c r="BM214" s="1338"/>
      <c r="BN214" s="1338"/>
      <c r="BO214" s="1339"/>
    </row>
    <row r="215" spans="1:67" ht="15" customHeight="1">
      <c r="A215" s="1304">
        <v>1.5</v>
      </c>
      <c r="B215" s="1161" t="s">
        <v>336</v>
      </c>
      <c r="C215" s="1162"/>
      <c r="D215" s="1162"/>
      <c r="E215" s="1162"/>
      <c r="F215" s="1162"/>
      <c r="G215" s="1199"/>
      <c r="H215" s="1205" t="str">
        <f t="shared" ref="H215" si="284">IF(ISBLANK(AB$5),"",1)</f>
        <v/>
      </c>
      <c r="I215" s="1205" t="str">
        <f t="shared" ref="I215" si="285">IF(ISBLANK(AF$5),"",1)</f>
        <v/>
      </c>
      <c r="J215" s="1205" t="str">
        <f t="shared" ref="J215" si="286">IF(ISBLANK(AJ$5),"",1)</f>
        <v/>
      </c>
      <c r="K215" s="1205" t="str">
        <f t="shared" ref="K215" si="287">IF(ISBLANK(AN$5),"",1)</f>
        <v/>
      </c>
      <c r="L215" s="1205" t="str">
        <f t="shared" ref="L215" si="288">IF(ISBLANK(AR$5),"",1)</f>
        <v/>
      </c>
      <c r="M215" s="1205" t="str">
        <f t="shared" ref="M215" si="289">IF(ISBLANK(AV$5),"",1)</f>
        <v/>
      </c>
      <c r="N215" s="1391">
        <v>4.4000000000000004</v>
      </c>
      <c r="O215" s="1198" t="s">
        <v>359</v>
      </c>
      <c r="P215" s="1162"/>
      <c r="Q215" s="1162"/>
      <c r="R215" s="1162"/>
      <c r="S215" s="1162"/>
      <c r="T215" s="1265"/>
      <c r="U215" s="1205" t="str">
        <f t="shared" ref="U215" si="290">IF(ISBLANK(AB$5),"",1)</f>
        <v/>
      </c>
      <c r="V215" s="1322">
        <v>4.4000000000000004</v>
      </c>
      <c r="W215" s="1198" t="s">
        <v>395</v>
      </c>
      <c r="X215" s="1162"/>
      <c r="Y215" s="1162"/>
      <c r="Z215" s="1162"/>
      <c r="AA215" s="1162"/>
      <c r="AB215" s="1265"/>
      <c r="AC215" s="1205" t="str">
        <f t="shared" ref="AC215" si="291">IF(ISBLANK(AF$5),"",1)</f>
        <v/>
      </c>
      <c r="AD215" s="1322">
        <v>4.4000000000000004</v>
      </c>
      <c r="AE215" s="1198" t="s">
        <v>414</v>
      </c>
      <c r="AF215" s="1162"/>
      <c r="AG215" s="1162"/>
      <c r="AH215" s="1162"/>
      <c r="AI215" s="1162"/>
      <c r="AJ215" s="1265"/>
      <c r="AK215" s="1205" t="str">
        <f t="shared" ref="AK215" si="292">IF(ISBLANK(AJ$5),"",1)</f>
        <v/>
      </c>
      <c r="AL215" s="1304">
        <v>4.4000000000000004</v>
      </c>
      <c r="AM215" s="1161" t="s">
        <v>878</v>
      </c>
      <c r="AN215" s="1162"/>
      <c r="AO215" s="1162"/>
      <c r="AP215" s="1162"/>
      <c r="AQ215" s="1162"/>
      <c r="AR215" s="1199"/>
      <c r="AS215" s="1205" t="str">
        <f t="shared" ref="AS215" si="293">IF(ISBLANK(AN$5),"",1)</f>
        <v/>
      </c>
      <c r="AT215" s="1258">
        <v>4.4000000000000004</v>
      </c>
      <c r="AU215" s="1198" t="s">
        <v>417</v>
      </c>
      <c r="AV215" s="1162"/>
      <c r="AW215" s="1162"/>
      <c r="AX215" s="1162"/>
      <c r="AY215" s="1162"/>
      <c r="AZ215" s="1199"/>
      <c r="BA215" s="1226" t="str">
        <f t="shared" ref="BA215" si="294">IF(ISBLANK(AR$5),"",1)</f>
        <v/>
      </c>
      <c r="BB215" s="1258">
        <v>4.4000000000000004</v>
      </c>
      <c r="BC215" s="1198" t="s">
        <v>417</v>
      </c>
      <c r="BD215" s="1162"/>
      <c r="BE215" s="1162"/>
      <c r="BF215" s="1162"/>
      <c r="BG215" s="1162"/>
      <c r="BH215" s="1199"/>
      <c r="BI215" s="1226" t="str">
        <f t="shared" ref="BI215" si="295">IF(ISBLANK(AV$5),"",1)</f>
        <v/>
      </c>
      <c r="BJ215" s="1337"/>
      <c r="BK215" s="1338"/>
      <c r="BL215" s="1338"/>
      <c r="BM215" s="1338"/>
      <c r="BN215" s="1338"/>
      <c r="BO215" s="1339"/>
    </row>
    <row r="216" spans="1:67" ht="15" customHeight="1">
      <c r="A216" s="1290"/>
      <c r="B216" s="1163"/>
      <c r="C216" s="1164"/>
      <c r="D216" s="1164"/>
      <c r="E216" s="1164"/>
      <c r="F216" s="1164"/>
      <c r="G216" s="1201"/>
      <c r="H216" s="1206"/>
      <c r="I216" s="1206"/>
      <c r="J216" s="1206"/>
      <c r="K216" s="1206"/>
      <c r="L216" s="1206"/>
      <c r="M216" s="1206"/>
      <c r="N216" s="1392"/>
      <c r="O216" s="1200" t="s">
        <v>370</v>
      </c>
      <c r="P216" s="1164"/>
      <c r="Q216" s="1164"/>
      <c r="R216" s="1164"/>
      <c r="S216" s="1164"/>
      <c r="T216" s="1266"/>
      <c r="U216" s="1206"/>
      <c r="V216" s="1293"/>
      <c r="W216" s="1200"/>
      <c r="X216" s="1164"/>
      <c r="Y216" s="1164"/>
      <c r="Z216" s="1164"/>
      <c r="AA216" s="1164"/>
      <c r="AB216" s="1266"/>
      <c r="AC216" s="1206"/>
      <c r="AD216" s="1293"/>
      <c r="AE216" s="1200"/>
      <c r="AF216" s="1164"/>
      <c r="AG216" s="1164"/>
      <c r="AH216" s="1164"/>
      <c r="AI216" s="1164"/>
      <c r="AJ216" s="1266"/>
      <c r="AK216" s="1206"/>
      <c r="AL216" s="1290"/>
      <c r="AM216" s="1163"/>
      <c r="AN216" s="1164"/>
      <c r="AO216" s="1164"/>
      <c r="AP216" s="1164"/>
      <c r="AQ216" s="1164"/>
      <c r="AR216" s="1201"/>
      <c r="AS216" s="1206"/>
      <c r="AT216" s="1258"/>
      <c r="AU216" s="1200"/>
      <c r="AV216" s="1164"/>
      <c r="AW216" s="1164"/>
      <c r="AX216" s="1164"/>
      <c r="AY216" s="1164"/>
      <c r="AZ216" s="1201"/>
      <c r="BA216" s="1342"/>
      <c r="BB216" s="1258"/>
      <c r="BC216" s="1200"/>
      <c r="BD216" s="1164"/>
      <c r="BE216" s="1164"/>
      <c r="BF216" s="1164"/>
      <c r="BG216" s="1164"/>
      <c r="BH216" s="1201"/>
      <c r="BI216" s="1342"/>
      <c r="BJ216" s="1337"/>
      <c r="BK216" s="1338"/>
      <c r="BL216" s="1338"/>
      <c r="BM216" s="1338"/>
      <c r="BN216" s="1338"/>
      <c r="BO216" s="1339"/>
    </row>
    <row r="217" spans="1:67" ht="15" customHeight="1">
      <c r="A217" s="1291"/>
      <c r="B217" s="1165"/>
      <c r="C217" s="1166"/>
      <c r="D217" s="1166"/>
      <c r="E217" s="1166"/>
      <c r="F217" s="1166"/>
      <c r="G217" s="1292"/>
      <c r="H217" s="1207"/>
      <c r="I217" s="1207"/>
      <c r="J217" s="1207"/>
      <c r="K217" s="1207"/>
      <c r="L217" s="1207"/>
      <c r="M217" s="1207"/>
      <c r="N217" s="1393"/>
      <c r="O217" s="1202" t="s">
        <v>384</v>
      </c>
      <c r="P217" s="1203"/>
      <c r="Q217" s="1203"/>
      <c r="R217" s="1203"/>
      <c r="S217" s="1203"/>
      <c r="T217" s="1305"/>
      <c r="U217" s="1207"/>
      <c r="V217" s="1294"/>
      <c r="W217" s="1202"/>
      <c r="X217" s="1203"/>
      <c r="Y217" s="1203"/>
      <c r="Z217" s="1203"/>
      <c r="AA217" s="1203"/>
      <c r="AB217" s="1305"/>
      <c r="AC217" s="1207"/>
      <c r="AD217" s="1306"/>
      <c r="AE217" s="1202"/>
      <c r="AF217" s="1203"/>
      <c r="AG217" s="1203"/>
      <c r="AH217" s="1203"/>
      <c r="AI217" s="1203"/>
      <c r="AJ217" s="1305"/>
      <c r="AK217" s="1207"/>
      <c r="AL217" s="1291"/>
      <c r="AM217" s="1165"/>
      <c r="AN217" s="1166"/>
      <c r="AO217" s="1166"/>
      <c r="AP217" s="1166"/>
      <c r="AQ217" s="1166"/>
      <c r="AR217" s="1292"/>
      <c r="AS217" s="1207"/>
      <c r="AT217" s="1258"/>
      <c r="AU217" s="1202"/>
      <c r="AV217" s="1203"/>
      <c r="AW217" s="1203"/>
      <c r="AX217" s="1203"/>
      <c r="AY217" s="1203"/>
      <c r="AZ217" s="1204"/>
      <c r="BA217" s="1342"/>
      <c r="BB217" s="1258"/>
      <c r="BC217" s="1202"/>
      <c r="BD217" s="1203"/>
      <c r="BE217" s="1203"/>
      <c r="BF217" s="1203"/>
      <c r="BG217" s="1203"/>
      <c r="BH217" s="1204"/>
      <c r="BI217" s="1342"/>
      <c r="BJ217" s="1337"/>
      <c r="BK217" s="1338"/>
      <c r="BL217" s="1338"/>
      <c r="BM217" s="1338"/>
      <c r="BN217" s="1338"/>
      <c r="BO217" s="1339"/>
    </row>
    <row r="218" spans="1:67" ht="15" customHeight="1">
      <c r="A218" s="1304">
        <v>2.1</v>
      </c>
      <c r="B218" s="1161" t="s">
        <v>360</v>
      </c>
      <c r="C218" s="1162"/>
      <c r="D218" s="1162"/>
      <c r="E218" s="1162"/>
      <c r="F218" s="1162"/>
      <c r="G218" s="1199"/>
      <c r="H218" s="1205" t="str">
        <f t="shared" ref="H218" si="296">IF(ISBLANK(AB$5),"",1)</f>
        <v/>
      </c>
      <c r="I218" s="1205" t="str">
        <f t="shared" ref="I218" si="297">IF(ISBLANK(AF$5),"",1)</f>
        <v/>
      </c>
      <c r="J218" s="1205" t="str">
        <f t="shared" ref="J218" si="298">IF(ISBLANK(AJ$5),"",1)</f>
        <v/>
      </c>
      <c r="K218" s="1205" t="str">
        <f t="shared" ref="K218" si="299">IF(ISBLANK(AN$5),"",1)</f>
        <v/>
      </c>
      <c r="L218" s="1205" t="str">
        <f t="shared" ref="L218" si="300">IF(ISBLANK(AR$5),"",1)</f>
        <v/>
      </c>
      <c r="M218" s="1205" t="str">
        <f t="shared" ref="M218" si="301">IF(ISBLANK(AV$5),"",1)</f>
        <v/>
      </c>
      <c r="N218" s="1322">
        <v>4.4000000000000004</v>
      </c>
      <c r="O218" s="1198" t="s">
        <v>395</v>
      </c>
      <c r="P218" s="1162"/>
      <c r="Q218" s="1162"/>
      <c r="R218" s="1162"/>
      <c r="S218" s="1162"/>
      <c r="T218" s="1265"/>
      <c r="U218" s="1205" t="str">
        <f t="shared" ref="U218" si="302">IF(ISBLANK(AB$5),"",1)</f>
        <v/>
      </c>
      <c r="V218" s="1391">
        <v>4.4000000000000004</v>
      </c>
      <c r="W218" s="1161" t="s">
        <v>878</v>
      </c>
      <c r="X218" s="1162"/>
      <c r="Y218" s="1162"/>
      <c r="Z218" s="1162"/>
      <c r="AA218" s="1162"/>
      <c r="AB218" s="1199"/>
      <c r="AC218" s="1205" t="str">
        <f t="shared" ref="AC218" si="303">IF(ISBLANK(AF$5),"",1)</f>
        <v/>
      </c>
      <c r="AD218" s="1322">
        <v>4.4000000000000004</v>
      </c>
      <c r="AE218" s="1198" t="s">
        <v>383</v>
      </c>
      <c r="AF218" s="1162"/>
      <c r="AG218" s="1162"/>
      <c r="AH218" s="1162"/>
      <c r="AI218" s="1162"/>
      <c r="AJ218" s="1265"/>
      <c r="AK218" s="1205" t="str">
        <f t="shared" ref="AK218" si="304">IF(ISBLANK(AJ$5),"",1)</f>
        <v/>
      </c>
      <c r="AL218" s="1307">
        <v>1.5</v>
      </c>
      <c r="AM218" s="1310" t="s">
        <v>373</v>
      </c>
      <c r="AN218" s="1311"/>
      <c r="AO218" s="1311"/>
      <c r="AP218" s="1311"/>
      <c r="AQ218" s="1311"/>
      <c r="AR218" s="1312"/>
      <c r="AS218" s="1205" t="str">
        <f t="shared" ref="AS218" si="305">IF(ISBLANK(AN$5),"",1)</f>
        <v/>
      </c>
      <c r="AT218" s="1258">
        <v>4.4000000000000004</v>
      </c>
      <c r="AU218" s="1198" t="s">
        <v>419</v>
      </c>
      <c r="AV218" s="1162"/>
      <c r="AW218" s="1162"/>
      <c r="AX218" s="1162"/>
      <c r="AY218" s="1162"/>
      <c r="AZ218" s="1199"/>
      <c r="BA218" s="1226" t="str">
        <f t="shared" ref="BA218" si="306">IF(ISBLANK(AR$5),"",1)</f>
        <v/>
      </c>
      <c r="BB218" s="1258">
        <v>4.4000000000000004</v>
      </c>
      <c r="BC218" s="1198" t="s">
        <v>419</v>
      </c>
      <c r="BD218" s="1162"/>
      <c r="BE218" s="1162"/>
      <c r="BF218" s="1162"/>
      <c r="BG218" s="1162"/>
      <c r="BH218" s="1199"/>
      <c r="BI218" s="1226" t="str">
        <f t="shared" ref="BI218" si="307">IF(ISBLANK(AV$5),"",1)</f>
        <v/>
      </c>
      <c r="BJ218" s="1337"/>
      <c r="BK218" s="1338"/>
      <c r="BL218" s="1338"/>
      <c r="BM218" s="1338"/>
      <c r="BN218" s="1338"/>
      <c r="BO218" s="1339"/>
    </row>
    <row r="219" spans="1:67" ht="15" customHeight="1">
      <c r="A219" s="1290"/>
      <c r="B219" s="1163"/>
      <c r="C219" s="1164"/>
      <c r="D219" s="1164"/>
      <c r="E219" s="1164"/>
      <c r="F219" s="1164"/>
      <c r="G219" s="1201"/>
      <c r="H219" s="1206"/>
      <c r="I219" s="1206"/>
      <c r="J219" s="1206"/>
      <c r="K219" s="1206"/>
      <c r="L219" s="1206"/>
      <c r="M219" s="1206"/>
      <c r="N219" s="1293"/>
      <c r="O219" s="1200" t="s">
        <v>370</v>
      </c>
      <c r="P219" s="1164"/>
      <c r="Q219" s="1164"/>
      <c r="R219" s="1164"/>
      <c r="S219" s="1164"/>
      <c r="T219" s="1266"/>
      <c r="U219" s="1206"/>
      <c r="V219" s="1392"/>
      <c r="W219" s="1163"/>
      <c r="X219" s="1164"/>
      <c r="Y219" s="1164"/>
      <c r="Z219" s="1164"/>
      <c r="AA219" s="1164"/>
      <c r="AB219" s="1201"/>
      <c r="AC219" s="1206"/>
      <c r="AD219" s="1293"/>
      <c r="AE219" s="1200"/>
      <c r="AF219" s="1164"/>
      <c r="AG219" s="1164"/>
      <c r="AH219" s="1164"/>
      <c r="AI219" s="1164"/>
      <c r="AJ219" s="1266"/>
      <c r="AK219" s="1206"/>
      <c r="AL219" s="1308"/>
      <c r="AM219" s="1295"/>
      <c r="AN219" s="1296"/>
      <c r="AO219" s="1296"/>
      <c r="AP219" s="1296"/>
      <c r="AQ219" s="1296"/>
      <c r="AR219" s="1297"/>
      <c r="AS219" s="1206"/>
      <c r="AT219" s="1258"/>
      <c r="AU219" s="1200"/>
      <c r="AV219" s="1164"/>
      <c r="AW219" s="1164"/>
      <c r="AX219" s="1164"/>
      <c r="AY219" s="1164"/>
      <c r="AZ219" s="1201"/>
      <c r="BA219" s="1342"/>
      <c r="BB219" s="1258"/>
      <c r="BC219" s="1200"/>
      <c r="BD219" s="1164"/>
      <c r="BE219" s="1164"/>
      <c r="BF219" s="1164"/>
      <c r="BG219" s="1164"/>
      <c r="BH219" s="1201"/>
      <c r="BI219" s="1342"/>
      <c r="BJ219" s="1337"/>
      <c r="BK219" s="1338"/>
      <c r="BL219" s="1338"/>
      <c r="BM219" s="1338"/>
      <c r="BN219" s="1338"/>
      <c r="BO219" s="1339"/>
    </row>
    <row r="220" spans="1:67" ht="15" customHeight="1">
      <c r="A220" s="1291"/>
      <c r="B220" s="1165"/>
      <c r="C220" s="1166"/>
      <c r="D220" s="1166"/>
      <c r="E220" s="1166"/>
      <c r="F220" s="1166"/>
      <c r="G220" s="1292"/>
      <c r="H220" s="1207"/>
      <c r="I220" s="1207"/>
      <c r="J220" s="1207"/>
      <c r="K220" s="1207"/>
      <c r="L220" s="1207"/>
      <c r="M220" s="1207"/>
      <c r="N220" s="1294"/>
      <c r="O220" s="1202" t="s">
        <v>396</v>
      </c>
      <c r="P220" s="1203"/>
      <c r="Q220" s="1203"/>
      <c r="R220" s="1203"/>
      <c r="S220" s="1203"/>
      <c r="T220" s="1305"/>
      <c r="U220" s="1207"/>
      <c r="V220" s="1393"/>
      <c r="W220" s="1165"/>
      <c r="X220" s="1166"/>
      <c r="Y220" s="1166"/>
      <c r="Z220" s="1166"/>
      <c r="AA220" s="1166"/>
      <c r="AB220" s="1292"/>
      <c r="AC220" s="1207"/>
      <c r="AD220" s="1306"/>
      <c r="AE220" s="1202"/>
      <c r="AF220" s="1203"/>
      <c r="AG220" s="1203"/>
      <c r="AH220" s="1203"/>
      <c r="AI220" s="1203"/>
      <c r="AJ220" s="1305"/>
      <c r="AK220" s="1207"/>
      <c r="AL220" s="1309"/>
      <c r="AM220" s="1298"/>
      <c r="AN220" s="1299"/>
      <c r="AO220" s="1299"/>
      <c r="AP220" s="1299"/>
      <c r="AQ220" s="1299"/>
      <c r="AR220" s="1300"/>
      <c r="AS220" s="1207"/>
      <c r="AT220" s="1258"/>
      <c r="AU220" s="1202"/>
      <c r="AV220" s="1203"/>
      <c r="AW220" s="1203"/>
      <c r="AX220" s="1203"/>
      <c r="AY220" s="1203"/>
      <c r="AZ220" s="1204"/>
      <c r="BA220" s="1342"/>
      <c r="BB220" s="1258"/>
      <c r="BC220" s="1202"/>
      <c r="BD220" s="1203"/>
      <c r="BE220" s="1203"/>
      <c r="BF220" s="1203"/>
      <c r="BG220" s="1203"/>
      <c r="BH220" s="1204"/>
      <c r="BI220" s="1342"/>
      <c r="BJ220" s="1337"/>
      <c r="BK220" s="1338"/>
      <c r="BL220" s="1338"/>
      <c r="BM220" s="1338"/>
      <c r="BN220" s="1338"/>
      <c r="BO220" s="1339"/>
    </row>
    <row r="221" spans="1:67" ht="15" customHeight="1">
      <c r="A221" s="1304">
        <v>2.4</v>
      </c>
      <c r="B221" s="1161" t="s">
        <v>942</v>
      </c>
      <c r="C221" s="1162"/>
      <c r="D221" s="1162"/>
      <c r="E221" s="1162"/>
      <c r="F221" s="1162"/>
      <c r="G221" s="1199"/>
      <c r="H221" s="1205" t="str">
        <f t="shared" ref="H221" si="308">IF(ISBLANK(AB$5),"",1)</f>
        <v/>
      </c>
      <c r="I221" s="1205" t="str">
        <f t="shared" ref="I221" si="309">IF(ISBLANK(AF$5),"",1)</f>
        <v/>
      </c>
      <c r="J221" s="1205" t="str">
        <f t="shared" ref="J221" si="310">IF(ISBLANK(AJ$5),"",1)</f>
        <v/>
      </c>
      <c r="K221" s="1205" t="str">
        <f t="shared" ref="K221" si="311">IF(ISBLANK(AN$5),"",1)</f>
        <v/>
      </c>
      <c r="L221" s="1205" t="str">
        <f t="shared" ref="L221" si="312">IF(ISBLANK(AR$5),"",1)</f>
        <v/>
      </c>
      <c r="M221" s="1205" t="str">
        <f t="shared" ref="M221" si="313">IF(ISBLANK(AV$5),"",1)</f>
        <v/>
      </c>
      <c r="N221" s="1391">
        <v>4.4000000000000004</v>
      </c>
      <c r="O221" s="1161" t="s">
        <v>878</v>
      </c>
      <c r="P221" s="1162"/>
      <c r="Q221" s="1162"/>
      <c r="R221" s="1162"/>
      <c r="S221" s="1162"/>
      <c r="T221" s="1199"/>
      <c r="U221" s="1205" t="str">
        <f t="shared" ref="U221" si="314">IF(ISBLANK(AB$5),"",1)</f>
        <v/>
      </c>
      <c r="V221" s="1394">
        <v>1.5</v>
      </c>
      <c r="W221" s="1310" t="s">
        <v>373</v>
      </c>
      <c r="X221" s="1311"/>
      <c r="Y221" s="1311"/>
      <c r="Z221" s="1311"/>
      <c r="AA221" s="1311"/>
      <c r="AB221" s="1312"/>
      <c r="AC221" s="1205" t="str">
        <f t="shared" ref="AC221" si="315">IF(ISBLANK(AF$5),"",1)</f>
        <v/>
      </c>
      <c r="AD221" s="1307">
        <v>1.5</v>
      </c>
      <c r="AE221" s="1310" t="s">
        <v>373</v>
      </c>
      <c r="AF221" s="1311"/>
      <c r="AG221" s="1311"/>
      <c r="AH221" s="1311"/>
      <c r="AI221" s="1311"/>
      <c r="AJ221" s="1312"/>
      <c r="AK221" s="1205" t="str">
        <f t="shared" ref="AK221" si="316">IF(ISBLANK(AJ$5),"",1)</f>
        <v/>
      </c>
      <c r="AL221" s="1322">
        <v>4.4000000000000004</v>
      </c>
      <c r="AM221" s="1198" t="s">
        <v>397</v>
      </c>
      <c r="AN221" s="1162"/>
      <c r="AO221" s="1162"/>
      <c r="AP221" s="1162"/>
      <c r="AQ221" s="1162"/>
      <c r="AR221" s="1265"/>
      <c r="AS221" s="1205" t="str">
        <f t="shared" ref="AS221" si="317">IF(ISBLANK(AN$5),"",1)</f>
        <v/>
      </c>
      <c r="AT221" s="1258">
        <v>4.4000000000000004</v>
      </c>
      <c r="AU221" s="1198" t="s">
        <v>420</v>
      </c>
      <c r="AV221" s="1162"/>
      <c r="AW221" s="1162"/>
      <c r="AX221" s="1162"/>
      <c r="AY221" s="1162"/>
      <c r="AZ221" s="1199"/>
      <c r="BA221" s="1226" t="str">
        <f t="shared" ref="BA221" si="318">IF(ISBLANK(AR$5),"",1)</f>
        <v/>
      </c>
      <c r="BB221" s="1258">
        <v>4.4000000000000004</v>
      </c>
      <c r="BC221" s="1198" t="s">
        <v>420</v>
      </c>
      <c r="BD221" s="1162"/>
      <c r="BE221" s="1162"/>
      <c r="BF221" s="1162"/>
      <c r="BG221" s="1162"/>
      <c r="BH221" s="1199"/>
      <c r="BI221" s="1226" t="str">
        <f t="shared" ref="BI221" si="319">IF(ISBLANK(AV$5),"",1)</f>
        <v/>
      </c>
      <c r="BJ221" s="1337"/>
      <c r="BK221" s="1338"/>
      <c r="BL221" s="1338"/>
      <c r="BM221" s="1338"/>
      <c r="BN221" s="1338"/>
      <c r="BO221" s="1339"/>
    </row>
    <row r="222" spans="1:67" ht="15" customHeight="1">
      <c r="A222" s="1290"/>
      <c r="B222" s="1163"/>
      <c r="C222" s="1164"/>
      <c r="D222" s="1164"/>
      <c r="E222" s="1164"/>
      <c r="F222" s="1164"/>
      <c r="G222" s="1201"/>
      <c r="H222" s="1206"/>
      <c r="I222" s="1206"/>
      <c r="J222" s="1206"/>
      <c r="K222" s="1206"/>
      <c r="L222" s="1206"/>
      <c r="M222" s="1206"/>
      <c r="N222" s="1392"/>
      <c r="O222" s="1163"/>
      <c r="P222" s="1164"/>
      <c r="Q222" s="1164"/>
      <c r="R222" s="1164"/>
      <c r="S222" s="1164"/>
      <c r="T222" s="1201"/>
      <c r="U222" s="1206"/>
      <c r="V222" s="1313"/>
      <c r="W222" s="1295"/>
      <c r="X222" s="1296"/>
      <c r="Y222" s="1296"/>
      <c r="Z222" s="1296"/>
      <c r="AA222" s="1296"/>
      <c r="AB222" s="1297"/>
      <c r="AC222" s="1206"/>
      <c r="AD222" s="1308"/>
      <c r="AE222" s="1295"/>
      <c r="AF222" s="1296"/>
      <c r="AG222" s="1296"/>
      <c r="AH222" s="1296"/>
      <c r="AI222" s="1296"/>
      <c r="AJ222" s="1297"/>
      <c r="AK222" s="1206"/>
      <c r="AL222" s="1293"/>
      <c r="AM222" s="1200"/>
      <c r="AN222" s="1164"/>
      <c r="AO222" s="1164"/>
      <c r="AP222" s="1164"/>
      <c r="AQ222" s="1164"/>
      <c r="AR222" s="1266"/>
      <c r="AS222" s="1206"/>
      <c r="AT222" s="1258"/>
      <c r="AU222" s="1200"/>
      <c r="AV222" s="1164"/>
      <c r="AW222" s="1164"/>
      <c r="AX222" s="1164"/>
      <c r="AY222" s="1164"/>
      <c r="AZ222" s="1201"/>
      <c r="BA222" s="1342"/>
      <c r="BB222" s="1258"/>
      <c r="BC222" s="1200"/>
      <c r="BD222" s="1164"/>
      <c r="BE222" s="1164"/>
      <c r="BF222" s="1164"/>
      <c r="BG222" s="1164"/>
      <c r="BH222" s="1201"/>
      <c r="BI222" s="1342"/>
      <c r="BJ222" s="1337"/>
      <c r="BK222" s="1338"/>
      <c r="BL222" s="1338"/>
      <c r="BM222" s="1338"/>
      <c r="BN222" s="1338"/>
      <c r="BO222" s="1339"/>
    </row>
    <row r="223" spans="1:67" ht="15" customHeight="1">
      <c r="A223" s="1291"/>
      <c r="B223" s="1165"/>
      <c r="C223" s="1166"/>
      <c r="D223" s="1166"/>
      <c r="E223" s="1166"/>
      <c r="F223" s="1166"/>
      <c r="G223" s="1292"/>
      <c r="H223" s="1207"/>
      <c r="I223" s="1207"/>
      <c r="J223" s="1207"/>
      <c r="K223" s="1207"/>
      <c r="L223" s="1207"/>
      <c r="M223" s="1207"/>
      <c r="N223" s="1393"/>
      <c r="O223" s="1165"/>
      <c r="P223" s="1166"/>
      <c r="Q223" s="1166"/>
      <c r="R223" s="1166"/>
      <c r="S223" s="1166"/>
      <c r="T223" s="1292"/>
      <c r="U223" s="1207"/>
      <c r="V223" s="1314"/>
      <c r="W223" s="1298"/>
      <c r="X223" s="1299"/>
      <c r="Y223" s="1299"/>
      <c r="Z223" s="1299"/>
      <c r="AA223" s="1299"/>
      <c r="AB223" s="1300"/>
      <c r="AC223" s="1207"/>
      <c r="AD223" s="1309"/>
      <c r="AE223" s="1298"/>
      <c r="AF223" s="1299"/>
      <c r="AG223" s="1299"/>
      <c r="AH223" s="1299"/>
      <c r="AI223" s="1299"/>
      <c r="AJ223" s="1300"/>
      <c r="AK223" s="1207"/>
      <c r="AL223" s="1306"/>
      <c r="AM223" s="1202"/>
      <c r="AN223" s="1203"/>
      <c r="AO223" s="1203"/>
      <c r="AP223" s="1203"/>
      <c r="AQ223" s="1203"/>
      <c r="AR223" s="1305"/>
      <c r="AS223" s="1207"/>
      <c r="AT223" s="1258"/>
      <c r="AU223" s="1202"/>
      <c r="AV223" s="1203"/>
      <c r="AW223" s="1203"/>
      <c r="AX223" s="1203"/>
      <c r="AY223" s="1203"/>
      <c r="AZ223" s="1204"/>
      <c r="BA223" s="1342"/>
      <c r="BB223" s="1258"/>
      <c r="BC223" s="1202"/>
      <c r="BD223" s="1203"/>
      <c r="BE223" s="1203"/>
      <c r="BF223" s="1203"/>
      <c r="BG223" s="1203"/>
      <c r="BH223" s="1204"/>
      <c r="BI223" s="1342"/>
      <c r="BJ223" s="1337"/>
      <c r="BK223" s="1338"/>
      <c r="BL223" s="1338"/>
      <c r="BM223" s="1338"/>
      <c r="BN223" s="1338"/>
      <c r="BO223" s="1339"/>
    </row>
    <row r="224" spans="1:67" ht="15" customHeight="1">
      <c r="A224" s="252"/>
      <c r="B224" s="243"/>
      <c r="C224" s="242"/>
      <c r="D224" s="242"/>
      <c r="F224" s="278">
        <v>1.1000000000000001</v>
      </c>
      <c r="G224" s="311">
        <f>COUNTIF($A$197:$A$223,F224)</f>
        <v>4</v>
      </c>
      <c r="H224" s="240" t="str">
        <f>IF($AB$5=1,SUMIF($A$197:$A$223,$F224,$H$197:$H$223),"")</f>
        <v/>
      </c>
      <c r="I224" s="240" t="str">
        <f>IF($AF$5=1,SUMIF($A$197:$A$223,$F224,$I$197:$I$223),"")</f>
        <v/>
      </c>
      <c r="J224" s="240" t="str">
        <f>IF($AJ$5=1,SUMIF($A$197:$A$223,$F224,$J$197:$J$223),"")</f>
        <v/>
      </c>
      <c r="K224" s="240" t="str">
        <f>IF($AN$5=1,SUMIF($A$197:$A$223,$F224,$K$197:$K$223),"")</f>
        <v/>
      </c>
      <c r="L224" s="240" t="str">
        <f>IF($AR$5=1,SUMIF($A$197:$A$223,$F224,$L$197:$L$223),"")</f>
        <v/>
      </c>
      <c r="M224" s="240" t="str">
        <f>IF($AV$5=1,SUMIF($A$197:$A$223,$F224,$M$197:$M$223),"")</f>
        <v/>
      </c>
      <c r="N224" s="1394">
        <v>1.5</v>
      </c>
      <c r="O224" s="1310" t="s">
        <v>373</v>
      </c>
      <c r="P224" s="1311"/>
      <c r="Q224" s="1311"/>
      <c r="R224" s="1311"/>
      <c r="S224" s="1311"/>
      <c r="T224" s="1312"/>
      <c r="U224" s="1205" t="str">
        <f t="shared" ref="U224" si="320">IF(ISBLANK(AB$5),"",1)</f>
        <v/>
      </c>
      <c r="V224" s="1322">
        <v>4.4000000000000004</v>
      </c>
      <c r="W224" s="1198" t="s">
        <v>397</v>
      </c>
      <c r="X224" s="1162"/>
      <c r="Y224" s="1162"/>
      <c r="Z224" s="1162"/>
      <c r="AA224" s="1162"/>
      <c r="AB224" s="1265"/>
      <c r="AC224" s="1205" t="str">
        <f t="shared" ref="AC224" si="321">IF(ISBLANK(AF$5),"",1)</f>
        <v/>
      </c>
      <c r="AD224" s="1322">
        <v>4.4000000000000004</v>
      </c>
      <c r="AE224" s="1198" t="s">
        <v>425</v>
      </c>
      <c r="AF224" s="1162"/>
      <c r="AG224" s="1162"/>
      <c r="AH224" s="1162"/>
      <c r="AI224" s="1162"/>
      <c r="AJ224" s="1265"/>
      <c r="AK224" s="1205" t="str">
        <f t="shared" ref="AK224" si="322">IF(ISBLANK(AJ$5),"",1)</f>
        <v/>
      </c>
      <c r="AL224" s="248"/>
      <c r="AO224" s="52"/>
      <c r="AQ224" s="273">
        <v>1.5</v>
      </c>
      <c r="AR224" s="240">
        <f>COUNTIF($AL$197:$AL$223,AQ224)</f>
        <v>1</v>
      </c>
      <c r="AS224" s="240" t="str">
        <f>IF($AN$5=1,SUMIF($AL$197:$AL$223,AQ224,$AS$197:$AS$223),"")</f>
        <v/>
      </c>
      <c r="AT224" s="1304">
        <v>4.4000000000000004</v>
      </c>
      <c r="AU224" s="1198" t="s">
        <v>359</v>
      </c>
      <c r="AV224" s="1162"/>
      <c r="AW224" s="1162"/>
      <c r="AX224" s="1162"/>
      <c r="AY224" s="1162"/>
      <c r="AZ224" s="1199"/>
      <c r="BA224" s="1226" t="str">
        <f t="shared" ref="BA224" si="323">IF(ISBLANK(AR$5),"",1)</f>
        <v/>
      </c>
      <c r="BB224" s="1304">
        <v>4.4000000000000004</v>
      </c>
      <c r="BC224" s="1198" t="s">
        <v>359</v>
      </c>
      <c r="BD224" s="1162"/>
      <c r="BE224" s="1162"/>
      <c r="BF224" s="1162"/>
      <c r="BG224" s="1162"/>
      <c r="BH224" s="1199"/>
      <c r="BI224" s="1226" t="str">
        <f t="shared" ref="BI224" si="324">IF(ISBLANK(AV$5),"",1)</f>
        <v/>
      </c>
      <c r="BJ224" s="1337"/>
      <c r="BK224" s="1338"/>
      <c r="BL224" s="1338"/>
      <c r="BM224" s="1338"/>
      <c r="BN224" s="1338"/>
      <c r="BO224" s="1339"/>
    </row>
    <row r="225" spans="1:67" ht="15" customHeight="1">
      <c r="A225" s="252"/>
      <c r="B225" s="243"/>
      <c r="C225" s="242"/>
      <c r="D225" s="242"/>
      <c r="F225" s="278">
        <v>1.5</v>
      </c>
      <c r="G225" s="311">
        <f t="shared" ref="G225:G227" si="325">COUNTIF($A$197:$A$223,F225)</f>
        <v>1</v>
      </c>
      <c r="H225" s="240" t="str">
        <f t="shared" ref="H225:H227" si="326">IF($AB$5=1,SUMIF($A$197:$A$223,$F225,$H$197:$H$223),"")</f>
        <v/>
      </c>
      <c r="I225" s="240" t="str">
        <f t="shared" ref="I225:I227" si="327">IF($AF$5=1,SUMIF($A$197:$A$223,$F225,$I$197:$I$223),"")</f>
        <v/>
      </c>
      <c r="J225" s="240" t="str">
        <f t="shared" ref="J225:J227" si="328">IF($AJ$5=1,SUMIF($A$197:$A$223,$F225,$J$197:$J$223),"")</f>
        <v/>
      </c>
      <c r="K225" s="240" t="str">
        <f t="shared" ref="K225:K227" si="329">IF($AN$5=1,SUMIF($A$197:$A$223,$F225,$K$197:$K$223),"")</f>
        <v/>
      </c>
      <c r="L225" s="240" t="str">
        <f t="shared" ref="L225:L227" si="330">IF($AR$5=1,SUMIF($A$197:$A$223,$F225,$L$197:$L$223),"")</f>
        <v/>
      </c>
      <c r="M225" s="240" t="str">
        <f t="shared" ref="M225:M226" si="331">IF($AV$5=1,SUMIF($A$197:$A$223,$F225,$M$197:$M$223),"")</f>
        <v/>
      </c>
      <c r="N225" s="1313"/>
      <c r="O225" s="1295"/>
      <c r="P225" s="1296"/>
      <c r="Q225" s="1296"/>
      <c r="R225" s="1296"/>
      <c r="S225" s="1296"/>
      <c r="T225" s="1297"/>
      <c r="U225" s="1206"/>
      <c r="V225" s="1293"/>
      <c r="W225" s="1200"/>
      <c r="X225" s="1164"/>
      <c r="Y225" s="1164"/>
      <c r="Z225" s="1164"/>
      <c r="AA225" s="1164"/>
      <c r="AB225" s="1266"/>
      <c r="AC225" s="1206"/>
      <c r="AD225" s="1293"/>
      <c r="AE225" s="1200"/>
      <c r="AF225" s="1164"/>
      <c r="AG225" s="1164"/>
      <c r="AH225" s="1164"/>
      <c r="AI225" s="1164"/>
      <c r="AJ225" s="1266"/>
      <c r="AK225" s="1206"/>
      <c r="AL225" s="248"/>
      <c r="AO225" s="52"/>
      <c r="AQ225" s="275">
        <v>4.3</v>
      </c>
      <c r="AR225" s="240">
        <f t="shared" ref="AR225:AR226" si="332">COUNTIF($AL$197:$AL$223,AQ225)</f>
        <v>2</v>
      </c>
      <c r="AS225" s="240" t="str">
        <f>IF($AN$5=1,SUMIF($AL$197:$AL$223,AQ225,$AS$197:$AS$223),"")</f>
        <v/>
      </c>
      <c r="AT225" s="1290"/>
      <c r="AU225" s="1200"/>
      <c r="AV225" s="1164"/>
      <c r="AW225" s="1164"/>
      <c r="AX225" s="1164"/>
      <c r="AY225" s="1164"/>
      <c r="AZ225" s="1201"/>
      <c r="BA225" s="1342"/>
      <c r="BB225" s="1290"/>
      <c r="BC225" s="1200"/>
      <c r="BD225" s="1164"/>
      <c r="BE225" s="1164"/>
      <c r="BF225" s="1164"/>
      <c r="BG225" s="1164"/>
      <c r="BH225" s="1201"/>
      <c r="BI225" s="1342"/>
      <c r="BJ225" s="1222"/>
      <c r="BK225" s="1223"/>
      <c r="BL225" s="1223"/>
      <c r="BM225" s="1223"/>
      <c r="BN225" s="1223"/>
      <c r="BO225" s="1224"/>
    </row>
    <row r="226" spans="1:67" ht="15" customHeight="1">
      <c r="A226" s="249"/>
      <c r="B226" s="249"/>
      <c r="C226" s="249"/>
      <c r="D226" s="249"/>
      <c r="F226" s="277">
        <v>2.1</v>
      </c>
      <c r="G226" s="311">
        <f t="shared" si="325"/>
        <v>2</v>
      </c>
      <c r="H226" s="240" t="str">
        <f t="shared" si="326"/>
        <v/>
      </c>
      <c r="I226" s="240" t="str">
        <f>IF($AF$5=1,SUMIF($A$197:$A$223,$F226,$I$197:$I$223),"")</f>
        <v/>
      </c>
      <c r="J226" s="240" t="str">
        <f t="shared" si="328"/>
        <v/>
      </c>
      <c r="K226" s="240" t="str">
        <f t="shared" si="329"/>
        <v/>
      </c>
      <c r="L226" s="240" t="str">
        <f t="shared" si="330"/>
        <v/>
      </c>
      <c r="M226" s="240" t="str">
        <f t="shared" si="331"/>
        <v/>
      </c>
      <c r="N226" s="1314"/>
      <c r="O226" s="1298"/>
      <c r="P226" s="1299"/>
      <c r="Q226" s="1299"/>
      <c r="R226" s="1299"/>
      <c r="S226" s="1299"/>
      <c r="T226" s="1300"/>
      <c r="U226" s="1207"/>
      <c r="V226" s="1306"/>
      <c r="W226" s="1202"/>
      <c r="X226" s="1203"/>
      <c r="Y226" s="1203"/>
      <c r="Z226" s="1203"/>
      <c r="AA226" s="1203"/>
      <c r="AB226" s="1305"/>
      <c r="AC226" s="1207"/>
      <c r="AD226" s="1306"/>
      <c r="AE226" s="1202"/>
      <c r="AF226" s="1203"/>
      <c r="AG226" s="1203"/>
      <c r="AH226" s="1203"/>
      <c r="AI226" s="1203"/>
      <c r="AJ226" s="1305"/>
      <c r="AK226" s="1207"/>
      <c r="AL226" s="248"/>
      <c r="AO226" s="52"/>
      <c r="AQ226" s="276">
        <v>4.4000000000000004</v>
      </c>
      <c r="AR226" s="240">
        <f t="shared" si="332"/>
        <v>6</v>
      </c>
      <c r="AS226" s="240" t="str">
        <f>IF($AN$5=1,SUMIF($AL$197:$AL$223,AQ226,$AS$197:$AS$223),"")</f>
        <v/>
      </c>
      <c r="AT226" s="1291"/>
      <c r="AU226" s="1202"/>
      <c r="AV226" s="1203"/>
      <c r="AW226" s="1203"/>
      <c r="AX226" s="1203"/>
      <c r="AY226" s="1203"/>
      <c r="AZ226" s="1204"/>
      <c r="BA226" s="1342"/>
      <c r="BB226" s="1291"/>
      <c r="BC226" s="1202"/>
      <c r="BD226" s="1203"/>
      <c r="BE226" s="1203"/>
      <c r="BF226" s="1203"/>
      <c r="BG226" s="1203"/>
      <c r="BH226" s="1204"/>
      <c r="BI226" s="1342"/>
    </row>
    <row r="227" spans="1:67" ht="15" customHeight="1">
      <c r="F227" s="277">
        <v>2.4</v>
      </c>
      <c r="G227" s="311">
        <f t="shared" si="325"/>
        <v>2</v>
      </c>
      <c r="H227" s="240" t="str">
        <f t="shared" si="326"/>
        <v/>
      </c>
      <c r="I227" s="240" t="str">
        <f t="shared" si="327"/>
        <v/>
      </c>
      <c r="J227" s="240" t="str">
        <f t="shared" si="328"/>
        <v/>
      </c>
      <c r="K227" s="240" t="str">
        <f t="shared" si="329"/>
        <v/>
      </c>
      <c r="L227" s="240" t="str">
        <f t="shared" si="330"/>
        <v/>
      </c>
      <c r="M227" s="240" t="str">
        <f>IF($AV$5=1,SUMIF($A$197:$A$223,$F227,$M$197:$M$223),"")</f>
        <v/>
      </c>
      <c r="N227" s="1322">
        <v>4.4000000000000004</v>
      </c>
      <c r="O227" s="1198" t="s">
        <v>397</v>
      </c>
      <c r="P227" s="1162"/>
      <c r="Q227" s="1162"/>
      <c r="R227" s="1162"/>
      <c r="S227" s="1162"/>
      <c r="T227" s="1265"/>
      <c r="U227" s="1205" t="str">
        <f t="shared" ref="U227" si="333">IF(ISBLANK(AB$5),"",1)</f>
        <v/>
      </c>
      <c r="W227" s="52"/>
      <c r="Y227" s="247"/>
      <c r="AA227" s="273">
        <v>1.5</v>
      </c>
      <c r="AB227" s="240">
        <f>COUNTIF($V$197:$V$226,AA227)</f>
        <v>1</v>
      </c>
      <c r="AC227" s="240" t="str">
        <f>IF($AF$5=1,SUMIF($V$197:$V$226,AA227,$AC$197:$AC$226),"")</f>
        <v/>
      </c>
      <c r="AF227" s="52"/>
      <c r="AG227" s="247"/>
      <c r="AI227" s="273">
        <v>1.5</v>
      </c>
      <c r="AJ227" s="240">
        <f>COUNTIF($AD$197:$AD$226,AI227)</f>
        <v>1</v>
      </c>
      <c r="AK227" s="240" t="str">
        <f>IF($AJ$5=1,SUMIF($AD$197:$AD$226,AI227,$AK$197:$AK$226),"")</f>
        <v/>
      </c>
      <c r="AO227" s="52"/>
      <c r="AT227" s="1258">
        <v>4.4000000000000004</v>
      </c>
      <c r="AU227" s="1198" t="s">
        <v>395</v>
      </c>
      <c r="AV227" s="1162"/>
      <c r="AW227" s="1162"/>
      <c r="AX227" s="1162"/>
      <c r="AY227" s="1162"/>
      <c r="AZ227" s="1199"/>
      <c r="BA227" s="1226" t="str">
        <f t="shared" ref="BA227" si="334">IF(ISBLANK(AR$5),"",1)</f>
        <v/>
      </c>
      <c r="BB227" s="1258">
        <v>4.4000000000000004</v>
      </c>
      <c r="BC227" s="1198" t="s">
        <v>395</v>
      </c>
      <c r="BD227" s="1162"/>
      <c r="BE227" s="1162"/>
      <c r="BF227" s="1162"/>
      <c r="BG227" s="1162"/>
      <c r="BH227" s="1199"/>
      <c r="BI227" s="1226" t="str">
        <f t="shared" ref="BI227" si="335">IF(ISBLANK(AV$5),"",1)</f>
        <v/>
      </c>
    </row>
    <row r="228" spans="1:67" ht="15" customHeight="1">
      <c r="N228" s="1293"/>
      <c r="O228" s="1200"/>
      <c r="P228" s="1164"/>
      <c r="Q228" s="1164"/>
      <c r="R228" s="1164"/>
      <c r="S228" s="1164"/>
      <c r="T228" s="1266"/>
      <c r="U228" s="1206"/>
      <c r="W228" s="52"/>
      <c r="Y228" s="248"/>
      <c r="AA228" s="275">
        <v>4.3</v>
      </c>
      <c r="AB228" s="240">
        <f t="shared" ref="AB228:AB229" si="336">COUNTIF($V$197:$V$226,AA228)</f>
        <v>3</v>
      </c>
      <c r="AC228" s="240" t="str">
        <f>IF($AF$5=1,SUMIF($V$197:$V$226,AA228,$AC$197:$AC$226),"")</f>
        <v/>
      </c>
      <c r="AF228" s="52"/>
      <c r="AI228" s="275">
        <v>4.3</v>
      </c>
      <c r="AJ228" s="240">
        <f t="shared" ref="AJ228:AJ229" si="337">COUNTIF($AD$197:$AD$226,AI228)</f>
        <v>2</v>
      </c>
      <c r="AK228" s="240" t="str">
        <f>IF($AJ$5=1,SUMIF($AD$197:$AD$226,AI228,$AK$197:$AK$226),"")</f>
        <v/>
      </c>
      <c r="AO228" s="52"/>
      <c r="AT228" s="1258"/>
      <c r="AU228" s="1200"/>
      <c r="AV228" s="1164"/>
      <c r="AW228" s="1164"/>
      <c r="AX228" s="1164"/>
      <c r="AY228" s="1164"/>
      <c r="AZ228" s="1201"/>
      <c r="BA228" s="1342"/>
      <c r="BB228" s="1258"/>
      <c r="BC228" s="1200"/>
      <c r="BD228" s="1164"/>
      <c r="BE228" s="1164"/>
      <c r="BF228" s="1164"/>
      <c r="BG228" s="1164"/>
      <c r="BH228" s="1201"/>
      <c r="BI228" s="1342"/>
    </row>
    <row r="229" spans="1:67" ht="15" customHeight="1">
      <c r="A229" s="1209"/>
      <c r="B229" s="1210" t="s">
        <v>609</v>
      </c>
      <c r="C229" s="1211"/>
      <c r="D229" s="1211"/>
      <c r="E229" s="1211"/>
      <c r="F229" s="1211"/>
      <c r="G229" s="1211"/>
      <c r="H229" s="1174">
        <v>7</v>
      </c>
      <c r="I229" s="1174">
        <v>8</v>
      </c>
      <c r="J229" s="1174">
        <v>9</v>
      </c>
      <c r="K229" s="1174">
        <v>10</v>
      </c>
      <c r="L229" s="1174">
        <v>11</v>
      </c>
      <c r="M229" s="1174">
        <v>12</v>
      </c>
      <c r="N229" s="1306"/>
      <c r="O229" s="1202"/>
      <c r="P229" s="1203"/>
      <c r="Q229" s="1203"/>
      <c r="R229" s="1203"/>
      <c r="S229" s="1203"/>
      <c r="T229" s="1305"/>
      <c r="U229" s="1207"/>
      <c r="W229" s="52"/>
      <c r="Y229" s="248"/>
      <c r="AA229" s="276">
        <v>4.4000000000000004</v>
      </c>
      <c r="AB229" s="240">
        <f t="shared" si="336"/>
        <v>6</v>
      </c>
      <c r="AC229" s="240" t="str">
        <f>IF($AF$5=1,SUMIF($V$197:$V$226,AA229,$AC$197:$AC$226),"")</f>
        <v/>
      </c>
      <c r="AF229" s="52"/>
      <c r="AI229" s="276">
        <v>4.4000000000000004</v>
      </c>
      <c r="AJ229" s="240">
        <f t="shared" si="337"/>
        <v>7</v>
      </c>
      <c r="AK229" s="240" t="str">
        <f>IF($AJ$5=1,SUMIF($AD$197:$AD$226,AI229,$AK$197:$AK$226),"")</f>
        <v/>
      </c>
      <c r="AO229" s="52"/>
      <c r="AT229" s="1258"/>
      <c r="AU229" s="1202"/>
      <c r="AV229" s="1203"/>
      <c r="AW229" s="1203"/>
      <c r="AX229" s="1203"/>
      <c r="AY229" s="1203"/>
      <c r="AZ229" s="1204"/>
      <c r="BA229" s="1342"/>
      <c r="BB229" s="1258"/>
      <c r="BC229" s="1202"/>
      <c r="BD229" s="1203"/>
      <c r="BE229" s="1203"/>
      <c r="BF229" s="1203"/>
      <c r="BG229" s="1203"/>
      <c r="BH229" s="1204"/>
      <c r="BI229" s="1342"/>
    </row>
    <row r="230" spans="1:67" ht="15" customHeight="1">
      <c r="A230" s="1209"/>
      <c r="B230" s="1212"/>
      <c r="C230" s="1213"/>
      <c r="D230" s="1213"/>
      <c r="E230" s="1213"/>
      <c r="F230" s="1213"/>
      <c r="G230" s="1213"/>
      <c r="H230" s="1174"/>
      <c r="I230" s="1174"/>
      <c r="J230" s="1174"/>
      <c r="K230" s="1174"/>
      <c r="L230" s="1174"/>
      <c r="M230" s="1174"/>
      <c r="N230" s="247"/>
      <c r="O230" s="52"/>
      <c r="S230" s="273">
        <v>1.5</v>
      </c>
      <c r="T230" s="240">
        <f>COUNTIF($N$197:$N$229,S230)</f>
        <v>1</v>
      </c>
      <c r="U230" s="240" t="str">
        <f>IF($AB$5=1,SUMIF($N$197:$N$229,S230,$U$197:$U$229),"")</f>
        <v/>
      </c>
      <c r="W230" s="52"/>
      <c r="AF230" s="52"/>
      <c r="AO230" s="52"/>
      <c r="AT230" s="1304">
        <v>4.4000000000000004</v>
      </c>
      <c r="AU230" s="1198" t="s">
        <v>878</v>
      </c>
      <c r="AV230" s="1162"/>
      <c r="AW230" s="1162"/>
      <c r="AX230" s="1162"/>
      <c r="AY230" s="1162"/>
      <c r="AZ230" s="1199"/>
      <c r="BA230" s="1226" t="str">
        <f t="shared" ref="BA230" si="338">IF(ISBLANK(AR$5),"",1)</f>
        <v/>
      </c>
      <c r="BB230" s="1304">
        <v>4.4000000000000004</v>
      </c>
      <c r="BC230" s="1198" t="s">
        <v>878</v>
      </c>
      <c r="BD230" s="1162"/>
      <c r="BE230" s="1162"/>
      <c r="BF230" s="1162"/>
      <c r="BG230" s="1162"/>
      <c r="BH230" s="1199"/>
      <c r="BI230" s="1226" t="str">
        <f t="shared" ref="BI230" si="339">IF(ISBLANK(AV$5),"",1)</f>
        <v/>
      </c>
    </row>
    <row r="231" spans="1:67" ht="15" customHeight="1">
      <c r="A231" s="1336">
        <v>3.1</v>
      </c>
      <c r="B231" s="1198" t="s">
        <v>366</v>
      </c>
      <c r="C231" s="1162"/>
      <c r="D231" s="1162"/>
      <c r="E231" s="1162"/>
      <c r="F231" s="1162"/>
      <c r="G231" s="1265"/>
      <c r="H231" s="1205" t="str">
        <f t="shared" ref="H231" si="340">IF(ISBLANK(AB$5),"",1)</f>
        <v/>
      </c>
      <c r="I231" s="1205" t="str">
        <f t="shared" ref="I231" si="341">IF(ISBLANK(AF$5),"",1)</f>
        <v/>
      </c>
      <c r="J231" s="1205" t="str">
        <f t="shared" ref="J231" si="342">IF(ISBLANK(AJ$5),"",1)</f>
        <v/>
      </c>
      <c r="K231" s="1205" t="str">
        <f t="shared" ref="K231" si="343">IF(ISBLANK(AN$5),"",1)</f>
        <v/>
      </c>
      <c r="L231" s="1205" t="str">
        <f t="shared" ref="L231" si="344">IF(ISBLANK(AR$5),"",1)</f>
        <v/>
      </c>
      <c r="M231" s="1205" t="str">
        <f t="shared" ref="M231" si="345">IF(ISBLANK(AV$5),"",1)</f>
        <v/>
      </c>
      <c r="N231" s="248"/>
      <c r="O231" s="52"/>
      <c r="S231" s="275">
        <v>4.3</v>
      </c>
      <c r="T231" s="240">
        <f t="shared" ref="T231:T232" si="346">COUNTIF($N$197:$N$229,S231)</f>
        <v>4</v>
      </c>
      <c r="U231" s="240" t="str">
        <f>IF($AB$5=1,SUMIF($N$197:$N$229,S231,$U$197:$U$229),"")</f>
        <v/>
      </c>
      <c r="W231" s="52"/>
      <c r="AF231" s="52"/>
      <c r="AO231" s="52"/>
      <c r="AT231" s="1290"/>
      <c r="AU231" s="1200"/>
      <c r="AV231" s="1164"/>
      <c r="AW231" s="1164"/>
      <c r="AX231" s="1164"/>
      <c r="AY231" s="1164"/>
      <c r="AZ231" s="1201"/>
      <c r="BA231" s="1342"/>
      <c r="BB231" s="1290"/>
      <c r="BC231" s="1200"/>
      <c r="BD231" s="1164"/>
      <c r="BE231" s="1164"/>
      <c r="BF231" s="1164"/>
      <c r="BG231" s="1164"/>
      <c r="BH231" s="1201"/>
      <c r="BI231" s="1342"/>
    </row>
    <row r="232" spans="1:67" ht="15" customHeight="1">
      <c r="A232" s="1159"/>
      <c r="B232" s="1200"/>
      <c r="C232" s="1164"/>
      <c r="D232" s="1164"/>
      <c r="E232" s="1164"/>
      <c r="F232" s="1164"/>
      <c r="G232" s="1266"/>
      <c r="H232" s="1206"/>
      <c r="I232" s="1206"/>
      <c r="J232" s="1206"/>
      <c r="K232" s="1206"/>
      <c r="L232" s="1206"/>
      <c r="M232" s="1206"/>
      <c r="N232" s="248"/>
      <c r="O232" s="52"/>
      <c r="S232" s="276">
        <v>4.4000000000000004</v>
      </c>
      <c r="T232" s="240">
        <f t="shared" si="346"/>
        <v>6</v>
      </c>
      <c r="U232" s="240" t="str">
        <f>IF($AB$5=1,SUMIF($N$197:$N$229,S232,$U$197:$U$229),"")</f>
        <v/>
      </c>
      <c r="W232" s="52"/>
      <c r="AF232" s="52"/>
      <c r="AO232" s="52"/>
      <c r="AT232" s="1291"/>
      <c r="AU232" s="1202"/>
      <c r="AV232" s="1203"/>
      <c r="AW232" s="1203"/>
      <c r="AX232" s="1203"/>
      <c r="AY232" s="1203"/>
      <c r="AZ232" s="1204"/>
      <c r="BA232" s="1342"/>
      <c r="BB232" s="1291"/>
      <c r="BC232" s="1202"/>
      <c r="BD232" s="1203"/>
      <c r="BE232" s="1203"/>
      <c r="BF232" s="1203"/>
      <c r="BG232" s="1203"/>
      <c r="BH232" s="1204"/>
      <c r="BI232" s="1342"/>
    </row>
    <row r="233" spans="1:67" ht="15" customHeight="1">
      <c r="A233" s="1160"/>
      <c r="B233" s="1200"/>
      <c r="C233" s="1164"/>
      <c r="D233" s="1164"/>
      <c r="E233" s="1164"/>
      <c r="F233" s="1164"/>
      <c r="G233" s="1266"/>
      <c r="H233" s="1207"/>
      <c r="I233" s="1207"/>
      <c r="J233" s="1207"/>
      <c r="K233" s="1207"/>
      <c r="L233" s="1207"/>
      <c r="M233" s="1207"/>
      <c r="W233" s="52"/>
      <c r="AF233" s="52"/>
      <c r="AO233" s="52"/>
      <c r="AT233" s="1307">
        <v>1.5</v>
      </c>
      <c r="AU233" s="1310" t="s">
        <v>373</v>
      </c>
      <c r="AV233" s="1311"/>
      <c r="AW233" s="1311"/>
      <c r="AX233" s="1311"/>
      <c r="AY233" s="1311"/>
      <c r="AZ233" s="1316"/>
      <c r="BA233" s="1226" t="str">
        <f t="shared" ref="BA233" si="347">IF(ISBLANK(AR$5),"",1)</f>
        <v/>
      </c>
      <c r="BB233" s="1307">
        <v>1.5</v>
      </c>
      <c r="BC233" s="1198" t="s">
        <v>373</v>
      </c>
      <c r="BD233" s="1162"/>
      <c r="BE233" s="1162"/>
      <c r="BF233" s="1162"/>
      <c r="BG233" s="1162"/>
      <c r="BH233" s="1199"/>
      <c r="BI233" s="1226" t="str">
        <f t="shared" ref="BI233" si="348">IF(ISBLANK(AV$5),"",1)</f>
        <v/>
      </c>
    </row>
    <row r="234" spans="1:67" ht="15" customHeight="1">
      <c r="A234" s="1336">
        <v>1.4</v>
      </c>
      <c r="B234" s="1198" t="s">
        <v>943</v>
      </c>
      <c r="C234" s="1162"/>
      <c r="D234" s="1162"/>
      <c r="E234" s="1162"/>
      <c r="F234" s="1162"/>
      <c r="G234" s="1265"/>
      <c r="H234" s="1205" t="str">
        <f t="shared" ref="H234" si="349">IF(ISBLANK(AB$5),"",1)</f>
        <v/>
      </c>
      <c r="I234" s="1205" t="str">
        <f t="shared" ref="I234" si="350">IF(ISBLANK(AF$5),"",1)</f>
        <v/>
      </c>
      <c r="J234" s="1205" t="str">
        <f t="shared" ref="J234" si="351">IF(ISBLANK(AJ$5),"",1)</f>
        <v/>
      </c>
      <c r="K234" s="1205" t="str">
        <f t="shared" ref="K234" si="352">IF(ISBLANK(AN$5),"",1)</f>
        <v/>
      </c>
      <c r="L234" s="1205" t="str">
        <f t="shared" ref="L234" si="353">IF(ISBLANK(AR$5),"",1)</f>
        <v/>
      </c>
      <c r="M234" s="1205" t="str">
        <f t="shared" ref="M234" si="354">IF(ISBLANK(AV$5),"",1)</f>
        <v/>
      </c>
      <c r="W234" s="52"/>
      <c r="AF234" s="52"/>
      <c r="AO234" s="52"/>
      <c r="AT234" s="1308"/>
      <c r="AU234" s="1295"/>
      <c r="AV234" s="1296"/>
      <c r="AW234" s="1296"/>
      <c r="AX234" s="1296"/>
      <c r="AY234" s="1296"/>
      <c r="AZ234" s="1318"/>
      <c r="BA234" s="1342"/>
      <c r="BB234" s="1308"/>
      <c r="BC234" s="1200"/>
      <c r="BD234" s="1164"/>
      <c r="BE234" s="1164"/>
      <c r="BF234" s="1164"/>
      <c r="BG234" s="1164"/>
      <c r="BH234" s="1201"/>
      <c r="BI234" s="1342"/>
    </row>
    <row r="235" spans="1:67" ht="15" customHeight="1">
      <c r="A235" s="1159"/>
      <c r="B235" s="1200"/>
      <c r="C235" s="1164"/>
      <c r="D235" s="1164"/>
      <c r="E235" s="1164"/>
      <c r="F235" s="1164"/>
      <c r="G235" s="1266"/>
      <c r="H235" s="1206"/>
      <c r="I235" s="1206"/>
      <c r="J235" s="1206"/>
      <c r="K235" s="1206"/>
      <c r="L235" s="1206"/>
      <c r="M235" s="1206"/>
      <c r="O235" s="52"/>
      <c r="W235" s="52"/>
      <c r="AF235" s="52"/>
      <c r="AO235" s="52"/>
      <c r="AT235" s="1309"/>
      <c r="AU235" s="1298"/>
      <c r="AV235" s="1299"/>
      <c r="AW235" s="1299"/>
      <c r="AX235" s="1299"/>
      <c r="AY235" s="1299"/>
      <c r="AZ235" s="1335"/>
      <c r="BA235" s="1342"/>
      <c r="BB235" s="1309"/>
      <c r="BC235" s="1202"/>
      <c r="BD235" s="1203"/>
      <c r="BE235" s="1203"/>
      <c r="BF235" s="1203"/>
      <c r="BG235" s="1203"/>
      <c r="BH235" s="1204"/>
      <c r="BI235" s="1342"/>
    </row>
    <row r="236" spans="1:67" ht="15" customHeight="1">
      <c r="A236" s="1160"/>
      <c r="B236" s="1200"/>
      <c r="C236" s="1164"/>
      <c r="D236" s="1164"/>
      <c r="E236" s="1164"/>
      <c r="F236" s="1164"/>
      <c r="G236" s="1266"/>
      <c r="H236" s="1207"/>
      <c r="I236" s="1207"/>
      <c r="J236" s="1207"/>
      <c r="K236" s="1207"/>
      <c r="L236" s="1207"/>
      <c r="M236" s="1207"/>
      <c r="O236" s="52"/>
      <c r="W236" s="52"/>
      <c r="AF236" s="52"/>
      <c r="AO236" s="52"/>
      <c r="AT236" s="1307">
        <v>4.4000000000000004</v>
      </c>
      <c r="AU236" s="1310" t="s">
        <v>397</v>
      </c>
      <c r="AV236" s="1311"/>
      <c r="AW236" s="1311"/>
      <c r="AX236" s="1311"/>
      <c r="AY236" s="1311"/>
      <c r="AZ236" s="1316"/>
      <c r="BA236" s="1226" t="str">
        <f t="shared" ref="BA236" si="355">IF(ISBLANK(AR$5),"",1)</f>
        <v/>
      </c>
      <c r="BB236" s="1307">
        <v>4.4000000000000004</v>
      </c>
      <c r="BC236" s="1310" t="s">
        <v>397</v>
      </c>
      <c r="BD236" s="1311"/>
      <c r="BE236" s="1311"/>
      <c r="BF236" s="1311"/>
      <c r="BG236" s="1311"/>
      <c r="BH236" s="1316"/>
      <c r="BI236" s="1226" t="str">
        <f t="shared" ref="BI236" si="356">IF(ISBLANK(AV$5),"",1)</f>
        <v/>
      </c>
    </row>
    <row r="237" spans="1:67" ht="15" customHeight="1">
      <c r="A237" s="1168" t="s">
        <v>637</v>
      </c>
      <c r="B237" s="1168"/>
      <c r="C237" s="1168"/>
      <c r="D237" s="1168"/>
      <c r="E237" s="1169"/>
      <c r="F237" s="614">
        <v>3.1</v>
      </c>
      <c r="G237" s="620">
        <f>COUNTIF($A$231:$A$236,F237)</f>
        <v>1</v>
      </c>
      <c r="H237" s="240" t="str">
        <f>IF($AB$5=1,SUMIF($A$231:$A$236,$F237,$H$231:$H$236),"")</f>
        <v/>
      </c>
      <c r="I237" s="240" t="str">
        <f>IF($AF$5=1,SUMIF($A$231:$A$236,$F237,$I$231:$I$236),"")</f>
        <v/>
      </c>
      <c r="J237" s="240" t="str">
        <f>IF($AJ$5=1,SUMIF($A$231:$A$236,$F237,$J$231:$J$236),"")</f>
        <v/>
      </c>
      <c r="K237" s="240" t="str">
        <f>IF($AN$5=1,SUMIF($A$231:$A$236,$F237,$K$231:$K$236),"")</f>
        <v/>
      </c>
      <c r="L237" s="240" t="str">
        <f>IF($AR$5=1,SUMIF($A$231:$A$236,$F237,$L$231:$L$236),"")</f>
        <v/>
      </c>
      <c r="M237" s="240" t="str">
        <f>IF($AV$5=1,SUMIF($A$231:$A$236,$F237,$M$231:$M$236),"")</f>
        <v/>
      </c>
      <c r="O237" s="52"/>
      <c r="W237" s="52"/>
      <c r="AF237" s="52"/>
      <c r="AO237" s="52"/>
      <c r="AT237" s="1308"/>
      <c r="AU237" s="1295"/>
      <c r="AV237" s="1296"/>
      <c r="AW237" s="1296"/>
      <c r="AX237" s="1296"/>
      <c r="AY237" s="1296"/>
      <c r="AZ237" s="1318"/>
      <c r="BA237" s="1342"/>
      <c r="BB237" s="1308"/>
      <c r="BC237" s="1295"/>
      <c r="BD237" s="1296"/>
      <c r="BE237" s="1296"/>
      <c r="BF237" s="1296"/>
      <c r="BG237" s="1296"/>
      <c r="BH237" s="1318"/>
      <c r="BI237" s="1342"/>
    </row>
    <row r="238" spans="1:67" ht="15" customHeight="1">
      <c r="F238" s="614">
        <v>1.4</v>
      </c>
      <c r="G238" s="620">
        <f>COUNTIF($A$231:$A$236,F238)</f>
        <v>1</v>
      </c>
      <c r="H238" s="240" t="str">
        <f>IF($AB$5=1,SUMIF($A$231:$A$236,$F238,$H$231:$H$236),"")</f>
        <v/>
      </c>
      <c r="I238" s="240" t="str">
        <f>IF($AF$5=1,SUMIF($A$231:$A$236,$F238,$I$231:$I$236),"")</f>
        <v/>
      </c>
      <c r="J238" s="240" t="str">
        <f>IF($AJ$5=1,SUMIF($A$231:$A$236,$F238,$J$231:$J$236),"")</f>
        <v/>
      </c>
      <c r="K238" s="240" t="str">
        <f>IF($AN$5=1,SUMIF($A$231:$A$236,$F238,$K$231:$K$236),"")</f>
        <v/>
      </c>
      <c r="L238" s="240" t="str">
        <f>IF($AR$5=1,SUMIF($A$231:$A$236,$F238,$L$231:$L$236),"")</f>
        <v/>
      </c>
      <c r="M238" s="240" t="str">
        <f>IF($AV$5=1,SUMIF($A$231:$A$236,$F238,$M$231:$M$236),"")</f>
        <v/>
      </c>
      <c r="O238" s="52"/>
      <c r="W238" s="52"/>
      <c r="AF238" s="52"/>
      <c r="AO238" s="52"/>
      <c r="AT238" s="1309"/>
      <c r="AU238" s="1298"/>
      <c r="AV238" s="1299"/>
      <c r="AW238" s="1299"/>
      <c r="AX238" s="1299"/>
      <c r="AY238" s="1299"/>
      <c r="AZ238" s="1335"/>
      <c r="BA238" s="1342"/>
      <c r="BB238" s="1309"/>
      <c r="BC238" s="1298"/>
      <c r="BD238" s="1299"/>
      <c r="BE238" s="1299"/>
      <c r="BF238" s="1299"/>
      <c r="BG238" s="1299"/>
      <c r="BH238" s="1335"/>
      <c r="BI238" s="1342"/>
    </row>
    <row r="239" spans="1:67" ht="15" customHeight="1">
      <c r="O239" s="52"/>
      <c r="W239" s="52"/>
      <c r="AF239" s="52"/>
      <c r="AO239" s="52"/>
      <c r="AT239" s="247"/>
      <c r="AY239" s="273">
        <v>1.5</v>
      </c>
      <c r="AZ239" s="240">
        <f>COUNTIF($AT$197:$AT$238,AY239)</f>
        <v>1</v>
      </c>
      <c r="BA239" s="240" t="str">
        <f>IF($AR$5=1,SUMIF($AT$197:$AT$238,AY239,$BA$197:$BA$238),"")</f>
        <v/>
      </c>
      <c r="BB239" s="247"/>
      <c r="BC239" s="247"/>
      <c r="BG239" s="273">
        <v>1.5</v>
      </c>
      <c r="BH239" s="240">
        <f>COUNTIF($BB$197:$BB$238,BG239)</f>
        <v>1</v>
      </c>
      <c r="BI239" s="240" t="str">
        <f>IF($AV$5=1,SUMIF($BB$197:$BB$238,BG239,$BI$197:$BI$238),"")</f>
        <v/>
      </c>
    </row>
    <row r="240" spans="1:67" ht="15" customHeight="1">
      <c r="O240" s="52"/>
      <c r="W240" s="52"/>
      <c r="AF240" s="52"/>
      <c r="AO240" s="52"/>
      <c r="AT240" s="248"/>
      <c r="AY240" s="274">
        <v>4.3</v>
      </c>
      <c r="AZ240" s="240">
        <f t="shared" ref="AZ240:AZ241" si="357">COUNTIF($AT$197:$AT$238,AY240)</f>
        <v>4</v>
      </c>
      <c r="BA240" s="240" t="str">
        <f>IF($AR$5=1,SUMIF($AT$197:$AT$238,AY240,$BA$197:$BA$238),"")</f>
        <v/>
      </c>
      <c r="BB240" s="248"/>
      <c r="BC240" s="248"/>
      <c r="BG240" s="274">
        <v>4.3</v>
      </c>
      <c r="BH240" s="240">
        <f t="shared" ref="BH240:BH241" si="358">COUNTIF($BB$197:$BB$238,BG240)</f>
        <v>5</v>
      </c>
      <c r="BI240" s="240" t="str">
        <f>IF($AV$5=1,SUMIF($BB$197:$BB$238,BG240,$BI$197:$BI$238),"")</f>
        <v/>
      </c>
    </row>
    <row r="241" spans="1:67" ht="15" customHeight="1">
      <c r="O241" s="52"/>
      <c r="W241" s="52"/>
      <c r="AF241" s="52"/>
      <c r="AO241" s="52"/>
      <c r="AT241" s="248"/>
      <c r="AY241" s="274">
        <v>4.4000000000000004</v>
      </c>
      <c r="AZ241" s="240">
        <f t="shared" si="357"/>
        <v>9</v>
      </c>
      <c r="BA241" s="240" t="str">
        <f>IF($AR$5=1,SUMIF($AT$197:$AT$238,AY241,$BA$197:$BA$238),"")</f>
        <v/>
      </c>
      <c r="BB241" s="248"/>
      <c r="BC241" s="248"/>
      <c r="BG241" s="274">
        <v>4.4000000000000004</v>
      </c>
      <c r="BH241" s="240">
        <f t="shared" si="358"/>
        <v>8</v>
      </c>
      <c r="BI241" s="240" t="str">
        <f>IF($AV$5=1,SUMIF($BB$197:$BB$238,BG241,$BI$197:$BI$238),"")</f>
        <v/>
      </c>
    </row>
    <row r="242" spans="1:67" ht="15" customHeight="1">
      <c r="A242" s="613" t="s">
        <v>17</v>
      </c>
      <c r="B242" s="613"/>
      <c r="C242" s="613"/>
      <c r="D242" s="613"/>
      <c r="E242" s="613"/>
      <c r="F242" s="613"/>
      <c r="G242" s="613"/>
      <c r="H242" s="613"/>
      <c r="I242" s="613"/>
      <c r="J242" s="613"/>
      <c r="K242" s="613"/>
      <c r="L242" s="613"/>
      <c r="M242" s="613"/>
      <c r="N242" s="613"/>
      <c r="O242" s="613"/>
      <c r="P242" s="613"/>
      <c r="Q242" s="613"/>
      <c r="R242" s="613"/>
      <c r="S242" s="613"/>
      <c r="T242" s="613"/>
      <c r="U242" s="613"/>
      <c r="V242" s="613"/>
      <c r="W242" s="613"/>
      <c r="X242" s="613"/>
      <c r="Y242" s="613"/>
      <c r="Z242" s="613"/>
      <c r="AA242" s="613"/>
      <c r="AB242" s="613"/>
      <c r="AC242" s="613"/>
      <c r="AD242" s="613"/>
      <c r="AE242" s="613"/>
      <c r="AF242" s="613"/>
      <c r="AG242" s="613"/>
      <c r="AH242" s="613"/>
      <c r="AI242" s="613"/>
      <c r="AJ242" s="613"/>
      <c r="AK242" s="613"/>
      <c r="AL242" s="613"/>
      <c r="AM242" s="613"/>
      <c r="AN242" s="613"/>
      <c r="AO242" s="613"/>
      <c r="AP242" s="613"/>
      <c r="AQ242" s="613"/>
      <c r="AR242" s="613"/>
      <c r="AS242" s="613"/>
      <c r="AT242" s="613"/>
      <c r="AU242" s="613"/>
      <c r="AV242" s="613"/>
      <c r="AW242" s="613"/>
      <c r="AX242" s="613"/>
      <c r="AY242" s="613"/>
      <c r="AZ242" s="613"/>
      <c r="BA242" s="613"/>
      <c r="BB242" s="613"/>
      <c r="BC242" s="613"/>
      <c r="BD242" s="613"/>
      <c r="BE242" s="613"/>
      <c r="BF242" s="613"/>
      <c r="BG242" s="613"/>
      <c r="BH242" s="613"/>
      <c r="BI242" s="613"/>
      <c r="BJ242" s="613"/>
      <c r="BK242" s="613"/>
      <c r="BL242" s="613"/>
      <c r="BM242" s="613"/>
      <c r="BN242" s="613"/>
      <c r="BO242" s="613"/>
    </row>
    <row r="243" spans="1:67" ht="15" customHeight="1">
      <c r="A243" s="613"/>
      <c r="B243" s="613"/>
      <c r="C243" s="613"/>
      <c r="D243" s="613"/>
      <c r="E243" s="613"/>
      <c r="F243" s="613"/>
      <c r="G243" s="613"/>
      <c r="H243" s="613"/>
      <c r="I243" s="613"/>
      <c r="J243" s="613"/>
      <c r="K243" s="613"/>
      <c r="L243" s="613"/>
      <c r="M243" s="613"/>
      <c r="N243" s="613"/>
      <c r="O243" s="613"/>
      <c r="P243" s="613"/>
      <c r="Q243" s="613"/>
      <c r="R243" s="613"/>
      <c r="S243" s="613"/>
      <c r="T243" s="613"/>
      <c r="U243" s="613"/>
      <c r="V243" s="613"/>
      <c r="W243" s="613"/>
      <c r="X243" s="613"/>
      <c r="Y243" s="613"/>
      <c r="Z243" s="613"/>
      <c r="AA243" s="613"/>
      <c r="AB243" s="613"/>
      <c r="AC243" s="613"/>
      <c r="AD243" s="613"/>
      <c r="AE243" s="613"/>
      <c r="AF243" s="613"/>
      <c r="AG243" s="613"/>
      <c r="AH243" s="613"/>
      <c r="AI243" s="613"/>
      <c r="AJ243" s="613"/>
      <c r="AK243" s="613"/>
      <c r="AL243" s="613"/>
      <c r="AM243" s="613"/>
      <c r="AN243" s="613"/>
      <c r="AO243" s="613"/>
      <c r="AP243" s="613"/>
      <c r="AQ243" s="613"/>
      <c r="AR243" s="613"/>
      <c r="AS243" s="613"/>
      <c r="AT243" s="613"/>
      <c r="AU243" s="613"/>
      <c r="AV243" s="613"/>
      <c r="AW243" s="613"/>
      <c r="AX243" s="613"/>
      <c r="AY243" s="613"/>
      <c r="AZ243" s="613"/>
      <c r="BA243" s="613"/>
      <c r="BB243" s="613"/>
      <c r="BC243" s="613"/>
      <c r="BD243" s="613"/>
      <c r="BE243" s="613"/>
      <c r="BF243" s="613"/>
      <c r="BG243" s="613"/>
      <c r="BH243" s="613"/>
      <c r="BI243" s="613"/>
      <c r="BJ243" s="613"/>
      <c r="BK243" s="613"/>
      <c r="BL243" s="613"/>
      <c r="BM243" s="613"/>
      <c r="BN243" s="613"/>
      <c r="BO243" s="613"/>
    </row>
    <row r="244" spans="1:67" ht="15" customHeight="1">
      <c r="A244" s="1172"/>
      <c r="B244" s="1173" t="s">
        <v>608</v>
      </c>
      <c r="C244" s="1173"/>
      <c r="D244" s="1173"/>
      <c r="E244" s="1173"/>
      <c r="F244" s="1173"/>
      <c r="G244" s="1173"/>
      <c r="H244" s="1343">
        <v>13</v>
      </c>
      <c r="I244" s="1174">
        <v>14</v>
      </c>
      <c r="J244" s="1343">
        <v>15</v>
      </c>
      <c r="K244" s="1343">
        <v>16</v>
      </c>
      <c r="N244" s="1346"/>
      <c r="O244" s="1349" t="s">
        <v>921</v>
      </c>
      <c r="P244" s="1350"/>
      <c r="Q244" s="1350"/>
      <c r="R244" s="1350"/>
      <c r="S244" s="1350"/>
      <c r="T244" s="1350"/>
      <c r="U244" s="1351"/>
      <c r="V244" s="1358"/>
      <c r="W244" s="1361" t="s">
        <v>922</v>
      </c>
      <c r="X244" s="1362"/>
      <c r="Y244" s="1362"/>
      <c r="Z244" s="1362"/>
      <c r="AA244" s="1362"/>
      <c r="AB244" s="1362"/>
      <c r="AC244" s="1363"/>
      <c r="AD244" s="1370"/>
      <c r="AE244" s="1373" t="s">
        <v>923</v>
      </c>
      <c r="AF244" s="1374"/>
      <c r="AG244" s="1374"/>
      <c r="AH244" s="1374"/>
      <c r="AI244" s="1374"/>
      <c r="AJ244" s="1374"/>
      <c r="AK244" s="1375"/>
      <c r="AL244" s="1175"/>
      <c r="AM244" s="1382" t="s">
        <v>924</v>
      </c>
      <c r="AN244" s="1383"/>
      <c r="AO244" s="1383"/>
      <c r="AP244" s="1383"/>
      <c r="AQ244" s="1383"/>
      <c r="AR244" s="1383"/>
      <c r="AS244" s="1384"/>
      <c r="BJ244" s="1182" t="s">
        <v>263</v>
      </c>
      <c r="BK244" s="1183"/>
      <c r="BL244" s="1183"/>
      <c r="BM244" s="1183"/>
      <c r="BN244" s="1183"/>
      <c r="BO244" s="1184"/>
    </row>
    <row r="245" spans="1:67" ht="15" customHeight="1">
      <c r="A245" s="1172"/>
      <c r="B245" s="1173"/>
      <c r="C245" s="1173"/>
      <c r="D245" s="1173"/>
      <c r="E245" s="1173"/>
      <c r="F245" s="1173"/>
      <c r="G245" s="1173"/>
      <c r="H245" s="1344"/>
      <c r="I245" s="1174"/>
      <c r="J245" s="1344"/>
      <c r="K245" s="1344"/>
      <c r="N245" s="1347"/>
      <c r="O245" s="1352"/>
      <c r="P245" s="1353"/>
      <c r="Q245" s="1353"/>
      <c r="R245" s="1353"/>
      <c r="S245" s="1353"/>
      <c r="T245" s="1353"/>
      <c r="U245" s="1354"/>
      <c r="V245" s="1359"/>
      <c r="W245" s="1364"/>
      <c r="X245" s="1365"/>
      <c r="Y245" s="1365"/>
      <c r="Z245" s="1365"/>
      <c r="AA245" s="1365"/>
      <c r="AB245" s="1365"/>
      <c r="AC245" s="1366"/>
      <c r="AD245" s="1371"/>
      <c r="AE245" s="1376"/>
      <c r="AF245" s="1377"/>
      <c r="AG245" s="1377"/>
      <c r="AH245" s="1377"/>
      <c r="AI245" s="1377"/>
      <c r="AJ245" s="1377"/>
      <c r="AK245" s="1378"/>
      <c r="AL245" s="1175"/>
      <c r="AM245" s="1385"/>
      <c r="AN245" s="1386"/>
      <c r="AO245" s="1386"/>
      <c r="AP245" s="1386"/>
      <c r="AQ245" s="1386"/>
      <c r="AR245" s="1386"/>
      <c r="AS245" s="1387"/>
      <c r="BJ245" s="1219"/>
      <c r="BK245" s="1220"/>
      <c r="BL245" s="1220"/>
      <c r="BM245" s="1220"/>
      <c r="BN245" s="1220"/>
      <c r="BO245" s="1221"/>
    </row>
    <row r="246" spans="1:67" ht="15" customHeight="1">
      <c r="A246" s="1172"/>
      <c r="B246" s="1173"/>
      <c r="C246" s="1173"/>
      <c r="D246" s="1173"/>
      <c r="E246" s="1173"/>
      <c r="F246" s="1173"/>
      <c r="G246" s="1173"/>
      <c r="H246" s="1345"/>
      <c r="I246" s="1174"/>
      <c r="J246" s="1345"/>
      <c r="K246" s="1345"/>
      <c r="N246" s="1348"/>
      <c r="O246" s="1355"/>
      <c r="P246" s="1356"/>
      <c r="Q246" s="1356"/>
      <c r="R246" s="1356"/>
      <c r="S246" s="1356"/>
      <c r="T246" s="1356"/>
      <c r="U246" s="1357"/>
      <c r="V246" s="1360"/>
      <c r="W246" s="1367"/>
      <c r="X246" s="1368"/>
      <c r="Y246" s="1368"/>
      <c r="Z246" s="1368"/>
      <c r="AA246" s="1368"/>
      <c r="AB246" s="1368"/>
      <c r="AC246" s="1369"/>
      <c r="AD246" s="1372"/>
      <c r="AE246" s="1379"/>
      <c r="AF246" s="1380"/>
      <c r="AG246" s="1380"/>
      <c r="AH246" s="1380"/>
      <c r="AI246" s="1380"/>
      <c r="AJ246" s="1380"/>
      <c r="AK246" s="1381"/>
      <c r="AL246" s="1175"/>
      <c r="AM246" s="1388"/>
      <c r="AN246" s="1389"/>
      <c r="AO246" s="1389"/>
      <c r="AP246" s="1389"/>
      <c r="AQ246" s="1389"/>
      <c r="AR246" s="1389"/>
      <c r="AS246" s="1390"/>
      <c r="BJ246" s="1337"/>
      <c r="BK246" s="1338"/>
      <c r="BL246" s="1338"/>
      <c r="BM246" s="1338"/>
      <c r="BN246" s="1338"/>
      <c r="BO246" s="1339"/>
    </row>
    <row r="247" spans="1:67" ht="15" customHeight="1">
      <c r="A247" s="1307">
        <v>1.1000000000000001</v>
      </c>
      <c r="B247" s="1161" t="s">
        <v>941</v>
      </c>
      <c r="C247" s="1162"/>
      <c r="D247" s="1162"/>
      <c r="E247" s="1162"/>
      <c r="F247" s="1162"/>
      <c r="G247" s="1199"/>
      <c r="H247" s="1268" t="str">
        <f>IF(ISBLANK(AZ$5),"",1)</f>
        <v/>
      </c>
      <c r="I247" s="1205" t="str">
        <f>IF(ISBLANK(BD$5),"",1)</f>
        <v/>
      </c>
      <c r="J247" s="1205" t="str">
        <f>IF(ISBLANK(BH$5),"",1)</f>
        <v/>
      </c>
      <c r="K247" s="1205" t="str">
        <f>IF(ISBLANK(BL$5),"",1)</f>
        <v/>
      </c>
      <c r="N247" s="1258">
        <v>4.3</v>
      </c>
      <c r="O247" s="1198" t="s">
        <v>398</v>
      </c>
      <c r="P247" s="1162"/>
      <c r="Q247" s="1162"/>
      <c r="R247" s="1162"/>
      <c r="S247" s="1162"/>
      <c r="T247" s="1199"/>
      <c r="U247" s="1226" t="str">
        <f>IF(ISBLANK(AZ$5),"",1)</f>
        <v/>
      </c>
      <c r="V247" s="1258">
        <v>4.3</v>
      </c>
      <c r="W247" s="1198" t="s">
        <v>398</v>
      </c>
      <c r="X247" s="1162"/>
      <c r="Y247" s="1162"/>
      <c r="Z247" s="1162"/>
      <c r="AA247" s="1162"/>
      <c r="AB247" s="1199"/>
      <c r="AC247" s="1226" t="str">
        <f>IF(ISBLANK(BD$5),"",1)</f>
        <v/>
      </c>
      <c r="AD247" s="1258">
        <v>4.3</v>
      </c>
      <c r="AE247" s="1198" t="s">
        <v>387</v>
      </c>
      <c r="AF247" s="1162"/>
      <c r="AG247" s="1162"/>
      <c r="AH247" s="1162"/>
      <c r="AI247" s="1162"/>
      <c r="AJ247" s="1199"/>
      <c r="AK247" s="1226" t="str">
        <f>IF(ISBLANK(BH$5),"",1)</f>
        <v/>
      </c>
      <c r="AL247" s="1196">
        <v>4.3</v>
      </c>
      <c r="AM247" s="1198" t="s">
        <v>398</v>
      </c>
      <c r="AN247" s="1162"/>
      <c r="AO247" s="1162"/>
      <c r="AP247" s="1162"/>
      <c r="AQ247" s="1162"/>
      <c r="AR247" s="1199"/>
      <c r="AS247" s="1226" t="str">
        <f>IF(ISBLANK(BL$5),"",1)</f>
        <v/>
      </c>
      <c r="BJ247" s="1337"/>
      <c r="BK247" s="1338"/>
      <c r="BL247" s="1338"/>
      <c r="BM247" s="1338"/>
      <c r="BN247" s="1338"/>
      <c r="BO247" s="1339"/>
    </row>
    <row r="248" spans="1:67" ht="15" customHeight="1">
      <c r="A248" s="1308"/>
      <c r="B248" s="1163"/>
      <c r="C248" s="1164"/>
      <c r="D248" s="1164"/>
      <c r="E248" s="1164"/>
      <c r="F248" s="1164"/>
      <c r="G248" s="1201"/>
      <c r="H248" s="1269"/>
      <c r="I248" s="1206"/>
      <c r="J248" s="1206"/>
      <c r="K248" s="1206"/>
      <c r="N248" s="1258"/>
      <c r="O248" s="1200"/>
      <c r="P248" s="1164"/>
      <c r="Q248" s="1164"/>
      <c r="R248" s="1164"/>
      <c r="S248" s="1164"/>
      <c r="T248" s="1201"/>
      <c r="U248" s="1342"/>
      <c r="V248" s="1258"/>
      <c r="W248" s="1200"/>
      <c r="X248" s="1164"/>
      <c r="Y248" s="1164"/>
      <c r="Z248" s="1164"/>
      <c r="AA248" s="1164"/>
      <c r="AB248" s="1201"/>
      <c r="AC248" s="1342"/>
      <c r="AD248" s="1258"/>
      <c r="AE248" s="1200"/>
      <c r="AF248" s="1164"/>
      <c r="AG248" s="1164"/>
      <c r="AH248" s="1164"/>
      <c r="AI248" s="1164"/>
      <c r="AJ248" s="1201"/>
      <c r="AK248" s="1342"/>
      <c r="AL248" s="1197"/>
      <c r="AM248" s="1200"/>
      <c r="AN248" s="1164"/>
      <c r="AO248" s="1164"/>
      <c r="AP248" s="1164"/>
      <c r="AQ248" s="1164"/>
      <c r="AR248" s="1201"/>
      <c r="AS248" s="1342"/>
      <c r="BJ248" s="1337"/>
      <c r="BK248" s="1338"/>
      <c r="BL248" s="1338"/>
      <c r="BM248" s="1338"/>
      <c r="BN248" s="1338"/>
      <c r="BO248" s="1339"/>
    </row>
    <row r="249" spans="1:67" ht="15" customHeight="1">
      <c r="A249" s="1309"/>
      <c r="B249" s="1165"/>
      <c r="C249" s="1166"/>
      <c r="D249" s="1166"/>
      <c r="E249" s="1166"/>
      <c r="F249" s="1166"/>
      <c r="G249" s="1292"/>
      <c r="H249" s="1270"/>
      <c r="I249" s="1207"/>
      <c r="J249" s="1207"/>
      <c r="K249" s="1207"/>
      <c r="N249" s="1258"/>
      <c r="O249" s="1202"/>
      <c r="P249" s="1203"/>
      <c r="Q249" s="1203"/>
      <c r="R249" s="1203"/>
      <c r="S249" s="1203"/>
      <c r="T249" s="1204"/>
      <c r="U249" s="1342"/>
      <c r="V249" s="1258"/>
      <c r="W249" s="1202"/>
      <c r="X249" s="1203"/>
      <c r="Y249" s="1203"/>
      <c r="Z249" s="1203"/>
      <c r="AA249" s="1203"/>
      <c r="AB249" s="1204"/>
      <c r="AC249" s="1342"/>
      <c r="AD249" s="1258"/>
      <c r="AE249" s="1202"/>
      <c r="AF249" s="1203"/>
      <c r="AG249" s="1203"/>
      <c r="AH249" s="1203"/>
      <c r="AI249" s="1203"/>
      <c r="AJ249" s="1204"/>
      <c r="AK249" s="1342"/>
      <c r="AL249" s="1197"/>
      <c r="AM249" s="1202"/>
      <c r="AN249" s="1203"/>
      <c r="AO249" s="1203"/>
      <c r="AP249" s="1203"/>
      <c r="AQ249" s="1203"/>
      <c r="AR249" s="1204"/>
      <c r="AS249" s="1342"/>
      <c r="BJ249" s="1337"/>
      <c r="BK249" s="1338"/>
      <c r="BL249" s="1338"/>
      <c r="BM249" s="1338"/>
      <c r="BN249" s="1338"/>
      <c r="BO249" s="1339"/>
    </row>
    <row r="250" spans="1:67" ht="15" customHeight="1">
      <c r="A250" s="1304">
        <v>2.4</v>
      </c>
      <c r="B250" s="1161" t="s">
        <v>316</v>
      </c>
      <c r="C250" s="1162"/>
      <c r="D250" s="1162"/>
      <c r="E250" s="1162"/>
      <c r="F250" s="1162"/>
      <c r="G250" s="1199"/>
      <c r="H250" s="1268" t="str">
        <f t="shared" ref="H250" si="359">IF(ISBLANK(AZ$5),"",1)</f>
        <v/>
      </c>
      <c r="I250" s="1205" t="str">
        <f t="shared" ref="I250" si="360">IF(ISBLANK(BD$5),"",1)</f>
        <v/>
      </c>
      <c r="J250" s="1205" t="str">
        <f t="shared" ref="J250" si="361">IF(ISBLANK(BH$5),"",1)</f>
        <v/>
      </c>
      <c r="K250" s="1205" t="str">
        <f t="shared" ref="K250" si="362">IF(ISBLANK(BL$5),"",1)</f>
        <v/>
      </c>
      <c r="N250" s="1258">
        <v>4.3</v>
      </c>
      <c r="O250" s="1198" t="s">
        <v>388</v>
      </c>
      <c r="P250" s="1162"/>
      <c r="Q250" s="1162"/>
      <c r="R250" s="1162"/>
      <c r="S250" s="1162"/>
      <c r="T250" s="1199"/>
      <c r="U250" s="1226" t="str">
        <f t="shared" ref="U250" si="363">IF(ISBLANK(AZ$5),"",1)</f>
        <v/>
      </c>
      <c r="V250" s="1258">
        <v>4.3</v>
      </c>
      <c r="W250" s="1198" t="s">
        <v>388</v>
      </c>
      <c r="X250" s="1162"/>
      <c r="Y250" s="1162"/>
      <c r="Z250" s="1162"/>
      <c r="AA250" s="1162"/>
      <c r="AB250" s="1199"/>
      <c r="AC250" s="1226" t="str">
        <f t="shared" ref="AC250" si="364">IF(ISBLANK(BD$5),"",1)</f>
        <v/>
      </c>
      <c r="AD250" s="1258">
        <v>4.3</v>
      </c>
      <c r="AE250" s="1198" t="s">
        <v>388</v>
      </c>
      <c r="AF250" s="1162"/>
      <c r="AG250" s="1162"/>
      <c r="AH250" s="1162"/>
      <c r="AI250" s="1162"/>
      <c r="AJ250" s="1199"/>
      <c r="AK250" s="1226" t="str">
        <f t="shared" ref="AK250" si="365">IF(ISBLANK(BH$5),"",1)</f>
        <v/>
      </c>
      <c r="AL250" s="1196">
        <v>4.3</v>
      </c>
      <c r="AM250" s="1198" t="s">
        <v>388</v>
      </c>
      <c r="AN250" s="1162"/>
      <c r="AO250" s="1162"/>
      <c r="AP250" s="1162"/>
      <c r="AQ250" s="1162"/>
      <c r="AR250" s="1199"/>
      <c r="AS250" s="1226" t="str">
        <f t="shared" ref="AS250" si="366">IF(ISBLANK(BL$5),"",1)</f>
        <v/>
      </c>
      <c r="BJ250" s="1337"/>
      <c r="BK250" s="1338"/>
      <c r="BL250" s="1338"/>
      <c r="BM250" s="1338"/>
      <c r="BN250" s="1338"/>
      <c r="BO250" s="1339"/>
    </row>
    <row r="251" spans="1:67" ht="15" customHeight="1">
      <c r="A251" s="1290"/>
      <c r="B251" s="1163"/>
      <c r="C251" s="1164"/>
      <c r="D251" s="1164"/>
      <c r="E251" s="1164"/>
      <c r="F251" s="1164"/>
      <c r="G251" s="1201"/>
      <c r="H251" s="1269"/>
      <c r="I251" s="1206"/>
      <c r="J251" s="1206"/>
      <c r="K251" s="1206"/>
      <c r="N251" s="1258"/>
      <c r="O251" s="1200"/>
      <c r="P251" s="1164"/>
      <c r="Q251" s="1164"/>
      <c r="R251" s="1164"/>
      <c r="S251" s="1164"/>
      <c r="T251" s="1201"/>
      <c r="U251" s="1342"/>
      <c r="V251" s="1258"/>
      <c r="W251" s="1200"/>
      <c r="X251" s="1164"/>
      <c r="Y251" s="1164"/>
      <c r="Z251" s="1164"/>
      <c r="AA251" s="1164"/>
      <c r="AB251" s="1201"/>
      <c r="AC251" s="1342"/>
      <c r="AD251" s="1258"/>
      <c r="AE251" s="1200"/>
      <c r="AF251" s="1164"/>
      <c r="AG251" s="1164"/>
      <c r="AH251" s="1164"/>
      <c r="AI251" s="1164"/>
      <c r="AJ251" s="1201"/>
      <c r="AK251" s="1342"/>
      <c r="AL251" s="1197"/>
      <c r="AM251" s="1200"/>
      <c r="AN251" s="1164"/>
      <c r="AO251" s="1164"/>
      <c r="AP251" s="1164"/>
      <c r="AQ251" s="1164"/>
      <c r="AR251" s="1201"/>
      <c r="AS251" s="1342"/>
      <c r="BJ251" s="1337"/>
      <c r="BK251" s="1338"/>
      <c r="BL251" s="1338"/>
      <c r="BM251" s="1338"/>
      <c r="BN251" s="1338"/>
      <c r="BO251" s="1339"/>
    </row>
    <row r="252" spans="1:67" ht="15" customHeight="1">
      <c r="A252" s="1291"/>
      <c r="B252" s="1165"/>
      <c r="C252" s="1166"/>
      <c r="D252" s="1166"/>
      <c r="E252" s="1166"/>
      <c r="F252" s="1166"/>
      <c r="G252" s="1292"/>
      <c r="H252" s="1270"/>
      <c r="I252" s="1207"/>
      <c r="J252" s="1207"/>
      <c r="K252" s="1207"/>
      <c r="N252" s="1258"/>
      <c r="O252" s="1202"/>
      <c r="P252" s="1203"/>
      <c r="Q252" s="1203"/>
      <c r="R252" s="1203"/>
      <c r="S252" s="1203"/>
      <c r="T252" s="1204"/>
      <c r="U252" s="1342"/>
      <c r="V252" s="1258"/>
      <c r="W252" s="1202"/>
      <c r="X252" s="1203"/>
      <c r="Y252" s="1203"/>
      <c r="Z252" s="1203"/>
      <c r="AA252" s="1203"/>
      <c r="AB252" s="1204"/>
      <c r="AC252" s="1342"/>
      <c r="AD252" s="1258"/>
      <c r="AE252" s="1202"/>
      <c r="AF252" s="1203"/>
      <c r="AG252" s="1203"/>
      <c r="AH252" s="1203"/>
      <c r="AI252" s="1203"/>
      <c r="AJ252" s="1204"/>
      <c r="AK252" s="1342"/>
      <c r="AL252" s="1197"/>
      <c r="AM252" s="1202"/>
      <c r="AN252" s="1203"/>
      <c r="AO252" s="1203"/>
      <c r="AP252" s="1203"/>
      <c r="AQ252" s="1203"/>
      <c r="AR252" s="1204"/>
      <c r="AS252" s="1342"/>
      <c r="BJ252" s="1337"/>
      <c r="BK252" s="1338"/>
      <c r="BL252" s="1338"/>
      <c r="BM252" s="1338"/>
      <c r="BN252" s="1338"/>
      <c r="BO252" s="1339"/>
    </row>
    <row r="253" spans="1:67" ht="15" customHeight="1">
      <c r="A253" s="1307">
        <v>1.1000000000000001</v>
      </c>
      <c r="B253" s="1161" t="s">
        <v>320</v>
      </c>
      <c r="C253" s="1162"/>
      <c r="D253" s="1162"/>
      <c r="E253" s="1162"/>
      <c r="F253" s="1162"/>
      <c r="G253" s="1199"/>
      <c r="H253" s="1268" t="str">
        <f t="shared" ref="H253" si="367">IF(ISBLANK(AZ$5),"",1)</f>
        <v/>
      </c>
      <c r="I253" s="1205" t="str">
        <f t="shared" ref="I253" si="368">IF(ISBLANK(BD$5),"",1)</f>
        <v/>
      </c>
      <c r="J253" s="1205" t="str">
        <f t="shared" ref="J253" si="369">IF(ISBLANK(BH$5),"",1)</f>
        <v/>
      </c>
      <c r="K253" s="1205" t="str">
        <f t="shared" ref="K253" si="370">IF(ISBLANK(BL$5),"",1)</f>
        <v/>
      </c>
      <c r="N253" s="1258">
        <v>4.3</v>
      </c>
      <c r="O253" s="1198" t="s">
        <v>390</v>
      </c>
      <c r="P253" s="1162"/>
      <c r="Q253" s="1162"/>
      <c r="R253" s="1162"/>
      <c r="S253" s="1162"/>
      <c r="T253" s="1199"/>
      <c r="U253" s="1226" t="str">
        <f t="shared" ref="U253" si="371">IF(ISBLANK(AZ$5),"",1)</f>
        <v/>
      </c>
      <c r="V253" s="1258">
        <v>4.3</v>
      </c>
      <c r="W253" s="1198" t="s">
        <v>390</v>
      </c>
      <c r="X253" s="1162"/>
      <c r="Y253" s="1162"/>
      <c r="Z253" s="1162"/>
      <c r="AA253" s="1162"/>
      <c r="AB253" s="1199"/>
      <c r="AC253" s="1226" t="str">
        <f t="shared" ref="AC253" si="372">IF(ISBLANK(BD$5),"",1)</f>
        <v/>
      </c>
      <c r="AD253" s="1258">
        <v>4.3</v>
      </c>
      <c r="AE253" s="1198" t="s">
        <v>390</v>
      </c>
      <c r="AF253" s="1162"/>
      <c r="AG253" s="1162"/>
      <c r="AH253" s="1162"/>
      <c r="AI253" s="1162"/>
      <c r="AJ253" s="1199"/>
      <c r="AK253" s="1226" t="str">
        <f t="shared" ref="AK253" si="373">IF(ISBLANK(BH$5),"",1)</f>
        <v/>
      </c>
      <c r="AL253" s="1196">
        <v>4.3</v>
      </c>
      <c r="AM253" s="1198" t="s">
        <v>390</v>
      </c>
      <c r="AN253" s="1162"/>
      <c r="AO253" s="1162"/>
      <c r="AP253" s="1162"/>
      <c r="AQ253" s="1162"/>
      <c r="AR253" s="1199"/>
      <c r="AS253" s="1226" t="str">
        <f t="shared" ref="AS253" si="374">IF(ISBLANK(BL$5),"",1)</f>
        <v/>
      </c>
      <c r="BJ253" s="1337"/>
      <c r="BK253" s="1338"/>
      <c r="BL253" s="1338"/>
      <c r="BM253" s="1338"/>
      <c r="BN253" s="1338"/>
      <c r="BO253" s="1339"/>
    </row>
    <row r="254" spans="1:67" ht="15" customHeight="1">
      <c r="A254" s="1308"/>
      <c r="B254" s="1163"/>
      <c r="C254" s="1164"/>
      <c r="D254" s="1164"/>
      <c r="E254" s="1164"/>
      <c r="F254" s="1164"/>
      <c r="G254" s="1201"/>
      <c r="H254" s="1269"/>
      <c r="I254" s="1206"/>
      <c r="J254" s="1206"/>
      <c r="K254" s="1206"/>
      <c r="N254" s="1258"/>
      <c r="O254" s="1200"/>
      <c r="P254" s="1164"/>
      <c r="Q254" s="1164"/>
      <c r="R254" s="1164"/>
      <c r="S254" s="1164"/>
      <c r="T254" s="1201"/>
      <c r="U254" s="1342"/>
      <c r="V254" s="1258"/>
      <c r="W254" s="1200"/>
      <c r="X254" s="1164"/>
      <c r="Y254" s="1164"/>
      <c r="Z254" s="1164"/>
      <c r="AA254" s="1164"/>
      <c r="AB254" s="1201"/>
      <c r="AC254" s="1342"/>
      <c r="AD254" s="1258"/>
      <c r="AE254" s="1200"/>
      <c r="AF254" s="1164"/>
      <c r="AG254" s="1164"/>
      <c r="AH254" s="1164"/>
      <c r="AI254" s="1164"/>
      <c r="AJ254" s="1201"/>
      <c r="AK254" s="1342"/>
      <c r="AL254" s="1196"/>
      <c r="AM254" s="1200"/>
      <c r="AN254" s="1164"/>
      <c r="AO254" s="1164"/>
      <c r="AP254" s="1164"/>
      <c r="AQ254" s="1164"/>
      <c r="AR254" s="1201"/>
      <c r="AS254" s="1342"/>
      <c r="BJ254" s="1337"/>
      <c r="BK254" s="1338"/>
      <c r="BL254" s="1338"/>
      <c r="BM254" s="1338"/>
      <c r="BN254" s="1338"/>
      <c r="BO254" s="1339"/>
    </row>
    <row r="255" spans="1:67" ht="15" customHeight="1">
      <c r="A255" s="1309"/>
      <c r="B255" s="1165"/>
      <c r="C255" s="1166"/>
      <c r="D255" s="1166"/>
      <c r="E255" s="1166"/>
      <c r="F255" s="1166"/>
      <c r="G255" s="1292"/>
      <c r="H255" s="1270"/>
      <c r="I255" s="1207"/>
      <c r="J255" s="1207"/>
      <c r="K255" s="1207"/>
      <c r="N255" s="1258"/>
      <c r="O255" s="1202"/>
      <c r="P255" s="1203"/>
      <c r="Q255" s="1203"/>
      <c r="R255" s="1203"/>
      <c r="S255" s="1203"/>
      <c r="T255" s="1204"/>
      <c r="U255" s="1342"/>
      <c r="V255" s="1258"/>
      <c r="W255" s="1202"/>
      <c r="X255" s="1203"/>
      <c r="Y255" s="1203"/>
      <c r="Z255" s="1203"/>
      <c r="AA255" s="1203"/>
      <c r="AB255" s="1204"/>
      <c r="AC255" s="1342"/>
      <c r="AD255" s="1258"/>
      <c r="AE255" s="1202"/>
      <c r="AF255" s="1203"/>
      <c r="AG255" s="1203"/>
      <c r="AH255" s="1203"/>
      <c r="AI255" s="1203"/>
      <c r="AJ255" s="1204"/>
      <c r="AK255" s="1342"/>
      <c r="AL255" s="1197"/>
      <c r="AM255" s="1202"/>
      <c r="AN255" s="1203"/>
      <c r="AO255" s="1203"/>
      <c r="AP255" s="1203"/>
      <c r="AQ255" s="1203"/>
      <c r="AR255" s="1204"/>
      <c r="AS255" s="1342"/>
      <c r="BJ255" s="1337"/>
      <c r="BK255" s="1338"/>
      <c r="BL255" s="1338"/>
      <c r="BM255" s="1338"/>
      <c r="BN255" s="1338"/>
      <c r="BO255" s="1339"/>
    </row>
    <row r="256" spans="1:67" ht="15" customHeight="1">
      <c r="A256" s="1304">
        <v>2.1</v>
      </c>
      <c r="B256" s="1161" t="s">
        <v>322</v>
      </c>
      <c r="C256" s="1162"/>
      <c r="D256" s="1162"/>
      <c r="E256" s="1162"/>
      <c r="F256" s="1162"/>
      <c r="G256" s="1199"/>
      <c r="H256" s="1268" t="str">
        <f t="shared" ref="H256" si="375">IF(ISBLANK(AZ$5),"",1)</f>
        <v/>
      </c>
      <c r="I256" s="1205" t="str">
        <f t="shared" ref="I256" si="376">IF(ISBLANK(BD$5),"",1)</f>
        <v/>
      </c>
      <c r="J256" s="1205" t="str">
        <f t="shared" ref="J256" si="377">IF(ISBLANK(BH$5),"",1)</f>
        <v/>
      </c>
      <c r="K256" s="1205" t="str">
        <f t="shared" ref="K256" si="378">IF(ISBLANK(BL$5),"",1)</f>
        <v/>
      </c>
      <c r="N256" s="1258">
        <v>4.4000000000000004</v>
      </c>
      <c r="O256" s="1198" t="s">
        <v>415</v>
      </c>
      <c r="P256" s="1162"/>
      <c r="Q256" s="1162"/>
      <c r="R256" s="1162"/>
      <c r="S256" s="1162"/>
      <c r="T256" s="1199"/>
      <c r="U256" s="1226" t="str">
        <f t="shared" ref="U256" si="379">IF(ISBLANK(AZ$5),"",1)</f>
        <v/>
      </c>
      <c r="V256" s="1258">
        <v>4.4000000000000004</v>
      </c>
      <c r="W256" s="1198" t="s">
        <v>415</v>
      </c>
      <c r="X256" s="1162"/>
      <c r="Y256" s="1162"/>
      <c r="Z256" s="1162"/>
      <c r="AA256" s="1162"/>
      <c r="AB256" s="1199"/>
      <c r="AC256" s="1226" t="str">
        <f t="shared" ref="AC256" si="380">IF(ISBLANK(BD$5),"",1)</f>
        <v/>
      </c>
      <c r="AD256" s="1258">
        <v>4.4000000000000004</v>
      </c>
      <c r="AE256" s="1198" t="s">
        <v>415</v>
      </c>
      <c r="AF256" s="1162"/>
      <c r="AG256" s="1162"/>
      <c r="AH256" s="1162"/>
      <c r="AI256" s="1162"/>
      <c r="AJ256" s="1199"/>
      <c r="AK256" s="1226" t="str">
        <f t="shared" ref="AK256" si="381">IF(ISBLANK(BH$5),"",1)</f>
        <v/>
      </c>
      <c r="AL256" s="1196">
        <v>4.4000000000000004</v>
      </c>
      <c r="AM256" s="1198" t="s">
        <v>407</v>
      </c>
      <c r="AN256" s="1162"/>
      <c r="AO256" s="1162"/>
      <c r="AP256" s="1162"/>
      <c r="AQ256" s="1162"/>
      <c r="AR256" s="1199"/>
      <c r="AS256" s="1226" t="str">
        <f t="shared" ref="AS256" si="382">IF(ISBLANK(BL$5),"",1)</f>
        <v/>
      </c>
      <c r="BJ256" s="1337"/>
      <c r="BK256" s="1338"/>
      <c r="BL256" s="1338"/>
      <c r="BM256" s="1338"/>
      <c r="BN256" s="1338"/>
      <c r="BO256" s="1339"/>
    </row>
    <row r="257" spans="1:67" ht="15" customHeight="1">
      <c r="A257" s="1290"/>
      <c r="B257" s="1163"/>
      <c r="C257" s="1164"/>
      <c r="D257" s="1164"/>
      <c r="E257" s="1164"/>
      <c r="F257" s="1164"/>
      <c r="G257" s="1201"/>
      <c r="H257" s="1269"/>
      <c r="I257" s="1206"/>
      <c r="J257" s="1206"/>
      <c r="K257" s="1206"/>
      <c r="N257" s="1258"/>
      <c r="O257" s="1200"/>
      <c r="P257" s="1164"/>
      <c r="Q257" s="1164"/>
      <c r="R257" s="1164"/>
      <c r="S257" s="1164"/>
      <c r="T257" s="1201"/>
      <c r="U257" s="1342"/>
      <c r="V257" s="1258"/>
      <c r="W257" s="1200"/>
      <c r="X257" s="1164"/>
      <c r="Y257" s="1164"/>
      <c r="Z257" s="1164"/>
      <c r="AA257" s="1164"/>
      <c r="AB257" s="1201"/>
      <c r="AC257" s="1342"/>
      <c r="AD257" s="1258"/>
      <c r="AE257" s="1200"/>
      <c r="AF257" s="1164"/>
      <c r="AG257" s="1164"/>
      <c r="AH257" s="1164"/>
      <c r="AI257" s="1164"/>
      <c r="AJ257" s="1201"/>
      <c r="AK257" s="1342"/>
      <c r="AL257" s="1197"/>
      <c r="AM257" s="1200"/>
      <c r="AN257" s="1164"/>
      <c r="AO257" s="1164"/>
      <c r="AP257" s="1164"/>
      <c r="AQ257" s="1164"/>
      <c r="AR257" s="1201"/>
      <c r="AS257" s="1342"/>
      <c r="BJ257" s="1337"/>
      <c r="BK257" s="1338"/>
      <c r="BL257" s="1338"/>
      <c r="BM257" s="1338"/>
      <c r="BN257" s="1338"/>
      <c r="BO257" s="1339"/>
    </row>
    <row r="258" spans="1:67" ht="15" customHeight="1">
      <c r="A258" s="1291"/>
      <c r="B258" s="1165"/>
      <c r="C258" s="1166"/>
      <c r="D258" s="1166"/>
      <c r="E258" s="1166"/>
      <c r="F258" s="1166"/>
      <c r="G258" s="1292"/>
      <c r="H258" s="1270"/>
      <c r="I258" s="1207"/>
      <c r="J258" s="1207"/>
      <c r="K258" s="1207"/>
      <c r="N258" s="1258"/>
      <c r="O258" s="1202"/>
      <c r="P258" s="1203"/>
      <c r="Q258" s="1203"/>
      <c r="R258" s="1203"/>
      <c r="S258" s="1203"/>
      <c r="T258" s="1204"/>
      <c r="U258" s="1342"/>
      <c r="V258" s="1258"/>
      <c r="W258" s="1202"/>
      <c r="X258" s="1203"/>
      <c r="Y258" s="1203"/>
      <c r="Z258" s="1203"/>
      <c r="AA258" s="1203"/>
      <c r="AB258" s="1204"/>
      <c r="AC258" s="1342"/>
      <c r="AD258" s="1258"/>
      <c r="AE258" s="1202"/>
      <c r="AF258" s="1203"/>
      <c r="AG258" s="1203"/>
      <c r="AH258" s="1203"/>
      <c r="AI258" s="1203"/>
      <c r="AJ258" s="1204"/>
      <c r="AK258" s="1342"/>
      <c r="AL258" s="1197"/>
      <c r="AM258" s="1202"/>
      <c r="AN258" s="1203"/>
      <c r="AO258" s="1203"/>
      <c r="AP258" s="1203"/>
      <c r="AQ258" s="1203"/>
      <c r="AR258" s="1204"/>
      <c r="AS258" s="1342"/>
      <c r="BJ258" s="1337"/>
      <c r="BK258" s="1338"/>
      <c r="BL258" s="1338"/>
      <c r="BM258" s="1338"/>
      <c r="BN258" s="1338"/>
      <c r="BO258" s="1339"/>
    </row>
    <row r="259" spans="1:67" ht="15" customHeight="1">
      <c r="A259" s="1307">
        <v>1.1000000000000001</v>
      </c>
      <c r="B259" s="1161" t="s">
        <v>940</v>
      </c>
      <c r="C259" s="1162"/>
      <c r="D259" s="1162"/>
      <c r="E259" s="1162"/>
      <c r="F259" s="1162"/>
      <c r="G259" s="1199"/>
      <c r="H259" s="1268" t="str">
        <f t="shared" ref="H259" si="383">IF(ISBLANK(AZ$5),"",1)</f>
        <v/>
      </c>
      <c r="I259" s="1205" t="str">
        <f t="shared" ref="I259" si="384">IF(ISBLANK(BD$5),"",1)</f>
        <v/>
      </c>
      <c r="J259" s="1205" t="str">
        <f t="shared" ref="J259" si="385">IF(ISBLANK(BH$5),"",1)</f>
        <v/>
      </c>
      <c r="K259" s="1205" t="str">
        <f t="shared" ref="K259" si="386">IF(ISBLANK(BL$5),"",1)</f>
        <v/>
      </c>
      <c r="N259" s="1304">
        <v>4.3</v>
      </c>
      <c r="O259" s="1310" t="s">
        <v>879</v>
      </c>
      <c r="P259" s="1311"/>
      <c r="Q259" s="1311"/>
      <c r="R259" s="1311"/>
      <c r="S259" s="1311"/>
      <c r="T259" s="1316"/>
      <c r="U259" s="1226" t="str">
        <f t="shared" ref="U259" si="387">IF(ISBLANK(AZ$5),"",1)</f>
        <v/>
      </c>
      <c r="V259" s="1304">
        <v>4.3</v>
      </c>
      <c r="W259" s="1310" t="s">
        <v>879</v>
      </c>
      <c r="X259" s="1311"/>
      <c r="Y259" s="1311"/>
      <c r="Z259" s="1311"/>
      <c r="AA259" s="1311"/>
      <c r="AB259" s="1316"/>
      <c r="AC259" s="1226" t="str">
        <f t="shared" ref="AC259" si="388">IF(ISBLANK(BD$5),"",1)</f>
        <v/>
      </c>
      <c r="AD259" s="1304">
        <v>4.3</v>
      </c>
      <c r="AE259" s="1310" t="s">
        <v>879</v>
      </c>
      <c r="AF259" s="1311"/>
      <c r="AG259" s="1311"/>
      <c r="AH259" s="1311"/>
      <c r="AI259" s="1311"/>
      <c r="AJ259" s="1316"/>
      <c r="AK259" s="1226" t="str">
        <f t="shared" ref="AK259" si="389">IF(ISBLANK(BH$5),"",1)</f>
        <v/>
      </c>
      <c r="AL259" s="1304">
        <v>4.3</v>
      </c>
      <c r="AM259" s="1310" t="s">
        <v>879</v>
      </c>
      <c r="AN259" s="1311"/>
      <c r="AO259" s="1311"/>
      <c r="AP259" s="1311"/>
      <c r="AQ259" s="1311"/>
      <c r="AR259" s="1316"/>
      <c r="AS259" s="1226" t="str">
        <f t="shared" ref="AS259" si="390">IF(ISBLANK(BL$5),"",1)</f>
        <v/>
      </c>
      <c r="BJ259" s="1337"/>
      <c r="BK259" s="1338"/>
      <c r="BL259" s="1338"/>
      <c r="BM259" s="1338"/>
      <c r="BN259" s="1338"/>
      <c r="BO259" s="1339"/>
    </row>
    <row r="260" spans="1:67" ht="15" customHeight="1">
      <c r="A260" s="1308"/>
      <c r="B260" s="1163"/>
      <c r="C260" s="1164"/>
      <c r="D260" s="1164"/>
      <c r="E260" s="1164"/>
      <c r="F260" s="1164"/>
      <c r="G260" s="1201"/>
      <c r="H260" s="1269"/>
      <c r="I260" s="1206"/>
      <c r="J260" s="1206"/>
      <c r="K260" s="1206"/>
      <c r="N260" s="1290"/>
      <c r="O260" s="1295"/>
      <c r="P260" s="1296"/>
      <c r="Q260" s="1296"/>
      <c r="R260" s="1296"/>
      <c r="S260" s="1296"/>
      <c r="T260" s="1318"/>
      <c r="U260" s="1342"/>
      <c r="V260" s="1290"/>
      <c r="W260" s="1295"/>
      <c r="X260" s="1296"/>
      <c r="Y260" s="1296"/>
      <c r="Z260" s="1296"/>
      <c r="AA260" s="1296"/>
      <c r="AB260" s="1318"/>
      <c r="AC260" s="1342"/>
      <c r="AD260" s="1290"/>
      <c r="AE260" s="1295"/>
      <c r="AF260" s="1296"/>
      <c r="AG260" s="1296"/>
      <c r="AH260" s="1296"/>
      <c r="AI260" s="1296"/>
      <c r="AJ260" s="1318"/>
      <c r="AK260" s="1342"/>
      <c r="AL260" s="1290"/>
      <c r="AM260" s="1295"/>
      <c r="AN260" s="1296"/>
      <c r="AO260" s="1296"/>
      <c r="AP260" s="1296"/>
      <c r="AQ260" s="1296"/>
      <c r="AR260" s="1318"/>
      <c r="AS260" s="1342"/>
      <c r="BJ260" s="1337"/>
      <c r="BK260" s="1338"/>
      <c r="BL260" s="1338"/>
      <c r="BM260" s="1338"/>
      <c r="BN260" s="1338"/>
      <c r="BO260" s="1339"/>
    </row>
    <row r="261" spans="1:67" ht="15" customHeight="1">
      <c r="A261" s="1309"/>
      <c r="B261" s="1165"/>
      <c r="C261" s="1166"/>
      <c r="D261" s="1166"/>
      <c r="E261" s="1166"/>
      <c r="F261" s="1166"/>
      <c r="G261" s="1292"/>
      <c r="H261" s="1270"/>
      <c r="I261" s="1207"/>
      <c r="J261" s="1207"/>
      <c r="K261" s="1207"/>
      <c r="N261" s="1291"/>
      <c r="O261" s="1298"/>
      <c r="P261" s="1299"/>
      <c r="Q261" s="1299"/>
      <c r="R261" s="1299"/>
      <c r="S261" s="1299"/>
      <c r="T261" s="1335"/>
      <c r="U261" s="1342"/>
      <c r="V261" s="1291"/>
      <c r="W261" s="1298"/>
      <c r="X261" s="1299"/>
      <c r="Y261" s="1299"/>
      <c r="Z261" s="1299"/>
      <c r="AA261" s="1299"/>
      <c r="AB261" s="1335"/>
      <c r="AC261" s="1342"/>
      <c r="AD261" s="1291"/>
      <c r="AE261" s="1298"/>
      <c r="AF261" s="1299"/>
      <c r="AG261" s="1299"/>
      <c r="AH261" s="1299"/>
      <c r="AI261" s="1299"/>
      <c r="AJ261" s="1335"/>
      <c r="AK261" s="1342"/>
      <c r="AL261" s="1291"/>
      <c r="AM261" s="1298"/>
      <c r="AN261" s="1299"/>
      <c r="AO261" s="1299"/>
      <c r="AP261" s="1299"/>
      <c r="AQ261" s="1299"/>
      <c r="AR261" s="1335"/>
      <c r="AS261" s="1342"/>
      <c r="BJ261" s="1337"/>
      <c r="BK261" s="1338"/>
      <c r="BL261" s="1338"/>
      <c r="BM261" s="1338"/>
      <c r="BN261" s="1338"/>
      <c r="BO261" s="1339"/>
    </row>
    <row r="262" spans="1:67" ht="15" customHeight="1">
      <c r="A262" s="1307">
        <v>1.1000000000000001</v>
      </c>
      <c r="B262" s="1161" t="s">
        <v>330</v>
      </c>
      <c r="C262" s="1162"/>
      <c r="D262" s="1162"/>
      <c r="E262" s="1162"/>
      <c r="F262" s="1162"/>
      <c r="G262" s="1199"/>
      <c r="H262" s="1268" t="str">
        <f t="shared" ref="H262" si="391">IF(ISBLANK(AZ$5),"",1)</f>
        <v/>
      </c>
      <c r="I262" s="1205" t="str">
        <f t="shared" ref="I262" si="392">IF(ISBLANK(BD$5),"",1)</f>
        <v/>
      </c>
      <c r="J262" s="1205" t="str">
        <f t="shared" ref="J262" si="393">IF(ISBLANK(BH$5),"",1)</f>
        <v/>
      </c>
      <c r="K262" s="1205" t="str">
        <f t="shared" ref="K262" si="394">IF(ISBLANK(BL$5),"",1)</f>
        <v/>
      </c>
      <c r="N262" s="1304">
        <v>4.3</v>
      </c>
      <c r="O262" s="1198" t="s">
        <v>883</v>
      </c>
      <c r="P262" s="1162"/>
      <c r="Q262" s="1162"/>
      <c r="R262" s="1162"/>
      <c r="S262" s="1162"/>
      <c r="T262" s="1199"/>
      <c r="U262" s="1226" t="str">
        <f t="shared" ref="U262" si="395">IF(ISBLANK(AZ$5),"",1)</f>
        <v/>
      </c>
      <c r="V262" s="1304">
        <v>4.3</v>
      </c>
      <c r="W262" s="1198" t="s">
        <v>883</v>
      </c>
      <c r="X262" s="1162"/>
      <c r="Y262" s="1162"/>
      <c r="Z262" s="1162"/>
      <c r="AA262" s="1162"/>
      <c r="AB262" s="1199"/>
      <c r="AC262" s="1226" t="str">
        <f t="shared" ref="AC262" si="396">IF(ISBLANK(BD$5),"",1)</f>
        <v/>
      </c>
      <c r="AD262" s="1258">
        <v>4.4000000000000004</v>
      </c>
      <c r="AE262" s="1198" t="s">
        <v>393</v>
      </c>
      <c r="AF262" s="1162"/>
      <c r="AG262" s="1162"/>
      <c r="AH262" s="1162"/>
      <c r="AI262" s="1162"/>
      <c r="AJ262" s="1199"/>
      <c r="AK262" s="1226" t="str">
        <f t="shared" ref="AK262" si="397">IF(ISBLANK(BH$5),"",1)</f>
        <v/>
      </c>
      <c r="AL262" s="1304">
        <v>4.3</v>
      </c>
      <c r="AM262" s="1198" t="s">
        <v>883</v>
      </c>
      <c r="AN262" s="1162"/>
      <c r="AO262" s="1162"/>
      <c r="AP262" s="1162"/>
      <c r="AQ262" s="1162"/>
      <c r="AR262" s="1199"/>
      <c r="AS262" s="1226" t="str">
        <f t="shared" ref="AS262" si="398">IF(ISBLANK(BL$5),"",1)</f>
        <v/>
      </c>
      <c r="BJ262" s="1337"/>
      <c r="BK262" s="1338"/>
      <c r="BL262" s="1338"/>
      <c r="BM262" s="1338"/>
      <c r="BN262" s="1338"/>
      <c r="BO262" s="1339"/>
    </row>
    <row r="263" spans="1:67" ht="15" customHeight="1">
      <c r="A263" s="1308"/>
      <c r="B263" s="1163"/>
      <c r="C263" s="1164"/>
      <c r="D263" s="1164"/>
      <c r="E263" s="1164"/>
      <c r="F263" s="1164"/>
      <c r="G263" s="1201"/>
      <c r="H263" s="1269"/>
      <c r="I263" s="1206"/>
      <c r="J263" s="1206"/>
      <c r="K263" s="1206"/>
      <c r="N263" s="1290"/>
      <c r="O263" s="1200"/>
      <c r="P263" s="1164"/>
      <c r="Q263" s="1164"/>
      <c r="R263" s="1164"/>
      <c r="S263" s="1164"/>
      <c r="T263" s="1201"/>
      <c r="U263" s="1342"/>
      <c r="V263" s="1290"/>
      <c r="W263" s="1200"/>
      <c r="X263" s="1164"/>
      <c r="Y263" s="1164"/>
      <c r="Z263" s="1164"/>
      <c r="AA263" s="1164"/>
      <c r="AB263" s="1201"/>
      <c r="AC263" s="1342"/>
      <c r="AD263" s="1258"/>
      <c r="AE263" s="1200"/>
      <c r="AF263" s="1164"/>
      <c r="AG263" s="1164"/>
      <c r="AH263" s="1164"/>
      <c r="AI263" s="1164"/>
      <c r="AJ263" s="1201"/>
      <c r="AK263" s="1342"/>
      <c r="AL263" s="1290"/>
      <c r="AM263" s="1200"/>
      <c r="AN263" s="1164"/>
      <c r="AO263" s="1164"/>
      <c r="AP263" s="1164"/>
      <c r="AQ263" s="1164"/>
      <c r="AR263" s="1201"/>
      <c r="AS263" s="1342"/>
      <c r="BJ263" s="1337"/>
      <c r="BK263" s="1338"/>
      <c r="BL263" s="1338"/>
      <c r="BM263" s="1338"/>
      <c r="BN263" s="1338"/>
      <c r="BO263" s="1339"/>
    </row>
    <row r="264" spans="1:67" ht="15" customHeight="1">
      <c r="A264" s="1309"/>
      <c r="B264" s="1165"/>
      <c r="C264" s="1166"/>
      <c r="D264" s="1166"/>
      <c r="E264" s="1166"/>
      <c r="F264" s="1166"/>
      <c r="G264" s="1292"/>
      <c r="H264" s="1270"/>
      <c r="I264" s="1207"/>
      <c r="J264" s="1207"/>
      <c r="K264" s="1207"/>
      <c r="N264" s="1291"/>
      <c r="O264" s="1202"/>
      <c r="P264" s="1203"/>
      <c r="Q264" s="1203"/>
      <c r="R264" s="1203"/>
      <c r="S264" s="1203"/>
      <c r="T264" s="1204"/>
      <c r="U264" s="1342"/>
      <c r="V264" s="1291"/>
      <c r="W264" s="1202"/>
      <c r="X264" s="1203"/>
      <c r="Y264" s="1203"/>
      <c r="Z264" s="1203"/>
      <c r="AA264" s="1203"/>
      <c r="AB264" s="1204"/>
      <c r="AC264" s="1342"/>
      <c r="AD264" s="1258"/>
      <c r="AE264" s="1202"/>
      <c r="AF264" s="1203"/>
      <c r="AG264" s="1203"/>
      <c r="AH264" s="1203"/>
      <c r="AI264" s="1203"/>
      <c r="AJ264" s="1204"/>
      <c r="AK264" s="1342"/>
      <c r="AL264" s="1291"/>
      <c r="AM264" s="1202"/>
      <c r="AN264" s="1203"/>
      <c r="AO264" s="1203"/>
      <c r="AP264" s="1203"/>
      <c r="AQ264" s="1203"/>
      <c r="AR264" s="1204"/>
      <c r="AS264" s="1342"/>
      <c r="BJ264" s="1337"/>
      <c r="BK264" s="1338"/>
      <c r="BL264" s="1338"/>
      <c r="BM264" s="1338"/>
      <c r="BN264" s="1338"/>
      <c r="BO264" s="1339"/>
    </row>
    <row r="265" spans="1:67" ht="15" customHeight="1">
      <c r="A265" s="1304">
        <v>1.5</v>
      </c>
      <c r="B265" s="1161" t="s">
        <v>336</v>
      </c>
      <c r="C265" s="1162"/>
      <c r="D265" s="1162"/>
      <c r="E265" s="1162"/>
      <c r="F265" s="1162"/>
      <c r="G265" s="1199"/>
      <c r="H265" s="1268" t="str">
        <f t="shared" ref="H265" si="399">IF(ISBLANK(AZ$5),"",1)</f>
        <v/>
      </c>
      <c r="I265" s="1205" t="str">
        <f t="shared" ref="I265" si="400">IF(ISBLANK(BD$5),"",1)</f>
        <v/>
      </c>
      <c r="J265" s="1205" t="str">
        <f t="shared" ref="J265" si="401">IF(ISBLANK(BH$5),"",1)</f>
        <v/>
      </c>
      <c r="K265" s="1205" t="str">
        <f t="shared" ref="K265" si="402">IF(ISBLANK(BL$5),"",1)</f>
        <v/>
      </c>
      <c r="N265" s="1322">
        <v>4.4000000000000004</v>
      </c>
      <c r="O265" s="1198" t="s">
        <v>884</v>
      </c>
      <c r="P265" s="1162"/>
      <c r="Q265" s="1162"/>
      <c r="R265" s="1162"/>
      <c r="S265" s="1162"/>
      <c r="T265" s="1199"/>
      <c r="U265" s="1226" t="str">
        <f t="shared" ref="U265" si="403">IF(ISBLANK(AZ$5),"",1)</f>
        <v/>
      </c>
      <c r="V265" s="1322">
        <v>4.3</v>
      </c>
      <c r="W265" s="1198" t="s">
        <v>393</v>
      </c>
      <c r="X265" s="1162"/>
      <c r="Y265" s="1162"/>
      <c r="Z265" s="1162"/>
      <c r="AA265" s="1162"/>
      <c r="AB265" s="1199"/>
      <c r="AC265" s="1226" t="str">
        <f t="shared" ref="AC265" si="404">IF(ISBLANK(BD$5),"",1)</f>
        <v/>
      </c>
      <c r="AD265" s="1322">
        <v>4.4000000000000004</v>
      </c>
      <c r="AE265" s="1198" t="s">
        <v>417</v>
      </c>
      <c r="AF265" s="1162"/>
      <c r="AG265" s="1162"/>
      <c r="AH265" s="1162"/>
      <c r="AI265" s="1162"/>
      <c r="AJ265" s="1199"/>
      <c r="AK265" s="1226" t="str">
        <f t="shared" ref="AK265" si="405">IF(ISBLANK(BH$5),"",1)</f>
        <v/>
      </c>
      <c r="AL265" s="1196">
        <v>4.3</v>
      </c>
      <c r="AM265" s="1198" t="s">
        <v>421</v>
      </c>
      <c r="AN265" s="1162"/>
      <c r="AO265" s="1162"/>
      <c r="AP265" s="1162"/>
      <c r="AQ265" s="1162"/>
      <c r="AR265" s="1199"/>
      <c r="AS265" s="1226" t="str">
        <f t="shared" ref="AS265" si="406">IF(ISBLANK(BL$5),"",1)</f>
        <v/>
      </c>
      <c r="BJ265" s="1337"/>
      <c r="BK265" s="1338"/>
      <c r="BL265" s="1338"/>
      <c r="BM265" s="1338"/>
      <c r="BN265" s="1338"/>
      <c r="BO265" s="1339"/>
    </row>
    <row r="266" spans="1:67" ht="15" customHeight="1">
      <c r="A266" s="1290"/>
      <c r="B266" s="1163"/>
      <c r="C266" s="1164"/>
      <c r="D266" s="1164"/>
      <c r="E266" s="1164"/>
      <c r="F266" s="1164"/>
      <c r="G266" s="1201"/>
      <c r="H266" s="1269"/>
      <c r="I266" s="1206"/>
      <c r="J266" s="1206"/>
      <c r="K266" s="1206"/>
      <c r="N266" s="1293"/>
      <c r="O266" s="1200"/>
      <c r="P266" s="1164"/>
      <c r="Q266" s="1164"/>
      <c r="R266" s="1164"/>
      <c r="S266" s="1164"/>
      <c r="T266" s="1201"/>
      <c r="U266" s="1342"/>
      <c r="V266" s="1293"/>
      <c r="W266" s="1200"/>
      <c r="X266" s="1164"/>
      <c r="Y266" s="1164"/>
      <c r="Z266" s="1164"/>
      <c r="AA266" s="1164"/>
      <c r="AB266" s="1201"/>
      <c r="AC266" s="1342"/>
      <c r="AD266" s="1293"/>
      <c r="AE266" s="1200"/>
      <c r="AF266" s="1164"/>
      <c r="AG266" s="1164"/>
      <c r="AH266" s="1164"/>
      <c r="AI266" s="1164"/>
      <c r="AJ266" s="1201"/>
      <c r="AK266" s="1342"/>
      <c r="AL266" s="1197"/>
      <c r="AM266" s="1200"/>
      <c r="AN266" s="1164"/>
      <c r="AO266" s="1164"/>
      <c r="AP266" s="1164"/>
      <c r="AQ266" s="1164"/>
      <c r="AR266" s="1201"/>
      <c r="AS266" s="1342"/>
      <c r="BJ266" s="1337"/>
      <c r="BK266" s="1338"/>
      <c r="BL266" s="1338"/>
      <c r="BM266" s="1338"/>
      <c r="BN266" s="1338"/>
      <c r="BO266" s="1339"/>
    </row>
    <row r="267" spans="1:67" ht="15" customHeight="1">
      <c r="A267" s="1291"/>
      <c r="B267" s="1165"/>
      <c r="C267" s="1166"/>
      <c r="D267" s="1166"/>
      <c r="E267" s="1166"/>
      <c r="F267" s="1166"/>
      <c r="G267" s="1292"/>
      <c r="H267" s="1270"/>
      <c r="I267" s="1207"/>
      <c r="J267" s="1207"/>
      <c r="K267" s="1207"/>
      <c r="N267" s="1294"/>
      <c r="O267" s="1202"/>
      <c r="P267" s="1203"/>
      <c r="Q267" s="1203"/>
      <c r="R267" s="1203"/>
      <c r="S267" s="1203"/>
      <c r="T267" s="1204"/>
      <c r="U267" s="1342"/>
      <c r="V267" s="1294"/>
      <c r="W267" s="1202"/>
      <c r="X267" s="1203"/>
      <c r="Y267" s="1203"/>
      <c r="Z267" s="1203"/>
      <c r="AA267" s="1203"/>
      <c r="AB267" s="1204"/>
      <c r="AC267" s="1342"/>
      <c r="AD267" s="1294"/>
      <c r="AE267" s="1202"/>
      <c r="AF267" s="1203"/>
      <c r="AG267" s="1203"/>
      <c r="AH267" s="1203"/>
      <c r="AI267" s="1203"/>
      <c r="AJ267" s="1204"/>
      <c r="AK267" s="1342"/>
      <c r="AL267" s="1197"/>
      <c r="AM267" s="1202"/>
      <c r="AN267" s="1203"/>
      <c r="AO267" s="1203"/>
      <c r="AP267" s="1203"/>
      <c r="AQ267" s="1203"/>
      <c r="AR267" s="1204"/>
      <c r="AS267" s="1342"/>
      <c r="BJ267" s="1337"/>
      <c r="BK267" s="1338"/>
      <c r="BL267" s="1338"/>
      <c r="BM267" s="1338"/>
      <c r="BN267" s="1338"/>
      <c r="BO267" s="1339"/>
    </row>
    <row r="268" spans="1:67" ht="15" customHeight="1">
      <c r="A268" s="1304">
        <v>2.1</v>
      </c>
      <c r="B268" s="1161" t="s">
        <v>360</v>
      </c>
      <c r="C268" s="1162"/>
      <c r="D268" s="1162"/>
      <c r="E268" s="1162"/>
      <c r="F268" s="1162"/>
      <c r="G268" s="1199"/>
      <c r="H268" s="1268" t="str">
        <f t="shared" ref="H268" si="407">IF(ISBLANK(AZ$5),"",1)</f>
        <v/>
      </c>
      <c r="I268" s="1205" t="str">
        <f t="shared" ref="I268" si="408">IF(ISBLANK(BD$5),"",1)</f>
        <v/>
      </c>
      <c r="J268" s="1205" t="str">
        <f t="shared" ref="J268" si="409">IF(ISBLANK(BH$5),"",1)</f>
        <v/>
      </c>
      <c r="K268" s="1205" t="str">
        <f t="shared" ref="K268" si="410">IF(ISBLANK(BL$5),"",1)</f>
        <v/>
      </c>
      <c r="N268" s="1258">
        <v>4.4000000000000004</v>
      </c>
      <c r="O268" s="1198" t="s">
        <v>417</v>
      </c>
      <c r="P268" s="1162"/>
      <c r="Q268" s="1162"/>
      <c r="R268" s="1162"/>
      <c r="S268" s="1162"/>
      <c r="T268" s="1199"/>
      <c r="U268" s="1226" t="str">
        <f t="shared" ref="U268" si="411">IF(ISBLANK(AZ$5),"",1)</f>
        <v/>
      </c>
      <c r="V268" s="1322">
        <v>4.4000000000000004</v>
      </c>
      <c r="W268" s="1198" t="s">
        <v>417</v>
      </c>
      <c r="X268" s="1162"/>
      <c r="Y268" s="1162"/>
      <c r="Z268" s="1162"/>
      <c r="AA268" s="1162"/>
      <c r="AB268" s="1199"/>
      <c r="AC268" s="1226" t="str">
        <f t="shared" ref="AC268" si="412">IF(ISBLANK(BD$5),"",1)</f>
        <v/>
      </c>
      <c r="AD268" s="1304">
        <v>4.4000000000000004</v>
      </c>
      <c r="AE268" s="1198" t="s">
        <v>359</v>
      </c>
      <c r="AF268" s="1162"/>
      <c r="AG268" s="1162"/>
      <c r="AH268" s="1162"/>
      <c r="AI268" s="1162"/>
      <c r="AJ268" s="1199"/>
      <c r="AK268" s="1226" t="str">
        <f t="shared" ref="AK268" si="413">IF(ISBLANK(BH$5),"",1)</f>
        <v/>
      </c>
      <c r="AL268" s="1196">
        <v>4.4000000000000004</v>
      </c>
      <c r="AM268" s="1198" t="s">
        <v>418</v>
      </c>
      <c r="AN268" s="1162"/>
      <c r="AO268" s="1162"/>
      <c r="AP268" s="1162"/>
      <c r="AQ268" s="1162"/>
      <c r="AR268" s="1199"/>
      <c r="AS268" s="1226" t="str">
        <f t="shared" ref="AS268" si="414">IF(ISBLANK(BL$5),"",1)</f>
        <v/>
      </c>
      <c r="BJ268" s="1337"/>
      <c r="BK268" s="1338"/>
      <c r="BL268" s="1338"/>
      <c r="BM268" s="1338"/>
      <c r="BN268" s="1338"/>
      <c r="BO268" s="1339"/>
    </row>
    <row r="269" spans="1:67" ht="15" customHeight="1">
      <c r="A269" s="1290"/>
      <c r="B269" s="1163"/>
      <c r="C269" s="1164"/>
      <c r="D269" s="1164"/>
      <c r="E269" s="1164"/>
      <c r="F269" s="1164"/>
      <c r="G269" s="1201"/>
      <c r="H269" s="1269"/>
      <c r="I269" s="1206"/>
      <c r="J269" s="1206"/>
      <c r="K269" s="1206"/>
      <c r="N269" s="1258"/>
      <c r="O269" s="1200"/>
      <c r="P269" s="1164"/>
      <c r="Q269" s="1164"/>
      <c r="R269" s="1164"/>
      <c r="S269" s="1164"/>
      <c r="T269" s="1201"/>
      <c r="U269" s="1342"/>
      <c r="V269" s="1293"/>
      <c r="W269" s="1200"/>
      <c r="X269" s="1164"/>
      <c r="Y269" s="1164"/>
      <c r="Z269" s="1164"/>
      <c r="AA269" s="1164"/>
      <c r="AB269" s="1201"/>
      <c r="AC269" s="1342"/>
      <c r="AD269" s="1290"/>
      <c r="AE269" s="1200"/>
      <c r="AF269" s="1164"/>
      <c r="AG269" s="1164"/>
      <c r="AH269" s="1164"/>
      <c r="AI269" s="1164"/>
      <c r="AJ269" s="1201"/>
      <c r="AK269" s="1342"/>
      <c r="AL269" s="1197"/>
      <c r="AM269" s="1200"/>
      <c r="AN269" s="1164"/>
      <c r="AO269" s="1164"/>
      <c r="AP269" s="1164"/>
      <c r="AQ269" s="1164"/>
      <c r="AR269" s="1201"/>
      <c r="AS269" s="1342"/>
      <c r="BJ269" s="1337"/>
      <c r="BK269" s="1338"/>
      <c r="BL269" s="1338"/>
      <c r="BM269" s="1338"/>
      <c r="BN269" s="1338"/>
      <c r="BO269" s="1339"/>
    </row>
    <row r="270" spans="1:67" ht="15" customHeight="1">
      <c r="A270" s="1291"/>
      <c r="B270" s="1165"/>
      <c r="C270" s="1166"/>
      <c r="D270" s="1166"/>
      <c r="E270" s="1166"/>
      <c r="F270" s="1166"/>
      <c r="G270" s="1292"/>
      <c r="H270" s="1270"/>
      <c r="I270" s="1207"/>
      <c r="J270" s="1207"/>
      <c r="K270" s="1207"/>
      <c r="N270" s="1258"/>
      <c r="O270" s="1202"/>
      <c r="P270" s="1203"/>
      <c r="Q270" s="1203"/>
      <c r="R270" s="1203"/>
      <c r="S270" s="1203"/>
      <c r="T270" s="1204"/>
      <c r="U270" s="1342"/>
      <c r="V270" s="1294"/>
      <c r="W270" s="1202"/>
      <c r="X270" s="1203"/>
      <c r="Y270" s="1203"/>
      <c r="Z270" s="1203"/>
      <c r="AA270" s="1203"/>
      <c r="AB270" s="1204"/>
      <c r="AC270" s="1342"/>
      <c r="AD270" s="1291"/>
      <c r="AE270" s="1202"/>
      <c r="AF270" s="1203"/>
      <c r="AG270" s="1203"/>
      <c r="AH270" s="1203"/>
      <c r="AI270" s="1203"/>
      <c r="AJ270" s="1204"/>
      <c r="AK270" s="1342"/>
      <c r="AL270" s="1197"/>
      <c r="AM270" s="1202"/>
      <c r="AN270" s="1203"/>
      <c r="AO270" s="1203"/>
      <c r="AP270" s="1203"/>
      <c r="AQ270" s="1203"/>
      <c r="AR270" s="1204"/>
      <c r="AS270" s="1342"/>
      <c r="BJ270" s="1337"/>
      <c r="BK270" s="1338"/>
      <c r="BL270" s="1338"/>
      <c r="BM270" s="1338"/>
      <c r="BN270" s="1338"/>
      <c r="BO270" s="1339"/>
    </row>
    <row r="271" spans="1:67" ht="15" customHeight="1">
      <c r="A271" s="1304">
        <v>2.4</v>
      </c>
      <c r="B271" s="1161" t="s">
        <v>942</v>
      </c>
      <c r="C271" s="1162"/>
      <c r="D271" s="1162"/>
      <c r="E271" s="1162"/>
      <c r="F271" s="1162"/>
      <c r="G271" s="1199"/>
      <c r="H271" s="1268" t="str">
        <f t="shared" ref="H271" si="415">IF(ISBLANK(AZ$5),"",1)</f>
        <v/>
      </c>
      <c r="I271" s="1205" t="str">
        <f t="shared" ref="I271" si="416">IF(ISBLANK(BD$5),"",1)</f>
        <v/>
      </c>
      <c r="J271" s="1205" t="str">
        <f t="shared" ref="J271" si="417">IF(ISBLANK(BH$5),"",1)</f>
        <v/>
      </c>
      <c r="K271" s="1205" t="str">
        <f t="shared" ref="K271" si="418">IF(ISBLANK(BL$5),"",1)</f>
        <v/>
      </c>
      <c r="N271" s="1304">
        <v>4.4000000000000004</v>
      </c>
      <c r="O271" s="1198" t="s">
        <v>885</v>
      </c>
      <c r="P271" s="1162"/>
      <c r="Q271" s="1162"/>
      <c r="R271" s="1162"/>
      <c r="S271" s="1162"/>
      <c r="T271" s="1199"/>
      <c r="U271" s="1226" t="str">
        <f t="shared" ref="U271" si="419">IF(ISBLANK(AZ$5),"",1)</f>
        <v/>
      </c>
      <c r="V271" s="1304">
        <v>4.4000000000000004</v>
      </c>
      <c r="W271" s="1198" t="s">
        <v>359</v>
      </c>
      <c r="X271" s="1162"/>
      <c r="Y271" s="1162"/>
      <c r="Z271" s="1162"/>
      <c r="AA271" s="1162"/>
      <c r="AB271" s="1199"/>
      <c r="AC271" s="1226" t="str">
        <f t="shared" ref="AC271" si="420">IF(ISBLANK(BD$5),"",1)</f>
        <v/>
      </c>
      <c r="AD271" s="1258">
        <v>4.4000000000000004</v>
      </c>
      <c r="AE271" s="1198" t="s">
        <v>395</v>
      </c>
      <c r="AF271" s="1162"/>
      <c r="AG271" s="1162"/>
      <c r="AH271" s="1162"/>
      <c r="AI271" s="1162"/>
      <c r="AJ271" s="1199"/>
      <c r="AK271" s="1226" t="str">
        <f t="shared" ref="AK271" si="421">IF(ISBLANK(BH$5),"",1)</f>
        <v/>
      </c>
      <c r="AL271" s="1196">
        <v>4.4000000000000004</v>
      </c>
      <c r="AM271" s="1198" t="s">
        <v>417</v>
      </c>
      <c r="AN271" s="1162"/>
      <c r="AO271" s="1162"/>
      <c r="AP271" s="1162"/>
      <c r="AQ271" s="1162"/>
      <c r="AR271" s="1199"/>
      <c r="AS271" s="1226" t="str">
        <f t="shared" ref="AS271" si="422">IF(ISBLANK(BL$5),"",1)</f>
        <v/>
      </c>
      <c r="BJ271" s="1337"/>
      <c r="BK271" s="1338"/>
      <c r="BL271" s="1338"/>
      <c r="BM271" s="1338"/>
      <c r="BN271" s="1338"/>
      <c r="BO271" s="1339"/>
    </row>
    <row r="272" spans="1:67" ht="15" customHeight="1">
      <c r="A272" s="1290"/>
      <c r="B272" s="1163"/>
      <c r="C272" s="1164"/>
      <c r="D272" s="1164"/>
      <c r="E272" s="1164"/>
      <c r="F272" s="1164"/>
      <c r="G272" s="1201"/>
      <c r="H272" s="1269"/>
      <c r="I272" s="1206"/>
      <c r="J272" s="1206"/>
      <c r="K272" s="1206"/>
      <c r="N272" s="1290"/>
      <c r="O272" s="1200"/>
      <c r="P272" s="1164"/>
      <c r="Q272" s="1164"/>
      <c r="R272" s="1164"/>
      <c r="S272" s="1164"/>
      <c r="T272" s="1201"/>
      <c r="U272" s="1342"/>
      <c r="V272" s="1290"/>
      <c r="W272" s="1200"/>
      <c r="X272" s="1164"/>
      <c r="Y272" s="1164"/>
      <c r="Z272" s="1164"/>
      <c r="AA272" s="1164"/>
      <c r="AB272" s="1201"/>
      <c r="AC272" s="1342"/>
      <c r="AD272" s="1258"/>
      <c r="AE272" s="1200"/>
      <c r="AF272" s="1164"/>
      <c r="AG272" s="1164"/>
      <c r="AH272" s="1164"/>
      <c r="AI272" s="1164"/>
      <c r="AJ272" s="1201"/>
      <c r="AK272" s="1342"/>
      <c r="AL272" s="1197"/>
      <c r="AM272" s="1200"/>
      <c r="AN272" s="1164"/>
      <c r="AO272" s="1164"/>
      <c r="AP272" s="1164"/>
      <c r="AQ272" s="1164"/>
      <c r="AR272" s="1201"/>
      <c r="AS272" s="1342"/>
      <c r="BJ272" s="1337"/>
      <c r="BK272" s="1338"/>
      <c r="BL272" s="1338"/>
      <c r="BM272" s="1338"/>
      <c r="BN272" s="1338"/>
      <c r="BO272" s="1339"/>
    </row>
    <row r="273" spans="1:67" ht="15" customHeight="1">
      <c r="A273" s="1291"/>
      <c r="B273" s="1165"/>
      <c r="C273" s="1166"/>
      <c r="D273" s="1166"/>
      <c r="E273" s="1166"/>
      <c r="F273" s="1166"/>
      <c r="G273" s="1292"/>
      <c r="H273" s="1270"/>
      <c r="I273" s="1207"/>
      <c r="J273" s="1207"/>
      <c r="K273" s="1207"/>
      <c r="N273" s="1291"/>
      <c r="O273" s="1202"/>
      <c r="P273" s="1203"/>
      <c r="Q273" s="1203"/>
      <c r="R273" s="1203"/>
      <c r="S273" s="1203"/>
      <c r="T273" s="1204"/>
      <c r="U273" s="1342"/>
      <c r="V273" s="1291"/>
      <c r="W273" s="1202"/>
      <c r="X273" s="1203"/>
      <c r="Y273" s="1203"/>
      <c r="Z273" s="1203"/>
      <c r="AA273" s="1203"/>
      <c r="AB273" s="1204"/>
      <c r="AC273" s="1342"/>
      <c r="AD273" s="1258"/>
      <c r="AE273" s="1202"/>
      <c r="AF273" s="1203"/>
      <c r="AG273" s="1203"/>
      <c r="AH273" s="1203"/>
      <c r="AI273" s="1203"/>
      <c r="AJ273" s="1204"/>
      <c r="AK273" s="1342"/>
      <c r="AL273" s="1197"/>
      <c r="AM273" s="1202"/>
      <c r="AN273" s="1203"/>
      <c r="AO273" s="1203"/>
      <c r="AP273" s="1203"/>
      <c r="AQ273" s="1203"/>
      <c r="AR273" s="1204"/>
      <c r="AS273" s="1342"/>
      <c r="BJ273" s="1337"/>
      <c r="BK273" s="1338"/>
      <c r="BL273" s="1338"/>
      <c r="BM273" s="1338"/>
      <c r="BN273" s="1338"/>
      <c r="BO273" s="1339"/>
    </row>
    <row r="274" spans="1:67" ht="15" customHeight="1">
      <c r="A274" s="252"/>
      <c r="B274" s="243"/>
      <c r="C274" s="242"/>
      <c r="D274" s="242"/>
      <c r="F274" s="278">
        <v>1.1000000000000001</v>
      </c>
      <c r="G274" s="311">
        <f>COUNTIF($A$247:$A$273,F274)</f>
        <v>4</v>
      </c>
      <c r="H274" s="240" t="str">
        <f>IF($AZ$5=1,SUMIF($A$247:$A$273,$F274,$H$247:$H$273),"")</f>
        <v/>
      </c>
      <c r="I274" s="240" t="str">
        <f>IF($BD$5=1,SUMIF($A$247:$A$273,$F274,$I$247:$I$273),"")</f>
        <v/>
      </c>
      <c r="J274" s="240" t="str">
        <f>IF($BH$5=1,SUMIF($A$247:$A$273,$F274,$J$247:$J$273),"")</f>
        <v/>
      </c>
      <c r="K274" s="240" t="str">
        <f>IF($BL$5=1,SUMIF($A$247:$A$273,$F274,$K$247:$K$273),"")</f>
        <v/>
      </c>
      <c r="N274" s="1258">
        <v>4.4000000000000004</v>
      </c>
      <c r="O274" s="1198" t="s">
        <v>395</v>
      </c>
      <c r="P274" s="1162"/>
      <c r="Q274" s="1162"/>
      <c r="R274" s="1162"/>
      <c r="S274" s="1162"/>
      <c r="T274" s="1199"/>
      <c r="U274" s="1226" t="str">
        <f t="shared" ref="U274" si="423">IF(ISBLANK(AZ$5),"",1)</f>
        <v/>
      </c>
      <c r="V274" s="1258">
        <v>4.4000000000000004</v>
      </c>
      <c r="W274" s="1198" t="s">
        <v>395</v>
      </c>
      <c r="X274" s="1162"/>
      <c r="Y274" s="1162"/>
      <c r="Z274" s="1162"/>
      <c r="AA274" s="1162"/>
      <c r="AB274" s="1199"/>
      <c r="AC274" s="1226" t="str">
        <f t="shared" ref="AC274" si="424">IF(ISBLANK(BD$5),"",1)</f>
        <v/>
      </c>
      <c r="AD274" s="1304">
        <v>4.4000000000000004</v>
      </c>
      <c r="AE274" s="1198" t="s">
        <v>878</v>
      </c>
      <c r="AF274" s="1162"/>
      <c r="AG274" s="1162"/>
      <c r="AH274" s="1162"/>
      <c r="AI274" s="1162"/>
      <c r="AJ274" s="1199"/>
      <c r="AK274" s="1226" t="str">
        <f t="shared" ref="AK274" si="425">IF(ISBLANK(BH$5),"",1)</f>
        <v/>
      </c>
      <c r="AL274" s="1196">
        <v>4.4000000000000004</v>
      </c>
      <c r="AM274" s="1198" t="s">
        <v>422</v>
      </c>
      <c r="AN274" s="1162"/>
      <c r="AO274" s="1162"/>
      <c r="AP274" s="1162"/>
      <c r="AQ274" s="1162"/>
      <c r="AR274" s="1199"/>
      <c r="AS274" s="1226" t="str">
        <f t="shared" ref="AS274" si="426">IF(ISBLANK(BL$5),"",1)</f>
        <v/>
      </c>
      <c r="BJ274" s="1337"/>
      <c r="BK274" s="1338"/>
      <c r="BL274" s="1338"/>
      <c r="BM274" s="1338"/>
      <c r="BN274" s="1338"/>
      <c r="BO274" s="1339"/>
    </row>
    <row r="275" spans="1:67" ht="15" customHeight="1">
      <c r="A275" s="252"/>
      <c r="B275" s="243"/>
      <c r="C275" s="242"/>
      <c r="D275" s="242"/>
      <c r="F275" s="278">
        <v>1.5</v>
      </c>
      <c r="G275" s="311">
        <f t="shared" ref="G275:G277" si="427">COUNTIF($A$247:$A$273,F275)</f>
        <v>1</v>
      </c>
      <c r="H275" s="240" t="str">
        <f t="shared" ref="H275:H277" si="428">IF($AZ$5=1,SUMIF($A$247:$A$273,$F275,$H$247:$H$273),"")</f>
        <v/>
      </c>
      <c r="I275" s="240" t="str">
        <f t="shared" ref="I275:I277" si="429">IF($BD$5=1,SUMIF($A$247:$A$273,$F275,$I$247:$I$273),"")</f>
        <v/>
      </c>
      <c r="J275" s="240" t="str">
        <f t="shared" ref="J275:J277" si="430">IF($BH$5=1,SUMIF($A$247:$A$273,$F275,$J$247:$J$273),"")</f>
        <v/>
      </c>
      <c r="K275" s="240" t="str">
        <f t="shared" ref="K275:K277" si="431">IF($BL$5=1,SUMIF($A$247:$A$273,$F275,$K$247:$K$273),"")</f>
        <v/>
      </c>
      <c r="N275" s="1258"/>
      <c r="O275" s="1200"/>
      <c r="P275" s="1164"/>
      <c r="Q275" s="1164"/>
      <c r="R275" s="1164"/>
      <c r="S275" s="1164"/>
      <c r="T275" s="1201"/>
      <c r="U275" s="1342"/>
      <c r="V275" s="1258"/>
      <c r="W275" s="1200"/>
      <c r="X275" s="1164"/>
      <c r="Y275" s="1164"/>
      <c r="Z275" s="1164"/>
      <c r="AA275" s="1164"/>
      <c r="AB275" s="1201"/>
      <c r="AC275" s="1342"/>
      <c r="AD275" s="1290"/>
      <c r="AE275" s="1200"/>
      <c r="AF275" s="1164"/>
      <c r="AG275" s="1164"/>
      <c r="AH275" s="1164"/>
      <c r="AI275" s="1164"/>
      <c r="AJ275" s="1201"/>
      <c r="AK275" s="1342"/>
      <c r="AL275" s="1197"/>
      <c r="AM275" s="1200"/>
      <c r="AN275" s="1164"/>
      <c r="AO275" s="1164"/>
      <c r="AP275" s="1164"/>
      <c r="AQ275" s="1164"/>
      <c r="AR275" s="1201"/>
      <c r="AS275" s="1342"/>
      <c r="BJ275" s="1222"/>
      <c r="BK275" s="1223"/>
      <c r="BL275" s="1223"/>
      <c r="BM275" s="1223"/>
      <c r="BN275" s="1223"/>
      <c r="BO275" s="1224"/>
    </row>
    <row r="276" spans="1:67" ht="15" customHeight="1">
      <c r="A276" s="249"/>
      <c r="B276" s="249"/>
      <c r="C276" s="249"/>
      <c r="D276" s="249"/>
      <c r="F276" s="277">
        <v>2.1</v>
      </c>
      <c r="G276" s="311">
        <f t="shared" si="427"/>
        <v>2</v>
      </c>
      <c r="H276" s="240" t="str">
        <f t="shared" si="428"/>
        <v/>
      </c>
      <c r="I276" s="240" t="str">
        <f t="shared" si="429"/>
        <v/>
      </c>
      <c r="J276" s="240" t="str">
        <f t="shared" si="430"/>
        <v/>
      </c>
      <c r="K276" s="240" t="str">
        <f t="shared" si="431"/>
        <v/>
      </c>
      <c r="N276" s="1258"/>
      <c r="O276" s="1202"/>
      <c r="P276" s="1203"/>
      <c r="Q276" s="1203"/>
      <c r="R276" s="1203"/>
      <c r="S276" s="1203"/>
      <c r="T276" s="1204"/>
      <c r="U276" s="1342"/>
      <c r="V276" s="1258"/>
      <c r="W276" s="1202"/>
      <c r="X276" s="1203"/>
      <c r="Y276" s="1203"/>
      <c r="Z276" s="1203"/>
      <c r="AA276" s="1203"/>
      <c r="AB276" s="1204"/>
      <c r="AC276" s="1342"/>
      <c r="AD276" s="1291"/>
      <c r="AE276" s="1202"/>
      <c r="AF276" s="1203"/>
      <c r="AG276" s="1203"/>
      <c r="AH276" s="1203"/>
      <c r="AI276" s="1203"/>
      <c r="AJ276" s="1204"/>
      <c r="AK276" s="1342"/>
      <c r="AL276" s="1197"/>
      <c r="AM276" s="1202"/>
      <c r="AN276" s="1203"/>
      <c r="AO276" s="1203"/>
      <c r="AP276" s="1203"/>
      <c r="AQ276" s="1203"/>
      <c r="AR276" s="1204"/>
      <c r="AS276" s="1342"/>
    </row>
    <row r="277" spans="1:67" ht="15" customHeight="1">
      <c r="F277" s="277">
        <v>2.4</v>
      </c>
      <c r="G277" s="311">
        <f t="shared" si="427"/>
        <v>2</v>
      </c>
      <c r="H277" s="240" t="str">
        <f t="shared" si="428"/>
        <v/>
      </c>
      <c r="I277" s="240" t="str">
        <f t="shared" si="429"/>
        <v/>
      </c>
      <c r="J277" s="240" t="str">
        <f t="shared" si="430"/>
        <v/>
      </c>
      <c r="K277" s="240" t="str">
        <f t="shared" si="431"/>
        <v/>
      </c>
      <c r="N277" s="1304">
        <v>4.4000000000000004</v>
      </c>
      <c r="O277" s="1198" t="s">
        <v>878</v>
      </c>
      <c r="P277" s="1162"/>
      <c r="Q277" s="1162"/>
      <c r="R277" s="1162"/>
      <c r="S277" s="1162"/>
      <c r="T277" s="1199"/>
      <c r="U277" s="1226" t="str">
        <f t="shared" ref="U277" si="432">IF(ISBLANK(AZ$5),"",1)</f>
        <v/>
      </c>
      <c r="V277" s="1304">
        <v>4.4000000000000004</v>
      </c>
      <c r="W277" s="1198" t="s">
        <v>878</v>
      </c>
      <c r="X277" s="1162"/>
      <c r="Y277" s="1162"/>
      <c r="Z277" s="1162"/>
      <c r="AA277" s="1162"/>
      <c r="AB277" s="1199"/>
      <c r="AC277" s="1226" t="str">
        <f t="shared" ref="AC277" si="433">IF(ISBLANK(BD$5),"",1)</f>
        <v/>
      </c>
      <c r="AD277" s="1307">
        <v>1.5</v>
      </c>
      <c r="AE277" s="1198" t="s">
        <v>373</v>
      </c>
      <c r="AF277" s="1162"/>
      <c r="AG277" s="1162"/>
      <c r="AH277" s="1162"/>
      <c r="AI277" s="1162"/>
      <c r="AJ277" s="1199"/>
      <c r="AK277" s="1226" t="str">
        <f t="shared" ref="AK277" si="434">IF(ISBLANK(BH$5),"",1)</f>
        <v/>
      </c>
      <c r="AL277" s="1196">
        <v>4.4000000000000004</v>
      </c>
      <c r="AM277" s="1198" t="s">
        <v>420</v>
      </c>
      <c r="AN277" s="1162"/>
      <c r="AO277" s="1162"/>
      <c r="AP277" s="1162"/>
      <c r="AQ277" s="1162"/>
      <c r="AR277" s="1199"/>
      <c r="AS277" s="1226" t="str">
        <f t="shared" ref="AS277" si="435">IF(ISBLANK(BL$5),"",1)</f>
        <v/>
      </c>
    </row>
    <row r="278" spans="1:67" ht="15" customHeight="1">
      <c r="N278" s="1290"/>
      <c r="O278" s="1200"/>
      <c r="P278" s="1164"/>
      <c r="Q278" s="1164"/>
      <c r="R278" s="1164"/>
      <c r="S278" s="1164"/>
      <c r="T278" s="1201"/>
      <c r="U278" s="1342"/>
      <c r="V278" s="1290"/>
      <c r="W278" s="1200"/>
      <c r="X278" s="1164"/>
      <c r="Y278" s="1164"/>
      <c r="Z278" s="1164"/>
      <c r="AA278" s="1164"/>
      <c r="AB278" s="1201"/>
      <c r="AC278" s="1342"/>
      <c r="AD278" s="1308"/>
      <c r="AE278" s="1200"/>
      <c r="AF278" s="1164"/>
      <c r="AG278" s="1164"/>
      <c r="AH278" s="1164"/>
      <c r="AI278" s="1164"/>
      <c r="AJ278" s="1201"/>
      <c r="AK278" s="1342"/>
      <c r="AL278" s="1197"/>
      <c r="AM278" s="1200"/>
      <c r="AN278" s="1164"/>
      <c r="AO278" s="1164"/>
      <c r="AP278" s="1164"/>
      <c r="AQ278" s="1164"/>
      <c r="AR278" s="1201"/>
      <c r="AS278" s="1342"/>
    </row>
    <row r="279" spans="1:67" ht="15" customHeight="1">
      <c r="A279" s="1209"/>
      <c r="B279" s="1210" t="s">
        <v>609</v>
      </c>
      <c r="C279" s="1211"/>
      <c r="D279" s="1211"/>
      <c r="E279" s="1211"/>
      <c r="F279" s="1211"/>
      <c r="G279" s="1211"/>
      <c r="H279" s="1174">
        <v>13</v>
      </c>
      <c r="I279" s="1174">
        <v>14</v>
      </c>
      <c r="J279" s="1174">
        <v>15</v>
      </c>
      <c r="K279" s="1174">
        <v>16</v>
      </c>
      <c r="N279" s="1291"/>
      <c r="O279" s="1202"/>
      <c r="P279" s="1203"/>
      <c r="Q279" s="1203"/>
      <c r="R279" s="1203"/>
      <c r="S279" s="1203"/>
      <c r="T279" s="1204"/>
      <c r="U279" s="1342"/>
      <c r="V279" s="1291"/>
      <c r="W279" s="1202"/>
      <c r="X279" s="1203"/>
      <c r="Y279" s="1203"/>
      <c r="Z279" s="1203"/>
      <c r="AA279" s="1203"/>
      <c r="AB279" s="1204"/>
      <c r="AC279" s="1342"/>
      <c r="AD279" s="1309"/>
      <c r="AE279" s="1202"/>
      <c r="AF279" s="1203"/>
      <c r="AG279" s="1203"/>
      <c r="AH279" s="1203"/>
      <c r="AI279" s="1203"/>
      <c r="AJ279" s="1204"/>
      <c r="AK279" s="1342"/>
      <c r="AL279" s="1197"/>
      <c r="AM279" s="1202"/>
      <c r="AN279" s="1203"/>
      <c r="AO279" s="1203"/>
      <c r="AP279" s="1203"/>
      <c r="AQ279" s="1203"/>
      <c r="AR279" s="1204"/>
      <c r="AS279" s="1342"/>
    </row>
    <row r="280" spans="1:67" ht="15" customHeight="1">
      <c r="A280" s="1209"/>
      <c r="B280" s="1212"/>
      <c r="C280" s="1213"/>
      <c r="D280" s="1213"/>
      <c r="E280" s="1213"/>
      <c r="F280" s="1213"/>
      <c r="G280" s="1213"/>
      <c r="H280" s="1174"/>
      <c r="I280" s="1174"/>
      <c r="J280" s="1174"/>
      <c r="K280" s="1174"/>
      <c r="N280" s="1307">
        <v>1.5</v>
      </c>
      <c r="O280" s="1198" t="s">
        <v>373</v>
      </c>
      <c r="P280" s="1162"/>
      <c r="Q280" s="1162"/>
      <c r="R280" s="1162"/>
      <c r="S280" s="1162"/>
      <c r="T280" s="1199"/>
      <c r="U280" s="1226" t="str">
        <f t="shared" ref="U280" si="436">IF(ISBLANK(AZ$5),"",1)</f>
        <v/>
      </c>
      <c r="V280" s="1307">
        <v>1.5</v>
      </c>
      <c r="W280" s="1198" t="s">
        <v>373</v>
      </c>
      <c r="X280" s="1162"/>
      <c r="Y280" s="1162"/>
      <c r="Z280" s="1162"/>
      <c r="AA280" s="1162"/>
      <c r="AB280" s="1199"/>
      <c r="AC280" s="1226" t="str">
        <f t="shared" ref="AC280" si="437">IF(ISBLANK(BD$5),"",1)</f>
        <v/>
      </c>
      <c r="AD280" s="1258">
        <v>4.4000000000000004</v>
      </c>
      <c r="AE280" s="1198" t="s">
        <v>397</v>
      </c>
      <c r="AF280" s="1162"/>
      <c r="AG280" s="1162"/>
      <c r="AH280" s="1162"/>
      <c r="AI280" s="1162"/>
      <c r="AJ280" s="1199"/>
      <c r="AK280" s="1226" t="str">
        <f t="shared" ref="AK280" si="438">IF(ISBLANK(BH$5),"",1)</f>
        <v/>
      </c>
      <c r="AL280" s="1304">
        <v>4.4000000000000004</v>
      </c>
      <c r="AM280" s="1198" t="s">
        <v>359</v>
      </c>
      <c r="AN280" s="1162"/>
      <c r="AO280" s="1162"/>
      <c r="AP280" s="1162"/>
      <c r="AQ280" s="1162"/>
      <c r="AR280" s="1199"/>
      <c r="AS280" s="1226" t="str">
        <f t="shared" ref="AS280" si="439">IF(ISBLANK(BL$5),"",1)</f>
        <v/>
      </c>
    </row>
    <row r="281" spans="1:67" ht="15" customHeight="1">
      <c r="A281" s="1336">
        <v>3.1</v>
      </c>
      <c r="B281" s="1198" t="s">
        <v>366</v>
      </c>
      <c r="C281" s="1162"/>
      <c r="D281" s="1162"/>
      <c r="E281" s="1162"/>
      <c r="F281" s="1162"/>
      <c r="G281" s="1265"/>
      <c r="H281" s="1268" t="str">
        <f t="shared" ref="H281" si="440">IF(ISBLANK(AZ$5),"",1)</f>
        <v/>
      </c>
      <c r="I281" s="1205" t="str">
        <f t="shared" ref="I281" si="441">IF(ISBLANK(BD$5),"",1)</f>
        <v/>
      </c>
      <c r="J281" s="1205" t="str">
        <f t="shared" ref="J281" si="442">IF(ISBLANK(BH$5),"",1)</f>
        <v/>
      </c>
      <c r="K281" s="1205" t="str">
        <f t="shared" ref="K281" si="443">IF(ISBLANK(BL$5),"",1)</f>
        <v/>
      </c>
      <c r="N281" s="1308"/>
      <c r="O281" s="1200"/>
      <c r="P281" s="1164"/>
      <c r="Q281" s="1164"/>
      <c r="R281" s="1164"/>
      <c r="S281" s="1164"/>
      <c r="T281" s="1201"/>
      <c r="U281" s="1342"/>
      <c r="V281" s="1308"/>
      <c r="W281" s="1200"/>
      <c r="X281" s="1164"/>
      <c r="Y281" s="1164"/>
      <c r="Z281" s="1164"/>
      <c r="AA281" s="1164"/>
      <c r="AB281" s="1201"/>
      <c r="AC281" s="1342"/>
      <c r="AD281" s="1258"/>
      <c r="AE281" s="1200"/>
      <c r="AF281" s="1164"/>
      <c r="AG281" s="1164"/>
      <c r="AH281" s="1164"/>
      <c r="AI281" s="1164"/>
      <c r="AJ281" s="1201"/>
      <c r="AK281" s="1342"/>
      <c r="AL281" s="1290"/>
      <c r="AM281" s="1200"/>
      <c r="AN281" s="1164"/>
      <c r="AO281" s="1164"/>
      <c r="AP281" s="1164"/>
      <c r="AQ281" s="1164"/>
      <c r="AR281" s="1201"/>
      <c r="AS281" s="1342"/>
    </row>
    <row r="282" spans="1:67" ht="15" customHeight="1">
      <c r="A282" s="1159"/>
      <c r="B282" s="1200"/>
      <c r="C282" s="1164"/>
      <c r="D282" s="1164"/>
      <c r="E282" s="1164"/>
      <c r="F282" s="1164"/>
      <c r="G282" s="1266"/>
      <c r="H282" s="1269"/>
      <c r="I282" s="1206"/>
      <c r="J282" s="1206"/>
      <c r="K282" s="1206"/>
      <c r="N282" s="1309"/>
      <c r="O282" s="1202"/>
      <c r="P282" s="1203"/>
      <c r="Q282" s="1203"/>
      <c r="R282" s="1203"/>
      <c r="S282" s="1203"/>
      <c r="T282" s="1204"/>
      <c r="U282" s="1342"/>
      <c r="V282" s="1309"/>
      <c r="W282" s="1202"/>
      <c r="X282" s="1203"/>
      <c r="Y282" s="1203"/>
      <c r="Z282" s="1203"/>
      <c r="AA282" s="1203"/>
      <c r="AB282" s="1204"/>
      <c r="AC282" s="1342"/>
      <c r="AD282" s="1258"/>
      <c r="AE282" s="1202"/>
      <c r="AF282" s="1203"/>
      <c r="AG282" s="1203"/>
      <c r="AH282" s="1203"/>
      <c r="AI282" s="1203"/>
      <c r="AJ282" s="1204"/>
      <c r="AK282" s="1342"/>
      <c r="AL282" s="1291"/>
      <c r="AM282" s="1202"/>
      <c r="AN282" s="1203"/>
      <c r="AO282" s="1203"/>
      <c r="AP282" s="1203"/>
      <c r="AQ282" s="1203"/>
      <c r="AR282" s="1204"/>
      <c r="AS282" s="1342"/>
    </row>
    <row r="283" spans="1:67" ht="15" customHeight="1">
      <c r="A283" s="1160"/>
      <c r="B283" s="1200"/>
      <c r="C283" s="1164"/>
      <c r="D283" s="1164"/>
      <c r="E283" s="1164"/>
      <c r="F283" s="1164"/>
      <c r="G283" s="1266"/>
      <c r="H283" s="1270"/>
      <c r="I283" s="1207"/>
      <c r="J283" s="1207"/>
      <c r="K283" s="1207"/>
      <c r="N283" s="1258">
        <v>4.4000000000000004</v>
      </c>
      <c r="O283" s="1198" t="s">
        <v>397</v>
      </c>
      <c r="P283" s="1162"/>
      <c r="Q283" s="1162"/>
      <c r="R283" s="1162"/>
      <c r="S283" s="1162"/>
      <c r="T283" s="1199"/>
      <c r="U283" s="1226" t="str">
        <f t="shared" ref="U283" si="444">IF(ISBLANK(AZ$5),"",1)</f>
        <v/>
      </c>
      <c r="V283" s="1258">
        <v>4.4000000000000004</v>
      </c>
      <c r="W283" s="1198" t="s">
        <v>397</v>
      </c>
      <c r="X283" s="1162"/>
      <c r="Y283" s="1162"/>
      <c r="Z283" s="1162"/>
      <c r="AA283" s="1162"/>
      <c r="AB283" s="1199"/>
      <c r="AC283" s="1226" t="str">
        <f t="shared" ref="AC283" si="445">IF(ISBLANK(BD$5),"",1)</f>
        <v/>
      </c>
      <c r="AF283" s="52"/>
      <c r="AG283" s="247"/>
      <c r="AI283" s="273">
        <v>1.5</v>
      </c>
      <c r="AJ283" s="240">
        <f>COUNTIF($AD$247:$AD$282,AI283)</f>
        <v>1</v>
      </c>
      <c r="AK283" s="240" t="str">
        <f>IF($BH$5=1,SUMIF($AD$247:$AD$282,AI283,$AK$247:$AK$282),"")</f>
        <v/>
      </c>
      <c r="AL283" s="1196">
        <v>4.4000000000000004</v>
      </c>
      <c r="AM283" s="1198" t="s">
        <v>395</v>
      </c>
      <c r="AN283" s="1162"/>
      <c r="AO283" s="1162"/>
      <c r="AP283" s="1162"/>
      <c r="AQ283" s="1162"/>
      <c r="AR283" s="1199"/>
      <c r="AS283" s="1226" t="str">
        <f t="shared" ref="AS283" si="446">IF(ISBLANK(BL$5),"",1)</f>
        <v/>
      </c>
    </row>
    <row r="284" spans="1:67" ht="15" customHeight="1">
      <c r="A284" s="1336">
        <v>1.4</v>
      </c>
      <c r="B284" s="1198" t="s">
        <v>943</v>
      </c>
      <c r="C284" s="1162"/>
      <c r="D284" s="1162"/>
      <c r="E284" s="1162"/>
      <c r="F284" s="1162"/>
      <c r="G284" s="1265"/>
      <c r="H284" s="1268" t="str">
        <f t="shared" ref="H284" si="447">IF(ISBLANK(AZ$5),"",1)</f>
        <v/>
      </c>
      <c r="I284" s="1205" t="str">
        <f t="shared" ref="I284" si="448">IF(ISBLANK(BD$5),"",1)</f>
        <v/>
      </c>
      <c r="J284" s="1205" t="str">
        <f t="shared" ref="J284" si="449">IF(ISBLANK(BH$5),"",1)</f>
        <v/>
      </c>
      <c r="K284" s="1205" t="str">
        <f t="shared" ref="K284" si="450">IF(ISBLANK(BL$5),"",1)</f>
        <v/>
      </c>
      <c r="N284" s="1258"/>
      <c r="O284" s="1200"/>
      <c r="P284" s="1164"/>
      <c r="Q284" s="1164"/>
      <c r="R284" s="1164"/>
      <c r="S284" s="1164"/>
      <c r="T284" s="1201"/>
      <c r="U284" s="1342"/>
      <c r="V284" s="1258"/>
      <c r="W284" s="1200"/>
      <c r="X284" s="1164"/>
      <c r="Y284" s="1164"/>
      <c r="Z284" s="1164"/>
      <c r="AA284" s="1164"/>
      <c r="AB284" s="1201"/>
      <c r="AC284" s="1342"/>
      <c r="AF284" s="52"/>
      <c r="AG284" s="248"/>
      <c r="AI284" s="274">
        <v>4.3</v>
      </c>
      <c r="AJ284" s="240">
        <f t="shared" ref="AJ284:AJ285" si="451">COUNTIF($AD$247:$AD$282,AI284)</f>
        <v>4</v>
      </c>
      <c r="AK284" s="240" t="str">
        <f>IF($BH$5=1,SUMIF($AD$247:$AD$282,AI284,$AK$247:$AK$282),"")</f>
        <v/>
      </c>
      <c r="AL284" s="1197"/>
      <c r="AM284" s="1200"/>
      <c r="AN284" s="1164"/>
      <c r="AO284" s="1164"/>
      <c r="AP284" s="1164"/>
      <c r="AQ284" s="1164"/>
      <c r="AR284" s="1201"/>
      <c r="AS284" s="1342"/>
    </row>
    <row r="285" spans="1:67" ht="15" customHeight="1">
      <c r="A285" s="1159"/>
      <c r="B285" s="1200"/>
      <c r="C285" s="1164"/>
      <c r="D285" s="1164"/>
      <c r="E285" s="1164"/>
      <c r="F285" s="1164"/>
      <c r="G285" s="1266"/>
      <c r="H285" s="1269"/>
      <c r="I285" s="1206"/>
      <c r="J285" s="1206"/>
      <c r="K285" s="1206"/>
      <c r="N285" s="1258"/>
      <c r="O285" s="1202"/>
      <c r="P285" s="1203"/>
      <c r="Q285" s="1203"/>
      <c r="R285" s="1203"/>
      <c r="S285" s="1203"/>
      <c r="T285" s="1204"/>
      <c r="U285" s="1342"/>
      <c r="V285" s="1258"/>
      <c r="W285" s="1202"/>
      <c r="X285" s="1203"/>
      <c r="Y285" s="1203"/>
      <c r="Z285" s="1203"/>
      <c r="AA285" s="1203"/>
      <c r="AB285" s="1204"/>
      <c r="AC285" s="1342"/>
      <c r="AF285" s="52"/>
      <c r="AG285" s="248"/>
      <c r="AI285" s="274">
        <v>4.4000000000000004</v>
      </c>
      <c r="AJ285" s="240">
        <f t="shared" si="451"/>
        <v>7</v>
      </c>
      <c r="AK285" s="240" t="str">
        <f>IF($BH$5=1,SUMIF($AD$247:$AD$282,AI285,$AK$247:$AK$282),"")</f>
        <v/>
      </c>
      <c r="AL285" s="1197"/>
      <c r="AM285" s="1202"/>
      <c r="AN285" s="1203"/>
      <c r="AO285" s="1203"/>
      <c r="AP285" s="1203"/>
      <c r="AQ285" s="1203"/>
      <c r="AR285" s="1204"/>
      <c r="AS285" s="1342"/>
    </row>
    <row r="286" spans="1:67" ht="15" customHeight="1">
      <c r="A286" s="1160"/>
      <c r="B286" s="1200"/>
      <c r="C286" s="1164"/>
      <c r="D286" s="1164"/>
      <c r="E286" s="1164"/>
      <c r="F286" s="1164"/>
      <c r="G286" s="1266"/>
      <c r="H286" s="1270"/>
      <c r="I286" s="1207"/>
      <c r="J286" s="1207"/>
      <c r="K286" s="1207"/>
      <c r="O286" s="52"/>
      <c r="Q286" s="247"/>
      <c r="S286" s="273">
        <v>1.5</v>
      </c>
      <c r="T286" s="240">
        <f>COUNTIF($N$247:$N$285,S286)</f>
        <v>1</v>
      </c>
      <c r="U286" s="240" t="str">
        <f>IF($AZ$5=1,SUMIF($N$247:$N$285,S286,$U$247:$U$285),"")</f>
        <v/>
      </c>
      <c r="W286" s="52"/>
      <c r="Y286" s="247"/>
      <c r="AA286" s="273">
        <v>1.5</v>
      </c>
      <c r="AB286" s="240">
        <f>COUNTIF($V$247:$V$285,AA286)</f>
        <v>1</v>
      </c>
      <c r="AC286" s="240" t="str">
        <f>IF($BD$5=1,SUMIF($V$247:$V$285,AA286,$AC$247:$AC$285),"")</f>
        <v/>
      </c>
      <c r="AF286" s="52"/>
      <c r="AL286" s="1307">
        <v>4.4000000000000004</v>
      </c>
      <c r="AM286" s="1310" t="s">
        <v>363</v>
      </c>
      <c r="AN286" s="1311"/>
      <c r="AO286" s="1311"/>
      <c r="AP286" s="1311"/>
      <c r="AQ286" s="1311"/>
      <c r="AR286" s="1316"/>
      <c r="AS286" s="1226" t="str">
        <f t="shared" ref="AS286" si="452">IF(ISBLANK(BL$5),"",1)</f>
        <v/>
      </c>
    </row>
    <row r="287" spans="1:67" ht="15" customHeight="1">
      <c r="A287" s="1168" t="s">
        <v>637</v>
      </c>
      <c r="B287" s="1168"/>
      <c r="C287" s="1168"/>
      <c r="D287" s="1168"/>
      <c r="E287" s="1169"/>
      <c r="F287" s="614">
        <v>3.1</v>
      </c>
      <c r="G287" s="620">
        <f>COUNTIF($A$281:$A$286,F287)</f>
        <v>1</v>
      </c>
      <c r="H287" s="240" t="str">
        <f>IF($AZ$5=1,SUMIF($A$281:$A$286,$F287,$H$281:$H$286),"")</f>
        <v/>
      </c>
      <c r="I287" s="240" t="str">
        <f>IF($BD$5=1,SUMIF($A$281:$A$286,$F287,$I$281:$I$286),"")</f>
        <v/>
      </c>
      <c r="J287" s="240" t="str">
        <f>IF($BH$5=1,SUMIF($A$281:$A$286,$F287,$J$281:$J$286),"")</f>
        <v/>
      </c>
      <c r="K287" s="240" t="str">
        <f>IF($BL$5=1,SUMIF($A$281:$A$286,$F287,$K$281:$K$286),"")</f>
        <v/>
      </c>
      <c r="O287" s="52"/>
      <c r="Q287" s="242"/>
      <c r="S287" s="274">
        <v>4.3</v>
      </c>
      <c r="T287" s="240">
        <f t="shared" ref="T287:T288" si="453">COUNTIF($N$247:$N$285,S287)</f>
        <v>5</v>
      </c>
      <c r="U287" s="240" t="str">
        <f>IF($AZ$5=1,SUMIF($N$247:$N$285,S287,$U$247:$U$285),"")</f>
        <v/>
      </c>
      <c r="W287" s="52"/>
      <c r="AA287" s="274">
        <v>4.3</v>
      </c>
      <c r="AB287" s="240">
        <f t="shared" ref="AB287:AB288" si="454">COUNTIF($V$247:$V$285,AA287)</f>
        <v>6</v>
      </c>
      <c r="AC287" s="240" t="str">
        <f>IF($BD$5=1,SUMIF($V$247:$V$285,AA287,$AC$247:$AC$285),"")</f>
        <v/>
      </c>
      <c r="AF287" s="52"/>
      <c r="AL287" s="1308"/>
      <c r="AM287" s="1295"/>
      <c r="AN287" s="1296"/>
      <c r="AO287" s="1296"/>
      <c r="AP287" s="1296"/>
      <c r="AQ287" s="1296"/>
      <c r="AR287" s="1318"/>
      <c r="AS287" s="1342"/>
    </row>
    <row r="288" spans="1:67" ht="15" customHeight="1">
      <c r="F288" s="614">
        <v>1.4</v>
      </c>
      <c r="G288" s="620">
        <f>COUNTIF($A$281:$A$286,F288)</f>
        <v>1</v>
      </c>
      <c r="H288" s="240" t="str">
        <f>IF($AZ$5=1,SUMIF($A$281:$A$286,$F288,$H$281:$H$286),"")</f>
        <v/>
      </c>
      <c r="I288" s="240" t="str">
        <f>IF($BD$5=1,SUMIF($A$281:$A$286,$F288,$I$281:$I$286),"")</f>
        <v/>
      </c>
      <c r="J288" s="240" t="str">
        <f>IF($BH$5=1,SUMIF($A$281:$A$286,$F288,$J$281:$J$286),"")</f>
        <v/>
      </c>
      <c r="K288" s="240" t="str">
        <f>IF($BL$5=1,SUMIF($A$281:$A$286,$F288,$K$281:$K$286),"")</f>
        <v/>
      </c>
      <c r="O288" s="52"/>
      <c r="Q288" s="242"/>
      <c r="S288" s="274">
        <v>4.4000000000000004</v>
      </c>
      <c r="T288" s="240">
        <f t="shared" si="453"/>
        <v>7</v>
      </c>
      <c r="U288" s="240" t="str">
        <f>IF($AZ$5=1,SUMIF($N$247:$N$285,S288,$U$247:$U$285),"")</f>
        <v/>
      </c>
      <c r="W288" s="52"/>
      <c r="AA288" s="274">
        <v>4.4000000000000004</v>
      </c>
      <c r="AB288" s="240">
        <f t="shared" si="454"/>
        <v>6</v>
      </c>
      <c r="AC288" s="240" t="str">
        <f>IF($BD$5=1,SUMIF($V$247:$V$285,AA288,$AC$247:$AC$285),"")</f>
        <v/>
      </c>
      <c r="AF288" s="52"/>
      <c r="AL288" s="1309"/>
      <c r="AM288" s="1298"/>
      <c r="AN288" s="1299"/>
      <c r="AO288" s="1299"/>
      <c r="AP288" s="1299"/>
      <c r="AQ288" s="1299"/>
      <c r="AR288" s="1335"/>
      <c r="AS288" s="1342"/>
    </row>
    <row r="289" spans="15:45" ht="15" customHeight="1">
      <c r="O289" s="52"/>
      <c r="Q289" s="242"/>
      <c r="W289" s="52"/>
      <c r="AF289" s="52"/>
      <c r="AL289" s="1307">
        <v>1.5</v>
      </c>
      <c r="AM289" s="1198" t="s">
        <v>373</v>
      </c>
      <c r="AN289" s="1162"/>
      <c r="AO289" s="1162"/>
      <c r="AP289" s="1162"/>
      <c r="AQ289" s="1162"/>
      <c r="AR289" s="1199"/>
      <c r="AS289" s="1226" t="str">
        <f t="shared" ref="AS289" si="455">IF(ISBLANK(BL$5),"",1)</f>
        <v/>
      </c>
    </row>
    <row r="290" spans="15:45" ht="15" customHeight="1">
      <c r="O290" s="52"/>
      <c r="Q290" s="242"/>
      <c r="W290" s="52"/>
      <c r="AF290" s="52"/>
      <c r="AL290" s="1308"/>
      <c r="AM290" s="1200"/>
      <c r="AN290" s="1164"/>
      <c r="AO290" s="1164"/>
      <c r="AP290" s="1164"/>
      <c r="AQ290" s="1164"/>
      <c r="AR290" s="1201"/>
      <c r="AS290" s="1342"/>
    </row>
    <row r="291" spans="15:45" ht="15" customHeight="1">
      <c r="O291" s="52"/>
      <c r="Q291" s="242"/>
      <c r="W291" s="52"/>
      <c r="AF291" s="52"/>
      <c r="AL291" s="1309"/>
      <c r="AM291" s="1202"/>
      <c r="AN291" s="1203"/>
      <c r="AO291" s="1203"/>
      <c r="AP291" s="1203"/>
      <c r="AQ291" s="1203"/>
      <c r="AR291" s="1204"/>
      <c r="AS291" s="1342"/>
    </row>
    <row r="292" spans="15:45" ht="15" customHeight="1">
      <c r="O292" s="52"/>
      <c r="W292" s="52"/>
      <c r="AF292" s="52"/>
      <c r="AL292" s="1196">
        <v>4.4000000000000004</v>
      </c>
      <c r="AM292" s="1198" t="s">
        <v>397</v>
      </c>
      <c r="AN292" s="1162"/>
      <c r="AO292" s="1162"/>
      <c r="AP292" s="1162"/>
      <c r="AQ292" s="1162"/>
      <c r="AR292" s="1199"/>
      <c r="AS292" s="1226" t="str">
        <f t="shared" ref="AS292" si="456">IF(ISBLANK(BL$5),"",1)</f>
        <v/>
      </c>
    </row>
    <row r="293" spans="15:45" ht="15" customHeight="1">
      <c r="O293" s="52"/>
      <c r="W293" s="52"/>
      <c r="AF293" s="52"/>
      <c r="AL293" s="1197"/>
      <c r="AM293" s="1200"/>
      <c r="AN293" s="1164"/>
      <c r="AO293" s="1164"/>
      <c r="AP293" s="1164"/>
      <c r="AQ293" s="1164"/>
      <c r="AR293" s="1201"/>
      <c r="AS293" s="1342"/>
    </row>
    <row r="294" spans="15:45" ht="15" customHeight="1">
      <c r="O294" s="52"/>
      <c r="W294" s="52"/>
      <c r="AF294" s="52"/>
      <c r="AL294" s="1197"/>
      <c r="AM294" s="1202"/>
      <c r="AN294" s="1203"/>
      <c r="AO294" s="1203"/>
      <c r="AP294" s="1203"/>
      <c r="AQ294" s="1203"/>
      <c r="AR294" s="1204"/>
      <c r="AS294" s="1342"/>
    </row>
    <row r="295" spans="15:45" ht="15" customHeight="1">
      <c r="O295" s="52"/>
      <c r="W295" s="52"/>
      <c r="AF295" s="52"/>
      <c r="AL295" s="242"/>
      <c r="AO295" s="52"/>
      <c r="AQ295" s="273">
        <v>1.5</v>
      </c>
      <c r="AR295" s="240">
        <f>COUNTIF($AL$247:$AL$294,AQ295)</f>
        <v>1</v>
      </c>
      <c r="AS295" s="240" t="str">
        <f>IF($BL$5=1,SUMIF($AL$247:$AL$294,AQ295,$AS$247:$AS$294),"")</f>
        <v/>
      </c>
    </row>
    <row r="296" spans="15:45" ht="15" customHeight="1">
      <c r="O296" s="52"/>
      <c r="W296" s="52"/>
      <c r="AF296" s="52"/>
      <c r="AL296" s="242"/>
      <c r="AO296" s="52"/>
      <c r="AQ296" s="274">
        <v>4.3</v>
      </c>
      <c r="AR296" s="240">
        <f t="shared" ref="AR296:AR297" si="457">COUNTIF($AL$247:$AL$294,AQ296)</f>
        <v>6</v>
      </c>
      <c r="AS296" s="240" t="str">
        <f>IF($BL$5=1,SUMIF($AL$247:$AL$294,AQ296,$AS$247:$AS$294),"")</f>
        <v/>
      </c>
    </row>
    <row r="297" spans="15:45" ht="15" customHeight="1">
      <c r="O297" s="52"/>
      <c r="W297" s="52"/>
      <c r="AF297" s="52"/>
      <c r="AL297" s="242"/>
      <c r="AO297" s="52"/>
      <c r="AQ297" s="274">
        <v>4.4000000000000004</v>
      </c>
      <c r="AR297" s="240">
        <f t="shared" si="457"/>
        <v>9</v>
      </c>
      <c r="AS297" s="240" t="str">
        <f>IF($BL$5=1,SUMIF($AL$247:$AL$294,AQ297,$AS$247:$AS$294),"")</f>
        <v/>
      </c>
    </row>
  </sheetData>
  <sheetProtection sheet="1" objects="1" scenarios="1"/>
  <customSheetViews>
    <customSheetView guid="{B4419C5D-1877-4ABB-A46F-9E0AFFC75B59}" scale="85" showPageBreaks="1" showGridLines="0" view="pageBreakPreview">
      <pane ySplit="6" topLeftCell="A19" activePane="bottomLeft" state="frozen"/>
      <selection pane="bottomLeft" activeCell="A45" sqref="A45:XFD45"/>
      <pageMargins left="0.7" right="0.7" top="0.75" bottom="0.75" header="0.3" footer="0.3"/>
      <pageSetup paperSize="9" scale="44" orientation="portrait" r:id="rId1"/>
    </customSheetView>
  </customSheetViews>
  <mergeCells count="1500">
    <mergeCell ref="AL289:AL291"/>
    <mergeCell ref="AM289:AR291"/>
    <mergeCell ref="AS289:AS291"/>
    <mergeCell ref="AL292:AL294"/>
    <mergeCell ref="AM292:AR294"/>
    <mergeCell ref="AS292:AS294"/>
    <mergeCell ref="V280:V282"/>
    <mergeCell ref="W280:AB282"/>
    <mergeCell ref="AC280:AC282"/>
    <mergeCell ref="AD280:AD282"/>
    <mergeCell ref="AE280:AJ282"/>
    <mergeCell ref="AK280:AK282"/>
    <mergeCell ref="AL280:AL282"/>
    <mergeCell ref="AM280:AR282"/>
    <mergeCell ref="AS280:AS282"/>
    <mergeCell ref="N277:N279"/>
    <mergeCell ref="O277:T279"/>
    <mergeCell ref="U277:U279"/>
    <mergeCell ref="V277:V279"/>
    <mergeCell ref="W277:AB279"/>
    <mergeCell ref="AC277:AC279"/>
    <mergeCell ref="AD277:AD279"/>
    <mergeCell ref="AE277:AJ279"/>
    <mergeCell ref="AK277:AK279"/>
    <mergeCell ref="AL277:AL279"/>
    <mergeCell ref="AM277:AR279"/>
    <mergeCell ref="AS277:AS279"/>
    <mergeCell ref="N280:N282"/>
    <mergeCell ref="O280:T282"/>
    <mergeCell ref="U280:U282"/>
    <mergeCell ref="AL286:AL288"/>
    <mergeCell ref="AM286:AR288"/>
    <mergeCell ref="AS286:AS288"/>
    <mergeCell ref="O271:T273"/>
    <mergeCell ref="U271:U273"/>
    <mergeCell ref="V271:V273"/>
    <mergeCell ref="W271:AB273"/>
    <mergeCell ref="AC271:AC273"/>
    <mergeCell ref="AD271:AD273"/>
    <mergeCell ref="AE271:AJ273"/>
    <mergeCell ref="AK271:AK273"/>
    <mergeCell ref="AL271:AL273"/>
    <mergeCell ref="AM271:AR273"/>
    <mergeCell ref="AS271:AS273"/>
    <mergeCell ref="N268:N270"/>
    <mergeCell ref="O268:T270"/>
    <mergeCell ref="U268:U270"/>
    <mergeCell ref="N283:N285"/>
    <mergeCell ref="O283:T285"/>
    <mergeCell ref="U283:U285"/>
    <mergeCell ref="V283:V285"/>
    <mergeCell ref="W283:AB285"/>
    <mergeCell ref="AC283:AC285"/>
    <mergeCell ref="AL283:AL285"/>
    <mergeCell ref="AM283:AR285"/>
    <mergeCell ref="AS283:AS285"/>
    <mergeCell ref="V274:V276"/>
    <mergeCell ref="W274:AB276"/>
    <mergeCell ref="AC274:AC276"/>
    <mergeCell ref="AD274:AD276"/>
    <mergeCell ref="AE274:AJ276"/>
    <mergeCell ref="AK274:AK276"/>
    <mergeCell ref="AL274:AL276"/>
    <mergeCell ref="AM274:AR276"/>
    <mergeCell ref="AS274:AS276"/>
    <mergeCell ref="J262:J264"/>
    <mergeCell ref="K262:K264"/>
    <mergeCell ref="N262:N264"/>
    <mergeCell ref="O262:T264"/>
    <mergeCell ref="U262:U264"/>
    <mergeCell ref="V262:V264"/>
    <mergeCell ref="W262:AB264"/>
    <mergeCell ref="AC262:AC264"/>
    <mergeCell ref="AD262:AD264"/>
    <mergeCell ref="V268:V270"/>
    <mergeCell ref="W268:AB270"/>
    <mergeCell ref="AC268:AC270"/>
    <mergeCell ref="AD268:AD270"/>
    <mergeCell ref="AE268:AJ270"/>
    <mergeCell ref="AK268:AK270"/>
    <mergeCell ref="AL268:AL270"/>
    <mergeCell ref="AM268:AR270"/>
    <mergeCell ref="U274:U276"/>
    <mergeCell ref="N274:N276"/>
    <mergeCell ref="O274:T276"/>
    <mergeCell ref="A256:A258"/>
    <mergeCell ref="B256:G258"/>
    <mergeCell ref="H256:H258"/>
    <mergeCell ref="I256:I258"/>
    <mergeCell ref="J256:J258"/>
    <mergeCell ref="K256:K258"/>
    <mergeCell ref="N256:N258"/>
    <mergeCell ref="O256:T258"/>
    <mergeCell ref="U256:U258"/>
    <mergeCell ref="AS262:AS264"/>
    <mergeCell ref="A265:A267"/>
    <mergeCell ref="B265:G267"/>
    <mergeCell ref="H265:H267"/>
    <mergeCell ref="I265:I267"/>
    <mergeCell ref="J265:J267"/>
    <mergeCell ref="K265:K267"/>
    <mergeCell ref="N265:N267"/>
    <mergeCell ref="O265:T267"/>
    <mergeCell ref="U265:U267"/>
    <mergeCell ref="V265:V267"/>
    <mergeCell ref="W265:AB267"/>
    <mergeCell ref="AC265:AC267"/>
    <mergeCell ref="AD265:AD267"/>
    <mergeCell ref="AE265:AJ267"/>
    <mergeCell ref="AK265:AK267"/>
    <mergeCell ref="AL265:AL267"/>
    <mergeCell ref="AM265:AR267"/>
    <mergeCell ref="AS265:AS267"/>
    <mergeCell ref="A262:A264"/>
    <mergeCell ref="B262:G264"/>
    <mergeCell ref="H262:H264"/>
    <mergeCell ref="I262:I264"/>
    <mergeCell ref="A253:A255"/>
    <mergeCell ref="B253:G255"/>
    <mergeCell ref="H253:H255"/>
    <mergeCell ref="I253:I255"/>
    <mergeCell ref="J253:J255"/>
    <mergeCell ref="K253:K255"/>
    <mergeCell ref="N253:N255"/>
    <mergeCell ref="O253:T255"/>
    <mergeCell ref="U253:U255"/>
    <mergeCell ref="V253:V255"/>
    <mergeCell ref="W253:AB255"/>
    <mergeCell ref="AC253:AC255"/>
    <mergeCell ref="AE262:AJ264"/>
    <mergeCell ref="AK262:AK264"/>
    <mergeCell ref="AL262:AL264"/>
    <mergeCell ref="AM262:AR264"/>
    <mergeCell ref="AS256:AS258"/>
    <mergeCell ref="A259:A261"/>
    <mergeCell ref="B259:G261"/>
    <mergeCell ref="H259:H261"/>
    <mergeCell ref="I259:I261"/>
    <mergeCell ref="J259:J261"/>
    <mergeCell ref="K259:K261"/>
    <mergeCell ref="N259:N261"/>
    <mergeCell ref="O259:T261"/>
    <mergeCell ref="U259:U261"/>
    <mergeCell ref="V259:V261"/>
    <mergeCell ref="W259:AB261"/>
    <mergeCell ref="AC259:AC261"/>
    <mergeCell ref="AD259:AD261"/>
    <mergeCell ref="AE259:AJ261"/>
    <mergeCell ref="AK259:AK261"/>
    <mergeCell ref="BJ244:BO244"/>
    <mergeCell ref="A247:A249"/>
    <mergeCell ref="B247:G249"/>
    <mergeCell ref="H247:H249"/>
    <mergeCell ref="I247:I249"/>
    <mergeCell ref="J247:J249"/>
    <mergeCell ref="K247:K249"/>
    <mergeCell ref="N247:N249"/>
    <mergeCell ref="O247:T249"/>
    <mergeCell ref="U247:U249"/>
    <mergeCell ref="V247:V249"/>
    <mergeCell ref="W247:AB249"/>
    <mergeCell ref="AC247:AC249"/>
    <mergeCell ref="AD247:AD249"/>
    <mergeCell ref="AE247:AJ249"/>
    <mergeCell ref="AK247:AK249"/>
    <mergeCell ref="AL247:AL249"/>
    <mergeCell ref="AM247:AR249"/>
    <mergeCell ref="AS247:AS249"/>
    <mergeCell ref="BJ245:BO275"/>
    <mergeCell ref="A250:A252"/>
    <mergeCell ref="B250:G252"/>
    <mergeCell ref="H250:H252"/>
    <mergeCell ref="I250:I252"/>
    <mergeCell ref="J250:J252"/>
    <mergeCell ref="K250:K252"/>
    <mergeCell ref="N250:N252"/>
    <mergeCell ref="O250:T252"/>
    <mergeCell ref="U250:U252"/>
    <mergeCell ref="V250:V252"/>
    <mergeCell ref="W250:AB252"/>
    <mergeCell ref="AC250:AC252"/>
    <mergeCell ref="BC236:BH238"/>
    <mergeCell ref="BI236:BI238"/>
    <mergeCell ref="A244:A246"/>
    <mergeCell ref="B244:G246"/>
    <mergeCell ref="H244:H246"/>
    <mergeCell ref="I244:I246"/>
    <mergeCell ref="J244:J246"/>
    <mergeCell ref="K244:K246"/>
    <mergeCell ref="N244:N246"/>
    <mergeCell ref="O244:U246"/>
    <mergeCell ref="V244:V246"/>
    <mergeCell ref="W244:AC246"/>
    <mergeCell ref="AD244:AD246"/>
    <mergeCell ref="AE244:AK246"/>
    <mergeCell ref="AL244:AL246"/>
    <mergeCell ref="AM244:AS246"/>
    <mergeCell ref="AT236:AT238"/>
    <mergeCell ref="AU236:AZ238"/>
    <mergeCell ref="BA236:BA238"/>
    <mergeCell ref="BC233:BH235"/>
    <mergeCell ref="BI233:BI235"/>
    <mergeCell ref="AT227:AT229"/>
    <mergeCell ref="AU227:AZ229"/>
    <mergeCell ref="BA227:BA229"/>
    <mergeCell ref="AT221:AT223"/>
    <mergeCell ref="AU221:AZ223"/>
    <mergeCell ref="BA221:BA223"/>
    <mergeCell ref="BB221:BB223"/>
    <mergeCell ref="BC221:BH223"/>
    <mergeCell ref="BI221:BI223"/>
    <mergeCell ref="AD221:AD223"/>
    <mergeCell ref="AE221:AJ223"/>
    <mergeCell ref="AK221:AK223"/>
    <mergeCell ref="AL221:AL223"/>
    <mergeCell ref="AM221:AR223"/>
    <mergeCell ref="AS221:AS223"/>
    <mergeCell ref="AT224:AT226"/>
    <mergeCell ref="AU224:AZ226"/>
    <mergeCell ref="BA224:BA226"/>
    <mergeCell ref="A215:A217"/>
    <mergeCell ref="B215:G217"/>
    <mergeCell ref="H215:H217"/>
    <mergeCell ref="I215:I217"/>
    <mergeCell ref="J215:J217"/>
    <mergeCell ref="K215:K217"/>
    <mergeCell ref="L215:L217"/>
    <mergeCell ref="M215:M217"/>
    <mergeCell ref="BB227:BB229"/>
    <mergeCell ref="BC227:BH229"/>
    <mergeCell ref="BI227:BI229"/>
    <mergeCell ref="AT230:AT232"/>
    <mergeCell ref="AU230:AZ232"/>
    <mergeCell ref="BA230:BA232"/>
    <mergeCell ref="BB230:BB232"/>
    <mergeCell ref="BC230:BH232"/>
    <mergeCell ref="BI230:BI232"/>
    <mergeCell ref="W224:AB226"/>
    <mergeCell ref="AC224:AC226"/>
    <mergeCell ref="BC224:BH226"/>
    <mergeCell ref="BI224:BI226"/>
    <mergeCell ref="AT218:AT220"/>
    <mergeCell ref="AU218:AZ220"/>
    <mergeCell ref="BA218:BA220"/>
    <mergeCell ref="BB218:BB220"/>
    <mergeCell ref="BC218:BH220"/>
    <mergeCell ref="BI218:BI220"/>
    <mergeCell ref="AD218:AD220"/>
    <mergeCell ref="AE218:AJ220"/>
    <mergeCell ref="AK218:AK220"/>
    <mergeCell ref="AL218:AL220"/>
    <mergeCell ref="AM218:AR220"/>
    <mergeCell ref="AD186:AD188"/>
    <mergeCell ref="AE186:AJ188"/>
    <mergeCell ref="AK186:AK188"/>
    <mergeCell ref="AT186:AT188"/>
    <mergeCell ref="AU186:AZ188"/>
    <mergeCell ref="BA186:BA188"/>
    <mergeCell ref="BB186:BB188"/>
    <mergeCell ref="BC186:BH188"/>
    <mergeCell ref="BI186:BI188"/>
    <mergeCell ref="O194:U196"/>
    <mergeCell ref="W194:AC196"/>
    <mergeCell ref="AE194:AK196"/>
    <mergeCell ref="AM194:AS196"/>
    <mergeCell ref="AU194:BA196"/>
    <mergeCell ref="BC194:BI196"/>
    <mergeCell ref="BJ194:BO194"/>
    <mergeCell ref="A212:A214"/>
    <mergeCell ref="B212:G214"/>
    <mergeCell ref="H212:H214"/>
    <mergeCell ref="I212:I214"/>
    <mergeCell ref="J212:J214"/>
    <mergeCell ref="K212:K214"/>
    <mergeCell ref="L212:L214"/>
    <mergeCell ref="M212:M214"/>
    <mergeCell ref="BA212:BA214"/>
    <mergeCell ref="BB212:BB214"/>
    <mergeCell ref="BC212:BH214"/>
    <mergeCell ref="BI212:BI214"/>
    <mergeCell ref="AK212:AK214"/>
    <mergeCell ref="AL212:AL214"/>
    <mergeCell ref="AM212:AR214"/>
    <mergeCell ref="AS212:AS214"/>
    <mergeCell ref="BI177:BI179"/>
    <mergeCell ref="N180:N182"/>
    <mergeCell ref="O180:T182"/>
    <mergeCell ref="U180:U182"/>
    <mergeCell ref="AD180:AD182"/>
    <mergeCell ref="AE180:AJ182"/>
    <mergeCell ref="AK180:AK182"/>
    <mergeCell ref="AL180:AL182"/>
    <mergeCell ref="AM180:AR182"/>
    <mergeCell ref="AS180:AS182"/>
    <mergeCell ref="AT180:AT182"/>
    <mergeCell ref="AU180:AZ182"/>
    <mergeCell ref="BA180:BA182"/>
    <mergeCell ref="BB180:BB182"/>
    <mergeCell ref="BC180:BH182"/>
    <mergeCell ref="BI180:BI182"/>
    <mergeCell ref="AD183:AD185"/>
    <mergeCell ref="AE183:AJ185"/>
    <mergeCell ref="AK183:AK185"/>
    <mergeCell ref="AL183:AL185"/>
    <mergeCell ref="AM183:AR185"/>
    <mergeCell ref="AS183:AS185"/>
    <mergeCell ref="AT183:AT185"/>
    <mergeCell ref="AU183:AZ185"/>
    <mergeCell ref="BA183:BA185"/>
    <mergeCell ref="BB183:BB185"/>
    <mergeCell ref="BC183:BH185"/>
    <mergeCell ref="BI183:BI185"/>
    <mergeCell ref="N177:N179"/>
    <mergeCell ref="O177:T179"/>
    <mergeCell ref="U177:U179"/>
    <mergeCell ref="V177:V179"/>
    <mergeCell ref="AS171:AS173"/>
    <mergeCell ref="AT171:AT173"/>
    <mergeCell ref="W177:AB179"/>
    <mergeCell ref="AC177:AC179"/>
    <mergeCell ref="AD177:AD179"/>
    <mergeCell ref="AE177:AJ179"/>
    <mergeCell ref="AK177:AK179"/>
    <mergeCell ref="AL177:AL179"/>
    <mergeCell ref="AM177:AR179"/>
    <mergeCell ref="AS177:AS179"/>
    <mergeCell ref="AT177:AT179"/>
    <mergeCell ref="AU177:AZ179"/>
    <mergeCell ref="BA177:BA179"/>
    <mergeCell ref="BB177:BB179"/>
    <mergeCell ref="BC177:BH179"/>
    <mergeCell ref="AU171:AZ173"/>
    <mergeCell ref="BA171:BA173"/>
    <mergeCell ref="BB171:BB173"/>
    <mergeCell ref="BC171:BH173"/>
    <mergeCell ref="BI168:BI170"/>
    <mergeCell ref="AL165:AL167"/>
    <mergeCell ref="BI171:BI173"/>
    <mergeCell ref="N174:N176"/>
    <mergeCell ref="O174:T176"/>
    <mergeCell ref="U174:U176"/>
    <mergeCell ref="V174:V176"/>
    <mergeCell ref="W174:AB176"/>
    <mergeCell ref="AC174:AC176"/>
    <mergeCell ref="AD174:AD176"/>
    <mergeCell ref="AE174:AJ176"/>
    <mergeCell ref="AK174:AK176"/>
    <mergeCell ref="AL174:AL176"/>
    <mergeCell ref="AM174:AR176"/>
    <mergeCell ref="AS174:AS176"/>
    <mergeCell ref="AT174:AT176"/>
    <mergeCell ref="AU174:AZ176"/>
    <mergeCell ref="BA174:BA176"/>
    <mergeCell ref="BB174:BB176"/>
    <mergeCell ref="BC174:BH176"/>
    <mergeCell ref="BI174:BI176"/>
    <mergeCell ref="N171:N173"/>
    <mergeCell ref="O171:T173"/>
    <mergeCell ref="U171:U173"/>
    <mergeCell ref="V171:V173"/>
    <mergeCell ref="W171:AB173"/>
    <mergeCell ref="AC171:AC173"/>
    <mergeCell ref="AD171:AD173"/>
    <mergeCell ref="AE171:AJ173"/>
    <mergeCell ref="AK171:AK173"/>
    <mergeCell ref="AL171:AL173"/>
    <mergeCell ref="AM171:AR173"/>
    <mergeCell ref="N168:N170"/>
    <mergeCell ref="O168:T170"/>
    <mergeCell ref="U168:U170"/>
    <mergeCell ref="V168:V170"/>
    <mergeCell ref="W168:AB170"/>
    <mergeCell ref="AC168:AC170"/>
    <mergeCell ref="AD168:AD170"/>
    <mergeCell ref="AE168:AJ170"/>
    <mergeCell ref="AK168:AK170"/>
    <mergeCell ref="AL168:AL170"/>
    <mergeCell ref="AM168:AR170"/>
    <mergeCell ref="AS168:AS170"/>
    <mergeCell ref="AT168:AT170"/>
    <mergeCell ref="AU168:AZ170"/>
    <mergeCell ref="BA168:BA170"/>
    <mergeCell ref="BB168:BB170"/>
    <mergeCell ref="BC168:BH170"/>
    <mergeCell ref="BI162:BI164"/>
    <mergeCell ref="N159:N161"/>
    <mergeCell ref="O159:T161"/>
    <mergeCell ref="U159:U161"/>
    <mergeCell ref="V159:V161"/>
    <mergeCell ref="W159:AB161"/>
    <mergeCell ref="BB159:BB161"/>
    <mergeCell ref="BC159:BH161"/>
    <mergeCell ref="BI159:BI161"/>
    <mergeCell ref="AC159:AC161"/>
    <mergeCell ref="I165:I167"/>
    <mergeCell ref="J165:J167"/>
    <mergeCell ref="K165:K167"/>
    <mergeCell ref="L165:L167"/>
    <mergeCell ref="M165:M167"/>
    <mergeCell ref="N165:N167"/>
    <mergeCell ref="O165:T167"/>
    <mergeCell ref="U165:U167"/>
    <mergeCell ref="V165:V167"/>
    <mergeCell ref="W165:AB167"/>
    <mergeCell ref="AC165:AC167"/>
    <mergeCell ref="AD165:AD167"/>
    <mergeCell ref="AE165:AJ167"/>
    <mergeCell ref="AK165:AK167"/>
    <mergeCell ref="AM165:AR167"/>
    <mergeCell ref="AS165:AS167"/>
    <mergeCell ref="AT165:AT167"/>
    <mergeCell ref="AU165:AZ167"/>
    <mergeCell ref="BA165:BA167"/>
    <mergeCell ref="BB165:BB167"/>
    <mergeCell ref="BC165:BH167"/>
    <mergeCell ref="BI165:BI167"/>
    <mergeCell ref="BB156:BB158"/>
    <mergeCell ref="BA153:BA155"/>
    <mergeCell ref="U162:U164"/>
    <mergeCell ref="V162:V164"/>
    <mergeCell ref="W162:AB164"/>
    <mergeCell ref="AC162:AC164"/>
    <mergeCell ref="AD162:AD164"/>
    <mergeCell ref="AE162:AJ164"/>
    <mergeCell ref="AK162:AK164"/>
    <mergeCell ref="AL162:AL164"/>
    <mergeCell ref="AM162:AR164"/>
    <mergeCell ref="AS162:AS164"/>
    <mergeCell ref="AT162:AT164"/>
    <mergeCell ref="AU162:AZ164"/>
    <mergeCell ref="BA162:BA164"/>
    <mergeCell ref="BB162:BB164"/>
    <mergeCell ref="BC162:BH164"/>
    <mergeCell ref="AL147:AL149"/>
    <mergeCell ref="AM147:AR149"/>
    <mergeCell ref="AS147:AS149"/>
    <mergeCell ref="AT147:AT149"/>
    <mergeCell ref="W150:AB152"/>
    <mergeCell ref="BB153:BB155"/>
    <mergeCell ref="BC153:BH155"/>
    <mergeCell ref="BI153:BI155"/>
    <mergeCell ref="A156:A158"/>
    <mergeCell ref="B156:G158"/>
    <mergeCell ref="H156:H158"/>
    <mergeCell ref="I156:I158"/>
    <mergeCell ref="J156:J158"/>
    <mergeCell ref="K156:K158"/>
    <mergeCell ref="L156:L158"/>
    <mergeCell ref="M156:M158"/>
    <mergeCell ref="N156:N158"/>
    <mergeCell ref="O156:T158"/>
    <mergeCell ref="U156:U158"/>
    <mergeCell ref="V156:V158"/>
    <mergeCell ref="W156:AB158"/>
    <mergeCell ref="AC156:AC158"/>
    <mergeCell ref="AD156:AD158"/>
    <mergeCell ref="AE156:AJ158"/>
    <mergeCell ref="AK156:AK158"/>
    <mergeCell ref="BC156:BH158"/>
    <mergeCell ref="AL156:AL158"/>
    <mergeCell ref="AM156:AR158"/>
    <mergeCell ref="AS156:AS158"/>
    <mergeCell ref="AT156:AT158"/>
    <mergeCell ref="AU156:AZ158"/>
    <mergeCell ref="BA156:BA158"/>
    <mergeCell ref="B153:G155"/>
    <mergeCell ref="H153:H155"/>
    <mergeCell ref="I153:I155"/>
    <mergeCell ref="J153:J155"/>
    <mergeCell ref="K153:K155"/>
    <mergeCell ref="L153:L155"/>
    <mergeCell ref="M153:M155"/>
    <mergeCell ref="N153:N155"/>
    <mergeCell ref="O153:T155"/>
    <mergeCell ref="U153:U155"/>
    <mergeCell ref="V153:V155"/>
    <mergeCell ref="W153:AB155"/>
    <mergeCell ref="AC153:AC155"/>
    <mergeCell ref="AD153:AD155"/>
    <mergeCell ref="AE153:AJ155"/>
    <mergeCell ref="AK153:AK155"/>
    <mergeCell ref="AD147:AD149"/>
    <mergeCell ref="AE147:AJ149"/>
    <mergeCell ref="AK147:AK149"/>
    <mergeCell ref="BA5:BC6"/>
    <mergeCell ref="BD5:BD6"/>
    <mergeCell ref="BE5:BG6"/>
    <mergeCell ref="BH5:BH6"/>
    <mergeCell ref="BI5:BK6"/>
    <mergeCell ref="BJ98:BO98"/>
    <mergeCell ref="W96:AC98"/>
    <mergeCell ref="W123:AB125"/>
    <mergeCell ref="V126:V128"/>
    <mergeCell ref="W126:AB128"/>
    <mergeCell ref="AC126:AC128"/>
    <mergeCell ref="AS72:AS74"/>
    <mergeCell ref="BB69:BB71"/>
    <mergeCell ref="BC69:BH71"/>
    <mergeCell ref="BI69:BI71"/>
    <mergeCell ref="BA75:BA77"/>
    <mergeCell ref="AT75:AT77"/>
    <mergeCell ref="AU75:AZ77"/>
    <mergeCell ref="BC54:BH56"/>
    <mergeCell ref="BL5:BL6"/>
    <mergeCell ref="AC114:AC116"/>
    <mergeCell ref="AT72:AT74"/>
    <mergeCell ref="AU72:AZ74"/>
    <mergeCell ref="BB72:BB74"/>
    <mergeCell ref="BB63:BB65"/>
    <mergeCell ref="BC63:BH65"/>
    <mergeCell ref="BI63:BI65"/>
    <mergeCell ref="BB48:BB50"/>
    <mergeCell ref="BC48:BI50"/>
    <mergeCell ref="BB51:BB53"/>
    <mergeCell ref="BC51:BH53"/>
    <mergeCell ref="AC117:AC119"/>
    <mergeCell ref="A147:A149"/>
    <mergeCell ref="B147:G149"/>
    <mergeCell ref="H147:H149"/>
    <mergeCell ref="I147:I149"/>
    <mergeCell ref="A159:A161"/>
    <mergeCell ref="B159:G161"/>
    <mergeCell ref="H159:H161"/>
    <mergeCell ref="I159:I161"/>
    <mergeCell ref="J159:J161"/>
    <mergeCell ref="K159:K161"/>
    <mergeCell ref="BI147:BI149"/>
    <mergeCell ref="A150:A152"/>
    <mergeCell ref="B150:G152"/>
    <mergeCell ref="H150:H152"/>
    <mergeCell ref="I150:I152"/>
    <mergeCell ref="J150:J152"/>
    <mergeCell ref="K150:K152"/>
    <mergeCell ref="L150:L152"/>
    <mergeCell ref="M150:M152"/>
    <mergeCell ref="N150:N152"/>
    <mergeCell ref="O150:T152"/>
    <mergeCell ref="U150:U152"/>
    <mergeCell ref="V150:V152"/>
    <mergeCell ref="BC150:BH152"/>
    <mergeCell ref="BI150:BI152"/>
    <mergeCell ref="J147:J149"/>
    <mergeCell ref="K147:K149"/>
    <mergeCell ref="L147:L149"/>
    <mergeCell ref="M147:M149"/>
    <mergeCell ref="N147:N149"/>
    <mergeCell ref="BI156:BI158"/>
    <mergeCell ref="A153:A155"/>
    <mergeCell ref="A96:A98"/>
    <mergeCell ref="N99:N101"/>
    <mergeCell ref="O99:T101"/>
    <mergeCell ref="A111:A113"/>
    <mergeCell ref="N117:N119"/>
    <mergeCell ref="O117:T119"/>
    <mergeCell ref="U117:U119"/>
    <mergeCell ref="I108:I110"/>
    <mergeCell ref="N105:N107"/>
    <mergeCell ref="AD144:AD146"/>
    <mergeCell ref="AE144:AK146"/>
    <mergeCell ref="AL144:AL146"/>
    <mergeCell ref="AM144:AS146"/>
    <mergeCell ref="AT144:AT146"/>
    <mergeCell ref="AU144:BA146"/>
    <mergeCell ref="BB144:BB146"/>
    <mergeCell ref="BC144:BI146"/>
    <mergeCell ref="U114:U116"/>
    <mergeCell ref="B114:G116"/>
    <mergeCell ref="H117:H119"/>
    <mergeCell ref="I117:I119"/>
    <mergeCell ref="I75:I77"/>
    <mergeCell ref="J75:J77"/>
    <mergeCell ref="K75:K77"/>
    <mergeCell ref="L75:L77"/>
    <mergeCell ref="V105:V107"/>
    <mergeCell ref="O96:U98"/>
    <mergeCell ref="V96:V98"/>
    <mergeCell ref="H96:H98"/>
    <mergeCell ref="K96:K98"/>
    <mergeCell ref="L96:L98"/>
    <mergeCell ref="M96:M98"/>
    <mergeCell ref="N96:N98"/>
    <mergeCell ref="A144:A146"/>
    <mergeCell ref="B144:G146"/>
    <mergeCell ref="H144:H146"/>
    <mergeCell ref="I144:I146"/>
    <mergeCell ref="J144:J146"/>
    <mergeCell ref="K144:K146"/>
    <mergeCell ref="L144:L146"/>
    <mergeCell ref="M144:M146"/>
    <mergeCell ref="N144:N146"/>
    <mergeCell ref="O144:U146"/>
    <mergeCell ref="V144:V146"/>
    <mergeCell ref="M111:M113"/>
    <mergeCell ref="J114:J116"/>
    <mergeCell ref="K114:K116"/>
    <mergeCell ref="L114:L116"/>
    <mergeCell ref="M114:M116"/>
    <mergeCell ref="AO3:AQ4"/>
    <mergeCell ref="AR3:AR4"/>
    <mergeCell ref="U66:U68"/>
    <mergeCell ref="U69:U71"/>
    <mergeCell ref="U72:U74"/>
    <mergeCell ref="B111:G113"/>
    <mergeCell ref="H111:H113"/>
    <mergeCell ref="I111:I113"/>
    <mergeCell ref="N111:N113"/>
    <mergeCell ref="N108:N110"/>
    <mergeCell ref="O108:T110"/>
    <mergeCell ref="V108:V110"/>
    <mergeCell ref="W108:AB110"/>
    <mergeCell ref="O111:T113"/>
    <mergeCell ref="V111:V113"/>
    <mergeCell ref="W111:AB113"/>
    <mergeCell ref="AC111:AC113"/>
    <mergeCell ref="AC105:AC107"/>
    <mergeCell ref="U108:U110"/>
    <mergeCell ref="U111:U113"/>
    <mergeCell ref="B83:G85"/>
    <mergeCell ref="H83:H85"/>
    <mergeCell ref="AJ3:AJ4"/>
    <mergeCell ref="V114:V116"/>
    <mergeCell ref="W114:AB116"/>
    <mergeCell ref="AK3:AM4"/>
    <mergeCell ref="I114:I116"/>
    <mergeCell ref="N114:N116"/>
    <mergeCell ref="B108:G110"/>
    <mergeCell ref="H108:H110"/>
    <mergeCell ref="A114:A116"/>
    <mergeCell ref="H114:H116"/>
    <mergeCell ref="V99:V101"/>
    <mergeCell ref="O114:T116"/>
    <mergeCell ref="AG3:AI4"/>
    <mergeCell ref="B96:G98"/>
    <mergeCell ref="A102:A104"/>
    <mergeCell ref="V102:V104"/>
    <mergeCell ref="W102:AB104"/>
    <mergeCell ref="U105:U107"/>
    <mergeCell ref="W99:AB101"/>
    <mergeCell ref="I96:I98"/>
    <mergeCell ref="J96:J98"/>
    <mergeCell ref="J111:J113"/>
    <mergeCell ref="K111:K113"/>
    <mergeCell ref="L111:L113"/>
    <mergeCell ref="A108:A110"/>
    <mergeCell ref="U99:U101"/>
    <mergeCell ref="AC99:AC101"/>
    <mergeCell ref="U102:U104"/>
    <mergeCell ref="AC102:AC104"/>
    <mergeCell ref="AC108:AC110"/>
    <mergeCell ref="A105:A107"/>
    <mergeCell ref="B105:G107"/>
    <mergeCell ref="H105:H107"/>
    <mergeCell ref="I105:I107"/>
    <mergeCell ref="A99:A101"/>
    <mergeCell ref="B99:G101"/>
    <mergeCell ref="H99:H101"/>
    <mergeCell ref="I99:I101"/>
    <mergeCell ref="N102:N104"/>
    <mergeCell ref="O102:T104"/>
    <mergeCell ref="B102:G104"/>
    <mergeCell ref="H102:H104"/>
    <mergeCell ref="I102:I104"/>
    <mergeCell ref="O105:T107"/>
    <mergeCell ref="BB57:BB59"/>
    <mergeCell ref="BC57:BH59"/>
    <mergeCell ref="N66:N68"/>
    <mergeCell ref="N69:N71"/>
    <mergeCell ref="AT63:AT65"/>
    <mergeCell ref="AU63:AZ65"/>
    <mergeCell ref="AC63:AC65"/>
    <mergeCell ref="AD63:AD65"/>
    <mergeCell ref="AE63:AJ65"/>
    <mergeCell ref="AK63:AK65"/>
    <mergeCell ref="AL63:AL65"/>
    <mergeCell ref="AM63:AR65"/>
    <mergeCell ref="A60:A62"/>
    <mergeCell ref="B60:G62"/>
    <mergeCell ref="J60:J62"/>
    <mergeCell ref="K60:K62"/>
    <mergeCell ref="L60:L62"/>
    <mergeCell ref="A83:A85"/>
    <mergeCell ref="AS54:AS56"/>
    <mergeCell ref="U57:U59"/>
    <mergeCell ref="AT60:AT62"/>
    <mergeCell ref="AU60:AZ62"/>
    <mergeCell ref="BA60:BA62"/>
    <mergeCell ref="AT54:AT56"/>
    <mergeCell ref="AU54:AZ56"/>
    <mergeCell ref="BA54:BA56"/>
    <mergeCell ref="AS57:AS59"/>
    <mergeCell ref="AT57:AT59"/>
    <mergeCell ref="AU57:AZ59"/>
    <mergeCell ref="BA57:BA59"/>
    <mergeCell ref="O66:T68"/>
    <mergeCell ref="BB66:BB68"/>
    <mergeCell ref="BA63:BA65"/>
    <mergeCell ref="AS63:AS65"/>
    <mergeCell ref="W105:AB107"/>
    <mergeCell ref="U227:U229"/>
    <mergeCell ref="AD224:AD226"/>
    <mergeCell ref="AE224:AJ226"/>
    <mergeCell ref="AK224:AK226"/>
    <mergeCell ref="N224:N226"/>
    <mergeCell ref="O224:T226"/>
    <mergeCell ref="U224:U226"/>
    <mergeCell ref="V224:V226"/>
    <mergeCell ref="V256:V258"/>
    <mergeCell ref="W256:AB258"/>
    <mergeCell ref="AC256:AC258"/>
    <mergeCell ref="AD256:AD258"/>
    <mergeCell ref="AE256:AJ258"/>
    <mergeCell ref="AK256:AK258"/>
    <mergeCell ref="AL256:AL258"/>
    <mergeCell ref="BI57:BI59"/>
    <mergeCell ref="BB60:BB62"/>
    <mergeCell ref="BC60:BH62"/>
    <mergeCell ref="BI60:BI62"/>
    <mergeCell ref="O69:T71"/>
    <mergeCell ref="AL69:AL71"/>
    <mergeCell ref="AM69:AR71"/>
    <mergeCell ref="AS69:AS71"/>
    <mergeCell ref="AS66:AS68"/>
    <mergeCell ref="AT69:AT71"/>
    <mergeCell ref="AU69:AZ71"/>
    <mergeCell ref="BA69:BA71"/>
    <mergeCell ref="AL66:AL68"/>
    <mergeCell ref="AM66:AR68"/>
    <mergeCell ref="AS60:AS62"/>
    <mergeCell ref="V117:V119"/>
    <mergeCell ref="W117:AB119"/>
    <mergeCell ref="AM256:AR258"/>
    <mergeCell ref="AD250:AD252"/>
    <mergeCell ref="AE250:AJ252"/>
    <mergeCell ref="AL259:AL261"/>
    <mergeCell ref="AM259:AR261"/>
    <mergeCell ref="AS259:AS261"/>
    <mergeCell ref="AS268:AS270"/>
    <mergeCell ref="N271:N273"/>
    <mergeCell ref="N221:N223"/>
    <mergeCell ref="O221:T223"/>
    <mergeCell ref="U221:U223"/>
    <mergeCell ref="V221:V223"/>
    <mergeCell ref="W221:AB223"/>
    <mergeCell ref="AC221:AC223"/>
    <mergeCell ref="BB224:BB226"/>
    <mergeCell ref="AT233:AT235"/>
    <mergeCell ref="AU233:AZ235"/>
    <mergeCell ref="BA233:BA235"/>
    <mergeCell ref="BB233:BB235"/>
    <mergeCell ref="BB236:BB238"/>
    <mergeCell ref="AK250:AK252"/>
    <mergeCell ref="AL250:AL252"/>
    <mergeCell ref="AM250:AR252"/>
    <mergeCell ref="AS250:AS252"/>
    <mergeCell ref="AS253:AS255"/>
    <mergeCell ref="AD253:AD255"/>
    <mergeCell ref="AE253:AJ255"/>
    <mergeCell ref="AK253:AK255"/>
    <mergeCell ref="AL253:AL255"/>
    <mergeCell ref="AM253:AR255"/>
    <mergeCell ref="N227:N229"/>
    <mergeCell ref="O227:T229"/>
    <mergeCell ref="AS218:AS220"/>
    <mergeCell ref="N218:N220"/>
    <mergeCell ref="O218:T220"/>
    <mergeCell ref="U218:U220"/>
    <mergeCell ref="V218:V220"/>
    <mergeCell ref="W218:AB220"/>
    <mergeCell ref="AC218:AC220"/>
    <mergeCell ref="AT215:AT217"/>
    <mergeCell ref="AU215:AZ217"/>
    <mergeCell ref="BA215:BA217"/>
    <mergeCell ref="BB215:BB217"/>
    <mergeCell ref="BC215:BH217"/>
    <mergeCell ref="BI215:BI217"/>
    <mergeCell ref="AD215:AD217"/>
    <mergeCell ref="AE215:AJ217"/>
    <mergeCell ref="AK215:AK217"/>
    <mergeCell ref="AL215:AL217"/>
    <mergeCell ref="AM215:AR217"/>
    <mergeCell ref="AS215:AS217"/>
    <mergeCell ref="N215:N217"/>
    <mergeCell ref="O215:T217"/>
    <mergeCell ref="U215:U217"/>
    <mergeCell ref="V215:V217"/>
    <mergeCell ref="W215:AB217"/>
    <mergeCell ref="AC215:AC217"/>
    <mergeCell ref="A209:A211"/>
    <mergeCell ref="B209:G211"/>
    <mergeCell ref="H209:H211"/>
    <mergeCell ref="I209:I211"/>
    <mergeCell ref="J209:J211"/>
    <mergeCell ref="K209:K211"/>
    <mergeCell ref="AT206:AT208"/>
    <mergeCell ref="AU206:AZ208"/>
    <mergeCell ref="BA206:BA208"/>
    <mergeCell ref="BB206:BB208"/>
    <mergeCell ref="BC206:BH208"/>
    <mergeCell ref="BC209:BH211"/>
    <mergeCell ref="AT212:AT214"/>
    <mergeCell ref="AU212:AZ214"/>
    <mergeCell ref="BI209:BI211"/>
    <mergeCell ref="N212:N214"/>
    <mergeCell ref="O212:T214"/>
    <mergeCell ref="U212:U214"/>
    <mergeCell ref="V212:V214"/>
    <mergeCell ref="W212:AB214"/>
    <mergeCell ref="AC212:AC214"/>
    <mergeCell ref="AD212:AD214"/>
    <mergeCell ref="AE212:AJ214"/>
    <mergeCell ref="AM209:AR211"/>
    <mergeCell ref="AS209:AS211"/>
    <mergeCell ref="AT209:AT211"/>
    <mergeCell ref="AU209:AZ211"/>
    <mergeCell ref="BA209:BA211"/>
    <mergeCell ref="BB209:BB211"/>
    <mergeCell ref="W209:AB211"/>
    <mergeCell ref="AC209:AC211"/>
    <mergeCell ref="AD209:AD211"/>
    <mergeCell ref="B206:G208"/>
    <mergeCell ref="H206:H208"/>
    <mergeCell ref="I206:I208"/>
    <mergeCell ref="J206:J208"/>
    <mergeCell ref="K206:K208"/>
    <mergeCell ref="L206:L208"/>
    <mergeCell ref="M206:M208"/>
    <mergeCell ref="AM203:AR205"/>
    <mergeCell ref="AS203:AS205"/>
    <mergeCell ref="AT203:AT205"/>
    <mergeCell ref="AU203:AZ205"/>
    <mergeCell ref="BA203:BA205"/>
    <mergeCell ref="BB203:BB205"/>
    <mergeCell ref="W203:AB205"/>
    <mergeCell ref="AC203:AC205"/>
    <mergeCell ref="AD203:AD205"/>
    <mergeCell ref="L209:L211"/>
    <mergeCell ref="M209:M211"/>
    <mergeCell ref="N209:N211"/>
    <mergeCell ref="O209:T211"/>
    <mergeCell ref="U209:U211"/>
    <mergeCell ref="V209:V211"/>
    <mergeCell ref="AE209:AJ211"/>
    <mergeCell ref="AK209:AK211"/>
    <mergeCell ref="AL209:AL211"/>
    <mergeCell ref="A203:A205"/>
    <mergeCell ref="B203:G205"/>
    <mergeCell ref="H203:H205"/>
    <mergeCell ref="I203:I205"/>
    <mergeCell ref="J203:J205"/>
    <mergeCell ref="K203:K205"/>
    <mergeCell ref="AT200:AT202"/>
    <mergeCell ref="AU200:AZ202"/>
    <mergeCell ref="A200:A202"/>
    <mergeCell ref="B200:G202"/>
    <mergeCell ref="H200:H202"/>
    <mergeCell ref="I200:I202"/>
    <mergeCell ref="J200:J202"/>
    <mergeCell ref="K200:K202"/>
    <mergeCell ref="L200:L202"/>
    <mergeCell ref="M200:M202"/>
    <mergeCell ref="BI206:BI208"/>
    <mergeCell ref="AD206:AD208"/>
    <mergeCell ref="AE206:AJ208"/>
    <mergeCell ref="AK206:AK208"/>
    <mergeCell ref="AL206:AL208"/>
    <mergeCell ref="AM206:AR208"/>
    <mergeCell ref="AS206:AS208"/>
    <mergeCell ref="N206:N208"/>
    <mergeCell ref="O206:T208"/>
    <mergeCell ref="U206:U208"/>
    <mergeCell ref="V206:V208"/>
    <mergeCell ref="W206:AB208"/>
    <mergeCell ref="AC206:AC208"/>
    <mergeCell ref="BC203:BH205"/>
    <mergeCell ref="BI203:BI205"/>
    <mergeCell ref="A206:A208"/>
    <mergeCell ref="BA197:BA199"/>
    <mergeCell ref="BB197:BB199"/>
    <mergeCell ref="W197:AB199"/>
    <mergeCell ref="AC197:AC199"/>
    <mergeCell ref="AD197:AD199"/>
    <mergeCell ref="AE197:AJ199"/>
    <mergeCell ref="AK197:AK199"/>
    <mergeCell ref="AL197:AL199"/>
    <mergeCell ref="AE203:AJ205"/>
    <mergeCell ref="AK203:AK205"/>
    <mergeCell ref="AL203:AL205"/>
    <mergeCell ref="L203:L205"/>
    <mergeCell ref="M203:M205"/>
    <mergeCell ref="N203:N205"/>
    <mergeCell ref="O203:T205"/>
    <mergeCell ref="U203:U205"/>
    <mergeCell ref="V203:V205"/>
    <mergeCell ref="L197:L199"/>
    <mergeCell ref="M197:M199"/>
    <mergeCell ref="N197:N199"/>
    <mergeCell ref="O197:T199"/>
    <mergeCell ref="U197:U199"/>
    <mergeCell ref="V197:V199"/>
    <mergeCell ref="BB194:BB196"/>
    <mergeCell ref="AD194:AD196"/>
    <mergeCell ref="AL194:AL196"/>
    <mergeCell ref="N194:N196"/>
    <mergeCell ref="V194:V196"/>
    <mergeCell ref="A194:A196"/>
    <mergeCell ref="B194:G196"/>
    <mergeCell ref="H194:H196"/>
    <mergeCell ref="I194:I196"/>
    <mergeCell ref="J194:J196"/>
    <mergeCell ref="K194:K196"/>
    <mergeCell ref="L194:L196"/>
    <mergeCell ref="M194:M196"/>
    <mergeCell ref="BA200:BA202"/>
    <mergeCell ref="BB200:BB202"/>
    <mergeCell ref="BC200:BH202"/>
    <mergeCell ref="BI200:BI202"/>
    <mergeCell ref="AD200:AD202"/>
    <mergeCell ref="AE200:AJ202"/>
    <mergeCell ref="AK200:AK202"/>
    <mergeCell ref="AL200:AL202"/>
    <mergeCell ref="AM200:AR202"/>
    <mergeCell ref="AS200:AS202"/>
    <mergeCell ref="N200:N202"/>
    <mergeCell ref="O200:T202"/>
    <mergeCell ref="U200:U202"/>
    <mergeCell ref="V200:V202"/>
    <mergeCell ref="W200:AB202"/>
    <mergeCell ref="AC200:AC202"/>
    <mergeCell ref="BC197:BH199"/>
    <mergeCell ref="BI197:BI199"/>
    <mergeCell ref="AM197:AR199"/>
    <mergeCell ref="AC150:AC152"/>
    <mergeCell ref="AD150:AD152"/>
    <mergeCell ref="AE150:AJ152"/>
    <mergeCell ref="AK150:AK152"/>
    <mergeCell ref="AL150:AL152"/>
    <mergeCell ref="AM150:AR152"/>
    <mergeCell ref="AS150:AS152"/>
    <mergeCell ref="AT150:AT152"/>
    <mergeCell ref="AU150:AZ152"/>
    <mergeCell ref="H197:H199"/>
    <mergeCell ref="I197:I199"/>
    <mergeCell ref="J197:J199"/>
    <mergeCell ref="K197:K199"/>
    <mergeCell ref="AT194:AT196"/>
    <mergeCell ref="AS197:AS199"/>
    <mergeCell ref="AT197:AT199"/>
    <mergeCell ref="AU197:AZ199"/>
    <mergeCell ref="H162:H164"/>
    <mergeCell ref="I162:I164"/>
    <mergeCell ref="J162:J164"/>
    <mergeCell ref="K162:K164"/>
    <mergeCell ref="L162:L164"/>
    <mergeCell ref="M162:M164"/>
    <mergeCell ref="N162:N164"/>
    <mergeCell ref="O162:T164"/>
    <mergeCell ref="L159:L161"/>
    <mergeCell ref="M159:M161"/>
    <mergeCell ref="AL153:AL155"/>
    <mergeCell ref="AM153:AR155"/>
    <mergeCell ref="AS153:AS155"/>
    <mergeCell ref="AT153:AT155"/>
    <mergeCell ref="AU153:AZ155"/>
    <mergeCell ref="BB150:BB152"/>
    <mergeCell ref="AE159:AJ161"/>
    <mergeCell ref="AK159:AK161"/>
    <mergeCell ref="AL159:AL161"/>
    <mergeCell ref="AM159:AR161"/>
    <mergeCell ref="AS159:AS161"/>
    <mergeCell ref="AT159:AT161"/>
    <mergeCell ref="AU159:AZ161"/>
    <mergeCell ref="BA159:BA161"/>
    <mergeCell ref="BC147:BH149"/>
    <mergeCell ref="BJ144:BO144"/>
    <mergeCell ref="AT66:AT68"/>
    <mergeCell ref="AU66:AZ68"/>
    <mergeCell ref="V66:V68"/>
    <mergeCell ref="W66:AB68"/>
    <mergeCell ref="AC66:AC68"/>
    <mergeCell ref="BB147:BB149"/>
    <mergeCell ref="AD159:AD161"/>
    <mergeCell ref="BC66:BH68"/>
    <mergeCell ref="BI66:BI68"/>
    <mergeCell ref="BC72:BH74"/>
    <mergeCell ref="BI72:BI74"/>
    <mergeCell ref="BA72:BA74"/>
    <mergeCell ref="BA66:BA68"/>
    <mergeCell ref="AM72:AR74"/>
    <mergeCell ref="AL72:AL74"/>
    <mergeCell ref="AC123:AC125"/>
    <mergeCell ref="V123:V125"/>
    <mergeCell ref="AC120:AC122"/>
    <mergeCell ref="W120:AB122"/>
    <mergeCell ref="V120:V122"/>
    <mergeCell ref="W144:AC146"/>
    <mergeCell ref="AU147:AZ149"/>
    <mergeCell ref="BA147:BA149"/>
    <mergeCell ref="O147:T149"/>
    <mergeCell ref="U147:U149"/>
    <mergeCell ref="V147:V149"/>
    <mergeCell ref="W147:AB149"/>
    <mergeCell ref="AC147:AC149"/>
    <mergeCell ref="BA150:BA152"/>
    <mergeCell ref="N63:N65"/>
    <mergeCell ref="U63:U65"/>
    <mergeCell ref="V63:V65"/>
    <mergeCell ref="W63:AB65"/>
    <mergeCell ref="O63:T65"/>
    <mergeCell ref="N72:N74"/>
    <mergeCell ref="O72:T74"/>
    <mergeCell ref="H57:H59"/>
    <mergeCell ref="I57:I59"/>
    <mergeCell ref="J57:J59"/>
    <mergeCell ref="K57:K59"/>
    <mergeCell ref="AC60:AC62"/>
    <mergeCell ref="AD60:AD62"/>
    <mergeCell ref="AE60:AJ62"/>
    <mergeCell ref="AK60:AK62"/>
    <mergeCell ref="AL60:AL62"/>
    <mergeCell ref="AM60:AR62"/>
    <mergeCell ref="N60:N62"/>
    <mergeCell ref="O60:T62"/>
    <mergeCell ref="U60:U62"/>
    <mergeCell ref="V60:V62"/>
    <mergeCell ref="W60:AB62"/>
    <mergeCell ref="H60:H62"/>
    <mergeCell ref="I60:I62"/>
    <mergeCell ref="AC57:AC59"/>
    <mergeCell ref="AD57:AD59"/>
    <mergeCell ref="AE57:AJ59"/>
    <mergeCell ref="AK57:AK59"/>
    <mergeCell ref="AL57:AL59"/>
    <mergeCell ref="AM57:AR59"/>
    <mergeCell ref="N57:N59"/>
    <mergeCell ref="O57:T59"/>
    <mergeCell ref="AD54:AD56"/>
    <mergeCell ref="AE54:AJ56"/>
    <mergeCell ref="AK54:AK56"/>
    <mergeCell ref="AL54:AL56"/>
    <mergeCell ref="AM54:AR56"/>
    <mergeCell ref="N54:N56"/>
    <mergeCell ref="O54:T56"/>
    <mergeCell ref="U54:U56"/>
    <mergeCell ref="V54:V56"/>
    <mergeCell ref="W54:AB56"/>
    <mergeCell ref="BJ48:BO48"/>
    <mergeCell ref="V48:V50"/>
    <mergeCell ref="W48:AC50"/>
    <mergeCell ref="AD48:AD50"/>
    <mergeCell ref="AE48:AK50"/>
    <mergeCell ref="AL48:AL50"/>
    <mergeCell ref="AM48:AS50"/>
    <mergeCell ref="BI54:BI56"/>
    <mergeCell ref="A46:BM47"/>
    <mergeCell ref="N48:N50"/>
    <mergeCell ref="O48:U50"/>
    <mergeCell ref="AS51:AS53"/>
    <mergeCell ref="AT51:AT53"/>
    <mergeCell ref="AU51:AZ53"/>
    <mergeCell ref="BA51:BA53"/>
    <mergeCell ref="AK51:AK53"/>
    <mergeCell ref="AL51:AL53"/>
    <mergeCell ref="AM51:AR53"/>
    <mergeCell ref="N51:N53"/>
    <mergeCell ref="O51:T53"/>
    <mergeCell ref="U51:U53"/>
    <mergeCell ref="V51:V53"/>
    <mergeCell ref="W51:AB53"/>
    <mergeCell ref="BI51:BI53"/>
    <mergeCell ref="AC51:AC53"/>
    <mergeCell ref="AD51:AD53"/>
    <mergeCell ref="AE51:AJ53"/>
    <mergeCell ref="A51:A53"/>
    <mergeCell ref="B51:G53"/>
    <mergeCell ref="H51:H53"/>
    <mergeCell ref="J51:J53"/>
    <mergeCell ref="BB54:BB56"/>
    <mergeCell ref="L51:L53"/>
    <mergeCell ref="M48:M50"/>
    <mergeCell ref="BJ49:BO79"/>
    <mergeCell ref="V57:V59"/>
    <mergeCell ref="W57:AB59"/>
    <mergeCell ref="L57:L59"/>
    <mergeCell ref="AC54:AC56"/>
    <mergeCell ref="A40:A42"/>
    <mergeCell ref="B40:H42"/>
    <mergeCell ref="I40:I42"/>
    <mergeCell ref="J40:J42"/>
    <mergeCell ref="V42:AA42"/>
    <mergeCell ref="A43:F43"/>
    <mergeCell ref="V36:V38"/>
    <mergeCell ref="W36:AC38"/>
    <mergeCell ref="AD36:AD38"/>
    <mergeCell ref="A38:A39"/>
    <mergeCell ref="B38:H39"/>
    <mergeCell ref="I38:I39"/>
    <mergeCell ref="J38:J39"/>
    <mergeCell ref="V39:V41"/>
    <mergeCell ref="W39:AC41"/>
    <mergeCell ref="AD39:AD41"/>
    <mergeCell ref="H54:H56"/>
    <mergeCell ref="I54:I56"/>
    <mergeCell ref="J54:J56"/>
    <mergeCell ref="K54:K56"/>
    <mergeCell ref="L54:L56"/>
    <mergeCell ref="A48:A50"/>
    <mergeCell ref="AT48:AT50"/>
    <mergeCell ref="B48:G50"/>
    <mergeCell ref="AU48:BA50"/>
    <mergeCell ref="U30:U32"/>
    <mergeCell ref="V30:V32"/>
    <mergeCell ref="W30:AC32"/>
    <mergeCell ref="AD30:AD32"/>
    <mergeCell ref="A33:F33"/>
    <mergeCell ref="L33:Q33"/>
    <mergeCell ref="V33:V35"/>
    <mergeCell ref="W33:AC35"/>
    <mergeCell ref="AD33:AD35"/>
    <mergeCell ref="V27:V29"/>
    <mergeCell ref="W27:AC29"/>
    <mergeCell ref="AD27:AD29"/>
    <mergeCell ref="A30:A32"/>
    <mergeCell ref="B30:H32"/>
    <mergeCell ref="I30:I32"/>
    <mergeCell ref="J30:J32"/>
    <mergeCell ref="L30:L32"/>
    <mergeCell ref="M30:S32"/>
    <mergeCell ref="T30:T32"/>
    <mergeCell ref="AD24:AD26"/>
    <mergeCell ref="A27:A29"/>
    <mergeCell ref="B27:H29"/>
    <mergeCell ref="I27:I29"/>
    <mergeCell ref="J27:J29"/>
    <mergeCell ref="L27:L29"/>
    <mergeCell ref="M27:M29"/>
    <mergeCell ref="N27:S29"/>
    <mergeCell ref="T27:T29"/>
    <mergeCell ref="U27:U29"/>
    <mergeCell ref="M24:M26"/>
    <mergeCell ref="N24:S26"/>
    <mergeCell ref="T24:T26"/>
    <mergeCell ref="U24:U26"/>
    <mergeCell ref="V24:V26"/>
    <mergeCell ref="W24:AC26"/>
    <mergeCell ref="T21:T23"/>
    <mergeCell ref="U21:U23"/>
    <mergeCell ref="V21:V23"/>
    <mergeCell ref="W21:AC23"/>
    <mergeCell ref="AD21:AD23"/>
    <mergeCell ref="A24:A26"/>
    <mergeCell ref="B24:H26"/>
    <mergeCell ref="I24:I26"/>
    <mergeCell ref="J24:J26"/>
    <mergeCell ref="L24:L26"/>
    <mergeCell ref="U18:U20"/>
    <mergeCell ref="V18:V20"/>
    <mergeCell ref="W18:AC20"/>
    <mergeCell ref="AD18:AD20"/>
    <mergeCell ref="A21:A23"/>
    <mergeCell ref="B21:H23"/>
    <mergeCell ref="I21:I23"/>
    <mergeCell ref="J21:J23"/>
    <mergeCell ref="L21:L23"/>
    <mergeCell ref="M21:S23"/>
    <mergeCell ref="V15:V17"/>
    <mergeCell ref="W15:AC17"/>
    <mergeCell ref="AD15:AD17"/>
    <mergeCell ref="A18:A20"/>
    <mergeCell ref="B18:H20"/>
    <mergeCell ref="I18:I20"/>
    <mergeCell ref="J18:J20"/>
    <mergeCell ref="L18:L20"/>
    <mergeCell ref="M18:S20"/>
    <mergeCell ref="T18:T20"/>
    <mergeCell ref="W12:AC14"/>
    <mergeCell ref="AD12:AD14"/>
    <mergeCell ref="A15:A17"/>
    <mergeCell ref="B15:H17"/>
    <mergeCell ref="I15:I17"/>
    <mergeCell ref="J15:J17"/>
    <mergeCell ref="L15:L17"/>
    <mergeCell ref="M15:S17"/>
    <mergeCell ref="T15:T17"/>
    <mergeCell ref="U15:U17"/>
    <mergeCell ref="A12:A14"/>
    <mergeCell ref="B12:H14"/>
    <mergeCell ref="I12:I14"/>
    <mergeCell ref="J12:J14"/>
    <mergeCell ref="L12:L14"/>
    <mergeCell ref="M12:S14"/>
    <mergeCell ref="T9:T11"/>
    <mergeCell ref="U9:U11"/>
    <mergeCell ref="V9:V11"/>
    <mergeCell ref="W9:AC11"/>
    <mergeCell ref="AD9:AD11"/>
    <mergeCell ref="BJ9:BO9"/>
    <mergeCell ref="T12:T14"/>
    <mergeCell ref="U12:U14"/>
    <mergeCell ref="V12:V14"/>
    <mergeCell ref="AZ5:AZ6"/>
    <mergeCell ref="BM1:BO2"/>
    <mergeCell ref="BP1:BR2"/>
    <mergeCell ref="A7:BP8"/>
    <mergeCell ref="A9:A11"/>
    <mergeCell ref="B9:H11"/>
    <mergeCell ref="I9:I11"/>
    <mergeCell ref="J9:J11"/>
    <mergeCell ref="L9:L11"/>
    <mergeCell ref="M9:S11"/>
    <mergeCell ref="AN5:AN6"/>
    <mergeCell ref="AO5:AQ6"/>
    <mergeCell ref="AR5:AR6"/>
    <mergeCell ref="AS5:AU6"/>
    <mergeCell ref="AV5:AV6"/>
    <mergeCell ref="AW5:AY6"/>
    <mergeCell ref="AB5:AB6"/>
    <mergeCell ref="AC5:AE6"/>
    <mergeCell ref="AF5:AF6"/>
    <mergeCell ref="AG5:AI6"/>
    <mergeCell ref="AJ5:AJ6"/>
    <mergeCell ref="AK5:AM6"/>
    <mergeCell ref="AN3:AN4"/>
    <mergeCell ref="P5:P6"/>
    <mergeCell ref="Q5:S6"/>
    <mergeCell ref="T5:T6"/>
    <mergeCell ref="U5:W6"/>
    <mergeCell ref="X5:X6"/>
    <mergeCell ref="Y5:AA6"/>
    <mergeCell ref="AB3:AB4"/>
    <mergeCell ref="AC3:AE4"/>
    <mergeCell ref="AF3:AF4"/>
    <mergeCell ref="A5:C6"/>
    <mergeCell ref="D5:D6"/>
    <mergeCell ref="E5:G6"/>
    <mergeCell ref="H5:H6"/>
    <mergeCell ref="I5:K6"/>
    <mergeCell ref="L5:L6"/>
    <mergeCell ref="M5:O6"/>
    <mergeCell ref="P3:P4"/>
    <mergeCell ref="Q3:S4"/>
    <mergeCell ref="T3:T4"/>
    <mergeCell ref="U3:W4"/>
    <mergeCell ref="X3:X4"/>
    <mergeCell ref="Y3:AA4"/>
    <mergeCell ref="A3:D4"/>
    <mergeCell ref="E3:G4"/>
    <mergeCell ref="H3:H4"/>
    <mergeCell ref="I3:K4"/>
    <mergeCell ref="L3:L4"/>
    <mergeCell ref="M3:O4"/>
    <mergeCell ref="H48:H50"/>
    <mergeCell ref="I48:I50"/>
    <mergeCell ref="J48:J50"/>
    <mergeCell ref="K48:K50"/>
    <mergeCell ref="L48:L50"/>
    <mergeCell ref="I83:I85"/>
    <mergeCell ref="J83:J85"/>
    <mergeCell ref="K83:K85"/>
    <mergeCell ref="L83:L85"/>
    <mergeCell ref="B63:G65"/>
    <mergeCell ref="H63:H65"/>
    <mergeCell ref="I63:I65"/>
    <mergeCell ref="J63:J65"/>
    <mergeCell ref="K63:K65"/>
    <mergeCell ref="L63:L65"/>
    <mergeCell ref="A66:A68"/>
    <mergeCell ref="B66:G68"/>
    <mergeCell ref="H66:H68"/>
    <mergeCell ref="I66:I68"/>
    <mergeCell ref="J66:J68"/>
    <mergeCell ref="K66:K68"/>
    <mergeCell ref="L66:L68"/>
    <mergeCell ref="A69:A71"/>
    <mergeCell ref="A57:A59"/>
    <mergeCell ref="B57:G59"/>
    <mergeCell ref="I69:I71"/>
    <mergeCell ref="J69:J71"/>
    <mergeCell ref="K69:K71"/>
    <mergeCell ref="L69:L71"/>
    <mergeCell ref="A63:A65"/>
    <mergeCell ref="I51:I53"/>
    <mergeCell ref="K51:K53"/>
    <mergeCell ref="H89:H91"/>
    <mergeCell ref="I89:I91"/>
    <mergeCell ref="J89:J91"/>
    <mergeCell ref="B69:G71"/>
    <mergeCell ref="H69:H71"/>
    <mergeCell ref="K89:K91"/>
    <mergeCell ref="L89:L91"/>
    <mergeCell ref="A92:E92"/>
    <mergeCell ref="M51:M53"/>
    <mergeCell ref="M54:M56"/>
    <mergeCell ref="M57:M59"/>
    <mergeCell ref="M60:M62"/>
    <mergeCell ref="M63:M65"/>
    <mergeCell ref="M66:M68"/>
    <mergeCell ref="M69:M71"/>
    <mergeCell ref="M72:M74"/>
    <mergeCell ref="M75:M77"/>
    <mergeCell ref="M83:M85"/>
    <mergeCell ref="M86:M88"/>
    <mergeCell ref="M89:M91"/>
    <mergeCell ref="A72:A74"/>
    <mergeCell ref="B72:G74"/>
    <mergeCell ref="H72:H74"/>
    <mergeCell ref="I72:I74"/>
    <mergeCell ref="J72:J74"/>
    <mergeCell ref="K72:K74"/>
    <mergeCell ref="L72:L74"/>
    <mergeCell ref="A75:A77"/>
    <mergeCell ref="B75:G77"/>
    <mergeCell ref="H75:H77"/>
    <mergeCell ref="A54:A56"/>
    <mergeCell ref="B54:G56"/>
    <mergeCell ref="A162:A164"/>
    <mergeCell ref="B162:G164"/>
    <mergeCell ref="A165:A167"/>
    <mergeCell ref="B165:G167"/>
    <mergeCell ref="H165:H167"/>
    <mergeCell ref="BJ10:BO40"/>
    <mergeCell ref="A94:BR95"/>
    <mergeCell ref="J99:J101"/>
    <mergeCell ref="K99:K101"/>
    <mergeCell ref="L99:L101"/>
    <mergeCell ref="M99:M101"/>
    <mergeCell ref="J102:J104"/>
    <mergeCell ref="K102:K104"/>
    <mergeCell ref="L102:L104"/>
    <mergeCell ref="M102:M104"/>
    <mergeCell ref="J105:J107"/>
    <mergeCell ref="K105:K107"/>
    <mergeCell ref="L105:L107"/>
    <mergeCell ref="M105:M107"/>
    <mergeCell ref="J108:J110"/>
    <mergeCell ref="K108:K110"/>
    <mergeCell ref="L108:L110"/>
    <mergeCell ref="M108:M110"/>
    <mergeCell ref="A86:A88"/>
    <mergeCell ref="B86:G88"/>
    <mergeCell ref="H86:H88"/>
    <mergeCell ref="I86:I88"/>
    <mergeCell ref="J86:J88"/>
    <mergeCell ref="K86:K88"/>
    <mergeCell ref="L86:L88"/>
    <mergeCell ref="A89:A91"/>
    <mergeCell ref="B89:G91"/>
    <mergeCell ref="J117:J119"/>
    <mergeCell ref="K117:K119"/>
    <mergeCell ref="L117:L119"/>
    <mergeCell ref="M117:M119"/>
    <mergeCell ref="J120:J122"/>
    <mergeCell ref="K120:K122"/>
    <mergeCell ref="L120:L122"/>
    <mergeCell ref="M120:M122"/>
    <mergeCell ref="A123:A125"/>
    <mergeCell ref="B123:G125"/>
    <mergeCell ref="H123:H125"/>
    <mergeCell ref="I123:I125"/>
    <mergeCell ref="J123:J125"/>
    <mergeCell ref="K123:K125"/>
    <mergeCell ref="L123:L125"/>
    <mergeCell ref="M123:M125"/>
    <mergeCell ref="A131:A133"/>
    <mergeCell ref="B131:G133"/>
    <mergeCell ref="H131:H133"/>
    <mergeCell ref="I131:I133"/>
    <mergeCell ref="A120:A122"/>
    <mergeCell ref="H120:H122"/>
    <mergeCell ref="I120:I122"/>
    <mergeCell ref="B120:G122"/>
    <mergeCell ref="A117:A119"/>
    <mergeCell ref="B117:G119"/>
    <mergeCell ref="A134:A136"/>
    <mergeCell ref="B134:G136"/>
    <mergeCell ref="H134:H136"/>
    <mergeCell ref="I134:I136"/>
    <mergeCell ref="A137:A139"/>
    <mergeCell ref="B137:G139"/>
    <mergeCell ref="H137:H139"/>
    <mergeCell ref="I137:I139"/>
    <mergeCell ref="A140:E140"/>
    <mergeCell ref="M184:M186"/>
    <mergeCell ref="A187:E187"/>
    <mergeCell ref="A168:A170"/>
    <mergeCell ref="B168:G170"/>
    <mergeCell ref="H168:H170"/>
    <mergeCell ref="I168:I170"/>
    <mergeCell ref="J168:J170"/>
    <mergeCell ref="K168:K170"/>
    <mergeCell ref="L168:L170"/>
    <mergeCell ref="M168:M170"/>
    <mergeCell ref="A171:A173"/>
    <mergeCell ref="B171:G173"/>
    <mergeCell ref="H171:H173"/>
    <mergeCell ref="I171:I173"/>
    <mergeCell ref="J171:J173"/>
    <mergeCell ref="K171:K173"/>
    <mergeCell ref="L171:L173"/>
    <mergeCell ref="M171:M173"/>
    <mergeCell ref="A179:A180"/>
    <mergeCell ref="B179:G180"/>
    <mergeCell ref="H179:H180"/>
    <mergeCell ref="I179:I180"/>
    <mergeCell ref="J179:J180"/>
    <mergeCell ref="K179:K180"/>
    <mergeCell ref="L179:L180"/>
    <mergeCell ref="M179:M180"/>
    <mergeCell ref="A142:BR143"/>
    <mergeCell ref="A218:A220"/>
    <mergeCell ref="B218:G220"/>
    <mergeCell ref="H218:H220"/>
    <mergeCell ref="I218:I220"/>
    <mergeCell ref="J218:J220"/>
    <mergeCell ref="K218:K220"/>
    <mergeCell ref="L218:L220"/>
    <mergeCell ref="M218:M220"/>
    <mergeCell ref="A221:A223"/>
    <mergeCell ref="B221:G223"/>
    <mergeCell ref="H221:H223"/>
    <mergeCell ref="I221:I223"/>
    <mergeCell ref="J221:J223"/>
    <mergeCell ref="K221:K223"/>
    <mergeCell ref="L221:L223"/>
    <mergeCell ref="M221:M223"/>
    <mergeCell ref="A181:A183"/>
    <mergeCell ref="B181:G183"/>
    <mergeCell ref="H181:H183"/>
    <mergeCell ref="I181:I183"/>
    <mergeCell ref="J181:J183"/>
    <mergeCell ref="K181:K183"/>
    <mergeCell ref="L181:L183"/>
    <mergeCell ref="M181:M183"/>
    <mergeCell ref="A184:A186"/>
    <mergeCell ref="B184:G186"/>
    <mergeCell ref="H184:H186"/>
    <mergeCell ref="I184:I186"/>
    <mergeCell ref="J184:J186"/>
    <mergeCell ref="K184:K186"/>
    <mergeCell ref="L184:L186"/>
    <mergeCell ref="I279:I280"/>
    <mergeCell ref="J279:J280"/>
    <mergeCell ref="K279:K280"/>
    <mergeCell ref="A229:A230"/>
    <mergeCell ref="B229:G230"/>
    <mergeCell ref="H229:H230"/>
    <mergeCell ref="I229:I230"/>
    <mergeCell ref="J229:J230"/>
    <mergeCell ref="K229:K230"/>
    <mergeCell ref="L229:L230"/>
    <mergeCell ref="M229:M230"/>
    <mergeCell ref="A231:A233"/>
    <mergeCell ref="B231:G233"/>
    <mergeCell ref="H231:H233"/>
    <mergeCell ref="I231:I233"/>
    <mergeCell ref="J231:J233"/>
    <mergeCell ref="K231:K233"/>
    <mergeCell ref="L231:L233"/>
    <mergeCell ref="M231:M233"/>
    <mergeCell ref="A234:A236"/>
    <mergeCell ref="B234:G236"/>
    <mergeCell ref="H234:H236"/>
    <mergeCell ref="I234:I236"/>
    <mergeCell ref="J234:J236"/>
    <mergeCell ref="K234:K236"/>
    <mergeCell ref="L234:L236"/>
    <mergeCell ref="M234:M236"/>
    <mergeCell ref="A197:A199"/>
    <mergeCell ref="B197:G199"/>
    <mergeCell ref="A281:A283"/>
    <mergeCell ref="B281:G283"/>
    <mergeCell ref="H281:H283"/>
    <mergeCell ref="I281:I283"/>
    <mergeCell ref="J281:J283"/>
    <mergeCell ref="K281:K283"/>
    <mergeCell ref="A284:A286"/>
    <mergeCell ref="B284:G286"/>
    <mergeCell ref="H284:H286"/>
    <mergeCell ref="I284:I286"/>
    <mergeCell ref="J284:J286"/>
    <mergeCell ref="K284:K286"/>
    <mergeCell ref="A287:E287"/>
    <mergeCell ref="BJ99:BO129"/>
    <mergeCell ref="BJ145:BO175"/>
    <mergeCell ref="BJ195:BO225"/>
    <mergeCell ref="A237:E237"/>
    <mergeCell ref="A268:A270"/>
    <mergeCell ref="B268:G270"/>
    <mergeCell ref="H268:H270"/>
    <mergeCell ref="I268:I270"/>
    <mergeCell ref="J268:J270"/>
    <mergeCell ref="K268:K270"/>
    <mergeCell ref="A271:A273"/>
    <mergeCell ref="B271:G273"/>
    <mergeCell ref="H271:H273"/>
    <mergeCell ref="I271:I273"/>
    <mergeCell ref="J271:J273"/>
    <mergeCell ref="K271:K273"/>
    <mergeCell ref="A279:A280"/>
    <mergeCell ref="B279:G280"/>
    <mergeCell ref="H279:H280"/>
  </mergeCells>
  <conditionalFormatting sqref="T5:T6 X5:X6 AB5:AB6 AF5:AF6 AJ5:AJ6 AN5:AN6 AR5:AR6 AS51:AS74 P5:P6 L5:L6 H5:H6 D5:D6 AV5:AV6 AZ5:AZ6 AC129:AC131">
    <cfRule type="containsBlanks" dxfId="8995" priority="2937">
      <formula>LEN(TRIM(D5))=0</formula>
    </cfRule>
  </conditionalFormatting>
  <conditionalFormatting sqref="AK66:AK69">
    <cfRule type="containsBlanks" dxfId="8994" priority="2885">
      <formula>LEN(TRIM(AK66))=0</formula>
    </cfRule>
  </conditionalFormatting>
  <conditionalFormatting sqref="P3">
    <cfRule type="containsBlanks" dxfId="8993" priority="2883">
      <formula>LEN(TRIM(P3))=0</formula>
    </cfRule>
  </conditionalFormatting>
  <conditionalFormatting sqref="T3 X3 AB3 AF3 AJ3 AN3 AR3">
    <cfRule type="containsBlanks" dxfId="8992" priority="2882">
      <formula>LEN(TRIM(T3))=0</formula>
    </cfRule>
  </conditionalFormatting>
  <conditionalFormatting sqref="H3:H4">
    <cfRule type="containsBlanks" dxfId="8991" priority="2891">
      <formula>LEN(TRIM(H3))=0</formula>
    </cfRule>
  </conditionalFormatting>
  <conditionalFormatting sqref="L3:L4">
    <cfRule type="containsBlanks" dxfId="8990" priority="2890">
      <formula>LEN(TRIM(L3))=0</formula>
    </cfRule>
  </conditionalFormatting>
  <conditionalFormatting sqref="AC69:AC70">
    <cfRule type="containsBlanks" dxfId="8989" priority="2826">
      <formula>LEN(TRIM(AC69))=0</formula>
    </cfRule>
  </conditionalFormatting>
  <conditionalFormatting sqref="BI51:BI74">
    <cfRule type="containsBlanks" dxfId="8988" priority="2825">
      <formula>LEN(TRIM(BI51))=0</formula>
    </cfRule>
  </conditionalFormatting>
  <conditionalFormatting sqref="U75:U77">
    <cfRule type="containsBlanks" dxfId="8987" priority="2824">
      <formula>LEN(TRIM(U75))=0</formula>
    </cfRule>
  </conditionalFormatting>
  <conditionalFormatting sqref="AS75:AS77">
    <cfRule type="containsBlanks" dxfId="8986" priority="2823">
      <formula>LEN(TRIM(AS75))=0</formula>
    </cfRule>
  </conditionalFormatting>
  <conditionalFormatting sqref="BA78:BA80">
    <cfRule type="containsBlanks" dxfId="8985" priority="2822">
      <formula>LEN(TRIM(BA78))=0</formula>
    </cfRule>
  </conditionalFormatting>
  <conditionalFormatting sqref="BI75:BI76">
    <cfRule type="containsBlanks" dxfId="8984" priority="2821">
      <formula>LEN(TRIM(BI75))=0</formula>
    </cfRule>
  </conditionalFormatting>
  <conditionalFormatting sqref="U54:U65 U69:U74">
    <cfRule type="containsBlanks" dxfId="8983" priority="2799">
      <formula>LEN(TRIM(U54))=0</formula>
    </cfRule>
  </conditionalFormatting>
  <conditionalFormatting sqref="U99:U119">
    <cfRule type="containsBlanks" dxfId="8982" priority="2812">
      <formula>LEN(TRIM(U99))=0</formula>
    </cfRule>
  </conditionalFormatting>
  <conditionalFormatting sqref="BA51:BA77">
    <cfRule type="containsBlanks" dxfId="8981" priority="2809">
      <formula>LEN(TRIM(BA51))=0</formula>
    </cfRule>
  </conditionalFormatting>
  <conditionalFormatting sqref="U51:U53 U66:U68">
    <cfRule type="containsBlanks" dxfId="8980" priority="2798">
      <formula>LEN(TRIM(U51))=0</formula>
    </cfRule>
  </conditionalFormatting>
  <conditionalFormatting sqref="AC51:AC68">
    <cfRule type="containsBlanks" dxfId="8979" priority="2806">
      <formula>LEN(TRIM(AC51))=0</formula>
    </cfRule>
  </conditionalFormatting>
  <conditionalFormatting sqref="AK51:AK65">
    <cfRule type="containsBlanks" dxfId="8978" priority="2805">
      <formula>LEN(TRIM(AK51))=0</formula>
    </cfRule>
  </conditionalFormatting>
  <conditionalFormatting sqref="AC99:AC128">
    <cfRule type="containsBlanks" dxfId="8977" priority="2804">
      <formula>LEN(TRIM(AC99))=0</formula>
    </cfRule>
  </conditionalFormatting>
  <conditionalFormatting sqref="U120:U121">
    <cfRule type="containsBlanks" dxfId="8976" priority="2797">
      <formula>LEN(TRIM(U120))=0</formula>
    </cfRule>
  </conditionalFormatting>
  <conditionalFormatting sqref="T12:T32">
    <cfRule type="containsBlanks" dxfId="8975" priority="2780">
      <formula>LEN(TRIM(T12))=0</formula>
    </cfRule>
  </conditionalFormatting>
  <conditionalFormatting sqref="AD12:AD41">
    <cfRule type="containsBlanks" dxfId="8974" priority="2779">
      <formula>LEN(TRIM(AD12))=0</formula>
    </cfRule>
  </conditionalFormatting>
  <conditionalFormatting sqref="I40:J42">
    <cfRule type="containsBlanks" dxfId="8973" priority="2778">
      <formula>LEN(TRIM(I40))=0</formula>
    </cfRule>
  </conditionalFormatting>
  <conditionalFormatting sqref="I43:J43">
    <cfRule type="containsBlanks" dxfId="8972" priority="2785">
      <formula>LEN(TRIM(I43))=0</formula>
    </cfRule>
  </conditionalFormatting>
  <conditionalFormatting sqref="AD42:AD45">
    <cfRule type="containsBlanks" dxfId="8971" priority="2784">
      <formula>LEN(TRIM(AD42))=0</formula>
    </cfRule>
  </conditionalFormatting>
  <conditionalFormatting sqref="I33:J36">
    <cfRule type="containsBlanks" dxfId="8970" priority="2783">
      <formula>LEN(TRIM(I33))=0</formula>
    </cfRule>
  </conditionalFormatting>
  <conditionalFormatting sqref="T33:T35">
    <cfRule type="containsBlanks" dxfId="8969" priority="2782">
      <formula>LEN(TRIM(T33))=0</formula>
    </cfRule>
  </conditionalFormatting>
  <conditionalFormatting sqref="I12:J32">
    <cfRule type="containsBlanks" dxfId="8968" priority="2781">
      <formula>LEN(TRIM(I12))=0</formula>
    </cfRule>
  </conditionalFormatting>
  <conditionalFormatting sqref="A40:U41 I38:U39 AD9:XFD9 AD41:XFD41 CM28:XFD28 CM30:XFD35 BX13:XFD27 AD70:BI72 AA70:AC70 AT76:BI79 A33:U37 T21:U23 A7:XFD8 BM5:XFD6 A5:AZ6 A1:XFD4 U66:V68 AC51:BI68 A42:XFD47 I21:L23 A12:A32 I24:U32 I9:U20 N66:N68 N69:BI69 N70:Z72 N73:BI75 N51:V65 N80:XFD93 A298:XFD1868 A192:XFD193 AD96:XFD97 N48:BI50 AD10:BJ10 BP10:XFD12 BP30:BW35 AD11:BI40 BP36:XFD40 BP17:BW28 BP29:XFD29 BP16:BV16 BP13:BU15 BS94:XFD95 A94 A142 BS142:XFD143 BP48:XFD79 AU98:BI129 BP98:XFD129 J126:M129 AD98:AD130 Z131:Z141 AU130:XFD130 AQ131:XFD141 N96:AC130 J131:V131 AA131:AC131 N76:AP79 AQ76:AS77 M51:M81">
    <cfRule type="cellIs" dxfId="8967" priority="2761" operator="equal">
      <formula>4.4</formula>
    </cfRule>
    <cfRule type="cellIs" dxfId="8966" priority="2762" operator="equal">
      <formula>4.3</formula>
    </cfRule>
    <cfRule type="cellIs" dxfId="8965" priority="2763" operator="equal">
      <formula>4.2</formula>
    </cfRule>
    <cfRule type="cellIs" dxfId="8964" priority="2764" operator="equal">
      <formula>4.1</formula>
    </cfRule>
    <cfRule type="cellIs" dxfId="8963" priority="2765" operator="equal">
      <formula>3.4</formula>
    </cfRule>
    <cfRule type="cellIs" dxfId="8962" priority="2766" operator="equal">
      <formula>3.3</formula>
    </cfRule>
    <cfRule type="cellIs" dxfId="8961" priority="2767" operator="equal">
      <formula>3.2</formula>
    </cfRule>
    <cfRule type="cellIs" dxfId="8960" priority="2768" operator="equal">
      <formula>3.1</formula>
    </cfRule>
    <cfRule type="cellIs" dxfId="8959" priority="2769" operator="equal">
      <formula>2.4</formula>
    </cfRule>
    <cfRule type="cellIs" dxfId="8958" priority="2770" operator="equal">
      <formula>2.3</formula>
    </cfRule>
    <cfRule type="cellIs" dxfId="8957" priority="2771" operator="equal">
      <formula>2.2</formula>
    </cfRule>
    <cfRule type="cellIs" dxfId="8956" priority="2772" operator="equal">
      <formula>2.1</formula>
    </cfRule>
    <cfRule type="cellIs" dxfId="8955" priority="2773" operator="equal">
      <formula>1.5</formula>
    </cfRule>
    <cfRule type="cellIs" dxfId="8954" priority="2774" operator="equal">
      <formula>1.4</formula>
    </cfRule>
    <cfRule type="cellIs" dxfId="8953" priority="2775" operator="equal">
      <formula>1.3</formula>
    </cfRule>
    <cfRule type="cellIs" dxfId="8952" priority="2776" operator="equal">
      <formula>1.2</formula>
    </cfRule>
    <cfRule type="containsText" dxfId="8951" priority="2777" operator="containsText" text="1.1">
      <formula>NOT(ISERROR(SEARCH("1.1",A1)))</formula>
    </cfRule>
  </conditionalFormatting>
  <conditionalFormatting sqref="V9:AC11">
    <cfRule type="cellIs" dxfId="8950" priority="2744" operator="equal">
      <formula>4.4</formula>
    </cfRule>
    <cfRule type="cellIs" dxfId="8949" priority="2745" operator="equal">
      <formula>4.3</formula>
    </cfRule>
    <cfRule type="cellIs" dxfId="8948" priority="2746" operator="equal">
      <formula>4.2</formula>
    </cfRule>
    <cfRule type="cellIs" dxfId="8947" priority="2747" operator="equal">
      <formula>4.1</formula>
    </cfRule>
    <cfRule type="cellIs" dxfId="8946" priority="2748" operator="equal">
      <formula>3.4</formula>
    </cfRule>
    <cfRule type="cellIs" dxfId="8945" priority="2749" operator="equal">
      <formula>3.3</formula>
    </cfRule>
    <cfRule type="cellIs" dxfId="8944" priority="2750" operator="equal">
      <formula>3.2</formula>
    </cfRule>
    <cfRule type="cellIs" dxfId="8943" priority="2751" operator="equal">
      <formula>3.1</formula>
    </cfRule>
    <cfRule type="cellIs" dxfId="8942" priority="2752" operator="equal">
      <formula>2.4</formula>
    </cfRule>
    <cfRule type="cellIs" dxfId="8941" priority="2753" operator="equal">
      <formula>2.3</formula>
    </cfRule>
    <cfRule type="cellIs" dxfId="8940" priority="2754" operator="equal">
      <formula>2.2</formula>
    </cfRule>
    <cfRule type="cellIs" dxfId="8939" priority="2755" operator="equal">
      <formula>2.1</formula>
    </cfRule>
    <cfRule type="cellIs" dxfId="8938" priority="2756" operator="equal">
      <formula>1.5</formula>
    </cfRule>
    <cfRule type="cellIs" dxfId="8937" priority="2757" operator="equal">
      <formula>1.4</formula>
    </cfRule>
    <cfRule type="cellIs" dxfId="8936" priority="2758" operator="equal">
      <formula>1.3</formula>
    </cfRule>
    <cfRule type="cellIs" dxfId="8935" priority="2759" operator="equal">
      <formula>1.2</formula>
    </cfRule>
    <cfRule type="containsText" dxfId="8934" priority="2760" operator="containsText" text="1.1">
      <formula>NOT(ISERROR(SEARCH("1.1",V9)))</formula>
    </cfRule>
  </conditionalFormatting>
  <conditionalFormatting sqref="V12:V41">
    <cfRule type="cellIs" dxfId="8933" priority="2727" operator="equal">
      <formula>4.4</formula>
    </cfRule>
    <cfRule type="cellIs" dxfId="8932" priority="2728" operator="equal">
      <formula>4.3</formula>
    </cfRule>
    <cfRule type="cellIs" dxfId="8931" priority="2729" operator="equal">
      <formula>4.2</formula>
    </cfRule>
    <cfRule type="cellIs" dxfId="8930" priority="2730" operator="equal">
      <formula>4.1</formula>
    </cfRule>
    <cfRule type="cellIs" dxfId="8929" priority="2731" operator="equal">
      <formula>3.4</formula>
    </cfRule>
    <cfRule type="cellIs" dxfId="8928" priority="2732" operator="equal">
      <formula>3.3</formula>
    </cfRule>
    <cfRule type="cellIs" dxfId="8927" priority="2733" operator="equal">
      <formula>3.2</formula>
    </cfRule>
    <cfRule type="cellIs" dxfId="8926" priority="2734" operator="equal">
      <formula>3.1</formula>
    </cfRule>
    <cfRule type="cellIs" dxfId="8925" priority="2735" operator="equal">
      <formula>2.4</formula>
    </cfRule>
    <cfRule type="cellIs" dxfId="8924" priority="2736" operator="equal">
      <formula>2.3</formula>
    </cfRule>
    <cfRule type="cellIs" dxfId="8923" priority="2737" operator="equal">
      <formula>2.2</formula>
    </cfRule>
    <cfRule type="cellIs" dxfId="8922" priority="2738" operator="equal">
      <formula>2.1</formula>
    </cfRule>
    <cfRule type="cellIs" dxfId="8921" priority="2739" operator="equal">
      <formula>1.5</formula>
    </cfRule>
    <cfRule type="cellIs" dxfId="8920" priority="2740" operator="equal">
      <formula>1.4</formula>
    </cfRule>
    <cfRule type="cellIs" dxfId="8919" priority="2741" operator="equal">
      <formula>1.3</formula>
    </cfRule>
    <cfRule type="cellIs" dxfId="8918" priority="2742" operator="equal">
      <formula>1.2</formula>
    </cfRule>
    <cfRule type="containsText" dxfId="8917" priority="2743" operator="containsText" text="1.1">
      <formula>NOT(ISERROR(SEARCH("1.1",V12)))</formula>
    </cfRule>
  </conditionalFormatting>
  <conditionalFormatting sqref="A9:H11">
    <cfRule type="cellIs" dxfId="8916" priority="2710" operator="equal">
      <formula>4.4</formula>
    </cfRule>
    <cfRule type="cellIs" dxfId="8915" priority="2711" operator="equal">
      <formula>4.3</formula>
    </cfRule>
    <cfRule type="cellIs" dxfId="8914" priority="2712" operator="equal">
      <formula>4.2</formula>
    </cfRule>
    <cfRule type="cellIs" dxfId="8913" priority="2713" operator="equal">
      <formula>4.1</formula>
    </cfRule>
    <cfRule type="cellIs" dxfId="8912" priority="2714" operator="equal">
      <formula>3.4</formula>
    </cfRule>
    <cfRule type="cellIs" dxfId="8911" priority="2715" operator="equal">
      <formula>3.3</formula>
    </cfRule>
    <cfRule type="cellIs" dxfId="8910" priority="2716" operator="equal">
      <formula>3.2</formula>
    </cfRule>
    <cfRule type="cellIs" dxfId="8909" priority="2717" operator="equal">
      <formula>3.1</formula>
    </cfRule>
    <cfRule type="cellIs" dxfId="8908" priority="2718" operator="equal">
      <formula>2.4</formula>
    </cfRule>
    <cfRule type="cellIs" dxfId="8907" priority="2719" operator="equal">
      <formula>2.3</formula>
    </cfRule>
    <cfRule type="cellIs" dxfId="8906" priority="2720" operator="equal">
      <formula>2.2</formula>
    </cfRule>
    <cfRule type="cellIs" dxfId="8905" priority="2721" operator="equal">
      <formula>2.1</formula>
    </cfRule>
    <cfRule type="cellIs" dxfId="8904" priority="2722" operator="equal">
      <formula>1.5</formula>
    </cfRule>
    <cfRule type="cellIs" dxfId="8903" priority="2723" operator="equal">
      <formula>1.4</formula>
    </cfRule>
    <cfRule type="cellIs" dxfId="8902" priority="2724" operator="equal">
      <formula>1.3</formula>
    </cfRule>
    <cfRule type="cellIs" dxfId="8901" priority="2725" operator="equal">
      <formula>1.2</formula>
    </cfRule>
    <cfRule type="containsText" dxfId="8900" priority="2726" operator="containsText" text="1.1">
      <formula>NOT(ISERROR(SEARCH("1.1",A9)))</formula>
    </cfRule>
  </conditionalFormatting>
  <conditionalFormatting sqref="A38:H39">
    <cfRule type="cellIs" dxfId="8899" priority="2693" operator="equal">
      <formula>4.4</formula>
    </cfRule>
    <cfRule type="cellIs" dxfId="8898" priority="2694" operator="equal">
      <formula>4.3</formula>
    </cfRule>
    <cfRule type="cellIs" dxfId="8897" priority="2695" operator="equal">
      <formula>4.2</formula>
    </cfRule>
    <cfRule type="cellIs" dxfId="8896" priority="2696" operator="equal">
      <formula>4.1</formula>
    </cfRule>
    <cfRule type="cellIs" dxfId="8895" priority="2697" operator="equal">
      <formula>3.4</formula>
    </cfRule>
    <cfRule type="cellIs" dxfId="8894" priority="2698" operator="equal">
      <formula>3.3</formula>
    </cfRule>
    <cfRule type="cellIs" dxfId="8893" priority="2699" operator="equal">
      <formula>3.2</formula>
    </cfRule>
    <cfRule type="cellIs" dxfId="8892" priority="2700" operator="equal">
      <formula>3.1</formula>
    </cfRule>
    <cfRule type="cellIs" dxfId="8891" priority="2701" operator="equal">
      <formula>2.4</formula>
    </cfRule>
    <cfRule type="cellIs" dxfId="8890" priority="2702" operator="equal">
      <formula>2.3</formula>
    </cfRule>
    <cfRule type="cellIs" dxfId="8889" priority="2703" operator="equal">
      <formula>2.2</formula>
    </cfRule>
    <cfRule type="cellIs" dxfId="8888" priority="2704" operator="equal">
      <formula>2.1</formula>
    </cfRule>
    <cfRule type="cellIs" dxfId="8887" priority="2705" operator="equal">
      <formula>1.5</formula>
    </cfRule>
    <cfRule type="cellIs" dxfId="8886" priority="2706" operator="equal">
      <formula>1.4</formula>
    </cfRule>
    <cfRule type="cellIs" dxfId="8885" priority="2707" operator="equal">
      <formula>1.3</formula>
    </cfRule>
    <cfRule type="cellIs" dxfId="8884" priority="2708" operator="equal">
      <formula>1.2</formula>
    </cfRule>
    <cfRule type="containsText" dxfId="8883" priority="2709" operator="containsText" text="1.1">
      <formula>NOT(ISERROR(SEARCH("1.1",A38)))</formula>
    </cfRule>
  </conditionalFormatting>
  <conditionalFormatting sqref="M21:S23">
    <cfRule type="cellIs" dxfId="8882" priority="2429" operator="equal">
      <formula>4.4</formula>
    </cfRule>
    <cfRule type="cellIs" dxfId="8881" priority="2430" operator="equal">
      <formula>4.3</formula>
    </cfRule>
    <cfRule type="cellIs" dxfId="8880" priority="2431" operator="equal">
      <formula>4.2</formula>
    </cfRule>
    <cfRule type="cellIs" dxfId="8879" priority="2432" operator="equal">
      <formula>4.1</formula>
    </cfRule>
    <cfRule type="cellIs" dxfId="8878" priority="2433" operator="equal">
      <formula>3.4</formula>
    </cfRule>
    <cfRule type="cellIs" dxfId="8877" priority="2434" operator="equal">
      <formula>3.3</formula>
    </cfRule>
    <cfRule type="cellIs" dxfId="8876" priority="2435" operator="equal">
      <formula>3.2</formula>
    </cfRule>
    <cfRule type="cellIs" dxfId="8875" priority="2436" operator="equal">
      <formula>3.1</formula>
    </cfRule>
    <cfRule type="cellIs" dxfId="8874" priority="2437" operator="equal">
      <formula>2.4</formula>
    </cfRule>
    <cfRule type="cellIs" dxfId="8873" priority="2438" operator="equal">
      <formula>2.3</formula>
    </cfRule>
    <cfRule type="cellIs" dxfId="8872" priority="2439" operator="equal">
      <formula>2.2</formula>
    </cfRule>
    <cfRule type="cellIs" dxfId="8871" priority="2440" operator="equal">
      <formula>2.1</formula>
    </cfRule>
    <cfRule type="cellIs" dxfId="8870" priority="2441" operator="equal">
      <formula>1.5</formula>
    </cfRule>
    <cfRule type="cellIs" dxfId="8869" priority="2442" operator="equal">
      <formula>1.4</formula>
    </cfRule>
    <cfRule type="cellIs" dxfId="8868" priority="2443" operator="equal">
      <formula>1.3</formula>
    </cfRule>
    <cfRule type="cellIs" dxfId="8867" priority="2444" operator="equal">
      <formula>1.2</formula>
    </cfRule>
    <cfRule type="containsText" dxfId="8866" priority="2445" operator="containsText" text="1.1">
      <formula>NOT(ISERROR(SEARCH("1.1",M21)))</formula>
    </cfRule>
  </conditionalFormatting>
  <conditionalFormatting sqref="BI5:BK6">
    <cfRule type="cellIs" dxfId="8865" priority="2412" operator="equal">
      <formula>4.4</formula>
    </cfRule>
    <cfRule type="cellIs" dxfId="8864" priority="2413" operator="equal">
      <formula>4.3</formula>
    </cfRule>
    <cfRule type="cellIs" dxfId="8863" priority="2414" operator="equal">
      <formula>4.2</formula>
    </cfRule>
    <cfRule type="cellIs" dxfId="8862" priority="2415" operator="equal">
      <formula>4.1</formula>
    </cfRule>
    <cfRule type="cellIs" dxfId="8861" priority="2416" operator="equal">
      <formula>3.4</formula>
    </cfRule>
    <cfRule type="cellIs" dxfId="8860" priority="2417" operator="equal">
      <formula>3.3</formula>
    </cfRule>
    <cfRule type="cellIs" dxfId="8859" priority="2418" operator="equal">
      <formula>3.2</formula>
    </cfRule>
    <cfRule type="cellIs" dxfId="8858" priority="2419" operator="equal">
      <formula>3.1</formula>
    </cfRule>
    <cfRule type="cellIs" dxfId="8857" priority="2420" operator="equal">
      <formula>2.4</formula>
    </cfRule>
    <cfRule type="cellIs" dxfId="8856" priority="2421" operator="equal">
      <formula>2.3</formula>
    </cfRule>
    <cfRule type="cellIs" dxfId="8855" priority="2422" operator="equal">
      <formula>2.2</formula>
    </cfRule>
    <cfRule type="cellIs" dxfId="8854" priority="2423" operator="equal">
      <formula>2.1</formula>
    </cfRule>
    <cfRule type="cellIs" dxfId="8853" priority="2424" operator="equal">
      <formula>1.5</formula>
    </cfRule>
    <cfRule type="cellIs" dxfId="8852" priority="2425" operator="equal">
      <formula>1.4</formula>
    </cfRule>
    <cfRule type="cellIs" dxfId="8851" priority="2426" operator="equal">
      <formula>1.3</formula>
    </cfRule>
    <cfRule type="cellIs" dxfId="8850" priority="2427" operator="equal">
      <formula>1.2</formula>
    </cfRule>
    <cfRule type="containsText" dxfId="8849" priority="2428" operator="containsText" text="1.1">
      <formula>NOT(ISERROR(SEARCH("1.1",BI5)))</formula>
    </cfRule>
  </conditionalFormatting>
  <conditionalFormatting sqref="BA5:BC6">
    <cfRule type="cellIs" dxfId="8848" priority="2394" operator="equal">
      <formula>4.4</formula>
    </cfRule>
    <cfRule type="cellIs" dxfId="8847" priority="2395" operator="equal">
      <formula>4.3</formula>
    </cfRule>
    <cfRule type="cellIs" dxfId="8846" priority="2396" operator="equal">
      <formula>4.2</formula>
    </cfRule>
    <cfRule type="cellIs" dxfId="8845" priority="2397" operator="equal">
      <formula>4.1</formula>
    </cfRule>
    <cfRule type="cellIs" dxfId="8844" priority="2398" operator="equal">
      <formula>3.4</formula>
    </cfRule>
    <cfRule type="cellIs" dxfId="8843" priority="2399" operator="equal">
      <formula>3.3</formula>
    </cfRule>
    <cfRule type="cellIs" dxfId="8842" priority="2400" operator="equal">
      <formula>3.2</formula>
    </cfRule>
    <cfRule type="cellIs" dxfId="8841" priority="2401" operator="equal">
      <formula>3.1</formula>
    </cfRule>
    <cfRule type="cellIs" dxfId="8840" priority="2402" operator="equal">
      <formula>2.4</formula>
    </cfRule>
    <cfRule type="cellIs" dxfId="8839" priority="2403" operator="equal">
      <formula>2.3</formula>
    </cfRule>
    <cfRule type="cellIs" dxfId="8838" priority="2404" operator="equal">
      <formula>2.2</formula>
    </cfRule>
    <cfRule type="cellIs" dxfId="8837" priority="2405" operator="equal">
      <formula>2.1</formula>
    </cfRule>
    <cfRule type="cellIs" dxfId="8836" priority="2406" operator="equal">
      <formula>1.5</formula>
    </cfRule>
    <cfRule type="cellIs" dxfId="8835" priority="2407" operator="equal">
      <formula>1.4</formula>
    </cfRule>
    <cfRule type="cellIs" dxfId="8834" priority="2408" operator="equal">
      <formula>1.3</formula>
    </cfRule>
    <cfRule type="cellIs" dxfId="8833" priority="2409" operator="equal">
      <formula>1.2</formula>
    </cfRule>
    <cfRule type="containsText" dxfId="8832" priority="2410" operator="containsText" text="1.1">
      <formula>NOT(ISERROR(SEARCH("1.1",BA5)))</formula>
    </cfRule>
  </conditionalFormatting>
  <conditionalFormatting sqref="BE5:BG6">
    <cfRule type="cellIs" dxfId="8831" priority="2376" operator="equal">
      <formula>4.4</formula>
    </cfRule>
    <cfRule type="cellIs" dxfId="8830" priority="2377" operator="equal">
      <formula>4.3</formula>
    </cfRule>
    <cfRule type="cellIs" dxfId="8829" priority="2378" operator="equal">
      <formula>4.2</formula>
    </cfRule>
    <cfRule type="cellIs" dxfId="8828" priority="2379" operator="equal">
      <formula>4.1</formula>
    </cfRule>
    <cfRule type="cellIs" dxfId="8827" priority="2380" operator="equal">
      <formula>3.4</formula>
    </cfRule>
    <cfRule type="cellIs" dxfId="8826" priority="2381" operator="equal">
      <formula>3.3</formula>
    </cfRule>
    <cfRule type="cellIs" dxfId="8825" priority="2382" operator="equal">
      <formula>3.2</formula>
    </cfRule>
    <cfRule type="cellIs" dxfId="8824" priority="2383" operator="equal">
      <formula>3.1</formula>
    </cfRule>
    <cfRule type="cellIs" dxfId="8823" priority="2384" operator="equal">
      <formula>2.4</formula>
    </cfRule>
    <cfRule type="cellIs" dxfId="8822" priority="2385" operator="equal">
      <formula>2.3</formula>
    </cfRule>
    <cfRule type="cellIs" dxfId="8821" priority="2386" operator="equal">
      <formula>2.2</formula>
    </cfRule>
    <cfRule type="cellIs" dxfId="8820" priority="2387" operator="equal">
      <formula>2.1</formula>
    </cfRule>
    <cfRule type="cellIs" dxfId="8819" priority="2388" operator="equal">
      <formula>1.5</formula>
    </cfRule>
    <cfRule type="cellIs" dxfId="8818" priority="2389" operator="equal">
      <formula>1.4</formula>
    </cfRule>
    <cfRule type="cellIs" dxfId="8817" priority="2390" operator="equal">
      <formula>1.3</formula>
    </cfRule>
    <cfRule type="cellIs" dxfId="8816" priority="2391" operator="equal">
      <formula>1.2</formula>
    </cfRule>
    <cfRule type="containsText" dxfId="8815" priority="2392" operator="containsText" text="1.1">
      <formula>NOT(ISERROR(SEARCH("1.1",BE5)))</formula>
    </cfRule>
  </conditionalFormatting>
  <conditionalFormatting sqref="BJ176:XFD191 BJ226:XFD241 AT244:XFD244 A189:M191 A239:M241 A289:M297 A242 BP242:XFD243 L244:M288 BP144:XFD175 BP194:XFD225 AT276:XFD297 AT245:BI275 BP245:XFD275">
    <cfRule type="cellIs" dxfId="8814" priority="2354" operator="equal">
      <formula>4.4</formula>
    </cfRule>
    <cfRule type="cellIs" dxfId="8813" priority="2355" operator="equal">
      <formula>4.3</formula>
    </cfRule>
    <cfRule type="cellIs" dxfId="8812" priority="2356" operator="equal">
      <formula>4.2</formula>
    </cfRule>
    <cfRule type="cellIs" dxfId="8811" priority="2357" operator="equal">
      <formula>4.1</formula>
    </cfRule>
    <cfRule type="cellIs" dxfId="8810" priority="2358" operator="equal">
      <formula>3.4</formula>
    </cfRule>
    <cfRule type="cellIs" dxfId="8809" priority="2359" operator="equal">
      <formula>3.3</formula>
    </cfRule>
    <cfRule type="cellIs" dxfId="8808" priority="2360" operator="equal">
      <formula>3.2</formula>
    </cfRule>
    <cfRule type="cellIs" dxfId="8807" priority="2361" operator="equal">
      <formula>3.1</formula>
    </cfRule>
    <cfRule type="cellIs" dxfId="8806" priority="2362" operator="equal">
      <formula>2.4</formula>
    </cfRule>
    <cfRule type="cellIs" dxfId="8805" priority="2363" operator="equal">
      <formula>2.3</formula>
    </cfRule>
    <cfRule type="cellIs" dxfId="8804" priority="2364" operator="equal">
      <formula>2.2</formula>
    </cfRule>
    <cfRule type="cellIs" dxfId="8803" priority="2365" operator="equal">
      <formula>2.1</formula>
    </cfRule>
    <cfRule type="cellIs" dxfId="8802" priority="2366" operator="equal">
      <formula>1.5</formula>
    </cfRule>
    <cfRule type="cellIs" dxfId="8801" priority="2367" operator="equal">
      <formula>1.4</formula>
    </cfRule>
    <cfRule type="cellIs" dxfId="8800" priority="2368" operator="equal">
      <formula>1.3</formula>
    </cfRule>
    <cfRule type="cellIs" dxfId="8799" priority="2369" operator="equal">
      <formula>1.2</formula>
    </cfRule>
    <cfRule type="containsText" dxfId="8798" priority="2370" operator="containsText" text="1.1">
      <formula>NOT(ISERROR(SEARCH("1.1",A144)))</formula>
    </cfRule>
  </conditionalFormatting>
  <conditionalFormatting sqref="AS147:AS185 BI147:BI188 T183:U185 AB180:AC182 AJ189:AK191 AR186:AS188 AZ189:BA191 BH189:BI191 BA147:BA188">
    <cfRule type="containsBlanks" dxfId="8797" priority="2302">
      <formula>LEN(TRIM(T147))=0</formula>
    </cfRule>
  </conditionalFormatting>
  <conditionalFormatting sqref="AK147:AK188">
    <cfRule type="containsBlanks" dxfId="8796" priority="2301">
      <formula>LEN(TRIM(AK147))=0</formula>
    </cfRule>
  </conditionalFormatting>
  <conditionalFormatting sqref="AK197:AK226">
    <cfRule type="containsBlanks" dxfId="8795" priority="2225">
      <formula>LEN(TRIM(AK197))=0</formula>
    </cfRule>
  </conditionalFormatting>
  <conditionalFormatting sqref="N186:R186 V181:Z191 AA186:AC191 N144:AK146 N147:T182 V180:AJ180 V147:AB179 AD147:AK149 AD150:AJ179 AK150:AK188 N183:U185 AA181:AJ185 AD189:AK191 AL144:BI191">
    <cfRule type="cellIs" dxfId="8794" priority="2284" operator="equal">
      <formula>4.4</formula>
    </cfRule>
    <cfRule type="cellIs" dxfId="8793" priority="2285" operator="equal">
      <formula>4.3</formula>
    </cfRule>
    <cfRule type="cellIs" dxfId="8792" priority="2286" operator="equal">
      <formula>4.2</formula>
    </cfRule>
    <cfRule type="cellIs" dxfId="8791" priority="2287" operator="equal">
      <formula>4.1</formula>
    </cfRule>
    <cfRule type="cellIs" dxfId="8790" priority="2288" operator="equal">
      <formula>3.4</formula>
    </cfRule>
    <cfRule type="cellIs" dxfId="8789" priority="2289" operator="equal">
      <formula>3.3</formula>
    </cfRule>
    <cfRule type="cellIs" dxfId="8788" priority="2290" operator="equal">
      <formula>3.2</formula>
    </cfRule>
    <cfRule type="cellIs" dxfId="8787" priority="2291" operator="equal">
      <formula>3.1</formula>
    </cfRule>
    <cfRule type="cellIs" dxfId="8786" priority="2292" operator="equal">
      <formula>2.4</formula>
    </cfRule>
    <cfRule type="cellIs" dxfId="8785" priority="2293" operator="equal">
      <formula>2.3</formula>
    </cfRule>
    <cfRule type="cellIs" dxfId="8784" priority="2294" operator="equal">
      <formula>2.2</formula>
    </cfRule>
    <cfRule type="cellIs" dxfId="8783" priority="2295" operator="equal">
      <formula>2.1</formula>
    </cfRule>
    <cfRule type="cellIs" dxfId="8782" priority="2296" operator="equal">
      <formula>1.5</formula>
    </cfRule>
    <cfRule type="cellIs" dxfId="8781" priority="2297" operator="equal">
      <formula>1.4</formula>
    </cfRule>
    <cfRule type="cellIs" dxfId="8780" priority="2298" operator="equal">
      <formula>1.3</formula>
    </cfRule>
    <cfRule type="cellIs" dxfId="8779" priority="2299" operator="equal">
      <formula>1.2</formula>
    </cfRule>
    <cfRule type="containsText" dxfId="8778" priority="2300" operator="containsText" text="1.1">
      <formula>NOT(ISERROR(SEARCH("1.1",N144)))</formula>
    </cfRule>
  </conditionalFormatting>
  <conditionalFormatting sqref="AS197:AS223">
    <cfRule type="containsBlanks" dxfId="8777" priority="2224">
      <formula>LEN(TRIM(AS197))=0</formula>
    </cfRule>
  </conditionalFormatting>
  <conditionalFormatting sqref="AD186:AJ188">
    <cfRule type="cellIs" dxfId="8776" priority="2267" operator="equal">
      <formula>4.4</formula>
    </cfRule>
    <cfRule type="cellIs" dxfId="8775" priority="2268" operator="equal">
      <formula>4.3</formula>
    </cfRule>
    <cfRule type="cellIs" dxfId="8774" priority="2269" operator="equal">
      <formula>4.2</formula>
    </cfRule>
    <cfRule type="cellIs" dxfId="8773" priority="2270" operator="equal">
      <formula>4.1</formula>
    </cfRule>
    <cfRule type="cellIs" dxfId="8772" priority="2271" operator="equal">
      <formula>3.4</formula>
    </cfRule>
    <cfRule type="cellIs" dxfId="8771" priority="2272" operator="equal">
      <formula>3.3</formula>
    </cfRule>
    <cfRule type="cellIs" dxfId="8770" priority="2273" operator="equal">
      <formula>3.2</formula>
    </cfRule>
    <cfRule type="cellIs" dxfId="8769" priority="2274" operator="equal">
      <formula>3.1</formula>
    </cfRule>
    <cfRule type="cellIs" dxfId="8768" priority="2275" operator="equal">
      <formula>2.4</formula>
    </cfRule>
    <cfRule type="cellIs" dxfId="8767" priority="2276" operator="equal">
      <formula>2.3</formula>
    </cfRule>
    <cfRule type="cellIs" dxfId="8766" priority="2277" operator="equal">
      <formula>2.2</formula>
    </cfRule>
    <cfRule type="cellIs" dxfId="8765" priority="2278" operator="equal">
      <formula>2.1</formula>
    </cfRule>
    <cfRule type="cellIs" dxfId="8764" priority="2279" operator="equal">
      <formula>1.5</formula>
    </cfRule>
    <cfRule type="cellIs" dxfId="8763" priority="2280" operator="equal">
      <formula>1.4</formula>
    </cfRule>
    <cfRule type="cellIs" dxfId="8762" priority="2281" operator="equal">
      <formula>1.3</formula>
    </cfRule>
    <cfRule type="cellIs" dxfId="8761" priority="2282" operator="equal">
      <formula>1.2</formula>
    </cfRule>
    <cfRule type="containsText" dxfId="8760" priority="2283" operator="containsText" text="1.1">
      <formula>NOT(ISERROR(SEARCH("1.1",AD186)))</formula>
    </cfRule>
  </conditionalFormatting>
  <conditionalFormatting sqref="U147:U182">
    <cfRule type="containsBlanks" dxfId="8759" priority="2266">
      <formula>LEN(TRIM(U147))=0</formula>
    </cfRule>
  </conditionalFormatting>
  <conditionalFormatting sqref="U147:U182">
    <cfRule type="cellIs" dxfId="8758" priority="2249" operator="equal">
      <formula>4.4</formula>
    </cfRule>
    <cfRule type="cellIs" dxfId="8757" priority="2250" operator="equal">
      <formula>4.3</formula>
    </cfRule>
    <cfRule type="cellIs" dxfId="8756" priority="2251" operator="equal">
      <formula>4.2</formula>
    </cfRule>
    <cfRule type="cellIs" dxfId="8755" priority="2252" operator="equal">
      <formula>4.1</formula>
    </cfRule>
    <cfRule type="cellIs" dxfId="8754" priority="2253" operator="equal">
      <formula>3.4</formula>
    </cfRule>
    <cfRule type="cellIs" dxfId="8753" priority="2254" operator="equal">
      <formula>3.3</formula>
    </cfRule>
    <cfRule type="cellIs" dxfId="8752" priority="2255" operator="equal">
      <formula>3.2</formula>
    </cfRule>
    <cfRule type="cellIs" dxfId="8751" priority="2256" operator="equal">
      <formula>3.1</formula>
    </cfRule>
    <cfRule type="cellIs" dxfId="8750" priority="2257" operator="equal">
      <formula>2.4</formula>
    </cfRule>
    <cfRule type="cellIs" dxfId="8749" priority="2258" operator="equal">
      <formula>2.3</formula>
    </cfRule>
    <cfRule type="cellIs" dxfId="8748" priority="2259" operator="equal">
      <formula>2.2</formula>
    </cfRule>
    <cfRule type="cellIs" dxfId="8747" priority="2260" operator="equal">
      <formula>2.1</formula>
    </cfRule>
    <cfRule type="cellIs" dxfId="8746" priority="2261" operator="equal">
      <formula>1.5</formula>
    </cfRule>
    <cfRule type="cellIs" dxfId="8745" priority="2262" operator="equal">
      <formula>1.4</formula>
    </cfRule>
    <cfRule type="cellIs" dxfId="8744" priority="2263" operator="equal">
      <formula>1.3</formula>
    </cfRule>
    <cfRule type="cellIs" dxfId="8743" priority="2264" operator="equal">
      <formula>1.2</formula>
    </cfRule>
    <cfRule type="containsText" dxfId="8742" priority="2265" operator="containsText" text="1.1">
      <formula>NOT(ISERROR(SEARCH("1.1",U147)))</formula>
    </cfRule>
  </conditionalFormatting>
  <conditionalFormatting sqref="AC147:AC179">
    <cfRule type="containsBlanks" dxfId="8741" priority="2248">
      <formula>LEN(TRIM(AC147))=0</formula>
    </cfRule>
  </conditionalFormatting>
  <conditionalFormatting sqref="AC147:AC179">
    <cfRule type="cellIs" dxfId="8740" priority="2231" operator="equal">
      <formula>4.4</formula>
    </cfRule>
    <cfRule type="cellIs" dxfId="8739" priority="2232" operator="equal">
      <formula>4.3</formula>
    </cfRule>
    <cfRule type="cellIs" dxfId="8738" priority="2233" operator="equal">
      <formula>4.2</formula>
    </cfRule>
    <cfRule type="cellIs" dxfId="8737" priority="2234" operator="equal">
      <formula>4.1</formula>
    </cfRule>
    <cfRule type="cellIs" dxfId="8736" priority="2235" operator="equal">
      <formula>3.4</formula>
    </cfRule>
    <cfRule type="cellIs" dxfId="8735" priority="2236" operator="equal">
      <formula>3.3</formula>
    </cfRule>
    <cfRule type="cellIs" dxfId="8734" priority="2237" operator="equal">
      <formula>3.2</formula>
    </cfRule>
    <cfRule type="cellIs" dxfId="8733" priority="2238" operator="equal">
      <formula>3.1</formula>
    </cfRule>
    <cfRule type="cellIs" dxfId="8732" priority="2239" operator="equal">
      <formula>2.4</formula>
    </cfRule>
    <cfRule type="cellIs" dxfId="8731" priority="2240" operator="equal">
      <formula>2.3</formula>
    </cfRule>
    <cfRule type="cellIs" dxfId="8730" priority="2241" operator="equal">
      <formula>2.2</formula>
    </cfRule>
    <cfRule type="cellIs" dxfId="8729" priority="2242" operator="equal">
      <formula>2.1</formula>
    </cfRule>
    <cfRule type="cellIs" dxfId="8728" priority="2243" operator="equal">
      <formula>1.5</formula>
    </cfRule>
    <cfRule type="cellIs" dxfId="8727" priority="2244" operator="equal">
      <formula>1.4</formula>
    </cfRule>
    <cfRule type="cellIs" dxfId="8726" priority="2245" operator="equal">
      <formula>1.3</formula>
    </cfRule>
    <cfRule type="cellIs" dxfId="8725" priority="2246" operator="equal">
      <formula>1.2</formula>
    </cfRule>
    <cfRule type="containsText" dxfId="8724" priority="2247" operator="containsText" text="1.1">
      <formula>NOT(ISERROR(SEARCH("1.1",AC147)))</formula>
    </cfRule>
  </conditionalFormatting>
  <conditionalFormatting sqref="T230:U232 AB227:AC229 AJ227:AK229 AR224:AS226 AZ239:BA241 BH239:BI241">
    <cfRule type="containsBlanks" dxfId="8723" priority="2230">
      <formula>LEN(TRIM(T224))=0</formula>
    </cfRule>
  </conditionalFormatting>
  <conditionalFormatting sqref="BA197:BA238">
    <cfRule type="containsBlanks" dxfId="8722" priority="2229">
      <formula>LEN(TRIM(BA197))=0</formula>
    </cfRule>
  </conditionalFormatting>
  <conditionalFormatting sqref="BI197:BI238">
    <cfRule type="containsBlanks" dxfId="8721" priority="2228">
      <formula>LEN(TRIM(BI197))=0</formula>
    </cfRule>
  </conditionalFormatting>
  <conditionalFormatting sqref="U197:U229">
    <cfRule type="containsBlanks" dxfId="8720" priority="2227">
      <formula>LEN(TRIM(U197))=0</formula>
    </cfRule>
  </conditionalFormatting>
  <conditionalFormatting sqref="AC197:AC226">
    <cfRule type="containsBlanks" dxfId="8719" priority="2226">
      <formula>LEN(TRIM(AC197))=0</formula>
    </cfRule>
  </conditionalFormatting>
  <conditionalFormatting sqref="AT225:AZ235 N194:BI199 BB200:BH235 BA200:BA238 BI200:BI238 AL200:AZ224 N200:AK241 AL225:AS241 AT239:BI241">
    <cfRule type="cellIs" dxfId="8718" priority="2207" operator="equal">
      <formula>4.4</formula>
    </cfRule>
    <cfRule type="cellIs" dxfId="8717" priority="2208" operator="equal">
      <formula>4.3</formula>
    </cfRule>
    <cfRule type="cellIs" dxfId="8716" priority="2209" operator="equal">
      <formula>4.2</formula>
    </cfRule>
    <cfRule type="cellIs" dxfId="8715" priority="2210" operator="equal">
      <formula>4.1</formula>
    </cfRule>
    <cfRule type="cellIs" dxfId="8714" priority="2211" operator="equal">
      <formula>3.4</formula>
    </cfRule>
    <cfRule type="cellIs" dxfId="8713" priority="2212" operator="equal">
      <formula>3.3</formula>
    </cfRule>
    <cfRule type="cellIs" dxfId="8712" priority="2213" operator="equal">
      <formula>3.2</formula>
    </cfRule>
    <cfRule type="cellIs" dxfId="8711" priority="2214" operator="equal">
      <formula>3.1</formula>
    </cfRule>
    <cfRule type="cellIs" dxfId="8710" priority="2215" operator="equal">
      <formula>2.4</formula>
    </cfRule>
    <cfRule type="cellIs" dxfId="8709" priority="2216" operator="equal">
      <formula>2.3</formula>
    </cfRule>
    <cfRule type="cellIs" dxfId="8708" priority="2217" operator="equal">
      <formula>2.2</formula>
    </cfRule>
    <cfRule type="cellIs" dxfId="8707" priority="2218" operator="equal">
      <formula>2.1</formula>
    </cfRule>
    <cfRule type="cellIs" dxfId="8706" priority="2219" operator="equal">
      <formula>1.5</formula>
    </cfRule>
    <cfRule type="cellIs" dxfId="8705" priority="2220" operator="equal">
      <formula>1.4</formula>
    </cfRule>
    <cfRule type="cellIs" dxfId="8704" priority="2221" operator="equal">
      <formula>1.3</formula>
    </cfRule>
    <cfRule type="cellIs" dxfId="8703" priority="2222" operator="equal">
      <formula>1.2</formula>
    </cfRule>
    <cfRule type="containsText" dxfId="8702" priority="2223" operator="containsText" text="1.1">
      <formula>NOT(ISERROR(SEARCH("1.1",N194)))</formula>
    </cfRule>
  </conditionalFormatting>
  <conditionalFormatting sqref="AT236:AZ238">
    <cfRule type="cellIs" dxfId="8701" priority="2190" operator="equal">
      <formula>4.4</formula>
    </cfRule>
    <cfRule type="cellIs" dxfId="8700" priority="2191" operator="equal">
      <formula>4.3</formula>
    </cfRule>
    <cfRule type="cellIs" dxfId="8699" priority="2192" operator="equal">
      <formula>4.2</formula>
    </cfRule>
    <cfRule type="cellIs" dxfId="8698" priority="2193" operator="equal">
      <formula>4.1</formula>
    </cfRule>
    <cfRule type="cellIs" dxfId="8697" priority="2194" operator="equal">
      <formula>3.4</formula>
    </cfRule>
    <cfRule type="cellIs" dxfId="8696" priority="2195" operator="equal">
      <formula>3.3</formula>
    </cfRule>
    <cfRule type="cellIs" dxfId="8695" priority="2196" operator="equal">
      <formula>3.2</formula>
    </cfRule>
    <cfRule type="cellIs" dxfId="8694" priority="2197" operator="equal">
      <formula>3.1</formula>
    </cfRule>
    <cfRule type="cellIs" dxfId="8693" priority="2198" operator="equal">
      <formula>2.4</formula>
    </cfRule>
    <cfRule type="cellIs" dxfId="8692" priority="2199" operator="equal">
      <formula>2.3</formula>
    </cfRule>
    <cfRule type="cellIs" dxfId="8691" priority="2200" operator="equal">
      <formula>2.2</formula>
    </cfRule>
    <cfRule type="cellIs" dxfId="8690" priority="2201" operator="equal">
      <formula>2.1</formula>
    </cfRule>
    <cfRule type="cellIs" dxfId="8689" priority="2202" operator="equal">
      <formula>1.5</formula>
    </cfRule>
    <cfRule type="cellIs" dxfId="8688" priority="2203" operator="equal">
      <formula>1.4</formula>
    </cfRule>
    <cfRule type="cellIs" dxfId="8687" priority="2204" operator="equal">
      <formula>1.3</formula>
    </cfRule>
    <cfRule type="cellIs" dxfId="8686" priority="2205" operator="equal">
      <formula>1.2</formula>
    </cfRule>
    <cfRule type="containsText" dxfId="8685" priority="2206" operator="containsText" text="1.1">
      <formula>NOT(ISERROR(SEARCH("1.1",AT236)))</formula>
    </cfRule>
  </conditionalFormatting>
  <conditionalFormatting sqref="BB236:BH238">
    <cfRule type="cellIs" dxfId="8684" priority="2173" operator="equal">
      <formula>4.4</formula>
    </cfRule>
    <cfRule type="cellIs" dxfId="8683" priority="2174" operator="equal">
      <formula>4.3</formula>
    </cfRule>
    <cfRule type="cellIs" dxfId="8682" priority="2175" operator="equal">
      <formula>4.2</formula>
    </cfRule>
    <cfRule type="cellIs" dxfId="8681" priority="2176" operator="equal">
      <formula>4.1</formula>
    </cfRule>
    <cfRule type="cellIs" dxfId="8680" priority="2177" operator="equal">
      <formula>3.4</formula>
    </cfRule>
    <cfRule type="cellIs" dxfId="8679" priority="2178" operator="equal">
      <formula>3.3</formula>
    </cfRule>
    <cfRule type="cellIs" dxfId="8678" priority="2179" operator="equal">
      <formula>3.2</formula>
    </cfRule>
    <cfRule type="cellIs" dxfId="8677" priority="2180" operator="equal">
      <formula>3.1</formula>
    </cfRule>
    <cfRule type="cellIs" dxfId="8676" priority="2181" operator="equal">
      <formula>2.4</formula>
    </cfRule>
    <cfRule type="cellIs" dxfId="8675" priority="2182" operator="equal">
      <formula>2.3</formula>
    </cfRule>
    <cfRule type="cellIs" dxfId="8674" priority="2183" operator="equal">
      <formula>2.2</formula>
    </cfRule>
    <cfRule type="cellIs" dxfId="8673" priority="2184" operator="equal">
      <formula>2.1</formula>
    </cfRule>
    <cfRule type="cellIs" dxfId="8672" priority="2185" operator="equal">
      <formula>1.5</formula>
    </cfRule>
    <cfRule type="cellIs" dxfId="8671" priority="2186" operator="equal">
      <formula>1.4</formula>
    </cfRule>
    <cfRule type="cellIs" dxfId="8670" priority="2187" operator="equal">
      <formula>1.3</formula>
    </cfRule>
    <cfRule type="cellIs" dxfId="8669" priority="2188" operator="equal">
      <formula>1.2</formula>
    </cfRule>
    <cfRule type="containsText" dxfId="8668" priority="2189" operator="containsText" text="1.1">
      <formula>NOT(ISERROR(SEARCH("1.1",BB236)))</formula>
    </cfRule>
  </conditionalFormatting>
  <conditionalFormatting sqref="AS247:AS294 T286:U288 AB286:AC288 AJ283:AK285 AR295:AS297">
    <cfRule type="containsBlanks" dxfId="8667" priority="2172">
      <formula>LEN(TRIM(T247))=0</formula>
    </cfRule>
  </conditionalFormatting>
  <conditionalFormatting sqref="U247:U285">
    <cfRule type="containsBlanks" dxfId="8666" priority="2171">
      <formula>LEN(TRIM(U247))=0</formula>
    </cfRule>
  </conditionalFormatting>
  <conditionalFormatting sqref="AC247:AC285">
    <cfRule type="containsBlanks" dxfId="8665" priority="2170">
      <formula>LEN(TRIM(AC247))=0</formula>
    </cfRule>
  </conditionalFormatting>
  <conditionalFormatting sqref="AK247:AK282">
    <cfRule type="containsBlanks" dxfId="8664" priority="2169">
      <formula>LEN(TRIM(AK247))=0</formula>
    </cfRule>
  </conditionalFormatting>
  <conditionalFormatting sqref="AI297:AK297 AI287:AK295 N286:AK286 N244:AS249 AL289:AR294 AS250:AS294 N287:AH297 N250:AR285 AL295:AS297">
    <cfRule type="cellIs" dxfId="8663" priority="2152" operator="equal">
      <formula>4.4</formula>
    </cfRule>
    <cfRule type="cellIs" dxfId="8662" priority="2153" operator="equal">
      <formula>4.3</formula>
    </cfRule>
    <cfRule type="cellIs" dxfId="8661" priority="2154" operator="equal">
      <formula>4.2</formula>
    </cfRule>
    <cfRule type="cellIs" dxfId="8660" priority="2155" operator="equal">
      <formula>4.1</formula>
    </cfRule>
    <cfRule type="cellIs" dxfId="8659" priority="2156" operator="equal">
      <formula>3.4</formula>
    </cfRule>
    <cfRule type="cellIs" dxfId="8658" priority="2157" operator="equal">
      <formula>3.3</formula>
    </cfRule>
    <cfRule type="cellIs" dxfId="8657" priority="2158" operator="equal">
      <formula>3.2</formula>
    </cfRule>
    <cfRule type="cellIs" dxfId="8656" priority="2159" operator="equal">
      <formula>3.1</formula>
    </cfRule>
    <cfRule type="cellIs" dxfId="8655" priority="2160" operator="equal">
      <formula>2.4</formula>
    </cfRule>
    <cfRule type="cellIs" dxfId="8654" priority="2161" operator="equal">
      <formula>2.3</formula>
    </cfRule>
    <cfRule type="cellIs" dxfId="8653" priority="2162" operator="equal">
      <formula>2.2</formula>
    </cfRule>
    <cfRule type="cellIs" dxfId="8652" priority="2163" operator="equal">
      <formula>2.1</formula>
    </cfRule>
    <cfRule type="cellIs" dxfId="8651" priority="2164" operator="equal">
      <formula>1.5</formula>
    </cfRule>
    <cfRule type="cellIs" dxfId="8650" priority="2165" operator="equal">
      <formula>1.4</formula>
    </cfRule>
    <cfRule type="cellIs" dxfId="8649" priority="2166" operator="equal">
      <formula>1.3</formula>
    </cfRule>
    <cfRule type="cellIs" dxfId="8648" priority="2167" operator="equal">
      <formula>1.2</formula>
    </cfRule>
    <cfRule type="containsText" dxfId="8647" priority="2168" operator="containsText" text="1.1">
      <formula>NOT(ISERROR(SEARCH("1.1",N244)))</formula>
    </cfRule>
  </conditionalFormatting>
  <conditionalFormatting sqref="AL286:AR288">
    <cfRule type="cellIs" dxfId="8646" priority="2135" operator="equal">
      <formula>4.4</formula>
    </cfRule>
    <cfRule type="cellIs" dxfId="8645" priority="2136" operator="equal">
      <formula>4.3</formula>
    </cfRule>
    <cfRule type="cellIs" dxfId="8644" priority="2137" operator="equal">
      <formula>4.2</formula>
    </cfRule>
    <cfRule type="cellIs" dxfId="8643" priority="2138" operator="equal">
      <formula>4.1</formula>
    </cfRule>
    <cfRule type="cellIs" dxfId="8642" priority="2139" operator="equal">
      <formula>3.4</formula>
    </cfRule>
    <cfRule type="cellIs" dxfId="8641" priority="2140" operator="equal">
      <formula>3.3</formula>
    </cfRule>
    <cfRule type="cellIs" dxfId="8640" priority="2141" operator="equal">
      <formula>3.2</formula>
    </cfRule>
    <cfRule type="cellIs" dxfId="8639" priority="2142" operator="equal">
      <formula>3.1</formula>
    </cfRule>
    <cfRule type="cellIs" dxfId="8638" priority="2143" operator="equal">
      <formula>2.4</formula>
    </cfRule>
    <cfRule type="cellIs" dxfId="8637" priority="2144" operator="equal">
      <formula>2.3</formula>
    </cfRule>
    <cfRule type="cellIs" dxfId="8636" priority="2145" operator="equal">
      <formula>2.2</formula>
    </cfRule>
    <cfRule type="cellIs" dxfId="8635" priority="2146" operator="equal">
      <formula>2.1</formula>
    </cfRule>
    <cfRule type="cellIs" dxfId="8634" priority="2147" operator="equal">
      <formula>1.5</formula>
    </cfRule>
    <cfRule type="cellIs" dxfId="8633" priority="2148" operator="equal">
      <formula>1.4</formula>
    </cfRule>
    <cfRule type="cellIs" dxfId="8632" priority="2149" operator="equal">
      <formula>1.3</formula>
    </cfRule>
    <cfRule type="cellIs" dxfId="8631" priority="2150" operator="equal">
      <formula>1.2</formula>
    </cfRule>
    <cfRule type="containsText" dxfId="8630" priority="2151" operator="containsText" text="1.1">
      <formula>NOT(ISERROR(SEARCH("1.1",AL286)))</formula>
    </cfRule>
  </conditionalFormatting>
  <conditionalFormatting sqref="BD5:BD6">
    <cfRule type="containsBlanks" dxfId="8629" priority="2134">
      <formula>LEN(TRIM(BD5))=0</formula>
    </cfRule>
  </conditionalFormatting>
  <conditionalFormatting sqref="BD5:BD6">
    <cfRule type="cellIs" dxfId="8628" priority="2117" operator="equal">
      <formula>4.4</formula>
    </cfRule>
    <cfRule type="cellIs" dxfId="8627" priority="2118" operator="equal">
      <formula>4.3</formula>
    </cfRule>
    <cfRule type="cellIs" dxfId="8626" priority="2119" operator="equal">
      <formula>4.2</formula>
    </cfRule>
    <cfRule type="cellIs" dxfId="8625" priority="2120" operator="equal">
      <formula>4.1</formula>
    </cfRule>
    <cfRule type="cellIs" dxfId="8624" priority="2121" operator="equal">
      <formula>3.4</formula>
    </cfRule>
    <cfRule type="cellIs" dxfId="8623" priority="2122" operator="equal">
      <formula>3.3</formula>
    </cfRule>
    <cfRule type="cellIs" dxfId="8622" priority="2123" operator="equal">
      <formula>3.2</formula>
    </cfRule>
    <cfRule type="cellIs" dxfId="8621" priority="2124" operator="equal">
      <formula>3.1</formula>
    </cfRule>
    <cfRule type="cellIs" dxfId="8620" priority="2125" operator="equal">
      <formula>2.4</formula>
    </cfRule>
    <cfRule type="cellIs" dxfId="8619" priority="2126" operator="equal">
      <formula>2.3</formula>
    </cfRule>
    <cfRule type="cellIs" dxfId="8618" priority="2127" operator="equal">
      <formula>2.2</formula>
    </cfRule>
    <cfRule type="cellIs" dxfId="8617" priority="2128" operator="equal">
      <formula>2.1</formula>
    </cfRule>
    <cfRule type="cellIs" dxfId="8616" priority="2129" operator="equal">
      <formula>1.5</formula>
    </cfRule>
    <cfRule type="cellIs" dxfId="8615" priority="2130" operator="equal">
      <formula>1.4</formula>
    </cfRule>
    <cfRule type="cellIs" dxfId="8614" priority="2131" operator="equal">
      <formula>1.3</formula>
    </cfRule>
    <cfRule type="cellIs" dxfId="8613" priority="2132" operator="equal">
      <formula>1.2</formula>
    </cfRule>
    <cfRule type="containsText" dxfId="8612" priority="2133" operator="containsText" text="1.1">
      <formula>NOT(ISERROR(SEARCH("1.1",BD5)))</formula>
    </cfRule>
  </conditionalFormatting>
  <conditionalFormatting sqref="BH5:BH6">
    <cfRule type="containsBlanks" dxfId="8611" priority="2116">
      <formula>LEN(TRIM(BH5))=0</formula>
    </cfRule>
  </conditionalFormatting>
  <conditionalFormatting sqref="BH5:BH6">
    <cfRule type="cellIs" dxfId="8610" priority="2099" operator="equal">
      <formula>4.4</formula>
    </cfRule>
    <cfRule type="cellIs" dxfId="8609" priority="2100" operator="equal">
      <formula>4.3</formula>
    </cfRule>
    <cfRule type="cellIs" dxfId="8608" priority="2101" operator="equal">
      <formula>4.2</formula>
    </cfRule>
    <cfRule type="cellIs" dxfId="8607" priority="2102" operator="equal">
      <formula>4.1</formula>
    </cfRule>
    <cfRule type="cellIs" dxfId="8606" priority="2103" operator="equal">
      <formula>3.4</formula>
    </cfRule>
    <cfRule type="cellIs" dxfId="8605" priority="2104" operator="equal">
      <formula>3.3</formula>
    </cfRule>
    <cfRule type="cellIs" dxfId="8604" priority="2105" operator="equal">
      <formula>3.2</formula>
    </cfRule>
    <cfRule type="cellIs" dxfId="8603" priority="2106" operator="equal">
      <formula>3.1</formula>
    </cfRule>
    <cfRule type="cellIs" dxfId="8602" priority="2107" operator="equal">
      <formula>2.4</formula>
    </cfRule>
    <cfRule type="cellIs" dxfId="8601" priority="2108" operator="equal">
      <formula>2.3</formula>
    </cfRule>
    <cfRule type="cellIs" dxfId="8600" priority="2109" operator="equal">
      <formula>2.2</formula>
    </cfRule>
    <cfRule type="cellIs" dxfId="8599" priority="2110" operator="equal">
      <formula>2.1</formula>
    </cfRule>
    <cfRule type="cellIs" dxfId="8598" priority="2111" operator="equal">
      <formula>1.5</formula>
    </cfRule>
    <cfRule type="cellIs" dxfId="8597" priority="2112" operator="equal">
      <formula>1.4</formula>
    </cfRule>
    <cfRule type="cellIs" dxfId="8596" priority="2113" operator="equal">
      <formula>1.3</formula>
    </cfRule>
    <cfRule type="cellIs" dxfId="8595" priority="2114" operator="equal">
      <formula>1.2</formula>
    </cfRule>
    <cfRule type="containsText" dxfId="8594" priority="2115" operator="containsText" text="1.1">
      <formula>NOT(ISERROR(SEARCH("1.1",BH5)))</formula>
    </cfRule>
  </conditionalFormatting>
  <conditionalFormatting sqref="BL5:BL6">
    <cfRule type="containsBlanks" dxfId="8593" priority="2098">
      <formula>LEN(TRIM(BL5))=0</formula>
    </cfRule>
  </conditionalFormatting>
  <conditionalFormatting sqref="BL5:BL6">
    <cfRule type="cellIs" dxfId="8592" priority="2081" operator="equal">
      <formula>4.4</formula>
    </cfRule>
    <cfRule type="cellIs" dxfId="8591" priority="2082" operator="equal">
      <formula>4.3</formula>
    </cfRule>
    <cfRule type="cellIs" dxfId="8590" priority="2083" operator="equal">
      <formula>4.2</formula>
    </cfRule>
    <cfRule type="cellIs" dxfId="8589" priority="2084" operator="equal">
      <formula>4.1</formula>
    </cfRule>
    <cfRule type="cellIs" dxfId="8588" priority="2085" operator="equal">
      <formula>3.4</formula>
    </cfRule>
    <cfRule type="cellIs" dxfId="8587" priority="2086" operator="equal">
      <formula>3.3</formula>
    </cfRule>
    <cfRule type="cellIs" dxfId="8586" priority="2087" operator="equal">
      <formula>3.2</formula>
    </cfRule>
    <cfRule type="cellIs" dxfId="8585" priority="2088" operator="equal">
      <formula>3.1</formula>
    </cfRule>
    <cfRule type="cellIs" dxfId="8584" priority="2089" operator="equal">
      <formula>2.4</formula>
    </cfRule>
    <cfRule type="cellIs" dxfId="8583" priority="2090" operator="equal">
      <formula>2.3</formula>
    </cfRule>
    <cfRule type="cellIs" dxfId="8582" priority="2091" operator="equal">
      <formula>2.2</formula>
    </cfRule>
    <cfRule type="cellIs" dxfId="8581" priority="2092" operator="equal">
      <formula>2.1</formula>
    </cfRule>
    <cfRule type="cellIs" dxfId="8580" priority="2093" operator="equal">
      <formula>1.5</formula>
    </cfRule>
    <cfRule type="cellIs" dxfId="8579" priority="2094" operator="equal">
      <formula>1.4</formula>
    </cfRule>
    <cfRule type="cellIs" dxfId="8578" priority="2095" operator="equal">
      <formula>1.3</formula>
    </cfRule>
    <cfRule type="cellIs" dxfId="8577" priority="2096" operator="equal">
      <formula>1.2</formula>
    </cfRule>
    <cfRule type="containsText" dxfId="8576" priority="2097" operator="containsText" text="1.1">
      <formula>NOT(ISERROR(SEARCH("1.1",BL5)))</formula>
    </cfRule>
  </conditionalFormatting>
  <conditionalFormatting sqref="W51:AB68">
    <cfRule type="cellIs" dxfId="8575" priority="2013" operator="equal">
      <formula>4.4</formula>
    </cfRule>
    <cfRule type="cellIs" dxfId="8574" priority="2014" operator="equal">
      <formula>4.3</formula>
    </cfRule>
    <cfRule type="cellIs" dxfId="8573" priority="2015" operator="equal">
      <formula>4.2</formula>
    </cfRule>
    <cfRule type="cellIs" dxfId="8572" priority="2016" operator="equal">
      <formula>4.1</formula>
    </cfRule>
    <cfRule type="cellIs" dxfId="8571" priority="2017" operator="equal">
      <formula>3.4</formula>
    </cfRule>
    <cfRule type="cellIs" dxfId="8570" priority="2018" operator="equal">
      <formula>3.3</formula>
    </cfRule>
    <cfRule type="cellIs" dxfId="8569" priority="2019" operator="equal">
      <formula>3.2</formula>
    </cfRule>
    <cfRule type="cellIs" dxfId="8568" priority="2020" operator="equal">
      <formula>3.1</formula>
    </cfRule>
    <cfRule type="cellIs" dxfId="8567" priority="2021" operator="equal">
      <formula>2.4</formula>
    </cfRule>
    <cfRule type="cellIs" dxfId="8566" priority="2022" operator="equal">
      <formula>2.3</formula>
    </cfRule>
    <cfRule type="cellIs" dxfId="8565" priority="2023" operator="equal">
      <formula>2.2</formula>
    </cfRule>
    <cfRule type="cellIs" dxfId="8564" priority="2024" operator="equal">
      <formula>2.1</formula>
    </cfRule>
    <cfRule type="cellIs" dxfId="8563" priority="2025" operator="equal">
      <formula>1.5</formula>
    </cfRule>
    <cfRule type="cellIs" dxfId="8562" priority="2026" operator="equal">
      <formula>1.4</formula>
    </cfRule>
    <cfRule type="cellIs" dxfId="8561" priority="2027" operator="equal">
      <formula>1.3</formula>
    </cfRule>
    <cfRule type="cellIs" dxfId="8560" priority="2028" operator="equal">
      <formula>1.2</formula>
    </cfRule>
    <cfRule type="containsText" dxfId="8559" priority="2029" operator="containsText" text="1.1">
      <formula>NOT(ISERROR(SEARCH("1.1",W51)))</formula>
    </cfRule>
  </conditionalFormatting>
  <conditionalFormatting sqref="O66:T68">
    <cfRule type="cellIs" dxfId="8558" priority="2047" operator="equal">
      <formula>4.4</formula>
    </cfRule>
    <cfRule type="cellIs" dxfId="8557" priority="2048" operator="equal">
      <formula>4.3</formula>
    </cfRule>
    <cfRule type="cellIs" dxfId="8556" priority="2049" operator="equal">
      <formula>4.2</formula>
    </cfRule>
    <cfRule type="cellIs" dxfId="8555" priority="2050" operator="equal">
      <formula>4.1</formula>
    </cfRule>
    <cfRule type="cellIs" dxfId="8554" priority="2051" operator="equal">
      <formula>3.4</formula>
    </cfRule>
    <cfRule type="cellIs" dxfId="8553" priority="2052" operator="equal">
      <formula>3.3</formula>
    </cfRule>
    <cfRule type="cellIs" dxfId="8552" priority="2053" operator="equal">
      <formula>3.2</formula>
    </cfRule>
    <cfRule type="cellIs" dxfId="8551" priority="2054" operator="equal">
      <formula>3.1</formula>
    </cfRule>
    <cfRule type="cellIs" dxfId="8550" priority="2055" operator="equal">
      <formula>2.4</formula>
    </cfRule>
    <cfRule type="cellIs" dxfId="8549" priority="2056" operator="equal">
      <formula>2.3</formula>
    </cfRule>
    <cfRule type="cellIs" dxfId="8548" priority="2057" operator="equal">
      <formula>2.2</formula>
    </cfRule>
    <cfRule type="cellIs" dxfId="8547" priority="2058" operator="equal">
      <formula>2.1</formula>
    </cfRule>
    <cfRule type="cellIs" dxfId="8546" priority="2059" operator="equal">
      <formula>1.5</formula>
    </cfRule>
    <cfRule type="cellIs" dxfId="8545" priority="2060" operator="equal">
      <formula>1.4</formula>
    </cfRule>
    <cfRule type="cellIs" dxfId="8544" priority="2061" operator="equal">
      <formula>1.3</formula>
    </cfRule>
    <cfRule type="cellIs" dxfId="8543" priority="2062" operator="equal">
      <formula>1.2</formula>
    </cfRule>
    <cfRule type="containsText" dxfId="8542" priority="2063" operator="containsText" text="1.1">
      <formula>NOT(ISERROR(SEARCH("1.1",O66)))</formula>
    </cfRule>
  </conditionalFormatting>
  <conditionalFormatting sqref="B12:H32">
    <cfRule type="cellIs" dxfId="8541" priority="1979" operator="equal">
      <formula>4.4</formula>
    </cfRule>
    <cfRule type="cellIs" dxfId="8540" priority="1980" operator="equal">
      <formula>4.3</formula>
    </cfRule>
    <cfRule type="cellIs" dxfId="8539" priority="1981" operator="equal">
      <formula>4.2</formula>
    </cfRule>
    <cfRule type="cellIs" dxfId="8538" priority="1982" operator="equal">
      <formula>4.1</formula>
    </cfRule>
    <cfRule type="cellIs" dxfId="8537" priority="1983" operator="equal">
      <formula>3.4</formula>
    </cfRule>
    <cfRule type="cellIs" dxfId="8536" priority="1984" operator="equal">
      <formula>3.3</formula>
    </cfRule>
    <cfRule type="cellIs" dxfId="8535" priority="1985" operator="equal">
      <formula>3.2</formula>
    </cfRule>
    <cfRule type="cellIs" dxfId="8534" priority="1986" operator="equal">
      <formula>3.1</formula>
    </cfRule>
    <cfRule type="cellIs" dxfId="8533" priority="1987" operator="equal">
      <formula>2.4</formula>
    </cfRule>
    <cfRule type="cellIs" dxfId="8532" priority="1988" operator="equal">
      <formula>2.3</formula>
    </cfRule>
    <cfRule type="cellIs" dxfId="8531" priority="1989" operator="equal">
      <formula>2.2</formula>
    </cfRule>
    <cfRule type="cellIs" dxfId="8530" priority="1990" operator="equal">
      <formula>2.1</formula>
    </cfRule>
    <cfRule type="cellIs" dxfId="8529" priority="1991" operator="equal">
      <formula>1.5</formula>
    </cfRule>
    <cfRule type="cellIs" dxfId="8528" priority="1992" operator="equal">
      <formula>1.4</formula>
    </cfRule>
    <cfRule type="cellIs" dxfId="8527" priority="1993" operator="equal">
      <formula>1.3</formula>
    </cfRule>
    <cfRule type="cellIs" dxfId="8526" priority="1994" operator="equal">
      <formula>1.2</formula>
    </cfRule>
    <cfRule type="containsText" dxfId="8525" priority="1995" operator="containsText" text="1.1">
      <formula>NOT(ISERROR(SEARCH("1.1",B12)))</formula>
    </cfRule>
  </conditionalFormatting>
  <conditionalFormatting sqref="H51:M53 H54:L71 H75:L77 M54:M77 H78:M81">
    <cfRule type="containsBlanks" dxfId="8524" priority="1944">
      <formula>LEN(TRIM(H51))=0</formula>
    </cfRule>
  </conditionalFormatting>
  <conditionalFormatting sqref="A51:L71 H75:L77 A78:L78 A79:E80 F79:L81">
    <cfRule type="cellIs" dxfId="8523" priority="1927" operator="equal">
      <formula>4.4</formula>
    </cfRule>
    <cfRule type="cellIs" dxfId="8522" priority="1928" operator="equal">
      <formula>4.3</formula>
    </cfRule>
    <cfRule type="cellIs" dxfId="8521" priority="1929" operator="equal">
      <formula>4.2</formula>
    </cfRule>
    <cfRule type="cellIs" dxfId="8520" priority="1930" operator="equal">
      <formula>4.1</formula>
    </cfRule>
    <cfRule type="cellIs" dxfId="8519" priority="1931" operator="equal">
      <formula>3.4</formula>
    </cfRule>
    <cfRule type="cellIs" dxfId="8518" priority="1932" operator="equal">
      <formula>3.3</formula>
    </cfRule>
    <cfRule type="cellIs" dxfId="8517" priority="1933" operator="equal">
      <formula>3.2</formula>
    </cfRule>
    <cfRule type="cellIs" dxfId="8516" priority="1934" operator="equal">
      <formula>3.1</formula>
    </cfRule>
    <cfRule type="cellIs" dxfId="8515" priority="1935" operator="equal">
      <formula>2.4</formula>
    </cfRule>
    <cfRule type="cellIs" dxfId="8514" priority="1936" operator="equal">
      <formula>2.3</formula>
    </cfRule>
    <cfRule type="cellIs" dxfId="8513" priority="1937" operator="equal">
      <formula>2.2</formula>
    </cfRule>
    <cfRule type="cellIs" dxfId="8512" priority="1938" operator="equal">
      <formula>2.1</formula>
    </cfRule>
    <cfRule type="cellIs" dxfId="8511" priority="1939" operator="equal">
      <formula>1.5</formula>
    </cfRule>
    <cfRule type="cellIs" dxfId="8510" priority="1940" operator="equal">
      <formula>1.4</formula>
    </cfRule>
    <cfRule type="cellIs" dxfId="8509" priority="1941" operator="equal">
      <formula>1.3</formula>
    </cfRule>
    <cfRule type="cellIs" dxfId="8508" priority="1942" operator="equal">
      <formula>1.2</formula>
    </cfRule>
    <cfRule type="containsText" dxfId="8507" priority="1943" operator="containsText" text="1.1">
      <formula>NOT(ISERROR(SEARCH("1.1",A51)))</formula>
    </cfRule>
  </conditionalFormatting>
  <conditionalFormatting sqref="A86:A88 A92 A83:M85 F92:M93">
    <cfRule type="cellIs" dxfId="8506" priority="1910" operator="equal">
      <formula>4.4</formula>
    </cfRule>
    <cfRule type="cellIs" dxfId="8505" priority="1911" operator="equal">
      <formula>4.3</formula>
    </cfRule>
    <cfRule type="cellIs" dxfId="8504" priority="1912" operator="equal">
      <formula>4.2</formula>
    </cfRule>
    <cfRule type="cellIs" dxfId="8503" priority="1913" operator="equal">
      <formula>4.1</formula>
    </cfRule>
    <cfRule type="cellIs" dxfId="8502" priority="1914" operator="equal">
      <formula>3.4</formula>
    </cfRule>
    <cfRule type="cellIs" dxfId="8501" priority="1915" operator="equal">
      <formula>3.3</formula>
    </cfRule>
    <cfRule type="cellIs" dxfId="8500" priority="1916" operator="equal">
      <formula>3.2</formula>
    </cfRule>
    <cfRule type="cellIs" dxfId="8499" priority="1917" operator="equal">
      <formula>3.1</formula>
    </cfRule>
    <cfRule type="cellIs" dxfId="8498" priority="1918" operator="equal">
      <formula>2.4</formula>
    </cfRule>
    <cfRule type="cellIs" dxfId="8497" priority="1919" operator="equal">
      <formula>2.3</formula>
    </cfRule>
    <cfRule type="cellIs" dxfId="8496" priority="1920" operator="equal">
      <formula>2.2</formula>
    </cfRule>
    <cfRule type="cellIs" dxfId="8495" priority="1921" operator="equal">
      <formula>2.1</formula>
    </cfRule>
    <cfRule type="cellIs" dxfId="8494" priority="1922" operator="equal">
      <formula>1.5</formula>
    </cfRule>
    <cfRule type="cellIs" dxfId="8493" priority="1923" operator="equal">
      <formula>1.4</formula>
    </cfRule>
    <cfRule type="cellIs" dxfId="8492" priority="1924" operator="equal">
      <formula>1.3</formula>
    </cfRule>
    <cfRule type="cellIs" dxfId="8491" priority="1925" operator="equal">
      <formula>1.2</formula>
    </cfRule>
    <cfRule type="containsText" dxfId="8490" priority="1926" operator="containsText" text="1.1">
      <formula>NOT(ISERROR(SEARCH("1.1",A83)))</formula>
    </cfRule>
  </conditionalFormatting>
  <conditionalFormatting sqref="H92:M93">
    <cfRule type="containsBlanks" dxfId="8489" priority="1909">
      <formula>LEN(TRIM(H92))=0</formula>
    </cfRule>
  </conditionalFormatting>
  <conditionalFormatting sqref="B86:G88">
    <cfRule type="cellIs" dxfId="8488" priority="1892" operator="equal">
      <formula>4.4</formula>
    </cfRule>
    <cfRule type="cellIs" dxfId="8487" priority="1893" operator="equal">
      <formula>4.3</formula>
    </cfRule>
    <cfRule type="cellIs" dxfId="8486" priority="1894" operator="equal">
      <formula>4.2</formula>
    </cfRule>
    <cfRule type="cellIs" dxfId="8485" priority="1895" operator="equal">
      <formula>4.1</formula>
    </cfRule>
    <cfRule type="cellIs" dxfId="8484" priority="1896" operator="equal">
      <formula>3.4</formula>
    </cfRule>
    <cfRule type="cellIs" dxfId="8483" priority="1897" operator="equal">
      <formula>3.3</formula>
    </cfRule>
    <cfRule type="cellIs" dxfId="8482" priority="1898" operator="equal">
      <formula>3.2</formula>
    </cfRule>
    <cfRule type="cellIs" dxfId="8481" priority="1899" operator="equal">
      <formula>3.1</formula>
    </cfRule>
    <cfRule type="cellIs" dxfId="8480" priority="1900" operator="equal">
      <formula>2.4</formula>
    </cfRule>
    <cfRule type="cellIs" dxfId="8479" priority="1901" operator="equal">
      <formula>2.3</formula>
    </cfRule>
    <cfRule type="cellIs" dxfId="8478" priority="1902" operator="equal">
      <formula>2.2</formula>
    </cfRule>
    <cfRule type="cellIs" dxfId="8477" priority="1903" operator="equal">
      <formula>2.1</formula>
    </cfRule>
    <cfRule type="cellIs" dxfId="8476" priority="1904" operator="equal">
      <formula>1.5</formula>
    </cfRule>
    <cfRule type="cellIs" dxfId="8475" priority="1905" operator="equal">
      <formula>1.4</formula>
    </cfRule>
    <cfRule type="cellIs" dxfId="8474" priority="1906" operator="equal">
      <formula>1.3</formula>
    </cfRule>
    <cfRule type="cellIs" dxfId="8473" priority="1907" operator="equal">
      <formula>1.2</formula>
    </cfRule>
    <cfRule type="containsText" dxfId="8472" priority="1908" operator="containsText" text="1.1">
      <formula>NOT(ISERROR(SEARCH("1.1",B86)))</formula>
    </cfRule>
  </conditionalFormatting>
  <conditionalFormatting sqref="H72:L74">
    <cfRule type="containsBlanks" dxfId="8471" priority="1856">
      <formula>LEN(TRIM(H72))=0</formula>
    </cfRule>
  </conditionalFormatting>
  <conditionalFormatting sqref="A72:L74">
    <cfRule type="cellIs" dxfId="8470" priority="1839" operator="equal">
      <formula>4.4</formula>
    </cfRule>
    <cfRule type="cellIs" dxfId="8469" priority="1840" operator="equal">
      <formula>4.3</formula>
    </cfRule>
    <cfRule type="cellIs" dxfId="8468" priority="1841" operator="equal">
      <formula>4.2</formula>
    </cfRule>
    <cfRule type="cellIs" dxfId="8467" priority="1842" operator="equal">
      <formula>4.1</formula>
    </cfRule>
    <cfRule type="cellIs" dxfId="8466" priority="1843" operator="equal">
      <formula>3.4</formula>
    </cfRule>
    <cfRule type="cellIs" dxfId="8465" priority="1844" operator="equal">
      <formula>3.3</formula>
    </cfRule>
    <cfRule type="cellIs" dxfId="8464" priority="1845" operator="equal">
      <formula>3.2</formula>
    </cfRule>
    <cfRule type="cellIs" dxfId="8463" priority="1846" operator="equal">
      <formula>3.1</formula>
    </cfRule>
    <cfRule type="cellIs" dxfId="8462" priority="1847" operator="equal">
      <formula>2.4</formula>
    </cfRule>
    <cfRule type="cellIs" dxfId="8461" priority="1848" operator="equal">
      <formula>2.3</formula>
    </cfRule>
    <cfRule type="cellIs" dxfId="8460" priority="1849" operator="equal">
      <formula>2.2</formula>
    </cfRule>
    <cfRule type="cellIs" dxfId="8459" priority="1850" operator="equal">
      <formula>2.1</formula>
    </cfRule>
    <cfRule type="cellIs" dxfId="8458" priority="1851" operator="equal">
      <formula>1.5</formula>
    </cfRule>
    <cfRule type="cellIs" dxfId="8457" priority="1852" operator="equal">
      <formula>1.4</formula>
    </cfRule>
    <cfRule type="cellIs" dxfId="8456" priority="1853" operator="equal">
      <formula>1.3</formula>
    </cfRule>
    <cfRule type="cellIs" dxfId="8455" priority="1854" operator="equal">
      <formula>1.2</formula>
    </cfRule>
    <cfRule type="containsText" dxfId="8454" priority="1855" operator="containsText" text="1.1">
      <formula>NOT(ISERROR(SEARCH("1.1",A72)))</formula>
    </cfRule>
  </conditionalFormatting>
  <conditionalFormatting sqref="B75:G77">
    <cfRule type="cellIs" dxfId="8453" priority="1805" operator="equal">
      <formula>4.4</formula>
    </cfRule>
    <cfRule type="cellIs" dxfId="8452" priority="1806" operator="equal">
      <formula>4.3</formula>
    </cfRule>
    <cfRule type="cellIs" dxfId="8451" priority="1807" operator="equal">
      <formula>4.2</formula>
    </cfRule>
    <cfRule type="cellIs" dxfId="8450" priority="1808" operator="equal">
      <formula>4.1</formula>
    </cfRule>
    <cfRule type="cellIs" dxfId="8449" priority="1809" operator="equal">
      <formula>3.4</formula>
    </cfRule>
    <cfRule type="cellIs" dxfId="8448" priority="1810" operator="equal">
      <formula>3.3</formula>
    </cfRule>
    <cfRule type="cellIs" dxfId="8447" priority="1811" operator="equal">
      <formula>3.2</formula>
    </cfRule>
    <cfRule type="cellIs" dxfId="8446" priority="1812" operator="equal">
      <formula>3.1</formula>
    </cfRule>
    <cfRule type="cellIs" dxfId="8445" priority="1813" operator="equal">
      <formula>2.4</formula>
    </cfRule>
    <cfRule type="cellIs" dxfId="8444" priority="1814" operator="equal">
      <formula>2.3</formula>
    </cfRule>
    <cfRule type="cellIs" dxfId="8443" priority="1815" operator="equal">
      <formula>2.2</formula>
    </cfRule>
    <cfRule type="cellIs" dxfId="8442" priority="1816" operator="equal">
      <formula>2.1</formula>
    </cfRule>
    <cfRule type="cellIs" dxfId="8441" priority="1817" operator="equal">
      <formula>1.5</formula>
    </cfRule>
    <cfRule type="cellIs" dxfId="8440" priority="1818" operator="equal">
      <formula>1.4</formula>
    </cfRule>
    <cfRule type="cellIs" dxfId="8439" priority="1819" operator="equal">
      <formula>1.3</formula>
    </cfRule>
    <cfRule type="cellIs" dxfId="8438" priority="1820" operator="equal">
      <formula>1.2</formula>
    </cfRule>
    <cfRule type="containsText" dxfId="8437" priority="1821" operator="containsText" text="1.1">
      <formula>NOT(ISERROR(SEARCH("1.1",B75)))</formula>
    </cfRule>
  </conditionalFormatting>
  <conditionalFormatting sqref="A75:A77">
    <cfRule type="cellIs" dxfId="8436" priority="1822" operator="equal">
      <formula>4.4</formula>
    </cfRule>
    <cfRule type="cellIs" dxfId="8435" priority="1823" operator="equal">
      <formula>4.3</formula>
    </cfRule>
    <cfRule type="cellIs" dxfId="8434" priority="1824" operator="equal">
      <formula>4.2</formula>
    </cfRule>
    <cfRule type="cellIs" dxfId="8433" priority="1825" operator="equal">
      <formula>4.1</formula>
    </cfRule>
    <cfRule type="cellIs" dxfId="8432" priority="1826" operator="equal">
      <formula>3.4</formula>
    </cfRule>
    <cfRule type="cellIs" dxfId="8431" priority="1827" operator="equal">
      <formula>3.3</formula>
    </cfRule>
    <cfRule type="cellIs" dxfId="8430" priority="1828" operator="equal">
      <formula>3.2</formula>
    </cfRule>
    <cfRule type="cellIs" dxfId="8429" priority="1829" operator="equal">
      <formula>3.1</formula>
    </cfRule>
    <cfRule type="cellIs" dxfId="8428" priority="1830" operator="equal">
      <formula>2.4</formula>
    </cfRule>
    <cfRule type="cellIs" dxfId="8427" priority="1831" operator="equal">
      <formula>2.3</formula>
    </cfRule>
    <cfRule type="cellIs" dxfId="8426" priority="1832" operator="equal">
      <formula>2.2</formula>
    </cfRule>
    <cfRule type="cellIs" dxfId="8425" priority="1833" operator="equal">
      <formula>2.1</formula>
    </cfRule>
    <cfRule type="cellIs" dxfId="8424" priority="1834" operator="equal">
      <formula>1.5</formula>
    </cfRule>
    <cfRule type="cellIs" dxfId="8423" priority="1835" operator="equal">
      <formula>1.4</formula>
    </cfRule>
    <cfRule type="cellIs" dxfId="8422" priority="1836" operator="equal">
      <formula>1.3</formula>
    </cfRule>
    <cfRule type="cellIs" dxfId="8421" priority="1837" operator="equal">
      <formula>1.2</formula>
    </cfRule>
    <cfRule type="containsText" dxfId="8420" priority="1838" operator="containsText" text="1.1">
      <formula>NOT(ISERROR(SEARCH("1.1",A75)))</formula>
    </cfRule>
  </conditionalFormatting>
  <conditionalFormatting sqref="B89:G91">
    <cfRule type="cellIs" dxfId="8419" priority="1771" operator="equal">
      <formula>4.4</formula>
    </cfRule>
    <cfRule type="cellIs" dxfId="8418" priority="1772" operator="equal">
      <formula>4.3</formula>
    </cfRule>
    <cfRule type="cellIs" dxfId="8417" priority="1773" operator="equal">
      <formula>4.2</formula>
    </cfRule>
    <cfRule type="cellIs" dxfId="8416" priority="1774" operator="equal">
      <formula>4.1</formula>
    </cfRule>
    <cfRule type="cellIs" dxfId="8415" priority="1775" operator="equal">
      <formula>3.4</formula>
    </cfRule>
    <cfRule type="cellIs" dxfId="8414" priority="1776" operator="equal">
      <formula>3.3</formula>
    </cfRule>
    <cfRule type="cellIs" dxfId="8413" priority="1777" operator="equal">
      <formula>3.2</formula>
    </cfRule>
    <cfRule type="cellIs" dxfId="8412" priority="1778" operator="equal">
      <formula>3.1</formula>
    </cfRule>
    <cfRule type="cellIs" dxfId="8411" priority="1779" operator="equal">
      <formula>2.4</formula>
    </cfRule>
    <cfRule type="cellIs" dxfId="8410" priority="1780" operator="equal">
      <formula>2.3</formula>
    </cfRule>
    <cfRule type="cellIs" dxfId="8409" priority="1781" operator="equal">
      <formula>2.2</formula>
    </cfRule>
    <cfRule type="cellIs" dxfId="8408" priority="1782" operator="equal">
      <formula>2.1</formula>
    </cfRule>
    <cfRule type="cellIs" dxfId="8407" priority="1783" operator="equal">
      <formula>1.5</formula>
    </cfRule>
    <cfRule type="cellIs" dxfId="8406" priority="1784" operator="equal">
      <formula>1.4</formula>
    </cfRule>
    <cfRule type="cellIs" dxfId="8405" priority="1785" operator="equal">
      <formula>1.3</formula>
    </cfRule>
    <cfRule type="cellIs" dxfId="8404" priority="1786" operator="equal">
      <formula>1.2</formula>
    </cfRule>
    <cfRule type="containsText" dxfId="8403" priority="1787" operator="containsText" text="1.1">
      <formula>NOT(ISERROR(SEARCH("1.1",B89)))</formula>
    </cfRule>
  </conditionalFormatting>
  <conditionalFormatting sqref="A89:A91">
    <cfRule type="cellIs" dxfId="8402" priority="1788" operator="equal">
      <formula>4.4</formula>
    </cfRule>
    <cfRule type="cellIs" dxfId="8401" priority="1789" operator="equal">
      <formula>4.3</formula>
    </cfRule>
    <cfRule type="cellIs" dxfId="8400" priority="1790" operator="equal">
      <formula>4.2</formula>
    </cfRule>
    <cfRule type="cellIs" dxfId="8399" priority="1791" operator="equal">
      <formula>4.1</formula>
    </cfRule>
    <cfRule type="cellIs" dxfId="8398" priority="1792" operator="equal">
      <formula>3.4</formula>
    </cfRule>
    <cfRule type="cellIs" dxfId="8397" priority="1793" operator="equal">
      <formula>3.3</formula>
    </cfRule>
    <cfRule type="cellIs" dxfId="8396" priority="1794" operator="equal">
      <formula>3.2</formula>
    </cfRule>
    <cfRule type="cellIs" dxfId="8395" priority="1795" operator="equal">
      <formula>3.1</formula>
    </cfRule>
    <cfRule type="cellIs" dxfId="8394" priority="1796" operator="equal">
      <formula>2.4</formula>
    </cfRule>
    <cfRule type="cellIs" dxfId="8393" priority="1797" operator="equal">
      <formula>2.3</formula>
    </cfRule>
    <cfRule type="cellIs" dxfId="8392" priority="1798" operator="equal">
      <formula>2.2</formula>
    </cfRule>
    <cfRule type="cellIs" dxfId="8391" priority="1799" operator="equal">
      <formula>2.1</formula>
    </cfRule>
    <cfRule type="cellIs" dxfId="8390" priority="1800" operator="equal">
      <formula>1.5</formula>
    </cfRule>
    <cfRule type="cellIs" dxfId="8389" priority="1801" operator="equal">
      <formula>1.4</formula>
    </cfRule>
    <cfRule type="cellIs" dxfId="8388" priority="1802" operator="equal">
      <formula>1.3</formula>
    </cfRule>
    <cfRule type="cellIs" dxfId="8387" priority="1803" operator="equal">
      <formula>1.2</formula>
    </cfRule>
    <cfRule type="containsText" dxfId="8386" priority="1804" operator="containsText" text="1.1">
      <formula>NOT(ISERROR(SEARCH("1.1",A89)))</formula>
    </cfRule>
  </conditionalFormatting>
  <conditionalFormatting sqref="H86:M88">
    <cfRule type="containsBlanks" dxfId="8385" priority="1752">
      <formula>LEN(TRIM(H86))=0</formula>
    </cfRule>
  </conditionalFormatting>
  <conditionalFormatting sqref="H86:M88">
    <cfRule type="cellIs" dxfId="8384" priority="1735" operator="equal">
      <formula>4.4</formula>
    </cfRule>
    <cfRule type="cellIs" dxfId="8383" priority="1736" operator="equal">
      <formula>4.3</formula>
    </cfRule>
    <cfRule type="cellIs" dxfId="8382" priority="1737" operator="equal">
      <formula>4.2</formula>
    </cfRule>
    <cfRule type="cellIs" dxfId="8381" priority="1738" operator="equal">
      <formula>4.1</formula>
    </cfRule>
    <cfRule type="cellIs" dxfId="8380" priority="1739" operator="equal">
      <formula>3.4</formula>
    </cfRule>
    <cfRule type="cellIs" dxfId="8379" priority="1740" operator="equal">
      <formula>3.3</formula>
    </cfRule>
    <cfRule type="cellIs" dxfId="8378" priority="1741" operator="equal">
      <formula>3.2</formula>
    </cfRule>
    <cfRule type="cellIs" dxfId="8377" priority="1742" operator="equal">
      <formula>3.1</formula>
    </cfRule>
    <cfRule type="cellIs" dxfId="8376" priority="1743" operator="equal">
      <formula>2.4</formula>
    </cfRule>
    <cfRule type="cellIs" dxfId="8375" priority="1744" operator="equal">
      <formula>2.3</formula>
    </cfRule>
    <cfRule type="cellIs" dxfId="8374" priority="1745" operator="equal">
      <formula>2.2</formula>
    </cfRule>
    <cfRule type="cellIs" dxfId="8373" priority="1746" operator="equal">
      <formula>2.1</formula>
    </cfRule>
    <cfRule type="cellIs" dxfId="8372" priority="1747" operator="equal">
      <formula>1.5</formula>
    </cfRule>
    <cfRule type="cellIs" dxfId="8371" priority="1748" operator="equal">
      <formula>1.4</formula>
    </cfRule>
    <cfRule type="cellIs" dxfId="8370" priority="1749" operator="equal">
      <formula>1.3</formula>
    </cfRule>
    <cfRule type="cellIs" dxfId="8369" priority="1750" operator="equal">
      <formula>1.2</formula>
    </cfRule>
    <cfRule type="containsText" dxfId="8368" priority="1751" operator="containsText" text="1.1">
      <formula>NOT(ISERROR(SEARCH("1.1",H86)))</formula>
    </cfRule>
  </conditionalFormatting>
  <conditionalFormatting sqref="H89:M91">
    <cfRule type="containsBlanks" dxfId="8367" priority="1734">
      <formula>LEN(TRIM(H89))=0</formula>
    </cfRule>
  </conditionalFormatting>
  <conditionalFormatting sqref="H89:M91">
    <cfRule type="cellIs" dxfId="8366" priority="1717" operator="equal">
      <formula>4.4</formula>
    </cfRule>
    <cfRule type="cellIs" dxfId="8365" priority="1718" operator="equal">
      <formula>4.3</formula>
    </cfRule>
    <cfRule type="cellIs" dxfId="8364" priority="1719" operator="equal">
      <formula>4.2</formula>
    </cfRule>
    <cfRule type="cellIs" dxfId="8363" priority="1720" operator="equal">
      <formula>4.1</formula>
    </cfRule>
    <cfRule type="cellIs" dxfId="8362" priority="1721" operator="equal">
      <formula>3.4</formula>
    </cfRule>
    <cfRule type="cellIs" dxfId="8361" priority="1722" operator="equal">
      <formula>3.3</formula>
    </cfRule>
    <cfRule type="cellIs" dxfId="8360" priority="1723" operator="equal">
      <formula>3.2</formula>
    </cfRule>
    <cfRule type="cellIs" dxfId="8359" priority="1724" operator="equal">
      <formula>3.1</formula>
    </cfRule>
    <cfRule type="cellIs" dxfId="8358" priority="1725" operator="equal">
      <formula>2.4</formula>
    </cfRule>
    <cfRule type="cellIs" dxfId="8357" priority="1726" operator="equal">
      <formula>2.3</formula>
    </cfRule>
    <cfRule type="cellIs" dxfId="8356" priority="1727" operator="equal">
      <formula>2.2</formula>
    </cfRule>
    <cfRule type="cellIs" dxfId="8355" priority="1728" operator="equal">
      <formula>2.1</formula>
    </cfRule>
    <cfRule type="cellIs" dxfId="8354" priority="1729" operator="equal">
      <formula>1.5</formula>
    </cfRule>
    <cfRule type="cellIs" dxfId="8353" priority="1730" operator="equal">
      <formula>1.4</formula>
    </cfRule>
    <cfRule type="cellIs" dxfId="8352" priority="1731" operator="equal">
      <formula>1.3</formula>
    </cfRule>
    <cfRule type="cellIs" dxfId="8351" priority="1732" operator="equal">
      <formula>1.2</formula>
    </cfRule>
    <cfRule type="containsText" dxfId="8350" priority="1733" operator="containsText" text="1.1">
      <formula>NOT(ISERROR(SEARCH("1.1",H89)))</formula>
    </cfRule>
  </conditionalFormatting>
  <conditionalFormatting sqref="H48:L50">
    <cfRule type="cellIs" dxfId="8349" priority="1700" operator="equal">
      <formula>4.4</formula>
    </cfRule>
    <cfRule type="cellIs" dxfId="8348" priority="1701" operator="equal">
      <formula>4.3</formula>
    </cfRule>
    <cfRule type="cellIs" dxfId="8347" priority="1702" operator="equal">
      <formula>4.2</formula>
    </cfRule>
    <cfRule type="cellIs" dxfId="8346" priority="1703" operator="equal">
      <formula>4.1</formula>
    </cfRule>
    <cfRule type="cellIs" dxfId="8345" priority="1704" operator="equal">
      <formula>3.4</formula>
    </cfRule>
    <cfRule type="cellIs" dxfId="8344" priority="1705" operator="equal">
      <formula>3.3</formula>
    </cfRule>
    <cfRule type="cellIs" dxfId="8343" priority="1706" operator="equal">
      <formula>3.2</formula>
    </cfRule>
    <cfRule type="cellIs" dxfId="8342" priority="1707" operator="equal">
      <formula>3.1</formula>
    </cfRule>
    <cfRule type="cellIs" dxfId="8341" priority="1708" operator="equal">
      <formula>2.4</formula>
    </cfRule>
    <cfRule type="cellIs" dxfId="8340" priority="1709" operator="equal">
      <formula>2.3</formula>
    </cfRule>
    <cfRule type="cellIs" dxfId="8339" priority="1710" operator="equal">
      <formula>2.2</formula>
    </cfRule>
    <cfRule type="cellIs" dxfId="8338" priority="1711" operator="equal">
      <formula>2.1</formula>
    </cfRule>
    <cfRule type="cellIs" dxfId="8337" priority="1712" operator="equal">
      <formula>1.5</formula>
    </cfRule>
    <cfRule type="cellIs" dxfId="8336" priority="1713" operator="equal">
      <formula>1.4</formula>
    </cfRule>
    <cfRule type="cellIs" dxfId="8335" priority="1714" operator="equal">
      <formula>1.3</formula>
    </cfRule>
    <cfRule type="cellIs" dxfId="8334" priority="1715" operator="equal">
      <formula>1.2</formula>
    </cfRule>
    <cfRule type="containsText" dxfId="8333" priority="1716" operator="containsText" text="1.1">
      <formula>NOT(ISERROR(SEARCH("1.1",H48)))</formula>
    </cfRule>
  </conditionalFormatting>
  <conditionalFormatting sqref="A48:G50">
    <cfRule type="cellIs" dxfId="8332" priority="1683" operator="equal">
      <formula>4.4</formula>
    </cfRule>
    <cfRule type="cellIs" dxfId="8331" priority="1684" operator="equal">
      <formula>4.3</formula>
    </cfRule>
    <cfRule type="cellIs" dxfId="8330" priority="1685" operator="equal">
      <formula>4.2</formula>
    </cfRule>
    <cfRule type="cellIs" dxfId="8329" priority="1686" operator="equal">
      <formula>4.1</formula>
    </cfRule>
    <cfRule type="cellIs" dxfId="8328" priority="1687" operator="equal">
      <formula>3.4</formula>
    </cfRule>
    <cfRule type="cellIs" dxfId="8327" priority="1688" operator="equal">
      <formula>3.3</formula>
    </cfRule>
    <cfRule type="cellIs" dxfId="8326" priority="1689" operator="equal">
      <formula>3.2</formula>
    </cfRule>
    <cfRule type="cellIs" dxfId="8325" priority="1690" operator="equal">
      <formula>3.1</formula>
    </cfRule>
    <cfRule type="cellIs" dxfId="8324" priority="1691" operator="equal">
      <formula>2.4</formula>
    </cfRule>
    <cfRule type="cellIs" dxfId="8323" priority="1692" operator="equal">
      <formula>2.3</formula>
    </cfRule>
    <cfRule type="cellIs" dxfId="8322" priority="1693" operator="equal">
      <formula>2.2</formula>
    </cfRule>
    <cfRule type="cellIs" dxfId="8321" priority="1694" operator="equal">
      <formula>2.1</formula>
    </cfRule>
    <cfRule type="cellIs" dxfId="8320" priority="1695" operator="equal">
      <formula>1.5</formula>
    </cfRule>
    <cfRule type="cellIs" dxfId="8319" priority="1696" operator="equal">
      <formula>1.4</formula>
    </cfRule>
    <cfRule type="cellIs" dxfId="8318" priority="1697" operator="equal">
      <formula>1.3</formula>
    </cfRule>
    <cfRule type="cellIs" dxfId="8317" priority="1698" operator="equal">
      <formula>1.2</formula>
    </cfRule>
    <cfRule type="containsText" dxfId="8316" priority="1699" operator="containsText" text="1.1">
      <formula>NOT(ISERROR(SEARCH("1.1",A48)))</formula>
    </cfRule>
  </conditionalFormatting>
  <conditionalFormatting sqref="M48:M50">
    <cfRule type="cellIs" dxfId="8315" priority="1666" operator="equal">
      <formula>4.4</formula>
    </cfRule>
    <cfRule type="cellIs" dxfId="8314" priority="1667" operator="equal">
      <formula>4.3</formula>
    </cfRule>
    <cfRule type="cellIs" dxfId="8313" priority="1668" operator="equal">
      <formula>4.2</formula>
    </cfRule>
    <cfRule type="cellIs" dxfId="8312" priority="1669" operator="equal">
      <formula>4.1</formula>
    </cfRule>
    <cfRule type="cellIs" dxfId="8311" priority="1670" operator="equal">
      <formula>3.4</formula>
    </cfRule>
    <cfRule type="cellIs" dxfId="8310" priority="1671" operator="equal">
      <formula>3.3</formula>
    </cfRule>
    <cfRule type="cellIs" dxfId="8309" priority="1672" operator="equal">
      <formula>3.2</formula>
    </cfRule>
    <cfRule type="cellIs" dxfId="8308" priority="1673" operator="equal">
      <formula>3.1</formula>
    </cfRule>
    <cfRule type="cellIs" dxfId="8307" priority="1674" operator="equal">
      <formula>2.4</formula>
    </cfRule>
    <cfRule type="cellIs" dxfId="8306" priority="1675" operator="equal">
      <formula>2.3</formula>
    </cfRule>
    <cfRule type="cellIs" dxfId="8305" priority="1676" operator="equal">
      <formula>2.2</formula>
    </cfRule>
    <cfRule type="cellIs" dxfId="8304" priority="1677" operator="equal">
      <formula>2.1</formula>
    </cfRule>
    <cfRule type="cellIs" dxfId="8303" priority="1678" operator="equal">
      <formula>1.5</formula>
    </cfRule>
    <cfRule type="cellIs" dxfId="8302" priority="1679" operator="equal">
      <formula>1.4</formula>
    </cfRule>
    <cfRule type="cellIs" dxfId="8301" priority="1680" operator="equal">
      <formula>1.3</formula>
    </cfRule>
    <cfRule type="cellIs" dxfId="8300" priority="1681" operator="equal">
      <formula>1.2</formula>
    </cfRule>
    <cfRule type="containsText" dxfId="8299" priority="1682" operator="containsText" text="1.1">
      <formula>NOT(ISERROR(SEARCH("1.1",M48)))</formula>
    </cfRule>
  </conditionalFormatting>
  <conditionalFormatting sqref="H99:I129">
    <cfRule type="containsBlanks" dxfId="8298" priority="1648">
      <formula>LEN(TRIM(H99))=0</formula>
    </cfRule>
  </conditionalFormatting>
  <conditionalFormatting sqref="A99:I101 A126:I126 A127:E128 A102:G119 H102:I125 F127:I129">
    <cfRule type="cellIs" dxfId="8297" priority="1631" operator="equal">
      <formula>4.4</formula>
    </cfRule>
    <cfRule type="cellIs" dxfId="8296" priority="1632" operator="equal">
      <formula>4.3</formula>
    </cfRule>
    <cfRule type="cellIs" dxfId="8295" priority="1633" operator="equal">
      <formula>4.2</formula>
    </cfRule>
    <cfRule type="cellIs" dxfId="8294" priority="1634" operator="equal">
      <formula>4.1</formula>
    </cfRule>
    <cfRule type="cellIs" dxfId="8293" priority="1635" operator="equal">
      <formula>3.4</formula>
    </cfRule>
    <cfRule type="cellIs" dxfId="8292" priority="1636" operator="equal">
      <formula>3.3</formula>
    </cfRule>
    <cfRule type="cellIs" dxfId="8291" priority="1637" operator="equal">
      <formula>3.2</formula>
    </cfRule>
    <cfRule type="cellIs" dxfId="8290" priority="1638" operator="equal">
      <formula>3.1</formula>
    </cfRule>
    <cfRule type="cellIs" dxfId="8289" priority="1639" operator="equal">
      <formula>2.4</formula>
    </cfRule>
    <cfRule type="cellIs" dxfId="8288" priority="1640" operator="equal">
      <formula>2.3</formula>
    </cfRule>
    <cfRule type="cellIs" dxfId="8287" priority="1641" operator="equal">
      <formula>2.2</formula>
    </cfRule>
    <cfRule type="cellIs" dxfId="8286" priority="1642" operator="equal">
      <formula>2.1</formula>
    </cfRule>
    <cfRule type="cellIs" dxfId="8285" priority="1643" operator="equal">
      <formula>1.5</formula>
    </cfRule>
    <cfRule type="cellIs" dxfId="8284" priority="1644" operator="equal">
      <formula>1.4</formula>
    </cfRule>
    <cfRule type="cellIs" dxfId="8283" priority="1645" operator="equal">
      <formula>1.3</formula>
    </cfRule>
    <cfRule type="cellIs" dxfId="8282" priority="1646" operator="equal">
      <formula>1.2</formula>
    </cfRule>
    <cfRule type="containsText" dxfId="8281" priority="1647" operator="containsText" text="1.1">
      <formula>NOT(ISERROR(SEARCH("1.1",A99)))</formula>
    </cfRule>
  </conditionalFormatting>
  <conditionalFormatting sqref="A134:A136 A140 A131:I133 F140:I141">
    <cfRule type="cellIs" dxfId="8280" priority="1614" operator="equal">
      <formula>4.4</formula>
    </cfRule>
    <cfRule type="cellIs" dxfId="8279" priority="1615" operator="equal">
      <formula>4.3</formula>
    </cfRule>
    <cfRule type="cellIs" dxfId="8278" priority="1616" operator="equal">
      <formula>4.2</formula>
    </cfRule>
    <cfRule type="cellIs" dxfId="8277" priority="1617" operator="equal">
      <formula>4.1</formula>
    </cfRule>
    <cfRule type="cellIs" dxfId="8276" priority="1618" operator="equal">
      <formula>3.4</formula>
    </cfRule>
    <cfRule type="cellIs" dxfId="8275" priority="1619" operator="equal">
      <formula>3.3</formula>
    </cfRule>
    <cfRule type="cellIs" dxfId="8274" priority="1620" operator="equal">
      <formula>3.2</formula>
    </cfRule>
    <cfRule type="cellIs" dxfId="8273" priority="1621" operator="equal">
      <formula>3.1</formula>
    </cfRule>
    <cfRule type="cellIs" dxfId="8272" priority="1622" operator="equal">
      <formula>2.4</formula>
    </cfRule>
    <cfRule type="cellIs" dxfId="8271" priority="1623" operator="equal">
      <formula>2.3</formula>
    </cfRule>
    <cfRule type="cellIs" dxfId="8270" priority="1624" operator="equal">
      <formula>2.2</formula>
    </cfRule>
    <cfRule type="cellIs" dxfId="8269" priority="1625" operator="equal">
      <formula>2.1</formula>
    </cfRule>
    <cfRule type="cellIs" dxfId="8268" priority="1626" operator="equal">
      <formula>1.5</formula>
    </cfRule>
    <cfRule type="cellIs" dxfId="8267" priority="1627" operator="equal">
      <formula>1.4</formula>
    </cfRule>
    <cfRule type="cellIs" dxfId="8266" priority="1628" operator="equal">
      <formula>1.3</formula>
    </cfRule>
    <cfRule type="cellIs" dxfId="8265" priority="1629" operator="equal">
      <formula>1.2</formula>
    </cfRule>
    <cfRule type="containsText" dxfId="8264" priority="1630" operator="containsText" text="1.1">
      <formula>NOT(ISERROR(SEARCH("1.1",A131)))</formula>
    </cfRule>
  </conditionalFormatting>
  <conditionalFormatting sqref="H140:I141">
    <cfRule type="containsBlanks" dxfId="8263" priority="1613">
      <formula>LEN(TRIM(H140))=0</formula>
    </cfRule>
  </conditionalFormatting>
  <conditionalFormatting sqref="B134:G136">
    <cfRule type="cellIs" dxfId="8262" priority="1596" operator="equal">
      <formula>4.4</formula>
    </cfRule>
    <cfRule type="cellIs" dxfId="8261" priority="1597" operator="equal">
      <formula>4.3</formula>
    </cfRule>
    <cfRule type="cellIs" dxfId="8260" priority="1598" operator="equal">
      <formula>4.2</formula>
    </cfRule>
    <cfRule type="cellIs" dxfId="8259" priority="1599" operator="equal">
      <formula>4.1</formula>
    </cfRule>
    <cfRule type="cellIs" dxfId="8258" priority="1600" operator="equal">
      <formula>3.4</formula>
    </cfRule>
    <cfRule type="cellIs" dxfId="8257" priority="1601" operator="equal">
      <formula>3.3</formula>
    </cfRule>
    <cfRule type="cellIs" dxfId="8256" priority="1602" operator="equal">
      <formula>3.2</formula>
    </cfRule>
    <cfRule type="cellIs" dxfId="8255" priority="1603" operator="equal">
      <formula>3.1</formula>
    </cfRule>
    <cfRule type="cellIs" dxfId="8254" priority="1604" operator="equal">
      <formula>2.4</formula>
    </cfRule>
    <cfRule type="cellIs" dxfId="8253" priority="1605" operator="equal">
      <formula>2.3</formula>
    </cfRule>
    <cfRule type="cellIs" dxfId="8252" priority="1606" operator="equal">
      <formula>2.2</formula>
    </cfRule>
    <cfRule type="cellIs" dxfId="8251" priority="1607" operator="equal">
      <formula>2.1</formula>
    </cfRule>
    <cfRule type="cellIs" dxfId="8250" priority="1608" operator="equal">
      <formula>1.5</formula>
    </cfRule>
    <cfRule type="cellIs" dxfId="8249" priority="1609" operator="equal">
      <formula>1.4</formula>
    </cfRule>
    <cfRule type="cellIs" dxfId="8248" priority="1610" operator="equal">
      <formula>1.3</formula>
    </cfRule>
    <cfRule type="cellIs" dxfId="8247" priority="1611" operator="equal">
      <formula>1.2</formula>
    </cfRule>
    <cfRule type="containsText" dxfId="8246" priority="1612" operator="containsText" text="1.1">
      <formula>NOT(ISERROR(SEARCH("1.1",B134)))</formula>
    </cfRule>
  </conditionalFormatting>
  <conditionalFormatting sqref="A120:G122">
    <cfRule type="cellIs" dxfId="8245" priority="1578" operator="equal">
      <formula>4.4</formula>
    </cfRule>
    <cfRule type="cellIs" dxfId="8244" priority="1579" operator="equal">
      <formula>4.3</formula>
    </cfRule>
    <cfRule type="cellIs" dxfId="8243" priority="1580" operator="equal">
      <formula>4.2</formula>
    </cfRule>
    <cfRule type="cellIs" dxfId="8242" priority="1581" operator="equal">
      <formula>4.1</formula>
    </cfRule>
    <cfRule type="cellIs" dxfId="8241" priority="1582" operator="equal">
      <formula>3.4</formula>
    </cfRule>
    <cfRule type="cellIs" dxfId="8240" priority="1583" operator="equal">
      <formula>3.3</formula>
    </cfRule>
    <cfRule type="cellIs" dxfId="8239" priority="1584" operator="equal">
      <formula>3.2</formula>
    </cfRule>
    <cfRule type="cellIs" dxfId="8238" priority="1585" operator="equal">
      <formula>3.1</formula>
    </cfRule>
    <cfRule type="cellIs" dxfId="8237" priority="1586" operator="equal">
      <formula>2.4</formula>
    </cfRule>
    <cfRule type="cellIs" dxfId="8236" priority="1587" operator="equal">
      <formula>2.3</formula>
    </cfRule>
    <cfRule type="cellIs" dxfId="8235" priority="1588" operator="equal">
      <formula>2.2</formula>
    </cfRule>
    <cfRule type="cellIs" dxfId="8234" priority="1589" operator="equal">
      <formula>2.1</formula>
    </cfRule>
    <cfRule type="cellIs" dxfId="8233" priority="1590" operator="equal">
      <formula>1.5</formula>
    </cfRule>
    <cfRule type="cellIs" dxfId="8232" priority="1591" operator="equal">
      <formula>1.4</formula>
    </cfRule>
    <cfRule type="cellIs" dxfId="8231" priority="1592" operator="equal">
      <formula>1.3</formula>
    </cfRule>
    <cfRule type="cellIs" dxfId="8230" priority="1593" operator="equal">
      <formula>1.2</formula>
    </cfRule>
    <cfRule type="containsText" dxfId="8229" priority="1594" operator="containsText" text="1.1">
      <formula>NOT(ISERROR(SEARCH("1.1",A120)))</formula>
    </cfRule>
  </conditionalFormatting>
  <conditionalFormatting sqref="B123:G125">
    <cfRule type="cellIs" dxfId="8228" priority="1544" operator="equal">
      <formula>4.4</formula>
    </cfRule>
    <cfRule type="cellIs" dxfId="8227" priority="1545" operator="equal">
      <formula>4.3</formula>
    </cfRule>
    <cfRule type="cellIs" dxfId="8226" priority="1546" operator="equal">
      <formula>4.2</formula>
    </cfRule>
    <cfRule type="cellIs" dxfId="8225" priority="1547" operator="equal">
      <formula>4.1</formula>
    </cfRule>
    <cfRule type="cellIs" dxfId="8224" priority="1548" operator="equal">
      <formula>3.4</formula>
    </cfRule>
    <cfRule type="cellIs" dxfId="8223" priority="1549" operator="equal">
      <formula>3.3</formula>
    </cfRule>
    <cfRule type="cellIs" dxfId="8222" priority="1550" operator="equal">
      <formula>3.2</formula>
    </cfRule>
    <cfRule type="cellIs" dxfId="8221" priority="1551" operator="equal">
      <formula>3.1</formula>
    </cfRule>
    <cfRule type="cellIs" dxfId="8220" priority="1552" operator="equal">
      <formula>2.4</formula>
    </cfRule>
    <cfRule type="cellIs" dxfId="8219" priority="1553" operator="equal">
      <formula>2.3</formula>
    </cfRule>
    <cfRule type="cellIs" dxfId="8218" priority="1554" operator="equal">
      <formula>2.2</formula>
    </cfRule>
    <cfRule type="cellIs" dxfId="8217" priority="1555" operator="equal">
      <formula>2.1</formula>
    </cfRule>
    <cfRule type="cellIs" dxfId="8216" priority="1556" operator="equal">
      <formula>1.5</formula>
    </cfRule>
    <cfRule type="cellIs" dxfId="8215" priority="1557" operator="equal">
      <formula>1.4</formula>
    </cfRule>
    <cfRule type="cellIs" dxfId="8214" priority="1558" operator="equal">
      <formula>1.3</formula>
    </cfRule>
    <cfRule type="cellIs" dxfId="8213" priority="1559" operator="equal">
      <formula>1.2</formula>
    </cfRule>
    <cfRule type="containsText" dxfId="8212" priority="1560" operator="containsText" text="1.1">
      <formula>NOT(ISERROR(SEARCH("1.1",B123)))</formula>
    </cfRule>
  </conditionalFormatting>
  <conditionalFormatting sqref="A123:A125">
    <cfRule type="cellIs" dxfId="8211" priority="1561" operator="equal">
      <formula>4.4</formula>
    </cfRule>
    <cfRule type="cellIs" dxfId="8210" priority="1562" operator="equal">
      <formula>4.3</formula>
    </cfRule>
    <cfRule type="cellIs" dxfId="8209" priority="1563" operator="equal">
      <formula>4.2</formula>
    </cfRule>
    <cfRule type="cellIs" dxfId="8208" priority="1564" operator="equal">
      <formula>4.1</formula>
    </cfRule>
    <cfRule type="cellIs" dxfId="8207" priority="1565" operator="equal">
      <formula>3.4</formula>
    </cfRule>
    <cfRule type="cellIs" dxfId="8206" priority="1566" operator="equal">
      <formula>3.3</formula>
    </cfRule>
    <cfRule type="cellIs" dxfId="8205" priority="1567" operator="equal">
      <formula>3.2</formula>
    </cfRule>
    <cfRule type="cellIs" dxfId="8204" priority="1568" operator="equal">
      <formula>3.1</formula>
    </cfRule>
    <cfRule type="cellIs" dxfId="8203" priority="1569" operator="equal">
      <formula>2.4</formula>
    </cfRule>
    <cfRule type="cellIs" dxfId="8202" priority="1570" operator="equal">
      <formula>2.3</formula>
    </cfRule>
    <cfRule type="cellIs" dxfId="8201" priority="1571" operator="equal">
      <formula>2.2</formula>
    </cfRule>
    <cfRule type="cellIs" dxfId="8200" priority="1572" operator="equal">
      <formula>2.1</formula>
    </cfRule>
    <cfRule type="cellIs" dxfId="8199" priority="1573" operator="equal">
      <formula>1.5</formula>
    </cfRule>
    <cfRule type="cellIs" dxfId="8198" priority="1574" operator="equal">
      <formula>1.4</formula>
    </cfRule>
    <cfRule type="cellIs" dxfId="8197" priority="1575" operator="equal">
      <formula>1.3</formula>
    </cfRule>
    <cfRule type="cellIs" dxfId="8196" priority="1576" operator="equal">
      <formula>1.2</formula>
    </cfRule>
    <cfRule type="containsText" dxfId="8195" priority="1577" operator="containsText" text="1.1">
      <formula>NOT(ISERROR(SEARCH("1.1",A123)))</formula>
    </cfRule>
  </conditionalFormatting>
  <conditionalFormatting sqref="B137:G139">
    <cfRule type="cellIs" dxfId="8194" priority="1510" operator="equal">
      <formula>4.4</formula>
    </cfRule>
    <cfRule type="cellIs" dxfId="8193" priority="1511" operator="equal">
      <formula>4.3</formula>
    </cfRule>
    <cfRule type="cellIs" dxfId="8192" priority="1512" operator="equal">
      <formula>4.2</formula>
    </cfRule>
    <cfRule type="cellIs" dxfId="8191" priority="1513" operator="equal">
      <formula>4.1</formula>
    </cfRule>
    <cfRule type="cellIs" dxfId="8190" priority="1514" operator="equal">
      <formula>3.4</formula>
    </cfRule>
    <cfRule type="cellIs" dxfId="8189" priority="1515" operator="equal">
      <formula>3.3</formula>
    </cfRule>
    <cfRule type="cellIs" dxfId="8188" priority="1516" operator="equal">
      <formula>3.2</formula>
    </cfRule>
    <cfRule type="cellIs" dxfId="8187" priority="1517" operator="equal">
      <formula>3.1</formula>
    </cfRule>
    <cfRule type="cellIs" dxfId="8186" priority="1518" operator="equal">
      <formula>2.4</formula>
    </cfRule>
    <cfRule type="cellIs" dxfId="8185" priority="1519" operator="equal">
      <formula>2.3</formula>
    </cfRule>
    <cfRule type="cellIs" dxfId="8184" priority="1520" operator="equal">
      <formula>2.2</formula>
    </cfRule>
    <cfRule type="cellIs" dxfId="8183" priority="1521" operator="equal">
      <formula>2.1</formula>
    </cfRule>
    <cfRule type="cellIs" dxfId="8182" priority="1522" operator="equal">
      <formula>1.5</formula>
    </cfRule>
    <cfRule type="cellIs" dxfId="8181" priority="1523" operator="equal">
      <formula>1.4</formula>
    </cfRule>
    <cfRule type="cellIs" dxfId="8180" priority="1524" operator="equal">
      <formula>1.3</formula>
    </cfRule>
    <cfRule type="cellIs" dxfId="8179" priority="1525" operator="equal">
      <formula>1.2</formula>
    </cfRule>
    <cfRule type="containsText" dxfId="8178" priority="1526" operator="containsText" text="1.1">
      <formula>NOT(ISERROR(SEARCH("1.1",B137)))</formula>
    </cfRule>
  </conditionalFormatting>
  <conditionalFormatting sqref="A137:A139">
    <cfRule type="cellIs" dxfId="8177" priority="1527" operator="equal">
      <formula>4.4</formula>
    </cfRule>
    <cfRule type="cellIs" dxfId="8176" priority="1528" operator="equal">
      <formula>4.3</formula>
    </cfRule>
    <cfRule type="cellIs" dxfId="8175" priority="1529" operator="equal">
      <formula>4.2</formula>
    </cfRule>
    <cfRule type="cellIs" dxfId="8174" priority="1530" operator="equal">
      <formula>4.1</formula>
    </cfRule>
    <cfRule type="cellIs" dxfId="8173" priority="1531" operator="equal">
      <formula>3.4</formula>
    </cfRule>
    <cfRule type="cellIs" dxfId="8172" priority="1532" operator="equal">
      <formula>3.3</formula>
    </cfRule>
    <cfRule type="cellIs" dxfId="8171" priority="1533" operator="equal">
      <formula>3.2</formula>
    </cfRule>
    <cfRule type="cellIs" dxfId="8170" priority="1534" operator="equal">
      <formula>3.1</formula>
    </cfRule>
    <cfRule type="cellIs" dxfId="8169" priority="1535" operator="equal">
      <formula>2.4</formula>
    </cfRule>
    <cfRule type="cellIs" dxfId="8168" priority="1536" operator="equal">
      <formula>2.3</formula>
    </cfRule>
    <cfRule type="cellIs" dxfId="8167" priority="1537" operator="equal">
      <formula>2.2</formula>
    </cfRule>
    <cfRule type="cellIs" dxfId="8166" priority="1538" operator="equal">
      <formula>2.1</formula>
    </cfRule>
    <cfRule type="cellIs" dxfId="8165" priority="1539" operator="equal">
      <formula>1.5</formula>
    </cfRule>
    <cfRule type="cellIs" dxfId="8164" priority="1540" operator="equal">
      <formula>1.4</formula>
    </cfRule>
    <cfRule type="cellIs" dxfId="8163" priority="1541" operator="equal">
      <formula>1.3</formula>
    </cfRule>
    <cfRule type="cellIs" dxfId="8162" priority="1542" operator="equal">
      <formula>1.2</formula>
    </cfRule>
    <cfRule type="containsText" dxfId="8161" priority="1543" operator="containsText" text="1.1">
      <formula>NOT(ISERROR(SEARCH("1.1",A137)))</formula>
    </cfRule>
  </conditionalFormatting>
  <conditionalFormatting sqref="H96:L98 J99:L125">
    <cfRule type="cellIs" dxfId="8160" priority="1457" operator="equal">
      <formula>4.4</formula>
    </cfRule>
    <cfRule type="cellIs" dxfId="8159" priority="1458" operator="equal">
      <formula>4.3</formula>
    </cfRule>
    <cfRule type="cellIs" dxfId="8158" priority="1459" operator="equal">
      <formula>4.2</formula>
    </cfRule>
    <cfRule type="cellIs" dxfId="8157" priority="1460" operator="equal">
      <formula>4.1</formula>
    </cfRule>
    <cfRule type="cellIs" dxfId="8156" priority="1461" operator="equal">
      <formula>3.4</formula>
    </cfRule>
    <cfRule type="cellIs" dxfId="8155" priority="1462" operator="equal">
      <formula>3.3</formula>
    </cfRule>
    <cfRule type="cellIs" dxfId="8154" priority="1463" operator="equal">
      <formula>3.2</formula>
    </cfRule>
    <cfRule type="cellIs" dxfId="8153" priority="1464" operator="equal">
      <formula>3.1</formula>
    </cfRule>
    <cfRule type="cellIs" dxfId="8152" priority="1465" operator="equal">
      <formula>2.4</formula>
    </cfRule>
    <cfRule type="cellIs" dxfId="8151" priority="1466" operator="equal">
      <formula>2.3</formula>
    </cfRule>
    <cfRule type="cellIs" dxfId="8150" priority="1467" operator="equal">
      <formula>2.2</formula>
    </cfRule>
    <cfRule type="cellIs" dxfId="8149" priority="1468" operator="equal">
      <formula>2.1</formula>
    </cfRule>
    <cfRule type="cellIs" dxfId="8148" priority="1469" operator="equal">
      <formula>1.5</formula>
    </cfRule>
    <cfRule type="cellIs" dxfId="8147" priority="1470" operator="equal">
      <formula>1.4</formula>
    </cfRule>
    <cfRule type="cellIs" dxfId="8146" priority="1471" operator="equal">
      <formula>1.3</formula>
    </cfRule>
    <cfRule type="cellIs" dxfId="8145" priority="1472" operator="equal">
      <formula>1.2</formula>
    </cfRule>
    <cfRule type="containsText" dxfId="8144" priority="1473" operator="containsText" text="1.1">
      <formula>NOT(ISERROR(SEARCH("1.1",H96)))</formula>
    </cfRule>
  </conditionalFormatting>
  <conditionalFormatting sqref="A96:G98">
    <cfRule type="cellIs" dxfId="8143" priority="1440" operator="equal">
      <formula>4.4</formula>
    </cfRule>
    <cfRule type="cellIs" dxfId="8142" priority="1441" operator="equal">
      <formula>4.3</formula>
    </cfRule>
    <cfRule type="cellIs" dxfId="8141" priority="1442" operator="equal">
      <formula>4.2</formula>
    </cfRule>
    <cfRule type="cellIs" dxfId="8140" priority="1443" operator="equal">
      <formula>4.1</formula>
    </cfRule>
    <cfRule type="cellIs" dxfId="8139" priority="1444" operator="equal">
      <formula>3.4</formula>
    </cfRule>
    <cfRule type="cellIs" dxfId="8138" priority="1445" operator="equal">
      <formula>3.3</formula>
    </cfRule>
    <cfRule type="cellIs" dxfId="8137" priority="1446" operator="equal">
      <formula>3.2</formula>
    </cfRule>
    <cfRule type="cellIs" dxfId="8136" priority="1447" operator="equal">
      <formula>3.1</formula>
    </cfRule>
    <cfRule type="cellIs" dxfId="8135" priority="1448" operator="equal">
      <formula>2.4</formula>
    </cfRule>
    <cfRule type="cellIs" dxfId="8134" priority="1449" operator="equal">
      <formula>2.3</formula>
    </cfRule>
    <cfRule type="cellIs" dxfId="8133" priority="1450" operator="equal">
      <formula>2.2</formula>
    </cfRule>
    <cfRule type="cellIs" dxfId="8132" priority="1451" operator="equal">
      <formula>2.1</formula>
    </cfRule>
    <cfRule type="cellIs" dxfId="8131" priority="1452" operator="equal">
      <formula>1.5</formula>
    </cfRule>
    <cfRule type="cellIs" dxfId="8130" priority="1453" operator="equal">
      <formula>1.4</formula>
    </cfRule>
    <cfRule type="cellIs" dxfId="8129" priority="1454" operator="equal">
      <formula>1.3</formula>
    </cfRule>
    <cfRule type="cellIs" dxfId="8128" priority="1455" operator="equal">
      <formula>1.2</formula>
    </cfRule>
    <cfRule type="containsText" dxfId="8127" priority="1456" operator="containsText" text="1.1">
      <formula>NOT(ISERROR(SEARCH("1.1",A96)))</formula>
    </cfRule>
  </conditionalFormatting>
  <conditionalFormatting sqref="M96:M125">
    <cfRule type="cellIs" dxfId="8126" priority="1423" operator="equal">
      <formula>4.4</formula>
    </cfRule>
    <cfRule type="cellIs" dxfId="8125" priority="1424" operator="equal">
      <formula>4.3</formula>
    </cfRule>
    <cfRule type="cellIs" dxfId="8124" priority="1425" operator="equal">
      <formula>4.2</formula>
    </cfRule>
    <cfRule type="cellIs" dxfId="8123" priority="1426" operator="equal">
      <formula>4.1</formula>
    </cfRule>
    <cfRule type="cellIs" dxfId="8122" priority="1427" operator="equal">
      <formula>3.4</formula>
    </cfRule>
    <cfRule type="cellIs" dxfId="8121" priority="1428" operator="equal">
      <formula>3.3</formula>
    </cfRule>
    <cfRule type="cellIs" dxfId="8120" priority="1429" operator="equal">
      <formula>3.2</formula>
    </cfRule>
    <cfRule type="cellIs" dxfId="8119" priority="1430" operator="equal">
      <formula>3.1</formula>
    </cfRule>
    <cfRule type="cellIs" dxfId="8118" priority="1431" operator="equal">
      <formula>2.4</formula>
    </cfRule>
    <cfRule type="cellIs" dxfId="8117" priority="1432" operator="equal">
      <formula>2.3</formula>
    </cfRule>
    <cfRule type="cellIs" dxfId="8116" priority="1433" operator="equal">
      <formula>2.2</formula>
    </cfRule>
    <cfRule type="cellIs" dxfId="8115" priority="1434" operator="equal">
      <formula>2.1</formula>
    </cfRule>
    <cfRule type="cellIs" dxfId="8114" priority="1435" operator="equal">
      <formula>1.5</formula>
    </cfRule>
    <cfRule type="cellIs" dxfId="8113" priority="1436" operator="equal">
      <formula>1.4</formula>
    </cfRule>
    <cfRule type="cellIs" dxfId="8112" priority="1437" operator="equal">
      <formula>1.3</formula>
    </cfRule>
    <cfRule type="cellIs" dxfId="8111" priority="1438" operator="equal">
      <formula>1.2</formula>
    </cfRule>
    <cfRule type="containsText" dxfId="8110" priority="1439" operator="containsText" text="1.1">
      <formula>NOT(ISERROR(SEARCH("1.1",M96)))</formula>
    </cfRule>
  </conditionalFormatting>
  <conditionalFormatting sqref="A231:A233 A237 A229:M230 F237:G238">
    <cfRule type="cellIs" dxfId="8109" priority="607" operator="equal">
      <formula>4.4</formula>
    </cfRule>
    <cfRule type="cellIs" dxfId="8108" priority="608" operator="equal">
      <formula>4.3</formula>
    </cfRule>
    <cfRule type="cellIs" dxfId="8107" priority="609" operator="equal">
      <formula>4.2</formula>
    </cfRule>
    <cfRule type="cellIs" dxfId="8106" priority="610" operator="equal">
      <formula>4.1</formula>
    </cfRule>
    <cfRule type="cellIs" dxfId="8105" priority="611" operator="equal">
      <formula>3.4</formula>
    </cfRule>
    <cfRule type="cellIs" dxfId="8104" priority="612" operator="equal">
      <formula>3.3</formula>
    </cfRule>
    <cfRule type="cellIs" dxfId="8103" priority="613" operator="equal">
      <formula>3.2</formula>
    </cfRule>
    <cfRule type="cellIs" dxfId="8102" priority="614" operator="equal">
      <formula>3.1</formula>
    </cfRule>
    <cfRule type="cellIs" dxfId="8101" priority="615" operator="equal">
      <formula>2.4</formula>
    </cfRule>
    <cfRule type="cellIs" dxfId="8100" priority="616" operator="equal">
      <formula>2.3</formula>
    </cfRule>
    <cfRule type="cellIs" dxfId="8099" priority="617" operator="equal">
      <formula>2.2</formula>
    </cfRule>
    <cfRule type="cellIs" dxfId="8098" priority="618" operator="equal">
      <formula>2.1</formula>
    </cfRule>
    <cfRule type="cellIs" dxfId="8097" priority="619" operator="equal">
      <formula>1.5</formula>
    </cfRule>
    <cfRule type="cellIs" dxfId="8096" priority="620" operator="equal">
      <formula>1.4</formula>
    </cfRule>
    <cfRule type="cellIs" dxfId="8095" priority="621" operator="equal">
      <formula>1.3</formula>
    </cfRule>
    <cfRule type="cellIs" dxfId="8094" priority="622" operator="equal">
      <formula>1.2</formula>
    </cfRule>
    <cfRule type="containsText" dxfId="8093" priority="623" operator="containsText" text="1.1">
      <formula>NOT(ISERROR(SEARCH("1.1",A229)))</formula>
    </cfRule>
  </conditionalFormatting>
  <conditionalFormatting sqref="B231:G233">
    <cfRule type="cellIs" dxfId="8092" priority="590" operator="equal">
      <formula>4.4</formula>
    </cfRule>
    <cfRule type="cellIs" dxfId="8091" priority="591" operator="equal">
      <formula>4.3</formula>
    </cfRule>
    <cfRule type="cellIs" dxfId="8090" priority="592" operator="equal">
      <formula>4.2</formula>
    </cfRule>
    <cfRule type="cellIs" dxfId="8089" priority="593" operator="equal">
      <formula>4.1</formula>
    </cfRule>
    <cfRule type="cellIs" dxfId="8088" priority="594" operator="equal">
      <formula>3.4</formula>
    </cfRule>
    <cfRule type="cellIs" dxfId="8087" priority="595" operator="equal">
      <formula>3.3</formula>
    </cfRule>
    <cfRule type="cellIs" dxfId="8086" priority="596" operator="equal">
      <formula>3.2</formula>
    </cfRule>
    <cfRule type="cellIs" dxfId="8085" priority="597" operator="equal">
      <formula>3.1</formula>
    </cfRule>
    <cfRule type="cellIs" dxfId="8084" priority="598" operator="equal">
      <formula>2.4</formula>
    </cfRule>
    <cfRule type="cellIs" dxfId="8083" priority="599" operator="equal">
      <formula>2.3</formula>
    </cfRule>
    <cfRule type="cellIs" dxfId="8082" priority="600" operator="equal">
      <formula>2.2</formula>
    </cfRule>
    <cfRule type="cellIs" dxfId="8081" priority="601" operator="equal">
      <formula>2.1</formula>
    </cfRule>
    <cfRule type="cellIs" dxfId="8080" priority="602" operator="equal">
      <formula>1.5</formula>
    </cfRule>
    <cfRule type="cellIs" dxfId="8079" priority="603" operator="equal">
      <formula>1.4</formula>
    </cfRule>
    <cfRule type="cellIs" dxfId="8078" priority="604" operator="equal">
      <formula>1.3</formula>
    </cfRule>
    <cfRule type="cellIs" dxfId="8077" priority="605" operator="equal">
      <formula>1.2</formula>
    </cfRule>
    <cfRule type="containsText" dxfId="8076" priority="606" operator="containsText" text="1.1">
      <formula>NOT(ISERROR(SEARCH("1.1",B231)))</formula>
    </cfRule>
  </conditionalFormatting>
  <conditionalFormatting sqref="A194:G196">
    <cfRule type="cellIs" dxfId="8075" priority="573" operator="equal">
      <formula>4.4</formula>
    </cfRule>
    <cfRule type="cellIs" dxfId="8074" priority="574" operator="equal">
      <formula>4.3</formula>
    </cfRule>
    <cfRule type="cellIs" dxfId="8073" priority="575" operator="equal">
      <formula>4.2</formula>
    </cfRule>
    <cfRule type="cellIs" dxfId="8072" priority="576" operator="equal">
      <formula>4.1</formula>
    </cfRule>
    <cfRule type="cellIs" dxfId="8071" priority="577" operator="equal">
      <formula>3.4</formula>
    </cfRule>
    <cfRule type="cellIs" dxfId="8070" priority="578" operator="equal">
      <formula>3.3</formula>
    </cfRule>
    <cfRule type="cellIs" dxfId="8069" priority="579" operator="equal">
      <formula>3.2</formula>
    </cfRule>
    <cfRule type="cellIs" dxfId="8068" priority="580" operator="equal">
      <formula>3.1</formula>
    </cfRule>
    <cfRule type="cellIs" dxfId="8067" priority="581" operator="equal">
      <formula>2.4</formula>
    </cfRule>
    <cfRule type="cellIs" dxfId="8066" priority="582" operator="equal">
      <formula>2.3</formula>
    </cfRule>
    <cfRule type="cellIs" dxfId="8065" priority="583" operator="equal">
      <formula>2.2</formula>
    </cfRule>
    <cfRule type="cellIs" dxfId="8064" priority="584" operator="equal">
      <formula>2.1</formula>
    </cfRule>
    <cfRule type="cellIs" dxfId="8063" priority="585" operator="equal">
      <formula>1.5</formula>
    </cfRule>
    <cfRule type="cellIs" dxfId="8062" priority="586" operator="equal">
      <formula>1.4</formula>
    </cfRule>
    <cfRule type="cellIs" dxfId="8061" priority="587" operator="equal">
      <formula>1.3</formula>
    </cfRule>
    <cfRule type="cellIs" dxfId="8060" priority="588" operator="equal">
      <formula>1.2</formula>
    </cfRule>
    <cfRule type="containsText" dxfId="8059" priority="589" operator="containsText" text="1.1">
      <formula>NOT(ISERROR(SEARCH("1.1",A194)))</formula>
    </cfRule>
  </conditionalFormatting>
  <conditionalFormatting sqref="A218:G220">
    <cfRule type="cellIs" dxfId="8058" priority="556" operator="equal">
      <formula>4.4</formula>
    </cfRule>
    <cfRule type="cellIs" dxfId="8057" priority="557" operator="equal">
      <formula>4.3</formula>
    </cfRule>
    <cfRule type="cellIs" dxfId="8056" priority="558" operator="equal">
      <formula>4.2</formula>
    </cfRule>
    <cfRule type="cellIs" dxfId="8055" priority="559" operator="equal">
      <formula>4.1</formula>
    </cfRule>
    <cfRule type="cellIs" dxfId="8054" priority="560" operator="equal">
      <formula>3.4</formula>
    </cfRule>
    <cfRule type="cellIs" dxfId="8053" priority="561" operator="equal">
      <formula>3.3</formula>
    </cfRule>
    <cfRule type="cellIs" dxfId="8052" priority="562" operator="equal">
      <formula>3.2</formula>
    </cfRule>
    <cfRule type="cellIs" dxfId="8051" priority="563" operator="equal">
      <formula>3.1</formula>
    </cfRule>
    <cfRule type="cellIs" dxfId="8050" priority="564" operator="equal">
      <formula>2.4</formula>
    </cfRule>
    <cfRule type="cellIs" dxfId="8049" priority="565" operator="equal">
      <formula>2.3</formula>
    </cfRule>
    <cfRule type="cellIs" dxfId="8048" priority="566" operator="equal">
      <formula>2.2</formula>
    </cfRule>
    <cfRule type="cellIs" dxfId="8047" priority="567" operator="equal">
      <formula>2.1</formula>
    </cfRule>
    <cfRule type="cellIs" dxfId="8046" priority="568" operator="equal">
      <formula>1.5</formula>
    </cfRule>
    <cfRule type="cellIs" dxfId="8045" priority="569" operator="equal">
      <formula>1.4</formula>
    </cfRule>
    <cfRule type="cellIs" dxfId="8044" priority="570" operator="equal">
      <formula>1.3</formula>
    </cfRule>
    <cfRule type="cellIs" dxfId="8043" priority="571" operator="equal">
      <formula>1.2</formula>
    </cfRule>
    <cfRule type="containsText" dxfId="8042" priority="572" operator="containsText" text="1.1">
      <formula>NOT(ISERROR(SEARCH("1.1",A218)))</formula>
    </cfRule>
  </conditionalFormatting>
  <conditionalFormatting sqref="A221:A223">
    <cfRule type="cellIs" dxfId="8041" priority="539" operator="equal">
      <formula>4.4</formula>
    </cfRule>
    <cfRule type="cellIs" dxfId="8040" priority="540" operator="equal">
      <formula>4.3</formula>
    </cfRule>
    <cfRule type="cellIs" dxfId="8039" priority="541" operator="equal">
      <formula>4.2</formula>
    </cfRule>
    <cfRule type="cellIs" dxfId="8038" priority="542" operator="equal">
      <formula>4.1</formula>
    </cfRule>
    <cfRule type="cellIs" dxfId="8037" priority="543" operator="equal">
      <formula>3.4</formula>
    </cfRule>
    <cfRule type="cellIs" dxfId="8036" priority="544" operator="equal">
      <formula>3.3</formula>
    </cfRule>
    <cfRule type="cellIs" dxfId="8035" priority="545" operator="equal">
      <formula>3.2</formula>
    </cfRule>
    <cfRule type="cellIs" dxfId="8034" priority="546" operator="equal">
      <formula>3.1</formula>
    </cfRule>
    <cfRule type="cellIs" dxfId="8033" priority="547" operator="equal">
      <formula>2.4</formula>
    </cfRule>
    <cfRule type="cellIs" dxfId="8032" priority="548" operator="equal">
      <formula>2.3</formula>
    </cfRule>
    <cfRule type="cellIs" dxfId="8031" priority="549" operator="equal">
      <formula>2.2</formula>
    </cfRule>
    <cfRule type="cellIs" dxfId="8030" priority="550" operator="equal">
      <formula>2.1</formula>
    </cfRule>
    <cfRule type="cellIs" dxfId="8029" priority="551" operator="equal">
      <formula>1.5</formula>
    </cfRule>
    <cfRule type="cellIs" dxfId="8028" priority="552" operator="equal">
      <formula>1.4</formula>
    </cfRule>
    <cfRule type="cellIs" dxfId="8027" priority="553" operator="equal">
      <formula>1.3</formula>
    </cfRule>
    <cfRule type="cellIs" dxfId="8026" priority="554" operator="equal">
      <formula>1.2</formula>
    </cfRule>
    <cfRule type="containsText" dxfId="8025" priority="555" operator="containsText" text="1.1">
      <formula>NOT(ISERROR(SEARCH("1.1",A221)))</formula>
    </cfRule>
  </conditionalFormatting>
  <conditionalFormatting sqref="B221:G223">
    <cfRule type="cellIs" dxfId="8024" priority="522" operator="equal">
      <formula>4.4</formula>
    </cfRule>
    <cfRule type="cellIs" dxfId="8023" priority="523" operator="equal">
      <formula>4.3</formula>
    </cfRule>
    <cfRule type="cellIs" dxfId="8022" priority="524" operator="equal">
      <formula>4.2</formula>
    </cfRule>
    <cfRule type="cellIs" dxfId="8021" priority="525" operator="equal">
      <formula>4.1</formula>
    </cfRule>
    <cfRule type="cellIs" dxfId="8020" priority="526" operator="equal">
      <formula>3.4</formula>
    </cfRule>
    <cfRule type="cellIs" dxfId="8019" priority="527" operator="equal">
      <formula>3.3</formula>
    </cfRule>
    <cfRule type="cellIs" dxfId="8018" priority="528" operator="equal">
      <formula>3.2</formula>
    </cfRule>
    <cfRule type="cellIs" dxfId="8017" priority="529" operator="equal">
      <formula>3.1</formula>
    </cfRule>
    <cfRule type="cellIs" dxfId="8016" priority="530" operator="equal">
      <formula>2.4</formula>
    </cfRule>
    <cfRule type="cellIs" dxfId="8015" priority="531" operator="equal">
      <formula>2.3</formula>
    </cfRule>
    <cfRule type="cellIs" dxfId="8014" priority="532" operator="equal">
      <formula>2.2</formula>
    </cfRule>
    <cfRule type="cellIs" dxfId="8013" priority="533" operator="equal">
      <formula>2.1</formula>
    </cfRule>
    <cfRule type="cellIs" dxfId="8012" priority="534" operator="equal">
      <formula>1.5</formula>
    </cfRule>
    <cfRule type="cellIs" dxfId="8011" priority="535" operator="equal">
      <formula>1.4</formula>
    </cfRule>
    <cfRule type="cellIs" dxfId="8010" priority="536" operator="equal">
      <formula>1.3</formula>
    </cfRule>
    <cfRule type="cellIs" dxfId="8009" priority="537" operator="equal">
      <formula>1.2</formula>
    </cfRule>
    <cfRule type="containsText" dxfId="8008" priority="538" operator="containsText" text="1.1">
      <formula>NOT(ISERROR(SEARCH("1.1",B221)))</formula>
    </cfRule>
  </conditionalFormatting>
  <conditionalFormatting sqref="B234:G236">
    <cfRule type="cellIs" dxfId="8007" priority="488" operator="equal">
      <formula>4.4</formula>
    </cfRule>
    <cfRule type="cellIs" dxfId="8006" priority="489" operator="equal">
      <formula>4.3</formula>
    </cfRule>
    <cfRule type="cellIs" dxfId="8005" priority="490" operator="equal">
      <formula>4.2</formula>
    </cfRule>
    <cfRule type="cellIs" dxfId="8004" priority="491" operator="equal">
      <formula>4.1</formula>
    </cfRule>
    <cfRule type="cellIs" dxfId="8003" priority="492" operator="equal">
      <formula>3.4</formula>
    </cfRule>
    <cfRule type="cellIs" dxfId="8002" priority="493" operator="equal">
      <formula>3.3</formula>
    </cfRule>
    <cfRule type="cellIs" dxfId="8001" priority="494" operator="equal">
      <formula>3.2</formula>
    </cfRule>
    <cfRule type="cellIs" dxfId="8000" priority="495" operator="equal">
      <formula>3.1</formula>
    </cfRule>
    <cfRule type="cellIs" dxfId="7999" priority="496" operator="equal">
      <formula>2.4</formula>
    </cfRule>
    <cfRule type="cellIs" dxfId="7998" priority="497" operator="equal">
      <formula>2.3</formula>
    </cfRule>
    <cfRule type="cellIs" dxfId="7997" priority="498" operator="equal">
      <formula>2.2</formula>
    </cfRule>
    <cfRule type="cellIs" dxfId="7996" priority="499" operator="equal">
      <formula>2.1</formula>
    </cfRule>
    <cfRule type="cellIs" dxfId="7995" priority="500" operator="equal">
      <formula>1.5</formula>
    </cfRule>
    <cfRule type="cellIs" dxfId="7994" priority="501" operator="equal">
      <formula>1.4</formula>
    </cfRule>
    <cfRule type="cellIs" dxfId="7993" priority="502" operator="equal">
      <formula>1.3</formula>
    </cfRule>
    <cfRule type="cellIs" dxfId="7992" priority="503" operator="equal">
      <formula>1.2</formula>
    </cfRule>
    <cfRule type="containsText" dxfId="7991" priority="504" operator="containsText" text="1.1">
      <formula>NOT(ISERROR(SEARCH("1.1",B234)))</formula>
    </cfRule>
  </conditionalFormatting>
  <conditionalFormatting sqref="A234:A236">
    <cfRule type="cellIs" dxfId="7990" priority="505" operator="equal">
      <formula>4.4</formula>
    </cfRule>
    <cfRule type="cellIs" dxfId="7989" priority="506" operator="equal">
      <formula>4.3</formula>
    </cfRule>
    <cfRule type="cellIs" dxfId="7988" priority="507" operator="equal">
      <formula>4.2</formula>
    </cfRule>
    <cfRule type="cellIs" dxfId="7987" priority="508" operator="equal">
      <formula>4.1</formula>
    </cfRule>
    <cfRule type="cellIs" dxfId="7986" priority="509" operator="equal">
      <formula>3.4</formula>
    </cfRule>
    <cfRule type="cellIs" dxfId="7985" priority="510" operator="equal">
      <formula>3.3</formula>
    </cfRule>
    <cfRule type="cellIs" dxfId="7984" priority="511" operator="equal">
      <formula>3.2</formula>
    </cfRule>
    <cfRule type="cellIs" dxfId="7983" priority="512" operator="equal">
      <formula>3.1</formula>
    </cfRule>
    <cfRule type="cellIs" dxfId="7982" priority="513" operator="equal">
      <formula>2.4</formula>
    </cfRule>
    <cfRule type="cellIs" dxfId="7981" priority="514" operator="equal">
      <formula>2.3</formula>
    </cfRule>
    <cfRule type="cellIs" dxfId="7980" priority="515" operator="equal">
      <formula>2.2</formula>
    </cfRule>
    <cfRule type="cellIs" dxfId="7979" priority="516" operator="equal">
      <formula>2.1</formula>
    </cfRule>
    <cfRule type="cellIs" dxfId="7978" priority="517" operator="equal">
      <formula>1.5</formula>
    </cfRule>
    <cfRule type="cellIs" dxfId="7977" priority="518" operator="equal">
      <formula>1.4</formula>
    </cfRule>
    <cfRule type="cellIs" dxfId="7976" priority="519" operator="equal">
      <formula>1.3</formula>
    </cfRule>
    <cfRule type="cellIs" dxfId="7975" priority="520" operator="equal">
      <formula>1.2</formula>
    </cfRule>
    <cfRule type="containsText" dxfId="7974" priority="521" operator="containsText" text="1.1">
      <formula>NOT(ISERROR(SEARCH("1.1",A234)))</formula>
    </cfRule>
  </conditionalFormatting>
  <conditionalFormatting sqref="M147:M173">
    <cfRule type="containsBlanks" dxfId="7973" priority="902">
      <formula>LEN(TRIM(M147))=0</formula>
    </cfRule>
  </conditionalFormatting>
  <conditionalFormatting sqref="M144:M173 M178">
    <cfRule type="cellIs" dxfId="7972" priority="885" operator="equal">
      <formula>4.4</formula>
    </cfRule>
    <cfRule type="cellIs" dxfId="7971" priority="886" operator="equal">
      <formula>4.3</formula>
    </cfRule>
    <cfRule type="cellIs" dxfId="7970" priority="887" operator="equal">
      <formula>4.2</formula>
    </cfRule>
    <cfRule type="cellIs" dxfId="7969" priority="888" operator="equal">
      <formula>4.1</formula>
    </cfRule>
    <cfRule type="cellIs" dxfId="7968" priority="889" operator="equal">
      <formula>3.4</formula>
    </cfRule>
    <cfRule type="cellIs" dxfId="7967" priority="890" operator="equal">
      <formula>3.3</formula>
    </cfRule>
    <cfRule type="cellIs" dxfId="7966" priority="891" operator="equal">
      <formula>3.2</formula>
    </cfRule>
    <cfRule type="cellIs" dxfId="7965" priority="892" operator="equal">
      <formula>3.1</formula>
    </cfRule>
    <cfRule type="cellIs" dxfId="7964" priority="893" operator="equal">
      <formula>2.4</formula>
    </cfRule>
    <cfRule type="cellIs" dxfId="7963" priority="894" operator="equal">
      <formula>2.3</formula>
    </cfRule>
    <cfRule type="cellIs" dxfId="7962" priority="895" operator="equal">
      <formula>2.2</formula>
    </cfRule>
    <cfRule type="cellIs" dxfId="7961" priority="896" operator="equal">
      <formula>2.1</formula>
    </cfRule>
    <cfRule type="cellIs" dxfId="7960" priority="897" operator="equal">
      <formula>1.5</formula>
    </cfRule>
    <cfRule type="cellIs" dxfId="7959" priority="898" operator="equal">
      <formula>1.4</formula>
    </cfRule>
    <cfRule type="cellIs" dxfId="7958" priority="899" operator="equal">
      <formula>1.3</formula>
    </cfRule>
    <cfRule type="cellIs" dxfId="7957" priority="900" operator="equal">
      <formula>1.2</formula>
    </cfRule>
    <cfRule type="containsText" dxfId="7956" priority="901" operator="containsText" text="1.1">
      <formula>NOT(ISERROR(SEARCH("1.1",M144)))</formula>
    </cfRule>
  </conditionalFormatting>
  <conditionalFormatting sqref="H147:L173 H174:M177">
    <cfRule type="containsBlanks" dxfId="7955" priority="884">
      <formula>LEN(TRIM(H147))=0</formula>
    </cfRule>
  </conditionalFormatting>
  <conditionalFormatting sqref="H144:L146 A147:L149 A175:E176 A150:G167 H150:L173 A174:M174 F175:M177">
    <cfRule type="cellIs" dxfId="7954" priority="867" operator="equal">
      <formula>4.4</formula>
    </cfRule>
    <cfRule type="cellIs" dxfId="7953" priority="868" operator="equal">
      <formula>4.3</formula>
    </cfRule>
    <cfRule type="cellIs" dxfId="7952" priority="869" operator="equal">
      <formula>4.2</formula>
    </cfRule>
    <cfRule type="cellIs" dxfId="7951" priority="870" operator="equal">
      <formula>4.1</formula>
    </cfRule>
    <cfRule type="cellIs" dxfId="7950" priority="871" operator="equal">
      <formula>3.4</formula>
    </cfRule>
    <cfRule type="cellIs" dxfId="7949" priority="872" operator="equal">
      <formula>3.3</formula>
    </cfRule>
    <cfRule type="cellIs" dxfId="7948" priority="873" operator="equal">
      <formula>3.2</formula>
    </cfRule>
    <cfRule type="cellIs" dxfId="7947" priority="874" operator="equal">
      <formula>3.1</formula>
    </cfRule>
    <cfRule type="cellIs" dxfId="7946" priority="875" operator="equal">
      <formula>2.4</formula>
    </cfRule>
    <cfRule type="cellIs" dxfId="7945" priority="876" operator="equal">
      <formula>2.3</formula>
    </cfRule>
    <cfRule type="cellIs" dxfId="7944" priority="877" operator="equal">
      <formula>2.2</formula>
    </cfRule>
    <cfRule type="cellIs" dxfId="7943" priority="878" operator="equal">
      <formula>2.1</formula>
    </cfRule>
    <cfRule type="cellIs" dxfId="7942" priority="879" operator="equal">
      <formula>1.5</formula>
    </cfRule>
    <cfRule type="cellIs" dxfId="7941" priority="880" operator="equal">
      <formula>1.4</formula>
    </cfRule>
    <cfRule type="cellIs" dxfId="7940" priority="881" operator="equal">
      <formula>1.3</formula>
    </cfRule>
    <cfRule type="cellIs" dxfId="7939" priority="882" operator="equal">
      <formula>1.2</formula>
    </cfRule>
    <cfRule type="containsText" dxfId="7938" priority="883" operator="containsText" text="1.1">
      <formula>NOT(ISERROR(SEARCH("1.1",A144)))</formula>
    </cfRule>
  </conditionalFormatting>
  <conditionalFormatting sqref="A181:A183 A187 A179:M180 F187:M188">
    <cfRule type="cellIs" dxfId="7937" priority="850" operator="equal">
      <formula>4.4</formula>
    </cfRule>
    <cfRule type="cellIs" dxfId="7936" priority="851" operator="equal">
      <formula>4.3</formula>
    </cfRule>
    <cfRule type="cellIs" dxfId="7935" priority="852" operator="equal">
      <formula>4.2</formula>
    </cfRule>
    <cfRule type="cellIs" dxfId="7934" priority="853" operator="equal">
      <formula>4.1</formula>
    </cfRule>
    <cfRule type="cellIs" dxfId="7933" priority="854" operator="equal">
      <formula>3.4</formula>
    </cfRule>
    <cfRule type="cellIs" dxfId="7932" priority="855" operator="equal">
      <formula>3.3</formula>
    </cfRule>
    <cfRule type="cellIs" dxfId="7931" priority="856" operator="equal">
      <formula>3.2</formula>
    </cfRule>
    <cfRule type="cellIs" dxfId="7930" priority="857" operator="equal">
      <formula>3.1</formula>
    </cfRule>
    <cfRule type="cellIs" dxfId="7929" priority="858" operator="equal">
      <formula>2.4</formula>
    </cfRule>
    <cfRule type="cellIs" dxfId="7928" priority="859" operator="equal">
      <formula>2.3</formula>
    </cfRule>
    <cfRule type="cellIs" dxfId="7927" priority="860" operator="equal">
      <formula>2.2</formula>
    </cfRule>
    <cfRule type="cellIs" dxfId="7926" priority="861" operator="equal">
      <formula>2.1</formula>
    </cfRule>
    <cfRule type="cellIs" dxfId="7925" priority="862" operator="equal">
      <formula>1.5</formula>
    </cfRule>
    <cfRule type="cellIs" dxfId="7924" priority="863" operator="equal">
      <formula>1.4</formula>
    </cfRule>
    <cfRule type="cellIs" dxfId="7923" priority="864" operator="equal">
      <formula>1.3</formula>
    </cfRule>
    <cfRule type="cellIs" dxfId="7922" priority="865" operator="equal">
      <formula>1.2</formula>
    </cfRule>
    <cfRule type="containsText" dxfId="7921" priority="866" operator="containsText" text="1.1">
      <formula>NOT(ISERROR(SEARCH("1.1",A179)))</formula>
    </cfRule>
  </conditionalFormatting>
  <conditionalFormatting sqref="H187:M188">
    <cfRule type="containsBlanks" dxfId="7920" priority="849">
      <formula>LEN(TRIM(H187))=0</formula>
    </cfRule>
  </conditionalFormatting>
  <conditionalFormatting sqref="B181:G183">
    <cfRule type="cellIs" dxfId="7919" priority="832" operator="equal">
      <formula>4.4</formula>
    </cfRule>
    <cfRule type="cellIs" dxfId="7918" priority="833" operator="equal">
      <formula>4.3</formula>
    </cfRule>
    <cfRule type="cellIs" dxfId="7917" priority="834" operator="equal">
      <formula>4.2</formula>
    </cfRule>
    <cfRule type="cellIs" dxfId="7916" priority="835" operator="equal">
      <formula>4.1</formula>
    </cfRule>
    <cfRule type="cellIs" dxfId="7915" priority="836" operator="equal">
      <formula>3.4</formula>
    </cfRule>
    <cfRule type="cellIs" dxfId="7914" priority="837" operator="equal">
      <formula>3.3</formula>
    </cfRule>
    <cfRule type="cellIs" dxfId="7913" priority="838" operator="equal">
      <formula>3.2</formula>
    </cfRule>
    <cfRule type="cellIs" dxfId="7912" priority="839" operator="equal">
      <formula>3.1</formula>
    </cfRule>
    <cfRule type="cellIs" dxfId="7911" priority="840" operator="equal">
      <formula>2.4</formula>
    </cfRule>
    <cfRule type="cellIs" dxfId="7910" priority="841" operator="equal">
      <formula>2.3</formula>
    </cfRule>
    <cfRule type="cellIs" dxfId="7909" priority="842" operator="equal">
      <formula>2.2</formula>
    </cfRule>
    <cfRule type="cellIs" dxfId="7908" priority="843" operator="equal">
      <formula>2.1</formula>
    </cfRule>
    <cfRule type="cellIs" dxfId="7907" priority="844" operator="equal">
      <formula>1.5</formula>
    </cfRule>
    <cfRule type="cellIs" dxfId="7906" priority="845" operator="equal">
      <formula>1.4</formula>
    </cfRule>
    <cfRule type="cellIs" dxfId="7905" priority="846" operator="equal">
      <formula>1.3</formula>
    </cfRule>
    <cfRule type="cellIs" dxfId="7904" priority="847" operator="equal">
      <formula>1.2</formula>
    </cfRule>
    <cfRule type="containsText" dxfId="7903" priority="848" operator="containsText" text="1.1">
      <formula>NOT(ISERROR(SEARCH("1.1",B181)))</formula>
    </cfRule>
  </conditionalFormatting>
  <conditionalFormatting sqref="A144:G146">
    <cfRule type="cellIs" dxfId="7902" priority="815" operator="equal">
      <formula>4.4</formula>
    </cfRule>
    <cfRule type="cellIs" dxfId="7901" priority="816" operator="equal">
      <formula>4.3</formula>
    </cfRule>
    <cfRule type="cellIs" dxfId="7900" priority="817" operator="equal">
      <formula>4.2</formula>
    </cfRule>
    <cfRule type="cellIs" dxfId="7899" priority="818" operator="equal">
      <formula>4.1</formula>
    </cfRule>
    <cfRule type="cellIs" dxfId="7898" priority="819" operator="equal">
      <formula>3.4</formula>
    </cfRule>
    <cfRule type="cellIs" dxfId="7897" priority="820" operator="equal">
      <formula>3.3</formula>
    </cfRule>
    <cfRule type="cellIs" dxfId="7896" priority="821" operator="equal">
      <formula>3.2</formula>
    </cfRule>
    <cfRule type="cellIs" dxfId="7895" priority="822" operator="equal">
      <formula>3.1</formula>
    </cfRule>
    <cfRule type="cellIs" dxfId="7894" priority="823" operator="equal">
      <formula>2.4</formula>
    </cfRule>
    <cfRule type="cellIs" dxfId="7893" priority="824" operator="equal">
      <formula>2.3</formula>
    </cfRule>
    <cfRule type="cellIs" dxfId="7892" priority="825" operator="equal">
      <formula>2.2</formula>
    </cfRule>
    <cfRule type="cellIs" dxfId="7891" priority="826" operator="equal">
      <formula>2.1</formula>
    </cfRule>
    <cfRule type="cellIs" dxfId="7890" priority="827" operator="equal">
      <formula>1.5</formula>
    </cfRule>
    <cfRule type="cellIs" dxfId="7889" priority="828" operator="equal">
      <formula>1.4</formula>
    </cfRule>
    <cfRule type="cellIs" dxfId="7888" priority="829" operator="equal">
      <formula>1.3</formula>
    </cfRule>
    <cfRule type="cellIs" dxfId="7887" priority="830" operator="equal">
      <formula>1.2</formula>
    </cfRule>
    <cfRule type="containsText" dxfId="7886" priority="831" operator="containsText" text="1.1">
      <formula>NOT(ISERROR(SEARCH("1.1",A144)))</formula>
    </cfRule>
  </conditionalFormatting>
  <conditionalFormatting sqref="A168:G170">
    <cfRule type="cellIs" dxfId="7885" priority="798" operator="equal">
      <formula>4.4</formula>
    </cfRule>
    <cfRule type="cellIs" dxfId="7884" priority="799" operator="equal">
      <formula>4.3</formula>
    </cfRule>
    <cfRule type="cellIs" dxfId="7883" priority="800" operator="equal">
      <formula>4.2</formula>
    </cfRule>
    <cfRule type="cellIs" dxfId="7882" priority="801" operator="equal">
      <formula>4.1</formula>
    </cfRule>
    <cfRule type="cellIs" dxfId="7881" priority="802" operator="equal">
      <formula>3.4</formula>
    </cfRule>
    <cfRule type="cellIs" dxfId="7880" priority="803" operator="equal">
      <formula>3.3</formula>
    </cfRule>
    <cfRule type="cellIs" dxfId="7879" priority="804" operator="equal">
      <formula>3.2</formula>
    </cfRule>
    <cfRule type="cellIs" dxfId="7878" priority="805" operator="equal">
      <formula>3.1</formula>
    </cfRule>
    <cfRule type="cellIs" dxfId="7877" priority="806" operator="equal">
      <formula>2.4</formula>
    </cfRule>
    <cfRule type="cellIs" dxfId="7876" priority="807" operator="equal">
      <formula>2.3</formula>
    </cfRule>
    <cfRule type="cellIs" dxfId="7875" priority="808" operator="equal">
      <formula>2.2</formula>
    </cfRule>
    <cfRule type="cellIs" dxfId="7874" priority="809" operator="equal">
      <formula>2.1</formula>
    </cfRule>
    <cfRule type="cellIs" dxfId="7873" priority="810" operator="equal">
      <formula>1.5</formula>
    </cfRule>
    <cfRule type="cellIs" dxfId="7872" priority="811" operator="equal">
      <formula>1.4</formula>
    </cfRule>
    <cfRule type="cellIs" dxfId="7871" priority="812" operator="equal">
      <formula>1.3</formula>
    </cfRule>
    <cfRule type="cellIs" dxfId="7870" priority="813" operator="equal">
      <formula>1.2</formula>
    </cfRule>
    <cfRule type="containsText" dxfId="7869" priority="814" operator="containsText" text="1.1">
      <formula>NOT(ISERROR(SEARCH("1.1",A168)))</formula>
    </cfRule>
  </conditionalFormatting>
  <conditionalFormatting sqref="B171:G173">
    <cfRule type="cellIs" dxfId="7868" priority="764" operator="equal">
      <formula>4.4</formula>
    </cfRule>
    <cfRule type="cellIs" dxfId="7867" priority="765" operator="equal">
      <formula>4.3</formula>
    </cfRule>
    <cfRule type="cellIs" dxfId="7866" priority="766" operator="equal">
      <formula>4.2</formula>
    </cfRule>
    <cfRule type="cellIs" dxfId="7865" priority="767" operator="equal">
      <formula>4.1</formula>
    </cfRule>
    <cfRule type="cellIs" dxfId="7864" priority="768" operator="equal">
      <formula>3.4</formula>
    </cfRule>
    <cfRule type="cellIs" dxfId="7863" priority="769" operator="equal">
      <formula>3.3</formula>
    </cfRule>
    <cfRule type="cellIs" dxfId="7862" priority="770" operator="equal">
      <formula>3.2</formula>
    </cfRule>
    <cfRule type="cellIs" dxfId="7861" priority="771" operator="equal">
      <formula>3.1</formula>
    </cfRule>
    <cfRule type="cellIs" dxfId="7860" priority="772" operator="equal">
      <formula>2.4</formula>
    </cfRule>
    <cfRule type="cellIs" dxfId="7859" priority="773" operator="equal">
      <formula>2.3</formula>
    </cfRule>
    <cfRule type="cellIs" dxfId="7858" priority="774" operator="equal">
      <formula>2.2</formula>
    </cfRule>
    <cfRule type="cellIs" dxfId="7857" priority="775" operator="equal">
      <formula>2.1</formula>
    </cfRule>
    <cfRule type="cellIs" dxfId="7856" priority="776" operator="equal">
      <formula>1.5</formula>
    </cfRule>
    <cfRule type="cellIs" dxfId="7855" priority="777" operator="equal">
      <formula>1.4</formula>
    </cfRule>
    <cfRule type="cellIs" dxfId="7854" priority="778" operator="equal">
      <formula>1.3</formula>
    </cfRule>
    <cfRule type="cellIs" dxfId="7853" priority="779" operator="equal">
      <formula>1.2</formula>
    </cfRule>
    <cfRule type="containsText" dxfId="7852" priority="780" operator="containsText" text="1.1">
      <formula>NOT(ISERROR(SEARCH("1.1",B171)))</formula>
    </cfRule>
  </conditionalFormatting>
  <conditionalFormatting sqref="A171:A173">
    <cfRule type="cellIs" dxfId="7851" priority="781" operator="equal">
      <formula>4.4</formula>
    </cfRule>
    <cfRule type="cellIs" dxfId="7850" priority="782" operator="equal">
      <formula>4.3</formula>
    </cfRule>
    <cfRule type="cellIs" dxfId="7849" priority="783" operator="equal">
      <formula>4.2</formula>
    </cfRule>
    <cfRule type="cellIs" dxfId="7848" priority="784" operator="equal">
      <formula>4.1</formula>
    </cfRule>
    <cfRule type="cellIs" dxfId="7847" priority="785" operator="equal">
      <formula>3.4</formula>
    </cfRule>
    <cfRule type="cellIs" dxfId="7846" priority="786" operator="equal">
      <formula>3.3</formula>
    </cfRule>
    <cfRule type="cellIs" dxfId="7845" priority="787" operator="equal">
      <formula>3.2</formula>
    </cfRule>
    <cfRule type="cellIs" dxfId="7844" priority="788" operator="equal">
      <formula>3.1</formula>
    </cfRule>
    <cfRule type="cellIs" dxfId="7843" priority="789" operator="equal">
      <formula>2.4</formula>
    </cfRule>
    <cfRule type="cellIs" dxfId="7842" priority="790" operator="equal">
      <formula>2.3</formula>
    </cfRule>
    <cfRule type="cellIs" dxfId="7841" priority="791" operator="equal">
      <formula>2.2</formula>
    </cfRule>
    <cfRule type="cellIs" dxfId="7840" priority="792" operator="equal">
      <formula>2.1</formula>
    </cfRule>
    <cfRule type="cellIs" dxfId="7839" priority="793" operator="equal">
      <formula>1.5</formula>
    </cfRule>
    <cfRule type="cellIs" dxfId="7838" priority="794" operator="equal">
      <formula>1.4</formula>
    </cfRule>
    <cfRule type="cellIs" dxfId="7837" priority="795" operator="equal">
      <formula>1.3</formula>
    </cfRule>
    <cfRule type="cellIs" dxfId="7836" priority="796" operator="equal">
      <formula>1.2</formula>
    </cfRule>
    <cfRule type="containsText" dxfId="7835" priority="797" operator="containsText" text="1.1">
      <formula>NOT(ISERROR(SEARCH("1.1",A171)))</formula>
    </cfRule>
  </conditionalFormatting>
  <conditionalFormatting sqref="B184:G186">
    <cfRule type="cellIs" dxfId="7834" priority="730" operator="equal">
      <formula>4.4</formula>
    </cfRule>
    <cfRule type="cellIs" dxfId="7833" priority="731" operator="equal">
      <formula>4.3</formula>
    </cfRule>
    <cfRule type="cellIs" dxfId="7832" priority="732" operator="equal">
      <formula>4.2</formula>
    </cfRule>
    <cfRule type="cellIs" dxfId="7831" priority="733" operator="equal">
      <formula>4.1</formula>
    </cfRule>
    <cfRule type="cellIs" dxfId="7830" priority="734" operator="equal">
      <formula>3.4</formula>
    </cfRule>
    <cfRule type="cellIs" dxfId="7829" priority="735" operator="equal">
      <formula>3.3</formula>
    </cfRule>
    <cfRule type="cellIs" dxfId="7828" priority="736" operator="equal">
      <formula>3.2</formula>
    </cfRule>
    <cfRule type="cellIs" dxfId="7827" priority="737" operator="equal">
      <formula>3.1</formula>
    </cfRule>
    <cfRule type="cellIs" dxfId="7826" priority="738" operator="equal">
      <formula>2.4</formula>
    </cfRule>
    <cfRule type="cellIs" dxfId="7825" priority="739" operator="equal">
      <formula>2.3</formula>
    </cfRule>
    <cfRule type="cellIs" dxfId="7824" priority="740" operator="equal">
      <formula>2.2</formula>
    </cfRule>
    <cfRule type="cellIs" dxfId="7823" priority="741" operator="equal">
      <formula>2.1</formula>
    </cfRule>
    <cfRule type="cellIs" dxfId="7822" priority="742" operator="equal">
      <formula>1.5</formula>
    </cfRule>
    <cfRule type="cellIs" dxfId="7821" priority="743" operator="equal">
      <formula>1.4</formula>
    </cfRule>
    <cfRule type="cellIs" dxfId="7820" priority="744" operator="equal">
      <formula>1.3</formula>
    </cfRule>
    <cfRule type="cellIs" dxfId="7819" priority="745" operator="equal">
      <formula>1.2</formula>
    </cfRule>
    <cfRule type="containsText" dxfId="7818" priority="746" operator="containsText" text="1.1">
      <formula>NOT(ISERROR(SEARCH("1.1",B184)))</formula>
    </cfRule>
  </conditionalFormatting>
  <conditionalFormatting sqref="A184:A186">
    <cfRule type="cellIs" dxfId="7817" priority="747" operator="equal">
      <formula>4.4</formula>
    </cfRule>
    <cfRule type="cellIs" dxfId="7816" priority="748" operator="equal">
      <formula>4.3</formula>
    </cfRule>
    <cfRule type="cellIs" dxfId="7815" priority="749" operator="equal">
      <formula>4.2</formula>
    </cfRule>
    <cfRule type="cellIs" dxfId="7814" priority="750" operator="equal">
      <formula>4.1</formula>
    </cfRule>
    <cfRule type="cellIs" dxfId="7813" priority="751" operator="equal">
      <formula>3.4</formula>
    </cfRule>
    <cfRule type="cellIs" dxfId="7812" priority="752" operator="equal">
      <formula>3.3</formula>
    </cfRule>
    <cfRule type="cellIs" dxfId="7811" priority="753" operator="equal">
      <formula>3.2</formula>
    </cfRule>
    <cfRule type="cellIs" dxfId="7810" priority="754" operator="equal">
      <formula>3.1</formula>
    </cfRule>
    <cfRule type="cellIs" dxfId="7809" priority="755" operator="equal">
      <formula>2.4</formula>
    </cfRule>
    <cfRule type="cellIs" dxfId="7808" priority="756" operator="equal">
      <formula>2.3</formula>
    </cfRule>
    <cfRule type="cellIs" dxfId="7807" priority="757" operator="equal">
      <formula>2.2</formula>
    </cfRule>
    <cfRule type="cellIs" dxfId="7806" priority="758" operator="equal">
      <formula>2.1</formula>
    </cfRule>
    <cfRule type="cellIs" dxfId="7805" priority="759" operator="equal">
      <formula>1.5</formula>
    </cfRule>
    <cfRule type="cellIs" dxfId="7804" priority="760" operator="equal">
      <formula>1.4</formula>
    </cfRule>
    <cfRule type="cellIs" dxfId="7803" priority="761" operator="equal">
      <formula>1.3</formula>
    </cfRule>
    <cfRule type="cellIs" dxfId="7802" priority="762" operator="equal">
      <formula>1.2</formula>
    </cfRule>
    <cfRule type="containsText" dxfId="7801" priority="763" operator="containsText" text="1.1">
      <formula>NOT(ISERROR(SEARCH("1.1",A184)))</formula>
    </cfRule>
  </conditionalFormatting>
  <conditionalFormatting sqref="M181:M183">
    <cfRule type="containsBlanks" dxfId="7800" priority="729">
      <formula>LEN(TRIM(M181))=0</formula>
    </cfRule>
  </conditionalFormatting>
  <conditionalFormatting sqref="M181:M183">
    <cfRule type="cellIs" dxfId="7799" priority="712" operator="equal">
      <formula>4.4</formula>
    </cfRule>
    <cfRule type="cellIs" dxfId="7798" priority="713" operator="equal">
      <formula>4.3</formula>
    </cfRule>
    <cfRule type="cellIs" dxfId="7797" priority="714" operator="equal">
      <formula>4.2</formula>
    </cfRule>
    <cfRule type="cellIs" dxfId="7796" priority="715" operator="equal">
      <formula>4.1</formula>
    </cfRule>
    <cfRule type="cellIs" dxfId="7795" priority="716" operator="equal">
      <formula>3.4</formula>
    </cfRule>
    <cfRule type="cellIs" dxfId="7794" priority="717" operator="equal">
      <formula>3.3</formula>
    </cfRule>
    <cfRule type="cellIs" dxfId="7793" priority="718" operator="equal">
      <formula>3.2</formula>
    </cfRule>
    <cfRule type="cellIs" dxfId="7792" priority="719" operator="equal">
      <formula>3.1</formula>
    </cfRule>
    <cfRule type="cellIs" dxfId="7791" priority="720" operator="equal">
      <formula>2.4</formula>
    </cfRule>
    <cfRule type="cellIs" dxfId="7790" priority="721" operator="equal">
      <formula>2.3</formula>
    </cfRule>
    <cfRule type="cellIs" dxfId="7789" priority="722" operator="equal">
      <formula>2.2</formula>
    </cfRule>
    <cfRule type="cellIs" dxfId="7788" priority="723" operator="equal">
      <formula>2.1</formula>
    </cfRule>
    <cfRule type="cellIs" dxfId="7787" priority="724" operator="equal">
      <formula>1.5</formula>
    </cfRule>
    <cfRule type="cellIs" dxfId="7786" priority="725" operator="equal">
      <formula>1.4</formula>
    </cfRule>
    <cfRule type="cellIs" dxfId="7785" priority="726" operator="equal">
      <formula>1.3</formula>
    </cfRule>
    <cfRule type="cellIs" dxfId="7784" priority="727" operator="equal">
      <formula>1.2</formula>
    </cfRule>
    <cfRule type="containsText" dxfId="7783" priority="728" operator="containsText" text="1.1">
      <formula>NOT(ISERROR(SEARCH("1.1",M181)))</formula>
    </cfRule>
  </conditionalFormatting>
  <conditionalFormatting sqref="H181:L183">
    <cfRule type="containsBlanks" dxfId="7782" priority="711">
      <formula>LEN(TRIM(H181))=0</formula>
    </cfRule>
  </conditionalFormatting>
  <conditionalFormatting sqref="H181:L183">
    <cfRule type="cellIs" dxfId="7781" priority="694" operator="equal">
      <formula>4.4</formula>
    </cfRule>
    <cfRule type="cellIs" dxfId="7780" priority="695" operator="equal">
      <formula>4.3</formula>
    </cfRule>
    <cfRule type="cellIs" dxfId="7779" priority="696" operator="equal">
      <formula>4.2</formula>
    </cfRule>
    <cfRule type="cellIs" dxfId="7778" priority="697" operator="equal">
      <formula>4.1</formula>
    </cfRule>
    <cfRule type="cellIs" dxfId="7777" priority="698" operator="equal">
      <formula>3.4</formula>
    </cfRule>
    <cfRule type="cellIs" dxfId="7776" priority="699" operator="equal">
      <formula>3.3</formula>
    </cfRule>
    <cfRule type="cellIs" dxfId="7775" priority="700" operator="equal">
      <formula>3.2</formula>
    </cfRule>
    <cfRule type="cellIs" dxfId="7774" priority="701" operator="equal">
      <formula>3.1</formula>
    </cfRule>
    <cfRule type="cellIs" dxfId="7773" priority="702" operator="equal">
      <formula>2.4</formula>
    </cfRule>
    <cfRule type="cellIs" dxfId="7772" priority="703" operator="equal">
      <formula>2.3</formula>
    </cfRule>
    <cfRule type="cellIs" dxfId="7771" priority="704" operator="equal">
      <formula>2.2</formula>
    </cfRule>
    <cfRule type="cellIs" dxfId="7770" priority="705" operator="equal">
      <formula>2.1</formula>
    </cfRule>
    <cfRule type="cellIs" dxfId="7769" priority="706" operator="equal">
      <formula>1.5</formula>
    </cfRule>
    <cfRule type="cellIs" dxfId="7768" priority="707" operator="equal">
      <formula>1.4</formula>
    </cfRule>
    <cfRule type="cellIs" dxfId="7767" priority="708" operator="equal">
      <formula>1.3</formula>
    </cfRule>
    <cfRule type="cellIs" dxfId="7766" priority="709" operator="equal">
      <formula>1.2</formula>
    </cfRule>
    <cfRule type="containsText" dxfId="7765" priority="710" operator="containsText" text="1.1">
      <formula>NOT(ISERROR(SEARCH("1.1",H181)))</formula>
    </cfRule>
  </conditionalFormatting>
  <conditionalFormatting sqref="M184:M186">
    <cfRule type="containsBlanks" dxfId="7764" priority="693">
      <formula>LEN(TRIM(M184))=0</formula>
    </cfRule>
  </conditionalFormatting>
  <conditionalFormatting sqref="M184:M186">
    <cfRule type="cellIs" dxfId="7763" priority="676" operator="equal">
      <formula>4.4</formula>
    </cfRule>
    <cfRule type="cellIs" dxfId="7762" priority="677" operator="equal">
      <formula>4.3</formula>
    </cfRule>
    <cfRule type="cellIs" dxfId="7761" priority="678" operator="equal">
      <formula>4.2</formula>
    </cfRule>
    <cfRule type="cellIs" dxfId="7760" priority="679" operator="equal">
      <formula>4.1</formula>
    </cfRule>
    <cfRule type="cellIs" dxfId="7759" priority="680" operator="equal">
      <formula>3.4</formula>
    </cfRule>
    <cfRule type="cellIs" dxfId="7758" priority="681" operator="equal">
      <formula>3.3</formula>
    </cfRule>
    <cfRule type="cellIs" dxfId="7757" priority="682" operator="equal">
      <formula>3.2</formula>
    </cfRule>
    <cfRule type="cellIs" dxfId="7756" priority="683" operator="equal">
      <formula>3.1</formula>
    </cfRule>
    <cfRule type="cellIs" dxfId="7755" priority="684" operator="equal">
      <formula>2.4</formula>
    </cfRule>
    <cfRule type="cellIs" dxfId="7754" priority="685" operator="equal">
      <formula>2.3</formula>
    </cfRule>
    <cfRule type="cellIs" dxfId="7753" priority="686" operator="equal">
      <formula>2.2</formula>
    </cfRule>
    <cfRule type="cellIs" dxfId="7752" priority="687" operator="equal">
      <formula>2.1</formula>
    </cfRule>
    <cfRule type="cellIs" dxfId="7751" priority="688" operator="equal">
      <formula>1.5</formula>
    </cfRule>
    <cfRule type="cellIs" dxfId="7750" priority="689" operator="equal">
      <formula>1.4</formula>
    </cfRule>
    <cfRule type="cellIs" dxfId="7749" priority="690" operator="equal">
      <formula>1.3</formula>
    </cfRule>
    <cfRule type="cellIs" dxfId="7748" priority="691" operator="equal">
      <formula>1.2</formula>
    </cfRule>
    <cfRule type="containsText" dxfId="7747" priority="692" operator="containsText" text="1.1">
      <formula>NOT(ISERROR(SEARCH("1.1",M184)))</formula>
    </cfRule>
  </conditionalFormatting>
  <conditionalFormatting sqref="H184:L186">
    <cfRule type="containsBlanks" dxfId="7746" priority="675">
      <formula>LEN(TRIM(H184))=0</formula>
    </cfRule>
  </conditionalFormatting>
  <conditionalFormatting sqref="H184:L186">
    <cfRule type="cellIs" dxfId="7745" priority="658" operator="equal">
      <formula>4.4</formula>
    </cfRule>
    <cfRule type="cellIs" dxfId="7744" priority="659" operator="equal">
      <formula>4.3</formula>
    </cfRule>
    <cfRule type="cellIs" dxfId="7743" priority="660" operator="equal">
      <formula>4.2</formula>
    </cfRule>
    <cfRule type="cellIs" dxfId="7742" priority="661" operator="equal">
      <formula>4.1</formula>
    </cfRule>
    <cfRule type="cellIs" dxfId="7741" priority="662" operator="equal">
      <formula>3.4</formula>
    </cfRule>
    <cfRule type="cellIs" dxfId="7740" priority="663" operator="equal">
      <formula>3.3</formula>
    </cfRule>
    <cfRule type="cellIs" dxfId="7739" priority="664" operator="equal">
      <formula>3.2</formula>
    </cfRule>
    <cfRule type="cellIs" dxfId="7738" priority="665" operator="equal">
      <formula>3.1</formula>
    </cfRule>
    <cfRule type="cellIs" dxfId="7737" priority="666" operator="equal">
      <formula>2.4</formula>
    </cfRule>
    <cfRule type="cellIs" dxfId="7736" priority="667" operator="equal">
      <formula>2.3</formula>
    </cfRule>
    <cfRule type="cellIs" dxfId="7735" priority="668" operator="equal">
      <formula>2.2</formula>
    </cfRule>
    <cfRule type="cellIs" dxfId="7734" priority="669" operator="equal">
      <formula>2.1</formula>
    </cfRule>
    <cfRule type="cellIs" dxfId="7733" priority="670" operator="equal">
      <formula>1.5</formula>
    </cfRule>
    <cfRule type="cellIs" dxfId="7732" priority="671" operator="equal">
      <formula>1.4</formula>
    </cfRule>
    <cfRule type="cellIs" dxfId="7731" priority="672" operator="equal">
      <formula>1.3</formula>
    </cfRule>
    <cfRule type="cellIs" dxfId="7730" priority="673" operator="equal">
      <formula>1.2</formula>
    </cfRule>
    <cfRule type="containsText" dxfId="7729" priority="674" operator="containsText" text="1.1">
      <formula>NOT(ISERROR(SEARCH("1.1",H184)))</formula>
    </cfRule>
  </conditionalFormatting>
  <conditionalFormatting sqref="M228">
    <cfRule type="cellIs" dxfId="7728" priority="641" operator="equal">
      <formula>4.4</formula>
    </cfRule>
    <cfRule type="cellIs" dxfId="7727" priority="642" operator="equal">
      <formula>4.3</formula>
    </cfRule>
    <cfRule type="cellIs" dxfId="7726" priority="643" operator="equal">
      <formula>4.2</formula>
    </cfRule>
    <cfRule type="cellIs" dxfId="7725" priority="644" operator="equal">
      <formula>4.1</formula>
    </cfRule>
    <cfRule type="cellIs" dxfId="7724" priority="645" operator="equal">
      <formula>3.4</formula>
    </cfRule>
    <cfRule type="cellIs" dxfId="7723" priority="646" operator="equal">
      <formula>3.3</formula>
    </cfRule>
    <cfRule type="cellIs" dxfId="7722" priority="647" operator="equal">
      <formula>3.2</formula>
    </cfRule>
    <cfRule type="cellIs" dxfId="7721" priority="648" operator="equal">
      <formula>3.1</formula>
    </cfRule>
    <cfRule type="cellIs" dxfId="7720" priority="649" operator="equal">
      <formula>2.4</formula>
    </cfRule>
    <cfRule type="cellIs" dxfId="7719" priority="650" operator="equal">
      <formula>2.3</formula>
    </cfRule>
    <cfRule type="cellIs" dxfId="7718" priority="651" operator="equal">
      <formula>2.2</formula>
    </cfRule>
    <cfRule type="cellIs" dxfId="7717" priority="652" operator="equal">
      <formula>2.1</formula>
    </cfRule>
    <cfRule type="cellIs" dxfId="7716" priority="653" operator="equal">
      <formula>1.5</formula>
    </cfRule>
    <cfRule type="cellIs" dxfId="7715" priority="654" operator="equal">
      <formula>1.4</formula>
    </cfRule>
    <cfRule type="cellIs" dxfId="7714" priority="655" operator="equal">
      <formula>1.3</formula>
    </cfRule>
    <cfRule type="cellIs" dxfId="7713" priority="656" operator="equal">
      <formula>1.2</formula>
    </cfRule>
    <cfRule type="containsText" dxfId="7712" priority="657" operator="containsText" text="1.1">
      <formula>NOT(ISERROR(SEARCH("1.1",M228)))</formula>
    </cfRule>
  </conditionalFormatting>
  <conditionalFormatting sqref="A225:E226 A197:G217 A224:G224 H194:M196 F225:G227">
    <cfRule type="cellIs" dxfId="7711" priority="624" operator="equal">
      <formula>4.4</formula>
    </cfRule>
    <cfRule type="cellIs" dxfId="7710" priority="625" operator="equal">
      <formula>4.3</formula>
    </cfRule>
    <cfRule type="cellIs" dxfId="7709" priority="626" operator="equal">
      <formula>4.2</formula>
    </cfRule>
    <cfRule type="cellIs" dxfId="7708" priority="627" operator="equal">
      <formula>4.1</formula>
    </cfRule>
    <cfRule type="cellIs" dxfId="7707" priority="628" operator="equal">
      <formula>3.4</formula>
    </cfRule>
    <cfRule type="cellIs" dxfId="7706" priority="629" operator="equal">
      <formula>3.3</formula>
    </cfRule>
    <cfRule type="cellIs" dxfId="7705" priority="630" operator="equal">
      <formula>3.2</formula>
    </cfRule>
    <cfRule type="cellIs" dxfId="7704" priority="631" operator="equal">
      <formula>3.1</formula>
    </cfRule>
    <cfRule type="cellIs" dxfId="7703" priority="632" operator="equal">
      <formula>2.4</formula>
    </cfRule>
    <cfRule type="cellIs" dxfId="7702" priority="633" operator="equal">
      <formula>2.3</formula>
    </cfRule>
    <cfRule type="cellIs" dxfId="7701" priority="634" operator="equal">
      <formula>2.2</formula>
    </cfRule>
    <cfRule type="cellIs" dxfId="7700" priority="635" operator="equal">
      <formula>2.1</formula>
    </cfRule>
    <cfRule type="cellIs" dxfId="7699" priority="636" operator="equal">
      <formula>1.5</formula>
    </cfRule>
    <cfRule type="cellIs" dxfId="7698" priority="637" operator="equal">
      <formula>1.4</formula>
    </cfRule>
    <cfRule type="cellIs" dxfId="7697" priority="638" operator="equal">
      <formula>1.3</formula>
    </cfRule>
    <cfRule type="cellIs" dxfId="7696" priority="639" operator="equal">
      <formula>1.2</formula>
    </cfRule>
    <cfRule type="containsText" dxfId="7695" priority="640" operator="containsText" text="1.1">
      <formula>NOT(ISERROR(SEARCH("1.1",A194)))</formula>
    </cfRule>
  </conditionalFormatting>
  <conditionalFormatting sqref="H197:M223">
    <cfRule type="cellIs" dxfId="7694" priority="470" operator="equal">
      <formula>4.4</formula>
    </cfRule>
    <cfRule type="cellIs" dxfId="7693" priority="471" operator="equal">
      <formula>4.3</formula>
    </cfRule>
    <cfRule type="cellIs" dxfId="7692" priority="472" operator="equal">
      <formula>4.2</formula>
    </cfRule>
    <cfRule type="cellIs" dxfId="7691" priority="473" operator="equal">
      <formula>4.1</formula>
    </cfRule>
    <cfRule type="cellIs" dxfId="7690" priority="474" operator="equal">
      <formula>3.4</formula>
    </cfRule>
    <cfRule type="cellIs" dxfId="7689" priority="475" operator="equal">
      <formula>3.3</formula>
    </cfRule>
    <cfRule type="cellIs" dxfId="7688" priority="476" operator="equal">
      <formula>3.2</formula>
    </cfRule>
    <cfRule type="cellIs" dxfId="7687" priority="477" operator="equal">
      <formula>3.1</formula>
    </cfRule>
    <cfRule type="cellIs" dxfId="7686" priority="478" operator="equal">
      <formula>2.4</formula>
    </cfRule>
    <cfRule type="cellIs" dxfId="7685" priority="479" operator="equal">
      <formula>2.3</formula>
    </cfRule>
    <cfRule type="cellIs" dxfId="7684" priority="480" operator="equal">
      <formula>2.2</formula>
    </cfRule>
    <cfRule type="cellIs" dxfId="7683" priority="481" operator="equal">
      <formula>2.1</formula>
    </cfRule>
    <cfRule type="cellIs" dxfId="7682" priority="482" operator="equal">
      <formula>1.5</formula>
    </cfRule>
    <cfRule type="cellIs" dxfId="7681" priority="483" operator="equal">
      <formula>1.4</formula>
    </cfRule>
    <cfRule type="cellIs" dxfId="7680" priority="484" operator="equal">
      <formula>1.3</formula>
    </cfRule>
    <cfRule type="cellIs" dxfId="7679" priority="485" operator="equal">
      <formula>1.2</formula>
    </cfRule>
    <cfRule type="containsText" dxfId="7678" priority="486" operator="containsText" text="1.1">
      <formula>NOT(ISERROR(SEARCH("1.1",H197)))</formula>
    </cfRule>
  </conditionalFormatting>
  <conditionalFormatting sqref="H197:M223">
    <cfRule type="containsBlanks" dxfId="7677" priority="487">
      <formula>LEN(TRIM(H197))=0</formula>
    </cfRule>
  </conditionalFormatting>
  <conditionalFormatting sqref="H224:M227">
    <cfRule type="containsBlanks" dxfId="7676" priority="469">
      <formula>LEN(TRIM(H224))=0</formula>
    </cfRule>
  </conditionalFormatting>
  <conditionalFormatting sqref="H224:M227">
    <cfRule type="cellIs" dxfId="7675" priority="452" operator="equal">
      <formula>4.4</formula>
    </cfRule>
    <cfRule type="cellIs" dxfId="7674" priority="453" operator="equal">
      <formula>4.3</formula>
    </cfRule>
    <cfRule type="cellIs" dxfId="7673" priority="454" operator="equal">
      <formula>4.2</formula>
    </cfRule>
    <cfRule type="cellIs" dxfId="7672" priority="455" operator="equal">
      <formula>4.1</formula>
    </cfRule>
    <cfRule type="cellIs" dxfId="7671" priority="456" operator="equal">
      <formula>3.4</formula>
    </cfRule>
    <cfRule type="cellIs" dxfId="7670" priority="457" operator="equal">
      <formula>3.3</formula>
    </cfRule>
    <cfRule type="cellIs" dxfId="7669" priority="458" operator="equal">
      <formula>3.2</formula>
    </cfRule>
    <cfRule type="cellIs" dxfId="7668" priority="459" operator="equal">
      <formula>3.1</formula>
    </cfRule>
    <cfRule type="cellIs" dxfId="7667" priority="460" operator="equal">
      <formula>2.4</formula>
    </cfRule>
    <cfRule type="cellIs" dxfId="7666" priority="461" operator="equal">
      <formula>2.3</formula>
    </cfRule>
    <cfRule type="cellIs" dxfId="7665" priority="462" operator="equal">
      <formula>2.2</formula>
    </cfRule>
    <cfRule type="cellIs" dxfId="7664" priority="463" operator="equal">
      <formula>2.1</formula>
    </cfRule>
    <cfRule type="cellIs" dxfId="7663" priority="464" operator="equal">
      <formula>1.5</formula>
    </cfRule>
    <cfRule type="cellIs" dxfId="7662" priority="465" operator="equal">
      <formula>1.4</formula>
    </cfRule>
    <cfRule type="cellIs" dxfId="7661" priority="466" operator="equal">
      <formula>1.3</formula>
    </cfRule>
    <cfRule type="cellIs" dxfId="7660" priority="467" operator="equal">
      <formula>1.2</formula>
    </cfRule>
    <cfRule type="containsText" dxfId="7659" priority="468" operator="containsText" text="1.1">
      <formula>NOT(ISERROR(SEARCH("1.1",H224)))</formula>
    </cfRule>
  </conditionalFormatting>
  <conditionalFormatting sqref="H231:M233">
    <cfRule type="containsBlanks" dxfId="7658" priority="451">
      <formula>LEN(TRIM(H231))=0</formula>
    </cfRule>
  </conditionalFormatting>
  <conditionalFormatting sqref="H231:M233">
    <cfRule type="cellIs" dxfId="7657" priority="434" operator="equal">
      <formula>4.4</formula>
    </cfRule>
    <cfRule type="cellIs" dxfId="7656" priority="435" operator="equal">
      <formula>4.3</formula>
    </cfRule>
    <cfRule type="cellIs" dxfId="7655" priority="436" operator="equal">
      <formula>4.2</formula>
    </cfRule>
    <cfRule type="cellIs" dxfId="7654" priority="437" operator="equal">
      <formula>4.1</formula>
    </cfRule>
    <cfRule type="cellIs" dxfId="7653" priority="438" operator="equal">
      <formula>3.4</formula>
    </cfRule>
    <cfRule type="cellIs" dxfId="7652" priority="439" operator="equal">
      <formula>3.3</formula>
    </cfRule>
    <cfRule type="cellIs" dxfId="7651" priority="440" operator="equal">
      <formula>3.2</formula>
    </cfRule>
    <cfRule type="cellIs" dxfId="7650" priority="441" operator="equal">
      <formula>3.1</formula>
    </cfRule>
    <cfRule type="cellIs" dxfId="7649" priority="442" operator="equal">
      <formula>2.4</formula>
    </cfRule>
    <cfRule type="cellIs" dxfId="7648" priority="443" operator="equal">
      <formula>2.3</formula>
    </cfRule>
    <cfRule type="cellIs" dxfId="7647" priority="444" operator="equal">
      <formula>2.2</formula>
    </cfRule>
    <cfRule type="cellIs" dxfId="7646" priority="445" operator="equal">
      <formula>2.1</formula>
    </cfRule>
    <cfRule type="cellIs" dxfId="7645" priority="446" operator="equal">
      <formula>1.5</formula>
    </cfRule>
    <cfRule type="cellIs" dxfId="7644" priority="447" operator="equal">
      <formula>1.4</formula>
    </cfRule>
    <cfRule type="cellIs" dxfId="7643" priority="448" operator="equal">
      <formula>1.3</formula>
    </cfRule>
    <cfRule type="cellIs" dxfId="7642" priority="449" operator="equal">
      <formula>1.2</formula>
    </cfRule>
    <cfRule type="containsText" dxfId="7641" priority="450" operator="containsText" text="1.1">
      <formula>NOT(ISERROR(SEARCH("1.1",H231)))</formula>
    </cfRule>
  </conditionalFormatting>
  <conditionalFormatting sqref="H234:M236">
    <cfRule type="containsBlanks" dxfId="7640" priority="433">
      <formula>LEN(TRIM(H234))=0</formula>
    </cfRule>
  </conditionalFormatting>
  <conditionalFormatting sqref="H234:M236">
    <cfRule type="cellIs" dxfId="7639" priority="416" operator="equal">
      <formula>4.4</formula>
    </cfRule>
    <cfRule type="cellIs" dxfId="7638" priority="417" operator="equal">
      <formula>4.3</formula>
    </cfRule>
    <cfRule type="cellIs" dxfId="7637" priority="418" operator="equal">
      <formula>4.2</formula>
    </cfRule>
    <cfRule type="cellIs" dxfId="7636" priority="419" operator="equal">
      <formula>4.1</formula>
    </cfRule>
    <cfRule type="cellIs" dxfId="7635" priority="420" operator="equal">
      <formula>3.4</formula>
    </cfRule>
    <cfRule type="cellIs" dxfId="7634" priority="421" operator="equal">
      <formula>3.3</formula>
    </cfRule>
    <cfRule type="cellIs" dxfId="7633" priority="422" operator="equal">
      <formula>3.2</formula>
    </cfRule>
    <cfRule type="cellIs" dxfId="7632" priority="423" operator="equal">
      <formula>3.1</formula>
    </cfRule>
    <cfRule type="cellIs" dxfId="7631" priority="424" operator="equal">
      <formula>2.4</formula>
    </cfRule>
    <cfRule type="cellIs" dxfId="7630" priority="425" operator="equal">
      <formula>2.3</formula>
    </cfRule>
    <cfRule type="cellIs" dxfId="7629" priority="426" operator="equal">
      <formula>2.2</formula>
    </cfRule>
    <cfRule type="cellIs" dxfId="7628" priority="427" operator="equal">
      <formula>2.1</formula>
    </cfRule>
    <cfRule type="cellIs" dxfId="7627" priority="428" operator="equal">
      <formula>1.5</formula>
    </cfRule>
    <cfRule type="cellIs" dxfId="7626" priority="429" operator="equal">
      <formula>1.4</formula>
    </cfRule>
    <cfRule type="cellIs" dxfId="7625" priority="430" operator="equal">
      <formula>1.3</formula>
    </cfRule>
    <cfRule type="cellIs" dxfId="7624" priority="431" operator="equal">
      <formula>1.2</formula>
    </cfRule>
    <cfRule type="containsText" dxfId="7623" priority="432" operator="containsText" text="1.1">
      <formula>NOT(ISERROR(SEARCH("1.1",H234)))</formula>
    </cfRule>
  </conditionalFormatting>
  <conditionalFormatting sqref="H237:M238">
    <cfRule type="containsBlanks" dxfId="7622" priority="415">
      <formula>LEN(TRIM(H237))=0</formula>
    </cfRule>
  </conditionalFormatting>
  <conditionalFormatting sqref="H237:M238">
    <cfRule type="cellIs" dxfId="7621" priority="398" operator="equal">
      <formula>4.4</formula>
    </cfRule>
    <cfRule type="cellIs" dxfId="7620" priority="399" operator="equal">
      <formula>4.3</formula>
    </cfRule>
    <cfRule type="cellIs" dxfId="7619" priority="400" operator="equal">
      <formula>4.2</formula>
    </cfRule>
    <cfRule type="cellIs" dxfId="7618" priority="401" operator="equal">
      <formula>4.1</formula>
    </cfRule>
    <cfRule type="cellIs" dxfId="7617" priority="402" operator="equal">
      <formula>3.4</formula>
    </cfRule>
    <cfRule type="cellIs" dxfId="7616" priority="403" operator="equal">
      <formula>3.3</formula>
    </cfRule>
    <cfRule type="cellIs" dxfId="7615" priority="404" operator="equal">
      <formula>3.2</formula>
    </cfRule>
    <cfRule type="cellIs" dxfId="7614" priority="405" operator="equal">
      <formula>3.1</formula>
    </cfRule>
    <cfRule type="cellIs" dxfId="7613" priority="406" operator="equal">
      <formula>2.4</formula>
    </cfRule>
    <cfRule type="cellIs" dxfId="7612" priority="407" operator="equal">
      <formula>2.3</formula>
    </cfRule>
    <cfRule type="cellIs" dxfId="7611" priority="408" operator="equal">
      <formula>2.2</formula>
    </cfRule>
    <cfRule type="cellIs" dxfId="7610" priority="409" operator="equal">
      <formula>2.1</formula>
    </cfRule>
    <cfRule type="cellIs" dxfId="7609" priority="410" operator="equal">
      <formula>1.5</formula>
    </cfRule>
    <cfRule type="cellIs" dxfId="7608" priority="411" operator="equal">
      <formula>1.4</formula>
    </cfRule>
    <cfRule type="cellIs" dxfId="7607" priority="412" operator="equal">
      <formula>1.3</formula>
    </cfRule>
    <cfRule type="cellIs" dxfId="7606" priority="413" operator="equal">
      <formula>1.2</formula>
    </cfRule>
    <cfRule type="containsText" dxfId="7605" priority="414" operator="containsText" text="1.1">
      <formula>NOT(ISERROR(SEARCH("1.1",H237)))</formula>
    </cfRule>
  </conditionalFormatting>
  <conditionalFormatting sqref="H287:K288">
    <cfRule type="cellIs" dxfId="7604" priority="172" operator="equal">
      <formula>4.4</formula>
    </cfRule>
    <cfRule type="cellIs" dxfId="7603" priority="173" operator="equal">
      <formula>4.3</formula>
    </cfRule>
    <cfRule type="cellIs" dxfId="7602" priority="174" operator="equal">
      <formula>4.2</formula>
    </cfRule>
    <cfRule type="cellIs" dxfId="7601" priority="175" operator="equal">
      <formula>4.1</formula>
    </cfRule>
    <cfRule type="cellIs" dxfId="7600" priority="176" operator="equal">
      <formula>3.4</formula>
    </cfRule>
    <cfRule type="cellIs" dxfId="7599" priority="177" operator="equal">
      <formula>3.3</formula>
    </cfRule>
    <cfRule type="cellIs" dxfId="7598" priority="178" operator="equal">
      <formula>3.2</formula>
    </cfRule>
    <cfRule type="cellIs" dxfId="7597" priority="179" operator="equal">
      <formula>3.1</formula>
    </cfRule>
    <cfRule type="cellIs" dxfId="7596" priority="180" operator="equal">
      <formula>2.4</formula>
    </cfRule>
    <cfRule type="cellIs" dxfId="7595" priority="181" operator="equal">
      <formula>2.3</formula>
    </cfRule>
    <cfRule type="cellIs" dxfId="7594" priority="182" operator="equal">
      <formula>2.2</formula>
    </cfRule>
    <cfRule type="cellIs" dxfId="7593" priority="183" operator="equal">
      <formula>2.1</formula>
    </cfRule>
    <cfRule type="cellIs" dxfId="7592" priority="184" operator="equal">
      <formula>1.5</formula>
    </cfRule>
    <cfRule type="cellIs" dxfId="7591" priority="185" operator="equal">
      <formula>1.4</formula>
    </cfRule>
    <cfRule type="cellIs" dxfId="7590" priority="186" operator="equal">
      <formula>1.3</formula>
    </cfRule>
    <cfRule type="cellIs" dxfId="7589" priority="187" operator="equal">
      <formula>1.2</formula>
    </cfRule>
    <cfRule type="containsText" dxfId="7588" priority="188" operator="containsText" text="1.1">
      <formula>NOT(ISERROR(SEARCH("1.1",H287)))</formula>
    </cfRule>
  </conditionalFormatting>
  <conditionalFormatting sqref="H247:K273">
    <cfRule type="containsBlanks" dxfId="7587" priority="397">
      <formula>LEN(TRIM(H247))=0</formula>
    </cfRule>
  </conditionalFormatting>
  <conditionalFormatting sqref="A247:K249 A275:E276 A250:G267 A274:G274 H244:K246 H250:K273 F275:G277">
    <cfRule type="cellIs" dxfId="7586" priority="380" operator="equal">
      <formula>4.4</formula>
    </cfRule>
    <cfRule type="cellIs" dxfId="7585" priority="381" operator="equal">
      <formula>4.3</formula>
    </cfRule>
    <cfRule type="cellIs" dxfId="7584" priority="382" operator="equal">
      <formula>4.2</formula>
    </cfRule>
    <cfRule type="cellIs" dxfId="7583" priority="383" operator="equal">
      <formula>4.1</formula>
    </cfRule>
    <cfRule type="cellIs" dxfId="7582" priority="384" operator="equal">
      <formula>3.4</formula>
    </cfRule>
    <cfRule type="cellIs" dxfId="7581" priority="385" operator="equal">
      <formula>3.3</formula>
    </cfRule>
    <cfRule type="cellIs" dxfId="7580" priority="386" operator="equal">
      <formula>3.2</formula>
    </cfRule>
    <cfRule type="cellIs" dxfId="7579" priority="387" operator="equal">
      <formula>3.1</formula>
    </cfRule>
    <cfRule type="cellIs" dxfId="7578" priority="388" operator="equal">
      <formula>2.4</formula>
    </cfRule>
    <cfRule type="cellIs" dxfId="7577" priority="389" operator="equal">
      <formula>2.3</formula>
    </cfRule>
    <cfRule type="cellIs" dxfId="7576" priority="390" operator="equal">
      <formula>2.2</formula>
    </cfRule>
    <cfRule type="cellIs" dxfId="7575" priority="391" operator="equal">
      <formula>2.1</formula>
    </cfRule>
    <cfRule type="cellIs" dxfId="7574" priority="392" operator="equal">
      <formula>1.5</formula>
    </cfRule>
    <cfRule type="cellIs" dxfId="7573" priority="393" operator="equal">
      <formula>1.4</formula>
    </cfRule>
    <cfRule type="cellIs" dxfId="7572" priority="394" operator="equal">
      <formula>1.3</formula>
    </cfRule>
    <cfRule type="cellIs" dxfId="7571" priority="395" operator="equal">
      <formula>1.2</formula>
    </cfRule>
    <cfRule type="containsText" dxfId="7570" priority="396" operator="containsText" text="1.1">
      <formula>NOT(ISERROR(SEARCH("1.1",A244)))</formula>
    </cfRule>
  </conditionalFormatting>
  <conditionalFormatting sqref="A281:A283 A287 A279:K280 F287:G288">
    <cfRule type="cellIs" dxfId="7569" priority="363" operator="equal">
      <formula>4.4</formula>
    </cfRule>
    <cfRule type="cellIs" dxfId="7568" priority="364" operator="equal">
      <formula>4.3</formula>
    </cfRule>
    <cfRule type="cellIs" dxfId="7567" priority="365" operator="equal">
      <formula>4.2</formula>
    </cfRule>
    <cfRule type="cellIs" dxfId="7566" priority="366" operator="equal">
      <formula>4.1</formula>
    </cfRule>
    <cfRule type="cellIs" dxfId="7565" priority="367" operator="equal">
      <formula>3.4</formula>
    </cfRule>
    <cfRule type="cellIs" dxfId="7564" priority="368" operator="equal">
      <formula>3.3</formula>
    </cfRule>
    <cfRule type="cellIs" dxfId="7563" priority="369" operator="equal">
      <formula>3.2</formula>
    </cfRule>
    <cfRule type="cellIs" dxfId="7562" priority="370" operator="equal">
      <formula>3.1</formula>
    </cfRule>
    <cfRule type="cellIs" dxfId="7561" priority="371" operator="equal">
      <formula>2.4</formula>
    </cfRule>
    <cfRule type="cellIs" dxfId="7560" priority="372" operator="equal">
      <formula>2.3</formula>
    </cfRule>
    <cfRule type="cellIs" dxfId="7559" priority="373" operator="equal">
      <formula>2.2</formula>
    </cfRule>
    <cfRule type="cellIs" dxfId="7558" priority="374" operator="equal">
      <formula>2.1</formula>
    </cfRule>
    <cfRule type="cellIs" dxfId="7557" priority="375" operator="equal">
      <formula>1.5</formula>
    </cfRule>
    <cfRule type="cellIs" dxfId="7556" priority="376" operator="equal">
      <formula>1.4</formula>
    </cfRule>
    <cfRule type="cellIs" dxfId="7555" priority="377" operator="equal">
      <formula>1.3</formula>
    </cfRule>
    <cfRule type="cellIs" dxfId="7554" priority="378" operator="equal">
      <formula>1.2</formula>
    </cfRule>
    <cfRule type="containsText" dxfId="7553" priority="379" operator="containsText" text="1.1">
      <formula>NOT(ISERROR(SEARCH("1.1",A279)))</formula>
    </cfRule>
  </conditionalFormatting>
  <conditionalFormatting sqref="B281:G283">
    <cfRule type="cellIs" dxfId="7552" priority="346" operator="equal">
      <formula>4.4</formula>
    </cfRule>
    <cfRule type="cellIs" dxfId="7551" priority="347" operator="equal">
      <formula>4.3</formula>
    </cfRule>
    <cfRule type="cellIs" dxfId="7550" priority="348" operator="equal">
      <formula>4.2</formula>
    </cfRule>
    <cfRule type="cellIs" dxfId="7549" priority="349" operator="equal">
      <formula>4.1</formula>
    </cfRule>
    <cfRule type="cellIs" dxfId="7548" priority="350" operator="equal">
      <formula>3.4</formula>
    </cfRule>
    <cfRule type="cellIs" dxfId="7547" priority="351" operator="equal">
      <formula>3.3</formula>
    </cfRule>
    <cfRule type="cellIs" dxfId="7546" priority="352" operator="equal">
      <formula>3.2</formula>
    </cfRule>
    <cfRule type="cellIs" dxfId="7545" priority="353" operator="equal">
      <formula>3.1</formula>
    </cfRule>
    <cfRule type="cellIs" dxfId="7544" priority="354" operator="equal">
      <formula>2.4</formula>
    </cfRule>
    <cfRule type="cellIs" dxfId="7543" priority="355" operator="equal">
      <formula>2.3</formula>
    </cfRule>
    <cfRule type="cellIs" dxfId="7542" priority="356" operator="equal">
      <formula>2.2</formula>
    </cfRule>
    <cfRule type="cellIs" dxfId="7541" priority="357" operator="equal">
      <formula>2.1</formula>
    </cfRule>
    <cfRule type="cellIs" dxfId="7540" priority="358" operator="equal">
      <formula>1.5</formula>
    </cfRule>
    <cfRule type="cellIs" dxfId="7539" priority="359" operator="equal">
      <formula>1.4</formula>
    </cfRule>
    <cfRule type="cellIs" dxfId="7538" priority="360" operator="equal">
      <formula>1.3</formula>
    </cfRule>
    <cfRule type="cellIs" dxfId="7537" priority="361" operator="equal">
      <formula>1.2</formula>
    </cfRule>
    <cfRule type="containsText" dxfId="7536" priority="362" operator="containsText" text="1.1">
      <formula>NOT(ISERROR(SEARCH("1.1",B281)))</formula>
    </cfRule>
  </conditionalFormatting>
  <conditionalFormatting sqref="A244:G246">
    <cfRule type="cellIs" dxfId="7535" priority="329" operator="equal">
      <formula>4.4</formula>
    </cfRule>
    <cfRule type="cellIs" dxfId="7534" priority="330" operator="equal">
      <formula>4.3</formula>
    </cfRule>
    <cfRule type="cellIs" dxfId="7533" priority="331" operator="equal">
      <formula>4.2</formula>
    </cfRule>
    <cfRule type="cellIs" dxfId="7532" priority="332" operator="equal">
      <formula>4.1</formula>
    </cfRule>
    <cfRule type="cellIs" dxfId="7531" priority="333" operator="equal">
      <formula>3.4</formula>
    </cfRule>
    <cfRule type="cellIs" dxfId="7530" priority="334" operator="equal">
      <formula>3.3</formula>
    </cfRule>
    <cfRule type="cellIs" dxfId="7529" priority="335" operator="equal">
      <formula>3.2</formula>
    </cfRule>
    <cfRule type="cellIs" dxfId="7528" priority="336" operator="equal">
      <formula>3.1</formula>
    </cfRule>
    <cfRule type="cellIs" dxfId="7527" priority="337" operator="equal">
      <formula>2.4</formula>
    </cfRule>
    <cfRule type="cellIs" dxfId="7526" priority="338" operator="equal">
      <formula>2.3</formula>
    </cfRule>
    <cfRule type="cellIs" dxfId="7525" priority="339" operator="equal">
      <formula>2.2</formula>
    </cfRule>
    <cfRule type="cellIs" dxfId="7524" priority="340" operator="equal">
      <formula>2.1</formula>
    </cfRule>
    <cfRule type="cellIs" dxfId="7523" priority="341" operator="equal">
      <formula>1.5</formula>
    </cfRule>
    <cfRule type="cellIs" dxfId="7522" priority="342" operator="equal">
      <formula>1.4</formula>
    </cfRule>
    <cfRule type="cellIs" dxfId="7521" priority="343" operator="equal">
      <formula>1.3</formula>
    </cfRule>
    <cfRule type="cellIs" dxfId="7520" priority="344" operator="equal">
      <formula>1.2</formula>
    </cfRule>
    <cfRule type="containsText" dxfId="7519" priority="345" operator="containsText" text="1.1">
      <formula>NOT(ISERROR(SEARCH("1.1",A244)))</formula>
    </cfRule>
  </conditionalFormatting>
  <conditionalFormatting sqref="A268:G270">
    <cfRule type="cellIs" dxfId="7518" priority="312" operator="equal">
      <formula>4.4</formula>
    </cfRule>
    <cfRule type="cellIs" dxfId="7517" priority="313" operator="equal">
      <formula>4.3</formula>
    </cfRule>
    <cfRule type="cellIs" dxfId="7516" priority="314" operator="equal">
      <formula>4.2</formula>
    </cfRule>
    <cfRule type="cellIs" dxfId="7515" priority="315" operator="equal">
      <formula>4.1</formula>
    </cfRule>
    <cfRule type="cellIs" dxfId="7514" priority="316" operator="equal">
      <formula>3.4</formula>
    </cfRule>
    <cfRule type="cellIs" dxfId="7513" priority="317" operator="equal">
      <formula>3.3</formula>
    </cfRule>
    <cfRule type="cellIs" dxfId="7512" priority="318" operator="equal">
      <formula>3.2</formula>
    </cfRule>
    <cfRule type="cellIs" dxfId="7511" priority="319" operator="equal">
      <formula>3.1</formula>
    </cfRule>
    <cfRule type="cellIs" dxfId="7510" priority="320" operator="equal">
      <formula>2.4</formula>
    </cfRule>
    <cfRule type="cellIs" dxfId="7509" priority="321" operator="equal">
      <formula>2.3</formula>
    </cfRule>
    <cfRule type="cellIs" dxfId="7508" priority="322" operator="equal">
      <formula>2.2</formula>
    </cfRule>
    <cfRule type="cellIs" dxfId="7507" priority="323" operator="equal">
      <formula>2.1</formula>
    </cfRule>
    <cfRule type="cellIs" dxfId="7506" priority="324" operator="equal">
      <formula>1.5</formula>
    </cfRule>
    <cfRule type="cellIs" dxfId="7505" priority="325" operator="equal">
      <formula>1.4</formula>
    </cfRule>
    <cfRule type="cellIs" dxfId="7504" priority="326" operator="equal">
      <formula>1.3</formula>
    </cfRule>
    <cfRule type="cellIs" dxfId="7503" priority="327" operator="equal">
      <formula>1.2</formula>
    </cfRule>
    <cfRule type="containsText" dxfId="7502" priority="328" operator="containsText" text="1.1">
      <formula>NOT(ISERROR(SEARCH("1.1",A268)))</formula>
    </cfRule>
  </conditionalFormatting>
  <conditionalFormatting sqref="B271:G273">
    <cfRule type="cellIs" dxfId="7501" priority="278" operator="equal">
      <formula>4.4</formula>
    </cfRule>
    <cfRule type="cellIs" dxfId="7500" priority="279" operator="equal">
      <formula>4.3</formula>
    </cfRule>
    <cfRule type="cellIs" dxfId="7499" priority="280" operator="equal">
      <formula>4.2</formula>
    </cfRule>
    <cfRule type="cellIs" dxfId="7498" priority="281" operator="equal">
      <formula>4.1</formula>
    </cfRule>
    <cfRule type="cellIs" dxfId="7497" priority="282" operator="equal">
      <formula>3.4</formula>
    </cfRule>
    <cfRule type="cellIs" dxfId="7496" priority="283" operator="equal">
      <formula>3.3</formula>
    </cfRule>
    <cfRule type="cellIs" dxfId="7495" priority="284" operator="equal">
      <formula>3.2</formula>
    </cfRule>
    <cfRule type="cellIs" dxfId="7494" priority="285" operator="equal">
      <formula>3.1</formula>
    </cfRule>
    <cfRule type="cellIs" dxfId="7493" priority="286" operator="equal">
      <formula>2.4</formula>
    </cfRule>
    <cfRule type="cellIs" dxfId="7492" priority="287" operator="equal">
      <formula>2.3</formula>
    </cfRule>
    <cfRule type="cellIs" dxfId="7491" priority="288" operator="equal">
      <formula>2.2</formula>
    </cfRule>
    <cfRule type="cellIs" dxfId="7490" priority="289" operator="equal">
      <formula>2.1</formula>
    </cfRule>
    <cfRule type="cellIs" dxfId="7489" priority="290" operator="equal">
      <formula>1.5</formula>
    </cfRule>
    <cfRule type="cellIs" dxfId="7488" priority="291" operator="equal">
      <formula>1.4</formula>
    </cfRule>
    <cfRule type="cellIs" dxfId="7487" priority="292" operator="equal">
      <formula>1.3</formula>
    </cfRule>
    <cfRule type="cellIs" dxfId="7486" priority="293" operator="equal">
      <formula>1.2</formula>
    </cfRule>
    <cfRule type="containsText" dxfId="7485" priority="294" operator="containsText" text="1.1">
      <formula>NOT(ISERROR(SEARCH("1.1",B271)))</formula>
    </cfRule>
  </conditionalFormatting>
  <conditionalFormatting sqref="A271:A273">
    <cfRule type="cellIs" dxfId="7484" priority="295" operator="equal">
      <formula>4.4</formula>
    </cfRule>
    <cfRule type="cellIs" dxfId="7483" priority="296" operator="equal">
      <formula>4.3</formula>
    </cfRule>
    <cfRule type="cellIs" dxfId="7482" priority="297" operator="equal">
      <formula>4.2</formula>
    </cfRule>
    <cfRule type="cellIs" dxfId="7481" priority="298" operator="equal">
      <formula>4.1</formula>
    </cfRule>
    <cfRule type="cellIs" dxfId="7480" priority="299" operator="equal">
      <formula>3.4</formula>
    </cfRule>
    <cfRule type="cellIs" dxfId="7479" priority="300" operator="equal">
      <formula>3.3</formula>
    </cfRule>
    <cfRule type="cellIs" dxfId="7478" priority="301" operator="equal">
      <formula>3.2</formula>
    </cfRule>
    <cfRule type="cellIs" dxfId="7477" priority="302" operator="equal">
      <formula>3.1</formula>
    </cfRule>
    <cfRule type="cellIs" dxfId="7476" priority="303" operator="equal">
      <formula>2.4</formula>
    </cfRule>
    <cfRule type="cellIs" dxfId="7475" priority="304" operator="equal">
      <formula>2.3</formula>
    </cfRule>
    <cfRule type="cellIs" dxfId="7474" priority="305" operator="equal">
      <formula>2.2</formula>
    </cfRule>
    <cfRule type="cellIs" dxfId="7473" priority="306" operator="equal">
      <formula>2.1</formula>
    </cfRule>
    <cfRule type="cellIs" dxfId="7472" priority="307" operator="equal">
      <formula>1.5</formula>
    </cfRule>
    <cfRule type="cellIs" dxfId="7471" priority="308" operator="equal">
      <formula>1.4</formula>
    </cfRule>
    <cfRule type="cellIs" dxfId="7470" priority="309" operator="equal">
      <formula>1.3</formula>
    </cfRule>
    <cfRule type="cellIs" dxfId="7469" priority="310" operator="equal">
      <formula>1.2</formula>
    </cfRule>
    <cfRule type="containsText" dxfId="7468" priority="311" operator="containsText" text="1.1">
      <formula>NOT(ISERROR(SEARCH("1.1",A271)))</formula>
    </cfRule>
  </conditionalFormatting>
  <conditionalFormatting sqref="B284:G286">
    <cfRule type="cellIs" dxfId="7467" priority="244" operator="equal">
      <formula>4.4</formula>
    </cfRule>
    <cfRule type="cellIs" dxfId="7466" priority="245" operator="equal">
      <formula>4.3</formula>
    </cfRule>
    <cfRule type="cellIs" dxfId="7465" priority="246" operator="equal">
      <formula>4.2</formula>
    </cfRule>
    <cfRule type="cellIs" dxfId="7464" priority="247" operator="equal">
      <formula>4.1</formula>
    </cfRule>
    <cfRule type="cellIs" dxfId="7463" priority="248" operator="equal">
      <formula>3.4</formula>
    </cfRule>
    <cfRule type="cellIs" dxfId="7462" priority="249" operator="equal">
      <formula>3.3</formula>
    </cfRule>
    <cfRule type="cellIs" dxfId="7461" priority="250" operator="equal">
      <formula>3.2</formula>
    </cfRule>
    <cfRule type="cellIs" dxfId="7460" priority="251" operator="equal">
      <formula>3.1</formula>
    </cfRule>
    <cfRule type="cellIs" dxfId="7459" priority="252" operator="equal">
      <formula>2.4</formula>
    </cfRule>
    <cfRule type="cellIs" dxfId="7458" priority="253" operator="equal">
      <formula>2.3</formula>
    </cfRule>
    <cfRule type="cellIs" dxfId="7457" priority="254" operator="equal">
      <formula>2.2</formula>
    </cfRule>
    <cfRule type="cellIs" dxfId="7456" priority="255" operator="equal">
      <formula>2.1</formula>
    </cfRule>
    <cfRule type="cellIs" dxfId="7455" priority="256" operator="equal">
      <formula>1.5</formula>
    </cfRule>
    <cfRule type="cellIs" dxfId="7454" priority="257" operator="equal">
      <formula>1.4</formula>
    </cfRule>
    <cfRule type="cellIs" dxfId="7453" priority="258" operator="equal">
      <formula>1.3</formula>
    </cfRule>
    <cfRule type="cellIs" dxfId="7452" priority="259" operator="equal">
      <formula>1.2</formula>
    </cfRule>
    <cfRule type="containsText" dxfId="7451" priority="260" operator="containsText" text="1.1">
      <formula>NOT(ISERROR(SEARCH("1.1",B284)))</formula>
    </cfRule>
  </conditionalFormatting>
  <conditionalFormatting sqref="A284:A286">
    <cfRule type="cellIs" dxfId="7450" priority="261" operator="equal">
      <formula>4.4</formula>
    </cfRule>
    <cfRule type="cellIs" dxfId="7449" priority="262" operator="equal">
      <formula>4.3</formula>
    </cfRule>
    <cfRule type="cellIs" dxfId="7448" priority="263" operator="equal">
      <formula>4.2</formula>
    </cfRule>
    <cfRule type="cellIs" dxfId="7447" priority="264" operator="equal">
      <formula>4.1</formula>
    </cfRule>
    <cfRule type="cellIs" dxfId="7446" priority="265" operator="equal">
      <formula>3.4</formula>
    </cfRule>
    <cfRule type="cellIs" dxfId="7445" priority="266" operator="equal">
      <formula>3.3</formula>
    </cfRule>
    <cfRule type="cellIs" dxfId="7444" priority="267" operator="equal">
      <formula>3.2</formula>
    </cfRule>
    <cfRule type="cellIs" dxfId="7443" priority="268" operator="equal">
      <formula>3.1</formula>
    </cfRule>
    <cfRule type="cellIs" dxfId="7442" priority="269" operator="equal">
      <formula>2.4</formula>
    </cfRule>
    <cfRule type="cellIs" dxfId="7441" priority="270" operator="equal">
      <formula>2.3</formula>
    </cfRule>
    <cfRule type="cellIs" dxfId="7440" priority="271" operator="equal">
      <formula>2.2</formula>
    </cfRule>
    <cfRule type="cellIs" dxfId="7439" priority="272" operator="equal">
      <formula>2.1</formula>
    </cfRule>
    <cfRule type="cellIs" dxfId="7438" priority="273" operator="equal">
      <formula>1.5</formula>
    </cfRule>
    <cfRule type="cellIs" dxfId="7437" priority="274" operator="equal">
      <formula>1.4</formula>
    </cfRule>
    <cfRule type="cellIs" dxfId="7436" priority="275" operator="equal">
      <formula>1.3</formula>
    </cfRule>
    <cfRule type="cellIs" dxfId="7435" priority="276" operator="equal">
      <formula>1.2</formula>
    </cfRule>
    <cfRule type="containsText" dxfId="7434" priority="277" operator="containsText" text="1.1">
      <formula>NOT(ISERROR(SEARCH("1.1",A284)))</formula>
    </cfRule>
  </conditionalFormatting>
  <conditionalFormatting sqref="H287:K288">
    <cfRule type="containsBlanks" dxfId="7433" priority="189">
      <formula>LEN(TRIM(H287))=0</formula>
    </cfRule>
  </conditionalFormatting>
  <conditionalFormatting sqref="H284:K286">
    <cfRule type="containsBlanks" dxfId="7432" priority="207">
      <formula>LEN(TRIM(H284))=0</formula>
    </cfRule>
  </conditionalFormatting>
  <conditionalFormatting sqref="H284:K286">
    <cfRule type="cellIs" dxfId="7431" priority="190" operator="equal">
      <formula>4.4</formula>
    </cfRule>
    <cfRule type="cellIs" dxfId="7430" priority="191" operator="equal">
      <formula>4.3</formula>
    </cfRule>
    <cfRule type="cellIs" dxfId="7429" priority="192" operator="equal">
      <formula>4.2</formula>
    </cfRule>
    <cfRule type="cellIs" dxfId="7428" priority="193" operator="equal">
      <formula>4.1</formula>
    </cfRule>
    <cfRule type="cellIs" dxfId="7427" priority="194" operator="equal">
      <formula>3.4</formula>
    </cfRule>
    <cfRule type="cellIs" dxfId="7426" priority="195" operator="equal">
      <formula>3.3</formula>
    </cfRule>
    <cfRule type="cellIs" dxfId="7425" priority="196" operator="equal">
      <formula>3.2</formula>
    </cfRule>
    <cfRule type="cellIs" dxfId="7424" priority="197" operator="equal">
      <formula>3.1</formula>
    </cfRule>
    <cfRule type="cellIs" dxfId="7423" priority="198" operator="equal">
      <formula>2.4</formula>
    </cfRule>
    <cfRule type="cellIs" dxfId="7422" priority="199" operator="equal">
      <formula>2.3</formula>
    </cfRule>
    <cfRule type="cellIs" dxfId="7421" priority="200" operator="equal">
      <formula>2.2</formula>
    </cfRule>
    <cfRule type="cellIs" dxfId="7420" priority="201" operator="equal">
      <formula>2.1</formula>
    </cfRule>
    <cfRule type="cellIs" dxfId="7419" priority="202" operator="equal">
      <formula>1.5</formula>
    </cfRule>
    <cfRule type="cellIs" dxfId="7418" priority="203" operator="equal">
      <formula>1.4</formula>
    </cfRule>
    <cfRule type="cellIs" dxfId="7417" priority="204" operator="equal">
      <formula>1.3</formula>
    </cfRule>
    <cfRule type="cellIs" dxfId="7416" priority="205" operator="equal">
      <formula>1.2</formula>
    </cfRule>
    <cfRule type="containsText" dxfId="7415" priority="206" operator="containsText" text="1.1">
      <formula>NOT(ISERROR(SEARCH("1.1",H284)))</formula>
    </cfRule>
  </conditionalFormatting>
  <conditionalFormatting sqref="H274:K277">
    <cfRule type="containsBlanks" dxfId="7414" priority="243">
      <formula>LEN(TRIM(H274))=0</formula>
    </cfRule>
  </conditionalFormatting>
  <conditionalFormatting sqref="H274:K277">
    <cfRule type="cellIs" dxfId="7413" priority="226" operator="equal">
      <formula>4.4</formula>
    </cfRule>
    <cfRule type="cellIs" dxfId="7412" priority="227" operator="equal">
      <formula>4.3</formula>
    </cfRule>
    <cfRule type="cellIs" dxfId="7411" priority="228" operator="equal">
      <formula>4.2</formula>
    </cfRule>
    <cfRule type="cellIs" dxfId="7410" priority="229" operator="equal">
      <formula>4.1</formula>
    </cfRule>
    <cfRule type="cellIs" dxfId="7409" priority="230" operator="equal">
      <formula>3.4</formula>
    </cfRule>
    <cfRule type="cellIs" dxfId="7408" priority="231" operator="equal">
      <formula>3.3</formula>
    </cfRule>
    <cfRule type="cellIs" dxfId="7407" priority="232" operator="equal">
      <formula>3.2</formula>
    </cfRule>
    <cfRule type="cellIs" dxfId="7406" priority="233" operator="equal">
      <formula>3.1</formula>
    </cfRule>
    <cfRule type="cellIs" dxfId="7405" priority="234" operator="equal">
      <formula>2.4</formula>
    </cfRule>
    <cfRule type="cellIs" dxfId="7404" priority="235" operator="equal">
      <formula>2.3</formula>
    </cfRule>
    <cfRule type="cellIs" dxfId="7403" priority="236" operator="equal">
      <formula>2.2</formula>
    </cfRule>
    <cfRule type="cellIs" dxfId="7402" priority="237" operator="equal">
      <formula>2.1</formula>
    </cfRule>
    <cfRule type="cellIs" dxfId="7401" priority="238" operator="equal">
      <formula>1.5</formula>
    </cfRule>
    <cfRule type="cellIs" dxfId="7400" priority="239" operator="equal">
      <formula>1.4</formula>
    </cfRule>
    <cfRule type="cellIs" dxfId="7399" priority="240" operator="equal">
      <formula>1.3</formula>
    </cfRule>
    <cfRule type="cellIs" dxfId="7398" priority="241" operator="equal">
      <formula>1.2</formula>
    </cfRule>
    <cfRule type="containsText" dxfId="7397" priority="242" operator="containsText" text="1.1">
      <formula>NOT(ISERROR(SEARCH("1.1",H274)))</formula>
    </cfRule>
  </conditionalFormatting>
  <conditionalFormatting sqref="H281:K283">
    <cfRule type="containsBlanks" dxfId="7396" priority="225">
      <formula>LEN(TRIM(H281))=0</formula>
    </cfRule>
  </conditionalFormatting>
  <conditionalFormatting sqref="H281:K283">
    <cfRule type="cellIs" dxfId="7395" priority="208" operator="equal">
      <formula>4.4</formula>
    </cfRule>
    <cfRule type="cellIs" dxfId="7394" priority="209" operator="equal">
      <formula>4.3</formula>
    </cfRule>
    <cfRule type="cellIs" dxfId="7393" priority="210" operator="equal">
      <formula>4.2</formula>
    </cfRule>
    <cfRule type="cellIs" dxfId="7392" priority="211" operator="equal">
      <formula>4.1</formula>
    </cfRule>
    <cfRule type="cellIs" dxfId="7391" priority="212" operator="equal">
      <formula>3.4</formula>
    </cfRule>
    <cfRule type="cellIs" dxfId="7390" priority="213" operator="equal">
      <formula>3.3</formula>
    </cfRule>
    <cfRule type="cellIs" dxfId="7389" priority="214" operator="equal">
      <formula>3.2</formula>
    </cfRule>
    <cfRule type="cellIs" dxfId="7388" priority="215" operator="equal">
      <formula>3.1</formula>
    </cfRule>
    <cfRule type="cellIs" dxfId="7387" priority="216" operator="equal">
      <formula>2.4</formula>
    </cfRule>
    <cfRule type="cellIs" dxfId="7386" priority="217" operator="equal">
      <formula>2.3</formula>
    </cfRule>
    <cfRule type="cellIs" dxfId="7385" priority="218" operator="equal">
      <formula>2.2</formula>
    </cfRule>
    <cfRule type="cellIs" dxfId="7384" priority="219" operator="equal">
      <formula>2.1</formula>
    </cfRule>
    <cfRule type="cellIs" dxfId="7383" priority="220" operator="equal">
      <formula>1.5</formula>
    </cfRule>
    <cfRule type="cellIs" dxfId="7382" priority="221" operator="equal">
      <formula>1.4</formula>
    </cfRule>
    <cfRule type="cellIs" dxfId="7381" priority="222" operator="equal">
      <formula>1.3</formula>
    </cfRule>
    <cfRule type="cellIs" dxfId="7380" priority="223" operator="equal">
      <formula>1.2</formula>
    </cfRule>
    <cfRule type="containsText" dxfId="7379" priority="224" operator="containsText" text="1.1">
      <formula>NOT(ISERROR(SEARCH("1.1",H281)))</formula>
    </cfRule>
  </conditionalFormatting>
  <conditionalFormatting sqref="BJ48:BO48">
    <cfRule type="cellIs" dxfId="7378" priority="155" operator="equal">
      <formula>4.4</formula>
    </cfRule>
    <cfRule type="cellIs" dxfId="7377" priority="156" operator="equal">
      <formula>4.3</formula>
    </cfRule>
    <cfRule type="cellIs" dxfId="7376" priority="157" operator="equal">
      <formula>4.2</formula>
    </cfRule>
    <cfRule type="cellIs" dxfId="7375" priority="158" operator="equal">
      <formula>4.1</formula>
    </cfRule>
    <cfRule type="cellIs" dxfId="7374" priority="159" operator="equal">
      <formula>3.4</formula>
    </cfRule>
    <cfRule type="cellIs" dxfId="7373" priority="160" operator="equal">
      <formula>3.3</formula>
    </cfRule>
    <cfRule type="cellIs" dxfId="7372" priority="161" operator="equal">
      <formula>3.2</formula>
    </cfRule>
    <cfRule type="cellIs" dxfId="7371" priority="162" operator="equal">
      <formula>3.1</formula>
    </cfRule>
    <cfRule type="cellIs" dxfId="7370" priority="163" operator="equal">
      <formula>2.4</formula>
    </cfRule>
    <cfRule type="cellIs" dxfId="7369" priority="164" operator="equal">
      <formula>2.3</formula>
    </cfRule>
    <cfRule type="cellIs" dxfId="7368" priority="165" operator="equal">
      <formula>2.2</formula>
    </cfRule>
    <cfRule type="cellIs" dxfId="7367" priority="166" operator="equal">
      <formula>2.1</formula>
    </cfRule>
    <cfRule type="cellIs" dxfId="7366" priority="167" operator="equal">
      <formula>1.5</formula>
    </cfRule>
    <cfRule type="cellIs" dxfId="7365" priority="168" operator="equal">
      <formula>1.4</formula>
    </cfRule>
    <cfRule type="cellIs" dxfId="7364" priority="169" operator="equal">
      <formula>1.3</formula>
    </cfRule>
    <cfRule type="cellIs" dxfId="7363" priority="170" operator="equal">
      <formula>1.2</formula>
    </cfRule>
    <cfRule type="containsText" dxfId="7362" priority="171" operator="containsText" text="1.1">
      <formula>NOT(ISERROR(SEARCH("1.1",BJ48)))</formula>
    </cfRule>
  </conditionalFormatting>
  <conditionalFormatting sqref="BJ98:BO98">
    <cfRule type="cellIs" dxfId="7361" priority="138" operator="equal">
      <formula>4.4</formula>
    </cfRule>
    <cfRule type="cellIs" dxfId="7360" priority="139" operator="equal">
      <formula>4.3</formula>
    </cfRule>
    <cfRule type="cellIs" dxfId="7359" priority="140" operator="equal">
      <formula>4.2</formula>
    </cfRule>
    <cfRule type="cellIs" dxfId="7358" priority="141" operator="equal">
      <formula>4.1</formula>
    </cfRule>
    <cfRule type="cellIs" dxfId="7357" priority="142" operator="equal">
      <formula>3.4</formula>
    </cfRule>
    <cfRule type="cellIs" dxfId="7356" priority="143" operator="equal">
      <formula>3.3</formula>
    </cfRule>
    <cfRule type="cellIs" dxfId="7355" priority="144" operator="equal">
      <formula>3.2</formula>
    </cfRule>
    <cfRule type="cellIs" dxfId="7354" priority="145" operator="equal">
      <formula>3.1</formula>
    </cfRule>
    <cfRule type="cellIs" dxfId="7353" priority="146" operator="equal">
      <formula>2.4</formula>
    </cfRule>
    <cfRule type="cellIs" dxfId="7352" priority="147" operator="equal">
      <formula>2.3</formula>
    </cfRule>
    <cfRule type="cellIs" dxfId="7351" priority="148" operator="equal">
      <formula>2.2</formula>
    </cfRule>
    <cfRule type="cellIs" dxfId="7350" priority="149" operator="equal">
      <formula>2.1</formula>
    </cfRule>
    <cfRule type="cellIs" dxfId="7349" priority="150" operator="equal">
      <formula>1.5</formula>
    </cfRule>
    <cfRule type="cellIs" dxfId="7348" priority="151" operator="equal">
      <formula>1.4</formula>
    </cfRule>
    <cfRule type="cellIs" dxfId="7347" priority="152" operator="equal">
      <formula>1.3</formula>
    </cfRule>
    <cfRule type="cellIs" dxfId="7346" priority="153" operator="equal">
      <formula>1.2</formula>
    </cfRule>
    <cfRule type="containsText" dxfId="7345" priority="154" operator="containsText" text="1.1">
      <formula>NOT(ISERROR(SEARCH("1.1",BJ98)))</formula>
    </cfRule>
  </conditionalFormatting>
  <conditionalFormatting sqref="BJ144:BO144">
    <cfRule type="cellIs" dxfId="7344" priority="121" operator="equal">
      <formula>4.4</formula>
    </cfRule>
    <cfRule type="cellIs" dxfId="7343" priority="122" operator="equal">
      <formula>4.3</formula>
    </cfRule>
    <cfRule type="cellIs" dxfId="7342" priority="123" operator="equal">
      <formula>4.2</formula>
    </cfRule>
    <cfRule type="cellIs" dxfId="7341" priority="124" operator="equal">
      <formula>4.1</formula>
    </cfRule>
    <cfRule type="cellIs" dxfId="7340" priority="125" operator="equal">
      <formula>3.4</formula>
    </cfRule>
    <cfRule type="cellIs" dxfId="7339" priority="126" operator="equal">
      <formula>3.3</formula>
    </cfRule>
    <cfRule type="cellIs" dxfId="7338" priority="127" operator="equal">
      <formula>3.2</formula>
    </cfRule>
    <cfRule type="cellIs" dxfId="7337" priority="128" operator="equal">
      <formula>3.1</formula>
    </cfRule>
    <cfRule type="cellIs" dxfId="7336" priority="129" operator="equal">
      <formula>2.4</formula>
    </cfRule>
    <cfRule type="cellIs" dxfId="7335" priority="130" operator="equal">
      <formula>2.3</formula>
    </cfRule>
    <cfRule type="cellIs" dxfId="7334" priority="131" operator="equal">
      <formula>2.2</formula>
    </cfRule>
    <cfRule type="cellIs" dxfId="7333" priority="132" operator="equal">
      <formula>2.1</formula>
    </cfRule>
    <cfRule type="cellIs" dxfId="7332" priority="133" operator="equal">
      <formula>1.5</formula>
    </cfRule>
    <cfRule type="cellIs" dxfId="7331" priority="134" operator="equal">
      <formula>1.4</formula>
    </cfRule>
    <cfRule type="cellIs" dxfId="7330" priority="135" operator="equal">
      <formula>1.3</formula>
    </cfRule>
    <cfRule type="cellIs" dxfId="7329" priority="136" operator="equal">
      <formula>1.2</formula>
    </cfRule>
    <cfRule type="containsText" dxfId="7328" priority="137" operator="containsText" text="1.1">
      <formula>NOT(ISERROR(SEARCH("1.1",BJ144)))</formula>
    </cfRule>
  </conditionalFormatting>
  <conditionalFormatting sqref="BJ194:BO194">
    <cfRule type="cellIs" dxfId="7327" priority="104" operator="equal">
      <formula>4.4</formula>
    </cfRule>
    <cfRule type="cellIs" dxfId="7326" priority="105" operator="equal">
      <formula>4.3</formula>
    </cfRule>
    <cfRule type="cellIs" dxfId="7325" priority="106" operator="equal">
      <formula>4.2</formula>
    </cfRule>
    <cfRule type="cellIs" dxfId="7324" priority="107" operator="equal">
      <formula>4.1</formula>
    </cfRule>
    <cfRule type="cellIs" dxfId="7323" priority="108" operator="equal">
      <formula>3.4</formula>
    </cfRule>
    <cfRule type="cellIs" dxfId="7322" priority="109" operator="equal">
      <formula>3.3</formula>
    </cfRule>
    <cfRule type="cellIs" dxfId="7321" priority="110" operator="equal">
      <formula>3.2</formula>
    </cfRule>
    <cfRule type="cellIs" dxfId="7320" priority="111" operator="equal">
      <formula>3.1</formula>
    </cfRule>
    <cfRule type="cellIs" dxfId="7319" priority="112" operator="equal">
      <formula>2.4</formula>
    </cfRule>
    <cfRule type="cellIs" dxfId="7318" priority="113" operator="equal">
      <formula>2.3</formula>
    </cfRule>
    <cfRule type="cellIs" dxfId="7317" priority="114" operator="equal">
      <formula>2.2</formula>
    </cfRule>
    <cfRule type="cellIs" dxfId="7316" priority="115" operator="equal">
      <formula>2.1</formula>
    </cfRule>
    <cfRule type="cellIs" dxfId="7315" priority="116" operator="equal">
      <formula>1.5</formula>
    </cfRule>
    <cfRule type="cellIs" dxfId="7314" priority="117" operator="equal">
      <formula>1.4</formula>
    </cfRule>
    <cfRule type="cellIs" dxfId="7313" priority="118" operator="equal">
      <formula>1.3</formula>
    </cfRule>
    <cfRule type="cellIs" dxfId="7312" priority="119" operator="equal">
      <formula>1.2</formula>
    </cfRule>
    <cfRule type="containsText" dxfId="7311" priority="120" operator="containsText" text="1.1">
      <formula>NOT(ISERROR(SEARCH("1.1",BJ194)))</formula>
    </cfRule>
  </conditionalFormatting>
  <conditionalFormatting sqref="H134:I139">
    <cfRule type="containsBlanks" dxfId="7310" priority="103">
      <formula>LEN(TRIM(H134))=0</formula>
    </cfRule>
  </conditionalFormatting>
  <conditionalFormatting sqref="H134:I139">
    <cfRule type="cellIs" dxfId="7309" priority="86" operator="equal">
      <formula>4.4</formula>
    </cfRule>
    <cfRule type="cellIs" dxfId="7308" priority="87" operator="equal">
      <formula>4.3</formula>
    </cfRule>
    <cfRule type="cellIs" dxfId="7307" priority="88" operator="equal">
      <formula>4.2</formula>
    </cfRule>
    <cfRule type="cellIs" dxfId="7306" priority="89" operator="equal">
      <formula>4.1</formula>
    </cfRule>
    <cfRule type="cellIs" dxfId="7305" priority="90" operator="equal">
      <formula>3.4</formula>
    </cfRule>
    <cfRule type="cellIs" dxfId="7304" priority="91" operator="equal">
      <formula>3.3</formula>
    </cfRule>
    <cfRule type="cellIs" dxfId="7303" priority="92" operator="equal">
      <formula>3.2</formula>
    </cfRule>
    <cfRule type="cellIs" dxfId="7302" priority="93" operator="equal">
      <formula>3.1</formula>
    </cfRule>
    <cfRule type="cellIs" dxfId="7301" priority="94" operator="equal">
      <formula>2.4</formula>
    </cfRule>
    <cfRule type="cellIs" dxfId="7300" priority="95" operator="equal">
      <formula>2.3</formula>
    </cfRule>
    <cfRule type="cellIs" dxfId="7299" priority="96" operator="equal">
      <formula>2.2</formula>
    </cfRule>
    <cfRule type="cellIs" dxfId="7298" priority="97" operator="equal">
      <formula>2.1</formula>
    </cfRule>
    <cfRule type="cellIs" dxfId="7297" priority="98" operator="equal">
      <formula>1.5</formula>
    </cfRule>
    <cfRule type="cellIs" dxfId="7296" priority="99" operator="equal">
      <formula>1.4</formula>
    </cfRule>
    <cfRule type="cellIs" dxfId="7295" priority="100" operator="equal">
      <formula>1.3</formula>
    </cfRule>
    <cfRule type="cellIs" dxfId="7294" priority="101" operator="equal">
      <formula>1.2</formula>
    </cfRule>
    <cfRule type="containsText" dxfId="7293" priority="102" operator="containsText" text="1.1">
      <formula>NOT(ISERROR(SEARCH("1.1",H134)))</formula>
    </cfRule>
  </conditionalFormatting>
  <conditionalFormatting sqref="BJ49">
    <cfRule type="cellIs" dxfId="7292" priority="69" operator="equal">
      <formula>4.4</formula>
    </cfRule>
    <cfRule type="cellIs" dxfId="7291" priority="70" operator="equal">
      <formula>4.3</formula>
    </cfRule>
    <cfRule type="cellIs" dxfId="7290" priority="71" operator="equal">
      <formula>4.2</formula>
    </cfRule>
    <cfRule type="cellIs" dxfId="7289" priority="72" operator="equal">
      <formula>4.1</formula>
    </cfRule>
    <cfRule type="cellIs" dxfId="7288" priority="73" operator="equal">
      <formula>3.4</formula>
    </cfRule>
    <cfRule type="cellIs" dxfId="7287" priority="74" operator="equal">
      <formula>3.3</formula>
    </cfRule>
    <cfRule type="cellIs" dxfId="7286" priority="75" operator="equal">
      <formula>3.2</formula>
    </cfRule>
    <cfRule type="cellIs" dxfId="7285" priority="76" operator="equal">
      <formula>3.1</formula>
    </cfRule>
    <cfRule type="cellIs" dxfId="7284" priority="77" operator="equal">
      <formula>2.4</formula>
    </cfRule>
    <cfRule type="cellIs" dxfId="7283" priority="78" operator="equal">
      <formula>2.3</formula>
    </cfRule>
    <cfRule type="cellIs" dxfId="7282" priority="79" operator="equal">
      <formula>2.2</formula>
    </cfRule>
    <cfRule type="cellIs" dxfId="7281" priority="80" operator="equal">
      <formula>2.1</formula>
    </cfRule>
    <cfRule type="cellIs" dxfId="7280" priority="81" operator="equal">
      <formula>1.5</formula>
    </cfRule>
    <cfRule type="cellIs" dxfId="7279" priority="82" operator="equal">
      <formula>1.4</formula>
    </cfRule>
    <cfRule type="cellIs" dxfId="7278" priority="83" operator="equal">
      <formula>1.3</formula>
    </cfRule>
    <cfRule type="cellIs" dxfId="7277" priority="84" operator="equal">
      <formula>1.2</formula>
    </cfRule>
    <cfRule type="containsText" dxfId="7276" priority="85" operator="containsText" text="1.1">
      <formula>NOT(ISERROR(SEARCH("1.1",BJ49)))</formula>
    </cfRule>
  </conditionalFormatting>
  <conditionalFormatting sqref="BJ99">
    <cfRule type="cellIs" dxfId="7275" priority="52" operator="equal">
      <formula>4.4</formula>
    </cfRule>
    <cfRule type="cellIs" dxfId="7274" priority="53" operator="equal">
      <formula>4.3</formula>
    </cfRule>
    <cfRule type="cellIs" dxfId="7273" priority="54" operator="equal">
      <formula>4.2</formula>
    </cfRule>
    <cfRule type="cellIs" dxfId="7272" priority="55" operator="equal">
      <formula>4.1</formula>
    </cfRule>
    <cfRule type="cellIs" dxfId="7271" priority="56" operator="equal">
      <formula>3.4</formula>
    </cfRule>
    <cfRule type="cellIs" dxfId="7270" priority="57" operator="equal">
      <formula>3.3</formula>
    </cfRule>
    <cfRule type="cellIs" dxfId="7269" priority="58" operator="equal">
      <formula>3.2</formula>
    </cfRule>
    <cfRule type="cellIs" dxfId="7268" priority="59" operator="equal">
      <formula>3.1</formula>
    </cfRule>
    <cfRule type="cellIs" dxfId="7267" priority="60" operator="equal">
      <formula>2.4</formula>
    </cfRule>
    <cfRule type="cellIs" dxfId="7266" priority="61" operator="equal">
      <formula>2.3</formula>
    </cfRule>
    <cfRule type="cellIs" dxfId="7265" priority="62" operator="equal">
      <formula>2.2</formula>
    </cfRule>
    <cfRule type="cellIs" dxfId="7264" priority="63" operator="equal">
      <formula>2.1</formula>
    </cfRule>
    <cfRule type="cellIs" dxfId="7263" priority="64" operator="equal">
      <formula>1.5</formula>
    </cfRule>
    <cfRule type="cellIs" dxfId="7262" priority="65" operator="equal">
      <formula>1.4</formula>
    </cfRule>
    <cfRule type="cellIs" dxfId="7261" priority="66" operator="equal">
      <formula>1.3</formula>
    </cfRule>
    <cfRule type="cellIs" dxfId="7260" priority="67" operator="equal">
      <formula>1.2</formula>
    </cfRule>
    <cfRule type="containsText" dxfId="7259" priority="68" operator="containsText" text="1.1">
      <formula>NOT(ISERROR(SEARCH("1.1",BJ99)))</formula>
    </cfRule>
  </conditionalFormatting>
  <conditionalFormatting sqref="BJ145">
    <cfRule type="cellIs" dxfId="7258" priority="35" operator="equal">
      <formula>4.4</formula>
    </cfRule>
    <cfRule type="cellIs" dxfId="7257" priority="36" operator="equal">
      <formula>4.3</formula>
    </cfRule>
    <cfRule type="cellIs" dxfId="7256" priority="37" operator="equal">
      <formula>4.2</formula>
    </cfRule>
    <cfRule type="cellIs" dxfId="7255" priority="38" operator="equal">
      <formula>4.1</formula>
    </cfRule>
    <cfRule type="cellIs" dxfId="7254" priority="39" operator="equal">
      <formula>3.4</formula>
    </cfRule>
    <cfRule type="cellIs" dxfId="7253" priority="40" operator="equal">
      <formula>3.3</formula>
    </cfRule>
    <cfRule type="cellIs" dxfId="7252" priority="41" operator="equal">
      <formula>3.2</formula>
    </cfRule>
    <cfRule type="cellIs" dxfId="7251" priority="42" operator="equal">
      <formula>3.1</formula>
    </cfRule>
    <cfRule type="cellIs" dxfId="7250" priority="43" operator="equal">
      <formula>2.4</formula>
    </cfRule>
    <cfRule type="cellIs" dxfId="7249" priority="44" operator="equal">
      <formula>2.3</formula>
    </cfRule>
    <cfRule type="cellIs" dxfId="7248" priority="45" operator="equal">
      <formula>2.2</formula>
    </cfRule>
    <cfRule type="cellIs" dxfId="7247" priority="46" operator="equal">
      <formula>2.1</formula>
    </cfRule>
    <cfRule type="cellIs" dxfId="7246" priority="47" operator="equal">
      <formula>1.5</formula>
    </cfRule>
    <cfRule type="cellIs" dxfId="7245" priority="48" operator="equal">
      <formula>1.4</formula>
    </cfRule>
    <cfRule type="cellIs" dxfId="7244" priority="49" operator="equal">
      <formula>1.3</formula>
    </cfRule>
    <cfRule type="cellIs" dxfId="7243" priority="50" operator="equal">
      <formula>1.2</formula>
    </cfRule>
    <cfRule type="containsText" dxfId="7242" priority="51" operator="containsText" text="1.1">
      <formula>NOT(ISERROR(SEARCH("1.1",BJ145)))</formula>
    </cfRule>
  </conditionalFormatting>
  <conditionalFormatting sqref="BJ195">
    <cfRule type="cellIs" dxfId="7241" priority="18" operator="equal">
      <formula>4.4</formula>
    </cfRule>
    <cfRule type="cellIs" dxfId="7240" priority="19" operator="equal">
      <formula>4.3</formula>
    </cfRule>
    <cfRule type="cellIs" dxfId="7239" priority="20" operator="equal">
      <formula>4.2</formula>
    </cfRule>
    <cfRule type="cellIs" dxfId="7238" priority="21" operator="equal">
      <formula>4.1</formula>
    </cfRule>
    <cfRule type="cellIs" dxfId="7237" priority="22" operator="equal">
      <formula>3.4</formula>
    </cfRule>
    <cfRule type="cellIs" dxfId="7236" priority="23" operator="equal">
      <formula>3.3</formula>
    </cfRule>
    <cfRule type="cellIs" dxfId="7235" priority="24" operator="equal">
      <formula>3.2</formula>
    </cfRule>
    <cfRule type="cellIs" dxfId="7234" priority="25" operator="equal">
      <formula>3.1</formula>
    </cfRule>
    <cfRule type="cellIs" dxfId="7233" priority="26" operator="equal">
      <formula>2.4</formula>
    </cfRule>
    <cfRule type="cellIs" dxfId="7232" priority="27" operator="equal">
      <formula>2.3</formula>
    </cfRule>
    <cfRule type="cellIs" dxfId="7231" priority="28" operator="equal">
      <formula>2.2</formula>
    </cfRule>
    <cfRule type="cellIs" dxfId="7230" priority="29" operator="equal">
      <formula>2.1</formula>
    </cfRule>
    <cfRule type="cellIs" dxfId="7229" priority="30" operator="equal">
      <formula>1.5</formula>
    </cfRule>
    <cfRule type="cellIs" dxfId="7228" priority="31" operator="equal">
      <formula>1.4</formula>
    </cfRule>
    <cfRule type="cellIs" dxfId="7227" priority="32" operator="equal">
      <formula>1.3</formula>
    </cfRule>
    <cfRule type="cellIs" dxfId="7226" priority="33" operator="equal">
      <formula>1.2</formula>
    </cfRule>
    <cfRule type="containsText" dxfId="7225" priority="34" operator="containsText" text="1.1">
      <formula>NOT(ISERROR(SEARCH("1.1",BJ195)))</formula>
    </cfRule>
  </conditionalFormatting>
  <conditionalFormatting sqref="BJ245">
    <cfRule type="cellIs" dxfId="7224" priority="1" operator="equal">
      <formula>4.4</formula>
    </cfRule>
    <cfRule type="cellIs" dxfId="7223" priority="2" operator="equal">
      <formula>4.3</formula>
    </cfRule>
    <cfRule type="cellIs" dxfId="7222" priority="3" operator="equal">
      <formula>4.2</formula>
    </cfRule>
    <cfRule type="cellIs" dxfId="7221" priority="4" operator="equal">
      <formula>4.1</formula>
    </cfRule>
    <cfRule type="cellIs" dxfId="7220" priority="5" operator="equal">
      <formula>3.4</formula>
    </cfRule>
    <cfRule type="cellIs" dxfId="7219" priority="6" operator="equal">
      <formula>3.3</formula>
    </cfRule>
    <cfRule type="cellIs" dxfId="7218" priority="7" operator="equal">
      <formula>3.2</formula>
    </cfRule>
    <cfRule type="cellIs" dxfId="7217" priority="8" operator="equal">
      <formula>3.1</formula>
    </cfRule>
    <cfRule type="cellIs" dxfId="7216" priority="9" operator="equal">
      <formula>2.4</formula>
    </cfRule>
    <cfRule type="cellIs" dxfId="7215" priority="10" operator="equal">
      <formula>2.3</formula>
    </cfRule>
    <cfRule type="cellIs" dxfId="7214" priority="11" operator="equal">
      <formula>2.2</formula>
    </cfRule>
    <cfRule type="cellIs" dxfId="7213" priority="12" operator="equal">
      <formula>2.1</formula>
    </cfRule>
    <cfRule type="cellIs" dxfId="7212" priority="13" operator="equal">
      <formula>1.5</formula>
    </cfRule>
    <cfRule type="cellIs" dxfId="7211" priority="14" operator="equal">
      <formula>1.4</formula>
    </cfRule>
    <cfRule type="cellIs" dxfId="7210" priority="15" operator="equal">
      <formula>1.3</formula>
    </cfRule>
    <cfRule type="cellIs" dxfId="7209" priority="16" operator="equal">
      <formula>1.2</formula>
    </cfRule>
    <cfRule type="containsText" dxfId="7208" priority="17" operator="containsText" text="1.1">
      <formula>NOT(ISERROR(SEARCH("1.1",BJ245)))</formula>
    </cfRule>
  </conditionalFormatting>
  <hyperlinks>
    <hyperlink ref="Y5:AA6" location="Drinks2" display="Drinks2" xr:uid="{00000000-0004-0000-0900-000000000000}"/>
    <hyperlink ref="AC5:AE6" location="Drinks2" display="Drinks2" xr:uid="{00000000-0004-0000-0900-000001000000}"/>
    <hyperlink ref="AG5:AI6" location="Drinks2" display="Drinks2" xr:uid="{00000000-0004-0000-0900-000002000000}"/>
    <hyperlink ref="AK5:AM6" location="Drinks2" display="Drinks2" xr:uid="{00000000-0004-0000-0900-000003000000}"/>
    <hyperlink ref="AO5:AQ6" location="Drinks2" display="Drinks2" xr:uid="{00000000-0004-0000-0900-000004000000}"/>
    <hyperlink ref="AS5:AU6" location="Drinks2" display="Drinks2" xr:uid="{00000000-0004-0000-0900-000005000000}"/>
    <hyperlink ref="AW5:AY6" location="Drinks3" display="Drinks3" xr:uid="{00000000-0004-0000-0900-000006000000}"/>
    <hyperlink ref="U5:W6" location="Drinks1" display="Drinks1" xr:uid="{00000000-0004-0000-0900-000007000000}"/>
    <hyperlink ref="Q5:S6" location="Drinks1" display="Drinks1" xr:uid="{00000000-0004-0000-0900-000008000000}"/>
    <hyperlink ref="M5:O6" location="Drinks1" display="Drinks1" xr:uid="{00000000-0004-0000-0900-000009000000}"/>
    <hyperlink ref="I5:K6" location="Drinks1" display="Drinks1" xr:uid="{00000000-0004-0000-0900-00000A000000}"/>
    <hyperlink ref="E5:G6" location="Drinks1" display="Drinks1" xr:uid="{00000000-0004-0000-0900-00000B000000}"/>
    <hyperlink ref="BM1:BP2" location="CustomerProfiles" display="CustomerProfiles" xr:uid="{00000000-0004-0000-0900-00000C000000}"/>
    <hyperlink ref="BP1:BR2" location="CustomerScenariors" display="CustomerScenariors" xr:uid="{00000000-0004-0000-0900-00000D000000}"/>
    <hyperlink ref="E3:G4" location="Welcome_Services_DEL" display="Welcome_Services_DEL" xr:uid="{00000000-0004-0000-0900-00000E000000}"/>
    <hyperlink ref="I3:K4" location="Welcome_Services_DEL" display="Welcome_Services_DEL" xr:uid="{00000000-0004-0000-0900-00000F000000}"/>
    <hyperlink ref="M3:O4" location="Lunch__CAT_3_DEL" display="Lunch__CAT_3_DEL" xr:uid="{00000000-0004-0000-0900-000010000000}"/>
    <hyperlink ref="Q3:S4" location="Lunch__CAT_3_DEL" display="Lunch__CAT_3_DEL" xr:uid="{00000000-0004-0000-0900-000011000000}"/>
    <hyperlink ref="U3:W4" location="Lunch__CAT_3_DEL" display="Lunch__CAT_3_DEL" xr:uid="{00000000-0004-0000-0900-000012000000}"/>
    <hyperlink ref="Y3:AA4" location="Lunch__CAT_3_DEL" display="Lunch__CAT_3_DEL" xr:uid="{00000000-0004-0000-0900-000013000000}"/>
    <hyperlink ref="AC3:AE4" location="Lunch__CAT_3_DEL" display="Lunch__CAT_3_DEL" xr:uid="{00000000-0004-0000-0900-000014000000}"/>
    <hyperlink ref="AG3:AI4" location="Lunch__CAT_3_DEL" display="Lunch__CAT_3_DEL" xr:uid="{00000000-0004-0000-0900-000015000000}"/>
    <hyperlink ref="BA5:BC6" location="Drinks3" display="Drinks3" xr:uid="{00000000-0004-0000-0900-000016000000}"/>
    <hyperlink ref="BE5:BG6" location="Drinks3" display="Drinks3" xr:uid="{00000000-0004-0000-0900-000017000000}"/>
    <hyperlink ref="BI5:BK6" location="Drinks3" display="Drinks3" xr:uid="{00000000-0004-0000-0900-000018000000}"/>
    <hyperlink ref="AK3:AM4" location="BKK_LU_2" display="BKK_LU_2" xr:uid="{00000000-0004-0000-0900-000019000000}"/>
    <hyperlink ref="AO3:AQ4" location="BKK_LU_2" display="BKK_LU_2" xr:uid="{00000000-0004-0000-0900-00001A000000}"/>
  </hyperlinks>
  <pageMargins left="0.70866141732283472" right="0.70866141732283472" top="0" bottom="0.74803149606299213" header="0.31496062992125984" footer="0.31496062992125984"/>
  <pageSetup paperSize="9" scale="60" fitToHeight="0" orientation="landscape" r:id="rId2"/>
  <rowBreaks count="6" manualBreakCount="6">
    <brk id="45" max="16383" man="1"/>
    <brk id="93" max="16383" man="1"/>
    <brk id="141" max="69" man="1"/>
    <brk id="191" max="16383" man="1"/>
    <brk id="241" max="16383" man="1"/>
    <brk id="294"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CK248"/>
  <sheetViews>
    <sheetView showGridLines="0" view="pageBreakPreview" zoomScale="85" zoomScaleNormal="85" zoomScaleSheetLayoutView="85" workbookViewId="0">
      <selection activeCell="H3" sqref="H3:H4"/>
    </sheetView>
  </sheetViews>
  <sheetFormatPr baseColWidth="10" defaultColWidth="2.6640625" defaultRowHeight="15" customHeight="1"/>
  <cols>
    <col min="1" max="1" width="2.6640625" style="242"/>
    <col min="2" max="7" width="2.6640625" style="52"/>
    <col min="8" max="12" width="3.1640625" style="52" bestFit="1" customWidth="1"/>
    <col min="13" max="13" width="3.33203125" style="52" customWidth="1"/>
    <col min="14" max="14" width="2.6640625" style="52"/>
    <col min="15" max="15" width="2.6640625" style="242"/>
    <col min="16" max="22" width="2.6640625" style="52"/>
    <col min="23" max="23" width="2.6640625" style="242"/>
    <col min="24" max="28" width="2.6640625" style="52"/>
    <col min="29" max="29" width="2.6640625" style="52" customWidth="1"/>
    <col min="30" max="31" width="2.6640625" style="52"/>
    <col min="32" max="32" width="2.6640625" style="242"/>
    <col min="33" max="40" width="2.6640625" style="52"/>
    <col min="41" max="41" width="2.6640625" style="242"/>
    <col min="42" max="16384" width="2.6640625" style="52"/>
  </cols>
  <sheetData>
    <row r="1" spans="1:89" ht="15" customHeight="1">
      <c r="A1" s="295"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95" t="str">
        <f>"Abinitio No : "&amp;Group</f>
        <v xml:space="preserve">Abinitio No : </v>
      </c>
      <c r="AB1" s="259"/>
      <c r="AC1" s="259"/>
      <c r="AD1" s="259"/>
      <c r="AE1" s="259"/>
      <c r="AF1" s="259"/>
      <c r="AG1" s="259"/>
      <c r="AH1" s="259"/>
      <c r="AI1" s="259"/>
      <c r="AJ1" s="259"/>
      <c r="AK1" s="259"/>
      <c r="AL1" s="259"/>
      <c r="AM1" s="259"/>
      <c r="AN1" s="259"/>
      <c r="AO1" s="259"/>
      <c r="AP1" s="259"/>
      <c r="AQ1" s="259"/>
      <c r="AR1" s="295"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89" ht="15" customHeight="1">
      <c r="A2" s="295"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670</v>
      </c>
      <c r="AS2" s="259"/>
      <c r="AT2" s="259"/>
      <c r="AU2" s="259"/>
      <c r="AV2" s="259"/>
      <c r="AW2" s="259"/>
      <c r="AX2" s="295"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89"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O47</f>
        <v>1. SPML</v>
      </c>
      <c r="N3" s="1220"/>
      <c r="O3" s="1221"/>
      <c r="P3" s="1225"/>
      <c r="Q3" s="1219" t="str">
        <f>W47</f>
        <v>2. Meal Cart</v>
      </c>
      <c r="R3" s="1220"/>
      <c r="S3" s="1221"/>
      <c r="T3" s="1225"/>
      <c r="U3" s="1219" t="str">
        <f>AE47</f>
        <v>3. Hot Beverage - By Hand</v>
      </c>
      <c r="V3" s="1220"/>
      <c r="W3" s="1221"/>
      <c r="X3" s="1225"/>
      <c r="Y3" s="1219" t="str">
        <f>AM47</f>
        <v>4. Clearance Cart</v>
      </c>
      <c r="Z3" s="1220"/>
      <c r="AA3" s="1221"/>
      <c r="AB3" s="1225"/>
      <c r="AC3" s="1219" t="str">
        <f>AU47</f>
        <v>5. Final Clearance</v>
      </c>
      <c r="AD3" s="1220"/>
      <c r="AE3" s="1221"/>
      <c r="AF3" s="1225"/>
      <c r="AG3" s="1219" t="str">
        <f>BC47</f>
        <v>6. Hot Towels - Pre Landing</v>
      </c>
      <c r="AH3" s="1220"/>
      <c r="AI3" s="1221"/>
      <c r="AJ3" s="1225"/>
      <c r="AK3" s="251"/>
      <c r="AL3" s="251"/>
      <c r="AM3" s="251"/>
      <c r="AN3" s="251"/>
      <c r="AO3" s="251"/>
      <c r="AP3" s="251"/>
      <c r="AQ3" s="251"/>
      <c r="AR3" s="251"/>
      <c r="AS3" s="251"/>
      <c r="AT3" s="251"/>
      <c r="AU3" s="251"/>
      <c r="AV3" s="251"/>
      <c r="AW3" s="251"/>
      <c r="AX3" s="251"/>
    </row>
    <row r="4" spans="1:89"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1222"/>
      <c r="AH4" s="1223"/>
      <c r="AI4" s="1224"/>
      <c r="AJ4" s="1226"/>
      <c r="AK4" s="251"/>
      <c r="AL4" s="251"/>
      <c r="AM4" s="251"/>
      <c r="AN4" s="251"/>
      <c r="AO4" s="251"/>
      <c r="AP4" s="251"/>
      <c r="AQ4" s="251"/>
      <c r="AR4" s="251"/>
      <c r="AS4" s="251"/>
      <c r="AT4" s="251"/>
      <c r="AU4" s="251"/>
      <c r="AV4" s="251"/>
      <c r="AW4" s="251"/>
      <c r="AX4" s="251"/>
    </row>
    <row r="5" spans="1:89" ht="15" customHeight="1">
      <c r="A5" s="1219" t="str">
        <f>O95</f>
        <v>1. Champagne</v>
      </c>
      <c r="B5" s="1220"/>
      <c r="C5" s="1221"/>
      <c r="D5" s="1225"/>
      <c r="E5" s="1219" t="str">
        <f>W95</f>
        <v>2. Wine 
- Small Bottles</v>
      </c>
      <c r="F5" s="1220"/>
      <c r="G5" s="1221"/>
      <c r="H5" s="1225"/>
      <c r="I5" s="1219" t="str">
        <f>AE95</f>
        <v>3. White Wine Spritzer
- Small Bottles</v>
      </c>
      <c r="J5" s="1220"/>
      <c r="K5" s="1221"/>
      <c r="L5" s="1225"/>
      <c r="M5" s="1219" t="str">
        <f>AM95</f>
        <v>4. Wine
- Big Bottles</v>
      </c>
      <c r="N5" s="1220"/>
      <c r="O5" s="1221"/>
      <c r="P5" s="1225"/>
      <c r="Q5" s="1219" t="str">
        <f>AU95</f>
        <v>5. Dry - White Wine Spritzer - Big Bottle of Wine</v>
      </c>
      <c r="R5" s="1220"/>
      <c r="S5" s="1221"/>
      <c r="T5" s="1225"/>
      <c r="U5" s="1219" t="str">
        <f>BC95</f>
        <v>6. Sweet - White Wine Spritzer- Big Bottle of Wine</v>
      </c>
      <c r="V5" s="1220"/>
      <c r="W5" s="1221"/>
      <c r="X5" s="1225"/>
      <c r="Y5" s="1219" t="str">
        <f>O145</f>
        <v>7. Liqueur</v>
      </c>
      <c r="Z5" s="1220"/>
      <c r="AA5" s="1221"/>
      <c r="AB5" s="1225"/>
      <c r="AC5" s="1219" t="str">
        <f>W145</f>
        <v>8. Shandy</v>
      </c>
      <c r="AD5" s="1220"/>
      <c r="AE5" s="1221"/>
      <c r="AF5" s="1225"/>
      <c r="AG5" s="1219" t="str">
        <f>AE145</f>
        <v>9. Hot Beverage 
- Tea</v>
      </c>
      <c r="AH5" s="1220"/>
      <c r="AI5" s="1221"/>
      <c r="AJ5" s="1225"/>
      <c r="AK5" s="1219" t="str">
        <f>AM145</f>
        <v>10. Beer</v>
      </c>
      <c r="AL5" s="1220"/>
      <c r="AM5" s="1221"/>
      <c r="AN5" s="1225"/>
      <c r="AO5" s="1219" t="str">
        <f>AU145</f>
        <v>11. Screwdriver</v>
      </c>
      <c r="AP5" s="1220"/>
      <c r="AQ5" s="1221"/>
      <c r="AR5" s="1225"/>
      <c r="AS5" s="1219" t="str">
        <f>BC145</f>
        <v>12. Gin &amp; Orange Juice</v>
      </c>
      <c r="AT5" s="1220"/>
      <c r="AU5" s="1221"/>
      <c r="AV5" s="1225"/>
      <c r="AW5" s="1219" t="str">
        <f>O195</f>
        <v>13. Rum &amp; Pepsi</v>
      </c>
      <c r="AX5" s="1220"/>
      <c r="AY5" s="1221"/>
      <c r="AZ5" s="1225"/>
      <c r="BA5" s="1219" t="str">
        <f>W195</f>
        <v>14. Gin &amp; Tonic</v>
      </c>
      <c r="BB5" s="1220"/>
      <c r="BC5" s="1221"/>
      <c r="BD5" s="1225"/>
      <c r="BE5" s="1219" t="str">
        <f>AE195</f>
        <v>15. Scotch &amp; Soda</v>
      </c>
      <c r="BF5" s="1220"/>
      <c r="BG5" s="1221"/>
      <c r="BH5" s="1225"/>
      <c r="BI5" s="1219" t="str">
        <f>AM195</f>
        <v>16. Bloody Mary</v>
      </c>
      <c r="BJ5" s="1220"/>
      <c r="BK5" s="1221"/>
      <c r="BL5" s="1225"/>
    </row>
    <row r="6" spans="1:89"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9"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9"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9" ht="15" customHeight="1">
      <c r="A9" s="1172"/>
      <c r="B9" s="1173" t="s">
        <v>608</v>
      </c>
      <c r="C9" s="1173"/>
      <c r="D9" s="1173"/>
      <c r="E9" s="1173"/>
      <c r="F9" s="1173"/>
      <c r="G9" s="1173"/>
      <c r="H9" s="1173"/>
      <c r="I9" s="1174">
        <v>1</v>
      </c>
      <c r="J9" s="1174">
        <v>2</v>
      </c>
      <c r="K9" s="255"/>
      <c r="L9" s="1537"/>
      <c r="M9" s="1541" t="s">
        <v>662</v>
      </c>
      <c r="N9" s="1541"/>
      <c r="O9" s="1541"/>
      <c r="P9" s="1541"/>
      <c r="Q9" s="1541"/>
      <c r="R9" s="1541"/>
      <c r="S9" s="1541"/>
      <c r="T9" s="1249"/>
      <c r="U9" s="1250"/>
      <c r="V9" s="1251"/>
      <c r="W9" s="1529" t="s">
        <v>677</v>
      </c>
      <c r="X9" s="1252"/>
      <c r="Y9" s="1252"/>
      <c r="Z9" s="1252"/>
      <c r="AA9" s="1252"/>
      <c r="AB9" s="1252"/>
      <c r="AC9" s="1253"/>
      <c r="AD9" s="1256"/>
      <c r="AE9" s="256"/>
      <c r="AF9" s="256"/>
      <c r="AO9" s="52"/>
      <c r="BJ9" s="1182" t="s">
        <v>263</v>
      </c>
      <c r="BK9" s="1183"/>
      <c r="BL9" s="1183"/>
      <c r="BM9" s="1183"/>
      <c r="BN9" s="1183"/>
      <c r="BO9" s="1184"/>
      <c r="BP9" s="255"/>
      <c r="BQ9" s="255"/>
      <c r="BR9" s="255"/>
      <c r="BS9" s="242"/>
      <c r="CB9" s="242"/>
    </row>
    <row r="10" spans="1:89" ht="15" customHeight="1" thickBot="1">
      <c r="A10" s="1172"/>
      <c r="B10" s="1173"/>
      <c r="C10" s="1173"/>
      <c r="D10" s="1173"/>
      <c r="E10" s="1173"/>
      <c r="F10" s="1173"/>
      <c r="G10" s="1173"/>
      <c r="H10" s="1173"/>
      <c r="I10" s="1174"/>
      <c r="J10" s="1174"/>
      <c r="K10" s="255"/>
      <c r="L10" s="1539"/>
      <c r="M10" s="1547"/>
      <c r="N10" s="1547"/>
      <c r="O10" s="1547"/>
      <c r="P10" s="1547"/>
      <c r="Q10" s="1547"/>
      <c r="R10" s="1547"/>
      <c r="S10" s="1547"/>
      <c r="T10" s="1249" t="s">
        <v>312</v>
      </c>
      <c r="U10" s="1250"/>
      <c r="V10" s="1251"/>
      <c r="W10" s="1531"/>
      <c r="X10" s="1254"/>
      <c r="Y10" s="1254"/>
      <c r="Z10" s="1254"/>
      <c r="AA10" s="1254"/>
      <c r="AB10" s="1254"/>
      <c r="AC10" s="1255"/>
      <c r="AD10" s="1257"/>
      <c r="AE10" s="256"/>
      <c r="AF10" s="256"/>
      <c r="AO10" s="52"/>
      <c r="BJ10" s="1185"/>
      <c r="BK10" s="1186"/>
      <c r="BL10" s="1186"/>
      <c r="BM10" s="1186"/>
      <c r="BN10" s="1186"/>
      <c r="BO10" s="1187"/>
      <c r="BP10" s="255"/>
      <c r="BQ10" s="255"/>
      <c r="BR10" s="255"/>
      <c r="BS10" s="242"/>
      <c r="CB10" s="242"/>
    </row>
    <row r="11" spans="1:89" ht="15" customHeight="1">
      <c r="A11" s="1307">
        <v>1.1000000000000001</v>
      </c>
      <c r="B11" s="1395" t="s">
        <v>939</v>
      </c>
      <c r="C11" s="1396"/>
      <c r="D11" s="1396"/>
      <c r="E11" s="1396"/>
      <c r="F11" s="1396"/>
      <c r="G11" s="1396"/>
      <c r="H11" s="1536"/>
      <c r="I11" s="1205" t="str">
        <f>IF(ISBLANK(H$3),"",1)</f>
        <v/>
      </c>
      <c r="J11" s="1205" t="str">
        <f>IF(ISBLANK(L$3),"",1)</f>
        <v/>
      </c>
      <c r="K11" s="255"/>
      <c r="L11" s="1236">
        <v>1.5</v>
      </c>
      <c r="M11" s="1395" t="s">
        <v>314</v>
      </c>
      <c r="N11" s="1396"/>
      <c r="O11" s="1396"/>
      <c r="P11" s="1396"/>
      <c r="Q11" s="1396"/>
      <c r="R11" s="1396"/>
      <c r="S11" s="1396"/>
      <c r="T11" s="1205" t="str">
        <f>IF(ISBLANK(H$3),"",1)</f>
        <v/>
      </c>
      <c r="U11" s="1241"/>
      <c r="V11" s="1236">
        <v>4.4000000000000004</v>
      </c>
      <c r="W11" s="1526" t="s">
        <v>628</v>
      </c>
      <c r="X11" s="1527"/>
      <c r="Y11" s="1527"/>
      <c r="Z11" s="1527"/>
      <c r="AA11" s="1527"/>
      <c r="AB11" s="1527"/>
      <c r="AC11" s="1533"/>
      <c r="AD11" s="1205" t="str">
        <f>IF(ISBLANK(L$3),"",1)</f>
        <v/>
      </c>
      <c r="AE11" s="256"/>
      <c r="AF11" s="256"/>
      <c r="AO11" s="52"/>
      <c r="BJ11" s="1188"/>
      <c r="BK11" s="1189"/>
      <c r="BL11" s="1189"/>
      <c r="BM11" s="1189"/>
      <c r="BN11" s="1189"/>
      <c r="BO11" s="1190"/>
      <c r="BP11" s="255"/>
      <c r="BQ11" s="255"/>
      <c r="BR11" s="255"/>
      <c r="BS11" s="242"/>
      <c r="CB11" s="242"/>
    </row>
    <row r="12" spans="1:89" ht="15" customHeight="1">
      <c r="A12" s="1308"/>
      <c r="B12" s="1163"/>
      <c r="C12" s="1164"/>
      <c r="D12" s="1164"/>
      <c r="E12" s="1164"/>
      <c r="F12" s="1164"/>
      <c r="G12" s="1164"/>
      <c r="H12" s="1266"/>
      <c r="I12" s="1206"/>
      <c r="J12" s="1206"/>
      <c r="K12" s="255"/>
      <c r="L12" s="1236"/>
      <c r="M12" s="1163"/>
      <c r="N12" s="1164"/>
      <c r="O12" s="1164"/>
      <c r="P12" s="1164"/>
      <c r="Q12" s="1164"/>
      <c r="R12" s="1164"/>
      <c r="S12" s="1164"/>
      <c r="T12" s="1206"/>
      <c r="U12" s="1241"/>
      <c r="V12" s="1236"/>
      <c r="W12" s="1317"/>
      <c r="X12" s="1296"/>
      <c r="Y12" s="1296"/>
      <c r="Z12" s="1296"/>
      <c r="AA12" s="1296"/>
      <c r="AB12" s="1296"/>
      <c r="AC12" s="1297"/>
      <c r="AD12" s="1206"/>
      <c r="AE12" s="256"/>
      <c r="AF12" s="256"/>
      <c r="AO12" s="52"/>
      <c r="BJ12" s="1188"/>
      <c r="BK12" s="1189"/>
      <c r="BL12" s="1189"/>
      <c r="BM12" s="1189"/>
      <c r="BN12" s="1189"/>
      <c r="BO12" s="1190"/>
      <c r="BP12" s="255"/>
      <c r="BQ12" s="255"/>
      <c r="BR12" s="255"/>
      <c r="BS12" s="242"/>
      <c r="CB12" s="242"/>
    </row>
    <row r="13" spans="1:89" ht="15" customHeight="1">
      <c r="A13" s="1309"/>
      <c r="B13" s="1163"/>
      <c r="C13" s="1164"/>
      <c r="D13" s="1164"/>
      <c r="E13" s="1164"/>
      <c r="F13" s="1164"/>
      <c r="G13" s="1164"/>
      <c r="H13" s="1266"/>
      <c r="I13" s="1207"/>
      <c r="J13" s="1207"/>
      <c r="K13" s="255"/>
      <c r="L13" s="1236"/>
      <c r="M13" s="1165"/>
      <c r="N13" s="1166"/>
      <c r="O13" s="1166"/>
      <c r="P13" s="1166"/>
      <c r="Q13" s="1166"/>
      <c r="R13" s="1166"/>
      <c r="S13" s="1166"/>
      <c r="T13" s="1207"/>
      <c r="U13" s="1241"/>
      <c r="V13" s="1236"/>
      <c r="W13" s="1317"/>
      <c r="X13" s="1296"/>
      <c r="Y13" s="1296"/>
      <c r="Z13" s="1296"/>
      <c r="AA13" s="1296"/>
      <c r="AB13" s="1296"/>
      <c r="AC13" s="1297"/>
      <c r="AD13" s="1207"/>
      <c r="AE13" s="256"/>
      <c r="AF13" s="256"/>
      <c r="AO13" s="52"/>
      <c r="BJ13" s="1188"/>
      <c r="BK13" s="1189"/>
      <c r="BL13" s="1189"/>
      <c r="BM13" s="1189"/>
      <c r="BN13" s="1189"/>
      <c r="BO13" s="1190"/>
      <c r="BP13" s="255"/>
      <c r="BQ13" s="255"/>
      <c r="BR13" s="255"/>
      <c r="BS13" s="242"/>
      <c r="CB13" s="242"/>
    </row>
    <row r="14" spans="1:89" ht="15" customHeight="1">
      <c r="A14" s="1307">
        <v>1.1000000000000001</v>
      </c>
      <c r="B14" s="1395" t="s">
        <v>316</v>
      </c>
      <c r="C14" s="1396"/>
      <c r="D14" s="1396"/>
      <c r="E14" s="1396"/>
      <c r="F14" s="1396"/>
      <c r="G14" s="1396"/>
      <c r="H14" s="1536"/>
      <c r="I14" s="1205" t="str">
        <f t="shared" ref="I14" si="0">IF(ISBLANK(H$3),"",1)</f>
        <v/>
      </c>
      <c r="J14" s="1205" t="str">
        <f>IF(ISBLANK(L$3),"",1)</f>
        <v/>
      </c>
      <c r="K14" s="255"/>
      <c r="L14" s="1258">
        <v>4.4000000000000004</v>
      </c>
      <c r="M14" s="1161" t="s">
        <v>317</v>
      </c>
      <c r="N14" s="1162"/>
      <c r="O14" s="1162"/>
      <c r="P14" s="1162"/>
      <c r="Q14" s="1162"/>
      <c r="R14" s="1162"/>
      <c r="S14" s="1162"/>
      <c r="T14" s="1205" t="str">
        <f>IF(ISBLANK(H$3),"",1)</f>
        <v/>
      </c>
      <c r="U14" s="1241"/>
      <c r="V14" s="1258">
        <v>4.4000000000000004</v>
      </c>
      <c r="W14" s="1526" t="s">
        <v>874</v>
      </c>
      <c r="X14" s="1527"/>
      <c r="Y14" s="1527"/>
      <c r="Z14" s="1527"/>
      <c r="AA14" s="1527"/>
      <c r="AB14" s="1527"/>
      <c r="AC14" s="1533" t="s">
        <v>696</v>
      </c>
      <c r="AD14" s="1205" t="str">
        <f>IF(ISBLANK(L$3),"",1)</f>
        <v/>
      </c>
      <c r="AE14" s="256"/>
      <c r="AF14" s="256"/>
      <c r="AO14" s="52"/>
      <c r="BJ14" s="1188"/>
      <c r="BK14" s="1189"/>
      <c r="BL14" s="1189"/>
      <c r="BM14" s="1189"/>
      <c r="BN14" s="1189"/>
      <c r="BO14" s="1190"/>
      <c r="BP14" s="255"/>
      <c r="BQ14" s="255"/>
      <c r="BR14" s="255"/>
      <c r="BS14" s="242"/>
      <c r="CB14" s="242"/>
      <c r="CK14" s="242"/>
    </row>
    <row r="15" spans="1:89" ht="15" customHeight="1">
      <c r="A15" s="1308"/>
      <c r="B15" s="1163"/>
      <c r="C15" s="1164"/>
      <c r="D15" s="1164"/>
      <c r="E15" s="1164"/>
      <c r="F15" s="1164"/>
      <c r="G15" s="1164"/>
      <c r="H15" s="1266"/>
      <c r="I15" s="1206"/>
      <c r="J15" s="1206"/>
      <c r="K15" s="255"/>
      <c r="L15" s="1258"/>
      <c r="M15" s="1163"/>
      <c r="N15" s="1164"/>
      <c r="O15" s="1164"/>
      <c r="P15" s="1164"/>
      <c r="Q15" s="1164"/>
      <c r="R15" s="1164"/>
      <c r="S15" s="1164"/>
      <c r="T15" s="1206"/>
      <c r="U15" s="1241"/>
      <c r="V15" s="1258"/>
      <c r="W15" s="1317"/>
      <c r="X15" s="1296"/>
      <c r="Y15" s="1296"/>
      <c r="Z15" s="1296"/>
      <c r="AA15" s="1296"/>
      <c r="AB15" s="1296"/>
      <c r="AC15" s="1297"/>
      <c r="AD15" s="1206"/>
      <c r="AE15" s="256"/>
      <c r="AF15" s="256"/>
      <c r="AO15" s="52"/>
      <c r="BJ15" s="1188"/>
      <c r="BK15" s="1189"/>
      <c r="BL15" s="1189"/>
      <c r="BM15" s="1189"/>
      <c r="BN15" s="1189"/>
      <c r="BO15" s="1190"/>
      <c r="BP15" s="255"/>
      <c r="BQ15" s="255"/>
      <c r="BR15" s="255"/>
      <c r="BS15" s="242"/>
      <c r="CB15" s="242"/>
      <c r="CK15" s="242"/>
    </row>
    <row r="16" spans="1:89" ht="15" customHeight="1">
      <c r="A16" s="1309"/>
      <c r="B16" s="1163"/>
      <c r="C16" s="1164"/>
      <c r="D16" s="1164"/>
      <c r="E16" s="1164"/>
      <c r="F16" s="1164"/>
      <c r="G16" s="1164"/>
      <c r="H16" s="1266"/>
      <c r="I16" s="1207"/>
      <c r="J16" s="1207"/>
      <c r="K16" s="255"/>
      <c r="L16" s="1258"/>
      <c r="M16" s="1165"/>
      <c r="N16" s="1166"/>
      <c r="O16" s="1166"/>
      <c r="P16" s="1166"/>
      <c r="Q16" s="1166"/>
      <c r="R16" s="1166"/>
      <c r="S16" s="1166"/>
      <c r="T16" s="1207"/>
      <c r="U16" s="1241"/>
      <c r="V16" s="1258"/>
      <c r="W16" s="1317"/>
      <c r="X16" s="1296"/>
      <c r="Y16" s="1296"/>
      <c r="Z16" s="1296"/>
      <c r="AA16" s="1296"/>
      <c r="AB16" s="1296"/>
      <c r="AC16" s="1297"/>
      <c r="AD16" s="1207"/>
      <c r="AE16" s="256"/>
      <c r="AF16" s="256"/>
      <c r="AO16" s="52"/>
      <c r="BJ16" s="1188"/>
      <c r="BK16" s="1189"/>
      <c r="BL16" s="1189"/>
      <c r="BM16" s="1189"/>
      <c r="BN16" s="1189"/>
      <c r="BO16" s="1190"/>
      <c r="BP16" s="255"/>
      <c r="BQ16" s="255"/>
      <c r="BR16" s="255"/>
      <c r="BS16" s="242"/>
      <c r="CB16" s="242"/>
      <c r="CK16" s="242"/>
    </row>
    <row r="17" spans="1:89" ht="15" customHeight="1">
      <c r="A17" s="1304">
        <v>2.4</v>
      </c>
      <c r="B17" s="1395" t="s">
        <v>320</v>
      </c>
      <c r="C17" s="1396"/>
      <c r="D17" s="1396"/>
      <c r="E17" s="1396"/>
      <c r="F17" s="1396"/>
      <c r="G17" s="1396"/>
      <c r="H17" s="1536"/>
      <c r="I17" s="1205" t="str">
        <f t="shared" ref="I17" si="1">IF(ISBLANK(H$3),"",1)</f>
        <v/>
      </c>
      <c r="J17" s="1205" t="str">
        <f>IF(ISBLANK(L$3),"",1)</f>
        <v/>
      </c>
      <c r="K17" s="255"/>
      <c r="L17" s="1258">
        <v>4.4000000000000004</v>
      </c>
      <c r="M17" s="1163" t="s">
        <v>319</v>
      </c>
      <c r="N17" s="1164"/>
      <c r="O17" s="1164"/>
      <c r="P17" s="1164"/>
      <c r="Q17" s="1164"/>
      <c r="R17" s="1164"/>
      <c r="S17" s="1164"/>
      <c r="T17" s="1205" t="str">
        <f>IF(ISBLANK(H$3),"",1)</f>
        <v/>
      </c>
      <c r="U17" s="1241"/>
      <c r="V17" s="1258">
        <v>4.4000000000000004</v>
      </c>
      <c r="W17" s="1526" t="s">
        <v>321</v>
      </c>
      <c r="X17" s="1527"/>
      <c r="Y17" s="1527"/>
      <c r="Z17" s="1527"/>
      <c r="AA17" s="1527"/>
      <c r="AB17" s="1527"/>
      <c r="AC17" s="1533" t="s">
        <v>696</v>
      </c>
      <c r="AD17" s="1205" t="str">
        <f>IF(ISBLANK(L$3),"",1)</f>
        <v/>
      </c>
      <c r="AE17" s="256"/>
      <c r="AF17" s="256"/>
      <c r="AO17" s="52"/>
      <c r="BJ17" s="1188"/>
      <c r="BK17" s="1189"/>
      <c r="BL17" s="1189"/>
      <c r="BM17" s="1189"/>
      <c r="BN17" s="1189"/>
      <c r="BO17" s="1190"/>
      <c r="BP17" s="255"/>
      <c r="BQ17" s="255"/>
      <c r="BR17" s="255"/>
      <c r="BS17" s="242"/>
      <c r="CB17" s="242"/>
      <c r="CK17" s="242"/>
    </row>
    <row r="18" spans="1:89" ht="15" customHeight="1">
      <c r="A18" s="1290"/>
      <c r="B18" s="1163"/>
      <c r="C18" s="1164"/>
      <c r="D18" s="1164"/>
      <c r="E18" s="1164"/>
      <c r="F18" s="1164"/>
      <c r="G18" s="1164"/>
      <c r="H18" s="1266"/>
      <c r="I18" s="1206"/>
      <c r="J18" s="1206"/>
      <c r="K18" s="255"/>
      <c r="L18" s="1258"/>
      <c r="M18" s="1163"/>
      <c r="N18" s="1164"/>
      <c r="O18" s="1164"/>
      <c r="P18" s="1164"/>
      <c r="Q18" s="1164"/>
      <c r="R18" s="1164"/>
      <c r="S18" s="1164"/>
      <c r="T18" s="1206"/>
      <c r="U18" s="1241"/>
      <c r="V18" s="1258"/>
      <c r="W18" s="1317"/>
      <c r="X18" s="1296"/>
      <c r="Y18" s="1296"/>
      <c r="Z18" s="1296"/>
      <c r="AA18" s="1296"/>
      <c r="AB18" s="1296"/>
      <c r="AC18" s="1297"/>
      <c r="AD18" s="1206"/>
      <c r="AE18" s="256"/>
      <c r="AF18" s="256"/>
      <c r="AO18" s="52"/>
      <c r="BJ18" s="1188"/>
      <c r="BK18" s="1189"/>
      <c r="BL18" s="1189"/>
      <c r="BM18" s="1189"/>
      <c r="BN18" s="1189"/>
      <c r="BO18" s="1190"/>
      <c r="BP18" s="255"/>
      <c r="BQ18" s="255"/>
      <c r="BR18" s="255"/>
      <c r="BS18" s="242"/>
      <c r="CB18" s="242"/>
      <c r="CK18" s="242"/>
    </row>
    <row r="19" spans="1:89" ht="15" customHeight="1">
      <c r="A19" s="1291"/>
      <c r="B19" s="1163"/>
      <c r="C19" s="1164"/>
      <c r="D19" s="1164"/>
      <c r="E19" s="1164"/>
      <c r="F19" s="1164"/>
      <c r="G19" s="1164"/>
      <c r="H19" s="1266"/>
      <c r="I19" s="1207"/>
      <c r="J19" s="1207"/>
      <c r="K19" s="255"/>
      <c r="L19" s="1258"/>
      <c r="M19" s="1552"/>
      <c r="N19" s="1203"/>
      <c r="O19" s="1203"/>
      <c r="P19" s="1203"/>
      <c r="Q19" s="1203"/>
      <c r="R19" s="1203"/>
      <c r="S19" s="1203"/>
      <c r="T19" s="1207"/>
      <c r="U19" s="1241"/>
      <c r="V19" s="1258"/>
      <c r="W19" s="1317"/>
      <c r="X19" s="1296"/>
      <c r="Y19" s="1296"/>
      <c r="Z19" s="1296"/>
      <c r="AA19" s="1296"/>
      <c r="AB19" s="1296"/>
      <c r="AC19" s="1297"/>
      <c r="AD19" s="1207"/>
      <c r="AE19" s="256"/>
      <c r="AF19" s="256"/>
      <c r="AO19" s="52"/>
      <c r="BJ19" s="1188"/>
      <c r="BK19" s="1189"/>
      <c r="BL19" s="1189"/>
      <c r="BM19" s="1189"/>
      <c r="BN19" s="1189"/>
      <c r="BO19" s="1190"/>
      <c r="BP19" s="255"/>
      <c r="BQ19" s="255"/>
      <c r="BR19" s="255"/>
      <c r="BS19" s="242"/>
      <c r="CB19" s="242"/>
      <c r="CK19" s="242"/>
    </row>
    <row r="20" spans="1:89" ht="15" customHeight="1">
      <c r="A20" s="1307">
        <v>1.1000000000000001</v>
      </c>
      <c r="B20" s="1395" t="s">
        <v>322</v>
      </c>
      <c r="C20" s="1396"/>
      <c r="D20" s="1396"/>
      <c r="E20" s="1396"/>
      <c r="F20" s="1396"/>
      <c r="G20" s="1396"/>
      <c r="H20" s="1536"/>
      <c r="I20" s="1205" t="str">
        <f t="shared" ref="I20" si="2">IF(ISBLANK(H$3),"",1)</f>
        <v/>
      </c>
      <c r="J20" s="1205" t="str">
        <f>IF(ISBLANK(L$3),"",1)</f>
        <v/>
      </c>
      <c r="K20" s="255"/>
      <c r="L20" s="1258">
        <v>4.4000000000000004</v>
      </c>
      <c r="M20" s="1395" t="s">
        <v>873</v>
      </c>
      <c r="N20" s="1396"/>
      <c r="O20" s="1396"/>
      <c r="P20" s="1396"/>
      <c r="Q20" s="1396"/>
      <c r="R20" s="1396"/>
      <c r="S20" s="1536"/>
      <c r="T20" s="1205" t="str">
        <f>IF(ISBLANK(H$3),"",1)</f>
        <v/>
      </c>
      <c r="U20" s="1241"/>
      <c r="V20" s="1258">
        <v>4.4000000000000004</v>
      </c>
      <c r="W20" s="1526" t="s">
        <v>323</v>
      </c>
      <c r="X20" s="1527"/>
      <c r="Y20" s="1527"/>
      <c r="Z20" s="1527"/>
      <c r="AA20" s="1527"/>
      <c r="AB20" s="1527"/>
      <c r="AC20" s="1533" t="s">
        <v>696</v>
      </c>
      <c r="AD20" s="1205" t="str">
        <f>IF(ISBLANK(L$3),"",1)</f>
        <v/>
      </c>
      <c r="AE20" s="256"/>
      <c r="AF20" s="256"/>
      <c r="AO20" s="52"/>
      <c r="BJ20" s="1188"/>
      <c r="BK20" s="1189"/>
      <c r="BL20" s="1189"/>
      <c r="BM20" s="1189"/>
      <c r="BN20" s="1189"/>
      <c r="BO20" s="1190"/>
      <c r="BP20" s="255"/>
      <c r="BQ20" s="255"/>
      <c r="BR20" s="255"/>
      <c r="BS20" s="242"/>
      <c r="CB20" s="242"/>
      <c r="CK20" s="242"/>
    </row>
    <row r="21" spans="1:89" ht="15" customHeight="1">
      <c r="A21" s="1308"/>
      <c r="B21" s="1163"/>
      <c r="C21" s="1164"/>
      <c r="D21" s="1164"/>
      <c r="E21" s="1164"/>
      <c r="F21" s="1164"/>
      <c r="G21" s="1164"/>
      <c r="H21" s="1266"/>
      <c r="I21" s="1206"/>
      <c r="J21" s="1206"/>
      <c r="K21" s="255"/>
      <c r="L21" s="1258"/>
      <c r="M21" s="1163"/>
      <c r="N21" s="1164"/>
      <c r="O21" s="1164"/>
      <c r="P21" s="1164"/>
      <c r="Q21" s="1164"/>
      <c r="R21" s="1164"/>
      <c r="S21" s="1266"/>
      <c r="T21" s="1206"/>
      <c r="U21" s="1241"/>
      <c r="V21" s="1258"/>
      <c r="W21" s="1317"/>
      <c r="X21" s="1296"/>
      <c r="Y21" s="1296"/>
      <c r="Z21" s="1296"/>
      <c r="AA21" s="1296"/>
      <c r="AB21" s="1296"/>
      <c r="AC21" s="1297"/>
      <c r="AD21" s="1206"/>
      <c r="AE21" s="256"/>
      <c r="AF21" s="256"/>
      <c r="AO21" s="52"/>
      <c r="BJ21" s="1188"/>
      <c r="BK21" s="1189"/>
      <c r="BL21" s="1189"/>
      <c r="BM21" s="1189"/>
      <c r="BN21" s="1189"/>
      <c r="BO21" s="1190"/>
      <c r="BP21" s="255"/>
      <c r="BQ21" s="255"/>
      <c r="BR21" s="255"/>
      <c r="BS21" s="242"/>
      <c r="CB21" s="242"/>
      <c r="CK21" s="242"/>
    </row>
    <row r="22" spans="1:89" ht="15" customHeight="1">
      <c r="A22" s="1309"/>
      <c r="B22" s="1163"/>
      <c r="C22" s="1164"/>
      <c r="D22" s="1164"/>
      <c r="E22" s="1164"/>
      <c r="F22" s="1164"/>
      <c r="G22" s="1164"/>
      <c r="H22" s="1266"/>
      <c r="I22" s="1207"/>
      <c r="J22" s="1207"/>
      <c r="K22" s="255"/>
      <c r="L22" s="1258"/>
      <c r="M22" s="1163"/>
      <c r="N22" s="1164"/>
      <c r="O22" s="1164"/>
      <c r="P22" s="1164"/>
      <c r="Q22" s="1164"/>
      <c r="R22" s="1164"/>
      <c r="S22" s="1266"/>
      <c r="T22" s="1207"/>
      <c r="U22" s="1241"/>
      <c r="V22" s="1258"/>
      <c r="W22" s="1317"/>
      <c r="X22" s="1296"/>
      <c r="Y22" s="1296"/>
      <c r="Z22" s="1296"/>
      <c r="AA22" s="1296"/>
      <c r="AB22" s="1296"/>
      <c r="AC22" s="1297"/>
      <c r="AD22" s="1207"/>
      <c r="AE22" s="256"/>
      <c r="AF22" s="256"/>
      <c r="AO22" s="52"/>
      <c r="BJ22" s="1188"/>
      <c r="BK22" s="1189"/>
      <c r="BL22" s="1189"/>
      <c r="BM22" s="1189"/>
      <c r="BN22" s="1189"/>
      <c r="BO22" s="1190"/>
      <c r="BP22" s="255"/>
      <c r="BQ22" s="255"/>
      <c r="BR22" s="255"/>
      <c r="BS22" s="242"/>
      <c r="CB22" s="242"/>
      <c r="CK22" s="242"/>
    </row>
    <row r="23" spans="1:89" ht="15" customHeight="1">
      <c r="A23" s="1304">
        <v>2.1</v>
      </c>
      <c r="B23" s="1395" t="s">
        <v>940</v>
      </c>
      <c r="C23" s="1396"/>
      <c r="D23" s="1396"/>
      <c r="E23" s="1396"/>
      <c r="F23" s="1396"/>
      <c r="G23" s="1396"/>
      <c r="H23" s="1536"/>
      <c r="I23" s="1205" t="str">
        <f t="shared" ref="I23" si="3">IF(ISBLANK(H$3),"",1)</f>
        <v/>
      </c>
      <c r="J23" s="1205" t="str">
        <f>IF(ISBLANK(L$3),"",1)</f>
        <v/>
      </c>
      <c r="K23" s="255"/>
      <c r="L23" s="1258">
        <v>4.3</v>
      </c>
      <c r="M23" s="1562" t="s">
        <v>326</v>
      </c>
      <c r="N23" s="1626" t="s">
        <v>327</v>
      </c>
      <c r="O23" s="1627"/>
      <c r="P23" s="1627"/>
      <c r="Q23" s="1627"/>
      <c r="R23" s="1627"/>
      <c r="S23" s="1627"/>
      <c r="T23" s="1205" t="str">
        <f>IF(ISBLANK(H$3),"",1)</f>
        <v/>
      </c>
      <c r="U23" s="1241"/>
      <c r="V23" s="1258">
        <v>4.4000000000000004</v>
      </c>
      <c r="W23" s="1526" t="s">
        <v>328</v>
      </c>
      <c r="X23" s="1527"/>
      <c r="Y23" s="1527"/>
      <c r="Z23" s="1527"/>
      <c r="AA23" s="1527"/>
      <c r="AB23" s="1527"/>
      <c r="AC23" s="1533" t="s">
        <v>696</v>
      </c>
      <c r="AD23" s="1205" t="str">
        <f>IF(ISBLANK(L$3),"",1)</f>
        <v/>
      </c>
      <c r="AE23" s="256"/>
      <c r="AF23" s="256"/>
      <c r="AO23" s="52"/>
      <c r="BJ23" s="1188"/>
      <c r="BK23" s="1189"/>
      <c r="BL23" s="1189"/>
      <c r="BM23" s="1189"/>
      <c r="BN23" s="1189"/>
      <c r="BO23" s="1190"/>
      <c r="BP23" s="255"/>
      <c r="BQ23" s="255"/>
      <c r="BR23" s="255"/>
      <c r="BS23" s="242"/>
      <c r="CB23" s="242"/>
      <c r="CK23" s="242"/>
    </row>
    <row r="24" spans="1:89" ht="15" customHeight="1">
      <c r="A24" s="1290"/>
      <c r="B24" s="1163"/>
      <c r="C24" s="1164"/>
      <c r="D24" s="1164"/>
      <c r="E24" s="1164"/>
      <c r="F24" s="1164"/>
      <c r="G24" s="1164"/>
      <c r="H24" s="1266"/>
      <c r="I24" s="1206"/>
      <c r="J24" s="1206"/>
      <c r="K24" s="255"/>
      <c r="L24" s="1258"/>
      <c r="M24" s="1562"/>
      <c r="N24" s="1624"/>
      <c r="O24" s="1625"/>
      <c r="P24" s="1625"/>
      <c r="Q24" s="1625"/>
      <c r="R24" s="1625"/>
      <c r="S24" s="1625"/>
      <c r="T24" s="1206"/>
      <c r="U24" s="1241"/>
      <c r="V24" s="1258"/>
      <c r="W24" s="1317"/>
      <c r="X24" s="1296"/>
      <c r="Y24" s="1296"/>
      <c r="Z24" s="1296"/>
      <c r="AA24" s="1296"/>
      <c r="AB24" s="1296"/>
      <c r="AC24" s="1297"/>
      <c r="AD24" s="1206"/>
      <c r="AE24" s="256"/>
      <c r="AF24" s="256"/>
      <c r="AO24" s="52"/>
      <c r="BJ24" s="1188"/>
      <c r="BK24" s="1189"/>
      <c r="BL24" s="1189"/>
      <c r="BM24" s="1189"/>
      <c r="BN24" s="1189"/>
      <c r="BO24" s="1190"/>
      <c r="BP24" s="255"/>
      <c r="BQ24" s="255"/>
      <c r="BR24" s="255"/>
      <c r="BS24" s="242"/>
      <c r="CB24" s="242"/>
      <c r="CK24" s="242"/>
    </row>
    <row r="25" spans="1:89" ht="15" customHeight="1">
      <c r="A25" s="1291"/>
      <c r="B25" s="1163"/>
      <c r="C25" s="1164"/>
      <c r="D25" s="1164"/>
      <c r="E25" s="1164"/>
      <c r="F25" s="1164"/>
      <c r="G25" s="1164"/>
      <c r="H25" s="1266"/>
      <c r="I25" s="1207"/>
      <c r="J25" s="1207"/>
      <c r="K25" s="255"/>
      <c r="L25" s="1258"/>
      <c r="M25" s="1562"/>
      <c r="N25" s="1624"/>
      <c r="O25" s="1625"/>
      <c r="P25" s="1625"/>
      <c r="Q25" s="1625"/>
      <c r="R25" s="1625"/>
      <c r="S25" s="1625"/>
      <c r="T25" s="1207"/>
      <c r="U25" s="1241"/>
      <c r="V25" s="1258"/>
      <c r="W25" s="1317"/>
      <c r="X25" s="1296"/>
      <c r="Y25" s="1296"/>
      <c r="Z25" s="1296"/>
      <c r="AA25" s="1296"/>
      <c r="AB25" s="1296"/>
      <c r="AC25" s="1297"/>
      <c r="AD25" s="1207"/>
      <c r="AE25" s="256"/>
      <c r="AF25" s="256"/>
      <c r="AO25" s="52"/>
      <c r="BJ25" s="1188"/>
      <c r="BK25" s="1189"/>
      <c r="BL25" s="1189"/>
      <c r="BM25" s="1189"/>
      <c r="BN25" s="1189"/>
      <c r="BO25" s="1190"/>
      <c r="BP25" s="255"/>
      <c r="BQ25" s="255"/>
      <c r="BR25" s="255"/>
      <c r="BS25" s="242"/>
      <c r="CB25" s="242"/>
      <c r="CK25" s="242"/>
    </row>
    <row r="26" spans="1:89" ht="15" customHeight="1">
      <c r="A26" s="1307">
        <v>1.1000000000000001</v>
      </c>
      <c r="B26" s="1395" t="s">
        <v>330</v>
      </c>
      <c r="C26" s="1396"/>
      <c r="D26" s="1396"/>
      <c r="E26" s="1396"/>
      <c r="F26" s="1396"/>
      <c r="G26" s="1396"/>
      <c r="H26" s="1536"/>
      <c r="I26" s="1205" t="str">
        <f t="shared" ref="I26" si="4">IF(ISBLANK(H$3),"",1)</f>
        <v/>
      </c>
      <c r="J26" s="1205" t="str">
        <f>IF(ISBLANK(L$3),"",1)</f>
        <v/>
      </c>
      <c r="K26" s="255"/>
      <c r="L26" s="1236">
        <v>1.5</v>
      </c>
      <c r="M26" s="1562" t="s">
        <v>332</v>
      </c>
      <c r="N26" s="1624" t="s">
        <v>333</v>
      </c>
      <c r="O26" s="1625"/>
      <c r="P26" s="1625"/>
      <c r="Q26" s="1625"/>
      <c r="R26" s="1625"/>
      <c r="S26" s="1625"/>
      <c r="T26" s="1205" t="str">
        <f>IF(ISBLANK(H$3),"",1)</f>
        <v/>
      </c>
      <c r="U26" s="1241"/>
      <c r="V26" s="1236">
        <v>4.3</v>
      </c>
      <c r="W26" s="1526" t="s">
        <v>324</v>
      </c>
      <c r="X26" s="1527"/>
      <c r="Y26" s="1527"/>
      <c r="Z26" s="1527"/>
      <c r="AA26" s="1527"/>
      <c r="AB26" s="1527"/>
      <c r="AC26" s="1533" t="s">
        <v>696</v>
      </c>
      <c r="AD26" s="1205" t="str">
        <f>IF(ISBLANK(L$3),"",1)</f>
        <v/>
      </c>
      <c r="AE26" s="256"/>
      <c r="AF26" s="256"/>
      <c r="AO26" s="52"/>
      <c r="BJ26" s="1188"/>
      <c r="BK26" s="1189"/>
      <c r="BL26" s="1189"/>
      <c r="BM26" s="1189"/>
      <c r="BN26" s="1189"/>
      <c r="BO26" s="1190"/>
      <c r="BP26" s="255"/>
      <c r="BQ26" s="255"/>
      <c r="BR26" s="255"/>
      <c r="BS26" s="242"/>
      <c r="CB26" s="242"/>
      <c r="CK26" s="242"/>
    </row>
    <row r="27" spans="1:89" ht="15" customHeight="1">
      <c r="A27" s="1308"/>
      <c r="B27" s="1163"/>
      <c r="C27" s="1164"/>
      <c r="D27" s="1164"/>
      <c r="E27" s="1164"/>
      <c r="F27" s="1164"/>
      <c r="G27" s="1164"/>
      <c r="H27" s="1266"/>
      <c r="I27" s="1206"/>
      <c r="J27" s="1206"/>
      <c r="K27" s="255"/>
      <c r="L27" s="1236"/>
      <c r="M27" s="1562"/>
      <c r="N27" s="1624"/>
      <c r="O27" s="1625"/>
      <c r="P27" s="1625"/>
      <c r="Q27" s="1625"/>
      <c r="R27" s="1625"/>
      <c r="S27" s="1625"/>
      <c r="T27" s="1206"/>
      <c r="U27" s="1241"/>
      <c r="V27" s="1236"/>
      <c r="W27" s="1317"/>
      <c r="X27" s="1296"/>
      <c r="Y27" s="1296"/>
      <c r="Z27" s="1296"/>
      <c r="AA27" s="1296"/>
      <c r="AB27" s="1296"/>
      <c r="AC27" s="1297"/>
      <c r="AD27" s="1206"/>
      <c r="AE27" s="256"/>
      <c r="AF27" s="256"/>
      <c r="AO27" s="52"/>
      <c r="BJ27" s="1188"/>
      <c r="BK27" s="1189"/>
      <c r="BL27" s="1189"/>
      <c r="BM27" s="1189"/>
      <c r="BN27" s="1189"/>
      <c r="BO27" s="1190"/>
      <c r="BP27" s="255"/>
      <c r="BQ27" s="255"/>
      <c r="BR27" s="255"/>
      <c r="BS27" s="242"/>
      <c r="CB27" s="242"/>
      <c r="CK27" s="242"/>
    </row>
    <row r="28" spans="1:89" ht="15" customHeight="1">
      <c r="A28" s="1308"/>
      <c r="B28" s="1163"/>
      <c r="C28" s="1164"/>
      <c r="D28" s="1164"/>
      <c r="E28" s="1164"/>
      <c r="F28" s="1164"/>
      <c r="G28" s="1164"/>
      <c r="H28" s="1266"/>
      <c r="I28" s="1207"/>
      <c r="J28" s="1207"/>
      <c r="K28" s="255"/>
      <c r="L28" s="1236"/>
      <c r="M28" s="1562"/>
      <c r="N28" s="1624"/>
      <c r="O28" s="1625"/>
      <c r="P28" s="1625"/>
      <c r="Q28" s="1625"/>
      <c r="R28" s="1625"/>
      <c r="S28" s="1625"/>
      <c r="T28" s="1207"/>
      <c r="U28" s="1241"/>
      <c r="V28" s="1236"/>
      <c r="W28" s="1317"/>
      <c r="X28" s="1296"/>
      <c r="Y28" s="1296"/>
      <c r="Z28" s="1296"/>
      <c r="AA28" s="1296"/>
      <c r="AB28" s="1296"/>
      <c r="AC28" s="1297"/>
      <c r="AD28" s="1207"/>
      <c r="AE28" s="256"/>
      <c r="AF28" s="256"/>
      <c r="AO28" s="52"/>
      <c r="BJ28" s="1188"/>
      <c r="BK28" s="1189"/>
      <c r="BL28" s="1189"/>
      <c r="BM28" s="1189"/>
      <c r="BN28" s="1189"/>
      <c r="BO28" s="1190"/>
      <c r="BP28" s="255"/>
      <c r="BQ28" s="255"/>
      <c r="BR28" s="255"/>
      <c r="BS28" s="242"/>
      <c r="CB28" s="242"/>
      <c r="CK28" s="242"/>
    </row>
    <row r="29" spans="1:89" ht="15" customHeight="1">
      <c r="A29" s="1307">
        <v>1.5</v>
      </c>
      <c r="B29" s="1549" t="s">
        <v>336</v>
      </c>
      <c r="C29" s="1549"/>
      <c r="D29" s="1549"/>
      <c r="E29" s="1549"/>
      <c r="F29" s="1549"/>
      <c r="G29" s="1549"/>
      <c r="H29" s="1549"/>
      <c r="I29" s="1205" t="str">
        <f t="shared" ref="I29" si="5">IF(ISBLANK(H$3),"",1)</f>
        <v/>
      </c>
      <c r="J29" s="1205" t="str">
        <f>IF(ISBLANK(L$3),"",1)</f>
        <v/>
      </c>
      <c r="K29" s="255"/>
      <c r="L29" s="1258">
        <v>4.3</v>
      </c>
      <c r="M29" s="1163" t="s">
        <v>331</v>
      </c>
      <c r="N29" s="1164"/>
      <c r="O29" s="1164"/>
      <c r="P29" s="1164"/>
      <c r="Q29" s="1164"/>
      <c r="R29" s="1164"/>
      <c r="S29" s="1164"/>
      <c r="T29" s="1205" t="str">
        <f>IF(ISBLANK(H$3),"",1)</f>
        <v/>
      </c>
      <c r="U29" s="1241"/>
      <c r="V29" s="1258">
        <v>4.4000000000000004</v>
      </c>
      <c r="W29" s="1526" t="s">
        <v>329</v>
      </c>
      <c r="X29" s="1527"/>
      <c r="Y29" s="1527"/>
      <c r="Z29" s="1527"/>
      <c r="AA29" s="1527"/>
      <c r="AB29" s="1527"/>
      <c r="AC29" s="1533" t="s">
        <v>696</v>
      </c>
      <c r="AD29" s="1205" t="str">
        <f>IF(ISBLANK(L$3),"",1)</f>
        <v/>
      </c>
      <c r="AE29" s="256"/>
      <c r="AF29" s="256"/>
      <c r="AO29" s="52"/>
      <c r="BJ29" s="1188"/>
      <c r="BK29" s="1189"/>
      <c r="BL29" s="1189"/>
      <c r="BM29" s="1189"/>
      <c r="BN29" s="1189"/>
      <c r="BO29" s="1190"/>
      <c r="BP29" s="255"/>
      <c r="BQ29" s="255"/>
      <c r="BR29" s="255"/>
    </row>
    <row r="30" spans="1:89" ht="15" customHeight="1">
      <c r="A30" s="1308"/>
      <c r="B30" s="1550"/>
      <c r="C30" s="1550"/>
      <c r="D30" s="1550"/>
      <c r="E30" s="1550"/>
      <c r="F30" s="1550"/>
      <c r="G30" s="1550"/>
      <c r="H30" s="1550"/>
      <c r="I30" s="1206"/>
      <c r="J30" s="1206"/>
      <c r="K30" s="255"/>
      <c r="L30" s="1258"/>
      <c r="M30" s="1163"/>
      <c r="N30" s="1164"/>
      <c r="O30" s="1164"/>
      <c r="P30" s="1164"/>
      <c r="Q30" s="1164"/>
      <c r="R30" s="1164"/>
      <c r="S30" s="1164"/>
      <c r="T30" s="1206"/>
      <c r="U30" s="1241"/>
      <c r="V30" s="1258"/>
      <c r="W30" s="1317"/>
      <c r="X30" s="1296"/>
      <c r="Y30" s="1296"/>
      <c r="Z30" s="1296"/>
      <c r="AA30" s="1296"/>
      <c r="AB30" s="1296"/>
      <c r="AC30" s="1297"/>
      <c r="AD30" s="1206"/>
      <c r="AE30" s="256"/>
      <c r="AF30" s="256"/>
      <c r="AO30" s="52"/>
      <c r="BJ30" s="1188"/>
      <c r="BK30" s="1189"/>
      <c r="BL30" s="1189"/>
      <c r="BM30" s="1189"/>
      <c r="BN30" s="1189"/>
      <c r="BO30" s="1190"/>
      <c r="BP30" s="255"/>
      <c r="BQ30" s="255"/>
      <c r="BR30" s="255"/>
    </row>
    <row r="31" spans="1:89" ht="15" customHeight="1">
      <c r="A31" s="1309"/>
      <c r="B31" s="1551"/>
      <c r="C31" s="1551"/>
      <c r="D31" s="1551"/>
      <c r="E31" s="1551"/>
      <c r="F31" s="1551"/>
      <c r="G31" s="1551"/>
      <c r="H31" s="1551"/>
      <c r="I31" s="1207"/>
      <c r="J31" s="1207"/>
      <c r="K31" s="255"/>
      <c r="L31" s="1258"/>
      <c r="M31" s="1552"/>
      <c r="N31" s="1203"/>
      <c r="O31" s="1203"/>
      <c r="P31" s="1203"/>
      <c r="Q31" s="1203"/>
      <c r="R31" s="1203"/>
      <c r="S31" s="1203"/>
      <c r="T31" s="1207"/>
      <c r="U31" s="1241"/>
      <c r="V31" s="1258"/>
      <c r="W31" s="1317"/>
      <c r="X31" s="1296"/>
      <c r="Y31" s="1296"/>
      <c r="Z31" s="1296"/>
      <c r="AA31" s="1296"/>
      <c r="AB31" s="1296"/>
      <c r="AC31" s="1297"/>
      <c r="AD31" s="1207"/>
      <c r="AE31" s="256"/>
      <c r="AF31" s="256"/>
      <c r="AO31" s="52"/>
      <c r="BJ31" s="1188"/>
      <c r="BK31" s="1189"/>
      <c r="BL31" s="1189"/>
      <c r="BM31" s="1189"/>
      <c r="BN31" s="1189"/>
      <c r="BO31" s="1190"/>
      <c r="BP31" s="255"/>
      <c r="BQ31" s="255"/>
      <c r="BR31" s="255"/>
    </row>
    <row r="32" spans="1:89" ht="15" customHeight="1">
      <c r="A32" s="1260" t="s">
        <v>637</v>
      </c>
      <c r="B32" s="1260"/>
      <c r="C32" s="1260"/>
      <c r="D32" s="1260"/>
      <c r="E32" s="1260"/>
      <c r="F32" s="1261"/>
      <c r="G32" s="294">
        <v>1.1000000000000001</v>
      </c>
      <c r="H32" s="311">
        <f>COUNTIF($A$11:$A$31,G32)</f>
        <v>4</v>
      </c>
      <c r="I32" s="240" t="str">
        <f>IF($H$3=1,SUMIF($A$11:$A$31,G32,$I$11:$I$31),"")</f>
        <v/>
      </c>
      <c r="J32" s="240" t="str">
        <f>IF($L$3=1,SUMIF($A$11:$A$31,G32,$J$11:$J$31),"")</f>
        <v/>
      </c>
      <c r="K32" s="255"/>
      <c r="L32" s="1262" t="s">
        <v>637</v>
      </c>
      <c r="M32" s="1262"/>
      <c r="N32" s="1262"/>
      <c r="O32" s="1262"/>
      <c r="P32" s="1262"/>
      <c r="Q32" s="1263"/>
      <c r="R32" s="273">
        <v>1.5</v>
      </c>
      <c r="S32" s="311">
        <f>COUNTIF($L$11:$L$31,R32)</f>
        <v>2</v>
      </c>
      <c r="T32" s="240" t="str">
        <f>IF($H$3=1,SUMIF($L$11:$L$31,R32,$T$11:$T$31),"")</f>
        <v/>
      </c>
      <c r="U32" s="301"/>
      <c r="V32" s="1236">
        <v>2.4</v>
      </c>
      <c r="W32" s="1526" t="s">
        <v>334</v>
      </c>
      <c r="X32" s="1527"/>
      <c r="Y32" s="1527"/>
      <c r="Z32" s="1527"/>
      <c r="AA32" s="1527"/>
      <c r="AB32" s="1527"/>
      <c r="AC32" s="1533" t="s">
        <v>696</v>
      </c>
      <c r="AD32" s="1205" t="str">
        <f>IF(ISBLANK(L$3),"",1)</f>
        <v/>
      </c>
      <c r="AE32" s="256"/>
      <c r="AF32" s="256"/>
      <c r="AO32" s="52"/>
      <c r="BJ32" s="1188"/>
      <c r="BK32" s="1189"/>
      <c r="BL32" s="1189"/>
      <c r="BM32" s="1189"/>
      <c r="BN32" s="1189"/>
      <c r="BO32" s="1190"/>
      <c r="BP32" s="255"/>
      <c r="BQ32" s="255"/>
      <c r="BR32" s="255"/>
    </row>
    <row r="33" spans="1:70" ht="15" customHeight="1">
      <c r="A33" s="52"/>
      <c r="B33" s="248"/>
      <c r="C33" s="248"/>
      <c r="D33" s="248"/>
      <c r="E33" s="248"/>
      <c r="F33" s="299"/>
      <c r="G33" s="273">
        <v>1.5</v>
      </c>
      <c r="H33" s="311">
        <f t="shared" ref="H33:H35" si="6">COUNTIF($A$11:$A$31,G33)</f>
        <v>1</v>
      </c>
      <c r="I33" s="240" t="str">
        <f t="shared" ref="I33:I35" si="7">IF($H$3=1,SUMIF($A$11:$A$31,G33,$I$11:$I$31),"")</f>
        <v/>
      </c>
      <c r="J33" s="240" t="str">
        <f t="shared" ref="J33:J35" si="8">IF($L$3=1,SUMIF($A$11:$A$31,G33,$J$11:$J$31),"")</f>
        <v/>
      </c>
      <c r="K33" s="255"/>
      <c r="L33" s="248"/>
      <c r="M33" s="248"/>
      <c r="N33" s="248"/>
      <c r="O33" s="248"/>
      <c r="P33" s="248"/>
      <c r="R33" s="274">
        <v>4.3</v>
      </c>
      <c r="S33" s="311">
        <f t="shared" ref="S33:S34" si="9">COUNTIF($L$11:$L$31,R33)</f>
        <v>2</v>
      </c>
      <c r="T33" s="240" t="str">
        <f t="shared" ref="T33:T34" si="10">IF($H$3=1,SUMIF($L$11:$L$31,R33,$T$11:$T$31),"")</f>
        <v/>
      </c>
      <c r="U33" s="301"/>
      <c r="V33" s="1236"/>
      <c r="W33" s="1317"/>
      <c r="X33" s="1296"/>
      <c r="Y33" s="1296"/>
      <c r="Z33" s="1296"/>
      <c r="AA33" s="1296"/>
      <c r="AB33" s="1296"/>
      <c r="AC33" s="1297"/>
      <c r="AD33" s="1206"/>
      <c r="AE33" s="256"/>
      <c r="AF33" s="256"/>
      <c r="AO33" s="52"/>
      <c r="BJ33" s="1188"/>
      <c r="BK33" s="1189"/>
      <c r="BL33" s="1189"/>
      <c r="BM33" s="1189"/>
      <c r="BN33" s="1189"/>
      <c r="BO33" s="1190"/>
      <c r="BP33" s="255"/>
      <c r="BQ33" s="255"/>
      <c r="BR33" s="255"/>
    </row>
    <row r="34" spans="1:70" ht="15" customHeight="1">
      <c r="A34" s="255"/>
      <c r="B34" s="255"/>
      <c r="C34" s="255"/>
      <c r="D34" s="255"/>
      <c r="E34" s="255"/>
      <c r="G34" s="272">
        <v>2.1</v>
      </c>
      <c r="H34" s="311">
        <f t="shared" si="6"/>
        <v>1</v>
      </c>
      <c r="I34" s="240" t="str">
        <f t="shared" si="7"/>
        <v/>
      </c>
      <c r="J34" s="240" t="str">
        <f t="shared" si="8"/>
        <v/>
      </c>
      <c r="K34" s="255"/>
      <c r="L34" s="255"/>
      <c r="M34" s="255"/>
      <c r="N34" s="255"/>
      <c r="O34" s="255"/>
      <c r="P34" s="255"/>
      <c r="R34" s="274">
        <v>4.4000000000000004</v>
      </c>
      <c r="S34" s="311">
        <f t="shared" si="9"/>
        <v>3</v>
      </c>
      <c r="T34" s="240" t="str">
        <f t="shared" si="10"/>
        <v/>
      </c>
      <c r="U34" s="255"/>
      <c r="V34" s="1236"/>
      <c r="W34" s="1317"/>
      <c r="X34" s="1296"/>
      <c r="Y34" s="1296"/>
      <c r="Z34" s="1296"/>
      <c r="AA34" s="1296"/>
      <c r="AB34" s="1296"/>
      <c r="AC34" s="1297"/>
      <c r="AD34" s="1207"/>
      <c r="AE34" s="256"/>
      <c r="AF34" s="256"/>
      <c r="AO34" s="52"/>
      <c r="BJ34" s="1188"/>
      <c r="BK34" s="1189"/>
      <c r="BL34" s="1189"/>
      <c r="BM34" s="1189"/>
      <c r="BN34" s="1189"/>
      <c r="BO34" s="1190"/>
      <c r="BP34" s="255"/>
      <c r="BQ34" s="255"/>
      <c r="BR34" s="255"/>
    </row>
    <row r="35" spans="1:70" ht="15" customHeight="1">
      <c r="A35" s="255"/>
      <c r="B35" s="255"/>
      <c r="C35" s="255"/>
      <c r="D35" s="255"/>
      <c r="E35" s="255"/>
      <c r="G35" s="272">
        <v>2.4</v>
      </c>
      <c r="H35" s="311">
        <f t="shared" si="6"/>
        <v>1</v>
      </c>
      <c r="I35" s="240" t="str">
        <f t="shared" si="7"/>
        <v/>
      </c>
      <c r="J35" s="240" t="str">
        <f t="shared" si="8"/>
        <v/>
      </c>
      <c r="K35" s="255"/>
      <c r="L35" s="255"/>
      <c r="M35" s="255"/>
      <c r="N35" s="255"/>
      <c r="O35" s="255"/>
      <c r="P35" s="255"/>
      <c r="Q35" s="255"/>
      <c r="R35" s="255"/>
      <c r="S35" s="255"/>
      <c r="T35" s="255"/>
      <c r="U35" s="255"/>
      <c r="V35" s="1258">
        <v>2.4</v>
      </c>
      <c r="W35" s="1526" t="s">
        <v>337</v>
      </c>
      <c r="X35" s="1527"/>
      <c r="Y35" s="1527"/>
      <c r="Z35" s="1527"/>
      <c r="AA35" s="1527"/>
      <c r="AB35" s="1527"/>
      <c r="AC35" s="1533" t="s">
        <v>696</v>
      </c>
      <c r="AD35" s="1205" t="str">
        <f>IF(ISBLANK(L$3),"",1)</f>
        <v/>
      </c>
      <c r="AE35" s="256"/>
      <c r="AF35" s="256"/>
      <c r="AO35" s="52"/>
      <c r="BJ35" s="1188"/>
      <c r="BK35" s="1189"/>
      <c r="BL35" s="1189"/>
      <c r="BM35" s="1189"/>
      <c r="BN35" s="1189"/>
      <c r="BO35" s="1190"/>
      <c r="BP35" s="255"/>
      <c r="BQ35" s="255"/>
      <c r="BR35" s="255"/>
    </row>
    <row r="36" spans="1:70" ht="15" customHeight="1">
      <c r="A36" s="255"/>
      <c r="B36" s="255"/>
      <c r="C36" s="255"/>
      <c r="D36" s="255"/>
      <c r="E36" s="255"/>
      <c r="F36" s="255"/>
      <c r="G36" s="255"/>
      <c r="H36" s="255"/>
      <c r="I36" s="255"/>
      <c r="J36" s="255"/>
      <c r="K36" s="255"/>
      <c r="L36" s="255"/>
      <c r="M36" s="255"/>
      <c r="N36" s="255"/>
      <c r="O36" s="255"/>
      <c r="P36" s="255"/>
      <c r="Q36" s="255"/>
      <c r="R36" s="255"/>
      <c r="S36" s="255"/>
      <c r="T36" s="255"/>
      <c r="U36" s="255"/>
      <c r="V36" s="1258"/>
      <c r="W36" s="1317"/>
      <c r="X36" s="1296"/>
      <c r="Y36" s="1296"/>
      <c r="Z36" s="1296"/>
      <c r="AA36" s="1296"/>
      <c r="AB36" s="1296"/>
      <c r="AC36" s="1297"/>
      <c r="AD36" s="1206"/>
      <c r="AE36" s="256"/>
      <c r="AF36" s="256"/>
      <c r="AO36" s="52"/>
      <c r="BJ36" s="1188"/>
      <c r="BK36" s="1189"/>
      <c r="BL36" s="1189"/>
      <c r="BM36" s="1189"/>
      <c r="BN36" s="1189"/>
      <c r="BO36" s="1190"/>
      <c r="BP36" s="255"/>
      <c r="BQ36" s="255"/>
      <c r="BR36" s="255"/>
    </row>
    <row r="37" spans="1:70" ht="15" customHeight="1">
      <c r="A37" s="1209"/>
      <c r="B37" s="1210" t="s">
        <v>609</v>
      </c>
      <c r="C37" s="1211"/>
      <c r="D37" s="1211"/>
      <c r="E37" s="1211"/>
      <c r="F37" s="1211"/>
      <c r="G37" s="1211"/>
      <c r="H37" s="1272"/>
      <c r="I37" s="1174">
        <v>1</v>
      </c>
      <c r="J37" s="1174">
        <v>2</v>
      </c>
      <c r="K37" s="1"/>
      <c r="L37" s="255"/>
      <c r="M37" s="255"/>
      <c r="N37" s="255"/>
      <c r="O37" s="255"/>
      <c r="P37" s="255"/>
      <c r="Q37" s="255"/>
      <c r="R37" s="255"/>
      <c r="S37" s="255"/>
      <c r="T37" s="255"/>
      <c r="U37" s="255"/>
      <c r="V37" s="1258"/>
      <c r="W37" s="1317"/>
      <c r="X37" s="1296"/>
      <c r="Y37" s="1296"/>
      <c r="Z37" s="1296"/>
      <c r="AA37" s="1296"/>
      <c r="AB37" s="1296"/>
      <c r="AC37" s="1297"/>
      <c r="AD37" s="1207"/>
      <c r="AE37" s="256"/>
      <c r="AF37" s="256"/>
      <c r="AO37" s="52"/>
      <c r="BJ37" s="1188"/>
      <c r="BK37" s="1189"/>
      <c r="BL37" s="1189"/>
      <c r="BM37" s="1189"/>
      <c r="BN37" s="1189"/>
      <c r="BO37" s="1190"/>
      <c r="BP37" s="256"/>
      <c r="BQ37" s="256"/>
      <c r="BR37" s="256"/>
    </row>
    <row r="38" spans="1:70" ht="15" customHeight="1">
      <c r="A38" s="1209"/>
      <c r="B38" s="1212"/>
      <c r="C38" s="1213"/>
      <c r="D38" s="1213"/>
      <c r="E38" s="1213"/>
      <c r="F38" s="1213"/>
      <c r="G38" s="1213"/>
      <c r="H38" s="1273"/>
      <c r="I38" s="1174"/>
      <c r="J38" s="1174"/>
      <c r="K38" s="1"/>
      <c r="L38" s="255"/>
      <c r="M38" s="255"/>
      <c r="N38" s="255"/>
      <c r="O38" s="255"/>
      <c r="P38" s="255"/>
      <c r="Q38" s="255"/>
      <c r="R38" s="255"/>
      <c r="S38" s="255"/>
      <c r="T38" s="255"/>
      <c r="U38" s="256"/>
      <c r="V38" s="1258">
        <v>1.5</v>
      </c>
      <c r="W38" s="1526" t="s">
        <v>331</v>
      </c>
      <c r="X38" s="1527"/>
      <c r="Y38" s="1527"/>
      <c r="Z38" s="1527"/>
      <c r="AA38" s="1527"/>
      <c r="AB38" s="1527"/>
      <c r="AC38" s="1533" t="s">
        <v>696</v>
      </c>
      <c r="AD38" s="1205" t="str">
        <f>IF(ISBLANK(L$3),"",1)</f>
        <v/>
      </c>
      <c r="AE38" s="256"/>
      <c r="AF38" s="256"/>
      <c r="AO38" s="52"/>
      <c r="BJ38" s="1188"/>
      <c r="BK38" s="1189"/>
      <c r="BL38" s="1189"/>
      <c r="BM38" s="1189"/>
      <c r="BN38" s="1189"/>
      <c r="BO38" s="1190"/>
      <c r="BP38" s="255"/>
      <c r="BQ38" s="256"/>
      <c r="BR38" s="255"/>
    </row>
    <row r="39" spans="1:70" ht="15" customHeight="1">
      <c r="A39" s="1264">
        <v>3.1</v>
      </c>
      <c r="B39" s="1553" t="s">
        <v>338</v>
      </c>
      <c r="C39" s="1554"/>
      <c r="D39" s="1554"/>
      <c r="E39" s="1554"/>
      <c r="F39" s="1554"/>
      <c r="G39" s="1554"/>
      <c r="H39" s="1555"/>
      <c r="I39" s="1205" t="str">
        <f t="shared" ref="I39" si="11">IF(ISBLANK(H$3),"",1)</f>
        <v/>
      </c>
      <c r="J39" s="1205" t="str">
        <f>IF(ISBLANK(L$3),"",1)</f>
        <v/>
      </c>
      <c r="K39" s="1"/>
      <c r="L39" s="255"/>
      <c r="M39" s="255"/>
      <c r="N39" s="255"/>
      <c r="O39" s="255"/>
      <c r="P39" s="255"/>
      <c r="Q39" s="255"/>
      <c r="R39" s="255"/>
      <c r="S39" s="255"/>
      <c r="T39" s="255"/>
      <c r="U39" s="256"/>
      <c r="V39" s="1258"/>
      <c r="W39" s="1317"/>
      <c r="X39" s="1296"/>
      <c r="Y39" s="1296"/>
      <c r="Z39" s="1296"/>
      <c r="AA39" s="1296"/>
      <c r="AB39" s="1296"/>
      <c r="AC39" s="1297"/>
      <c r="AD39" s="1206"/>
      <c r="AE39" s="256"/>
      <c r="AF39" s="256"/>
      <c r="AO39" s="52"/>
      <c r="BJ39" s="1191"/>
      <c r="BK39" s="1192"/>
      <c r="BL39" s="1192"/>
      <c r="BM39" s="1192"/>
      <c r="BN39" s="1192"/>
      <c r="BO39" s="1193"/>
      <c r="BP39" s="255"/>
      <c r="BQ39" s="256"/>
      <c r="BR39" s="255"/>
    </row>
    <row r="40" spans="1:70" ht="15" customHeight="1">
      <c r="A40" s="1264"/>
      <c r="B40" s="1556"/>
      <c r="C40" s="1557"/>
      <c r="D40" s="1557"/>
      <c r="E40" s="1557"/>
      <c r="F40" s="1557"/>
      <c r="G40" s="1557"/>
      <c r="H40" s="1558"/>
      <c r="I40" s="1206"/>
      <c r="J40" s="1206"/>
      <c r="K40" s="1"/>
      <c r="L40" s="255"/>
      <c r="M40" s="255"/>
      <c r="N40" s="255"/>
      <c r="O40" s="255"/>
      <c r="P40" s="255"/>
      <c r="Q40" s="255"/>
      <c r="R40" s="255"/>
      <c r="S40" s="255"/>
      <c r="T40" s="255"/>
      <c r="U40" s="256"/>
      <c r="V40" s="1258"/>
      <c r="W40" s="1319"/>
      <c r="X40" s="1320"/>
      <c r="Y40" s="1320"/>
      <c r="Z40" s="1320"/>
      <c r="AA40" s="1320"/>
      <c r="AB40" s="1320"/>
      <c r="AC40" s="1534"/>
      <c r="AD40" s="1207"/>
      <c r="AE40" s="256"/>
      <c r="AF40" s="256"/>
      <c r="AO40" s="52"/>
      <c r="BO40" s="255"/>
      <c r="BP40" s="255"/>
      <c r="BQ40" s="256"/>
      <c r="BR40" s="255"/>
    </row>
    <row r="41" spans="1:70" ht="15" customHeight="1">
      <c r="A41" s="1264"/>
      <c r="B41" s="1559"/>
      <c r="C41" s="1560"/>
      <c r="D41" s="1560"/>
      <c r="E41" s="1560"/>
      <c r="F41" s="1560"/>
      <c r="G41" s="1560"/>
      <c r="H41" s="1561"/>
      <c r="I41" s="1207"/>
      <c r="J41" s="1207"/>
      <c r="K41" s="1"/>
      <c r="L41" s="256"/>
      <c r="M41" s="256"/>
      <c r="N41" s="256"/>
      <c r="O41" s="256"/>
      <c r="P41" s="256"/>
      <c r="Q41" s="256"/>
      <c r="R41" s="256"/>
      <c r="S41" s="256"/>
      <c r="T41" s="256"/>
      <c r="U41" s="255"/>
      <c r="V41" s="1262" t="s">
        <v>637</v>
      </c>
      <c r="W41" s="1262"/>
      <c r="X41" s="1262"/>
      <c r="Y41" s="1262"/>
      <c r="Z41" s="1262"/>
      <c r="AA41" s="1263"/>
      <c r="AB41" s="294">
        <v>1.5</v>
      </c>
      <c r="AC41" s="311">
        <f>COUNTIF($V$11:$V$40,AB41)</f>
        <v>1</v>
      </c>
      <c r="AD41" s="240" t="str">
        <f>IF($L$3=1,SUMIF($V$11:$V$40,AB41,$AD$11:$AD$40),"")</f>
        <v/>
      </c>
      <c r="AE41" s="255"/>
      <c r="AF41" s="256"/>
      <c r="AG41" s="256"/>
      <c r="AO41" s="52"/>
      <c r="BP41" s="255"/>
      <c r="BQ41" s="255"/>
      <c r="BR41" s="255"/>
    </row>
    <row r="42" spans="1:70" ht="15" customHeight="1">
      <c r="A42" s="1260" t="s">
        <v>637</v>
      </c>
      <c r="B42" s="1260"/>
      <c r="C42" s="1260"/>
      <c r="D42" s="1260"/>
      <c r="E42" s="1260"/>
      <c r="F42" s="1271"/>
      <c r="G42" s="302">
        <v>3.1</v>
      </c>
      <c r="H42" s="311">
        <f>COUNTIF(A39,G42)</f>
        <v>1</v>
      </c>
      <c r="I42" s="240" t="str">
        <f>IF($H$3=1,SUMIF($A$39,G42,$I$39),"")</f>
        <v/>
      </c>
      <c r="J42" s="240" t="str">
        <f>IF(L3=1,SUMIF($A$39,G42,$J$39),"")</f>
        <v/>
      </c>
      <c r="K42" s="1"/>
      <c r="L42" s="256"/>
      <c r="M42" s="256"/>
      <c r="N42" s="256"/>
      <c r="O42" s="256"/>
      <c r="P42" s="256"/>
      <c r="Q42" s="256"/>
      <c r="R42" s="256"/>
      <c r="S42" s="256"/>
      <c r="T42" s="256"/>
      <c r="U42" s="256"/>
      <c r="V42" s="253"/>
      <c r="W42" s="244"/>
      <c r="X42" s="244"/>
      <c r="Y42" s="244"/>
      <c r="AB42" s="272">
        <v>2.4</v>
      </c>
      <c r="AC42" s="311">
        <f>COUNTIF($V$11:$V$40,AB42)</f>
        <v>2</v>
      </c>
      <c r="AD42" s="240" t="str">
        <f>IF($L$3=1,SUMIF($V$11:$V$40,AB42,$AD$11:$AD$40),"")</f>
        <v/>
      </c>
      <c r="AE42" s="255"/>
      <c r="AF42" s="256"/>
      <c r="AG42" s="256"/>
      <c r="AO42" s="52"/>
      <c r="BP42" s="255"/>
      <c r="BQ42" s="255"/>
      <c r="BR42" s="255"/>
    </row>
    <row r="43" spans="1:70" ht="15" customHeight="1">
      <c r="A43" s="255"/>
      <c r="B43" s="255"/>
      <c r="C43" s="255"/>
      <c r="D43" s="255"/>
      <c r="E43" s="255"/>
      <c r="F43" s="255"/>
      <c r="G43" s="255"/>
      <c r="H43" s="255"/>
      <c r="I43" s="255"/>
      <c r="J43" s="255"/>
      <c r="K43" s="255"/>
      <c r="L43" s="255"/>
      <c r="M43" s="255"/>
      <c r="N43" s="255"/>
      <c r="O43" s="255"/>
      <c r="P43" s="255"/>
      <c r="Q43" s="255"/>
      <c r="R43" s="255"/>
      <c r="S43" s="255"/>
      <c r="T43" s="255"/>
      <c r="U43" s="256"/>
      <c r="V43" s="253"/>
      <c r="W43" s="244"/>
      <c r="X43" s="244"/>
      <c r="Y43" s="244"/>
      <c r="AB43" s="274">
        <v>4.3</v>
      </c>
      <c r="AC43" s="311">
        <f>COUNTIF($V$11:$V$40,AB43)</f>
        <v>1</v>
      </c>
      <c r="AD43" s="240" t="str">
        <f>IF($L$3=1,SUMIF($V$11:$V$40,AB43,$AD$11:$AD$40),"")</f>
        <v/>
      </c>
      <c r="AE43" s="255"/>
      <c r="AF43" s="255"/>
      <c r="AG43" s="255"/>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5"/>
      <c r="V44" s="253"/>
      <c r="W44" s="244"/>
      <c r="X44" s="244"/>
      <c r="Y44" s="244"/>
      <c r="AB44" s="274">
        <v>4.4000000000000004</v>
      </c>
      <c r="AC44" s="311">
        <f>COUNTIF($V$11:$V$40,AB44)</f>
        <v>6</v>
      </c>
      <c r="AD44" s="240" t="str">
        <f>IF($L$3=1,SUMIF($V$11:$V$40,AB44,$AD$11:$AD$40),"")</f>
        <v/>
      </c>
      <c r="AE44" s="255"/>
      <c r="AF44" s="255"/>
      <c r="AG44" s="255"/>
      <c r="AO44" s="52"/>
      <c r="BP44" s="255"/>
      <c r="BQ44" s="255"/>
      <c r="BR44" s="255"/>
    </row>
    <row r="45" spans="1:70" ht="15" customHeight="1">
      <c r="A45" s="1171" t="s">
        <v>643</v>
      </c>
      <c r="B45" s="1171"/>
      <c r="C45" s="1171"/>
      <c r="D45" s="1171"/>
      <c r="E45" s="1171"/>
      <c r="F45" s="1171"/>
      <c r="G45" s="1171"/>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1"/>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255"/>
      <c r="BO45" s="255"/>
      <c r="BP45" s="255"/>
      <c r="BQ45" s="255"/>
      <c r="BR45" s="255"/>
    </row>
    <row r="46" spans="1:70" ht="15" customHeight="1" thickBot="1">
      <c r="A46" s="1171"/>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255"/>
      <c r="BO46" s="255"/>
      <c r="BP46" s="255"/>
      <c r="BQ46" s="255"/>
      <c r="BR46" s="305"/>
    </row>
    <row r="47" spans="1:70" ht="15" customHeight="1">
      <c r="A47" s="1172"/>
      <c r="B47" s="1173" t="s">
        <v>608</v>
      </c>
      <c r="C47" s="1173"/>
      <c r="D47" s="1173"/>
      <c r="E47" s="1173"/>
      <c r="F47" s="1173"/>
      <c r="G47" s="1173"/>
      <c r="H47" s="1343">
        <v>1</v>
      </c>
      <c r="I47" s="1174">
        <v>2</v>
      </c>
      <c r="J47" s="1174">
        <v>3</v>
      </c>
      <c r="K47" s="1174">
        <v>4</v>
      </c>
      <c r="L47" s="1174">
        <v>5</v>
      </c>
      <c r="M47" s="1174">
        <v>6</v>
      </c>
      <c r="N47" s="1645"/>
      <c r="O47" s="1757" t="s">
        <v>426</v>
      </c>
      <c r="P47" s="1648">
        <v>1</v>
      </c>
      <c r="Q47" s="1648" t="s">
        <v>16</v>
      </c>
      <c r="R47" s="1648"/>
      <c r="S47" s="1648"/>
      <c r="T47" s="1648"/>
      <c r="U47" s="1731"/>
      <c r="V47" s="1653"/>
      <c r="W47" s="1656" t="s">
        <v>427</v>
      </c>
      <c r="X47" s="1657"/>
      <c r="Y47" s="1657"/>
      <c r="Z47" s="1657"/>
      <c r="AA47" s="1657"/>
      <c r="AB47" s="1657"/>
      <c r="AC47" s="1731"/>
      <c r="AD47" s="1628"/>
      <c r="AE47" s="1631" t="s">
        <v>674</v>
      </c>
      <c r="AF47" s="1632"/>
      <c r="AG47" s="1632"/>
      <c r="AH47" s="1632"/>
      <c r="AI47" s="1632"/>
      <c r="AJ47" s="1632"/>
      <c r="AK47" s="1760"/>
      <c r="AL47" s="1708"/>
      <c r="AM47" s="1711" t="s">
        <v>429</v>
      </c>
      <c r="AN47" s="1712"/>
      <c r="AO47" s="1712"/>
      <c r="AP47" s="1712"/>
      <c r="AQ47" s="1712"/>
      <c r="AR47" s="1712"/>
      <c r="AS47" s="1731"/>
      <c r="AT47" s="1725"/>
      <c r="AU47" s="1691" t="s">
        <v>430</v>
      </c>
      <c r="AV47" s="1692"/>
      <c r="AW47" s="1692"/>
      <c r="AX47" s="1692"/>
      <c r="AY47" s="1692"/>
      <c r="AZ47" s="1692"/>
      <c r="BA47" s="1731"/>
      <c r="BB47" s="1645"/>
      <c r="BC47" s="1767" t="s">
        <v>431</v>
      </c>
      <c r="BD47" s="1768"/>
      <c r="BE47" s="1768"/>
      <c r="BF47" s="1768"/>
      <c r="BG47" s="1768"/>
      <c r="BH47" s="1768"/>
      <c r="BI47" s="1256"/>
      <c r="BJ47" s="1182" t="s">
        <v>263</v>
      </c>
      <c r="BK47" s="1183"/>
      <c r="BL47" s="1183"/>
      <c r="BM47" s="1183"/>
      <c r="BN47" s="1183"/>
      <c r="BO47" s="1184"/>
      <c r="BP47" s="255"/>
      <c r="BQ47" s="255"/>
      <c r="BR47" s="255"/>
    </row>
    <row r="48" spans="1:70" ht="15" customHeight="1">
      <c r="A48" s="1172"/>
      <c r="B48" s="1173"/>
      <c r="C48" s="1173"/>
      <c r="D48" s="1173"/>
      <c r="E48" s="1173"/>
      <c r="F48" s="1173"/>
      <c r="G48" s="1173"/>
      <c r="H48" s="1344"/>
      <c r="I48" s="1174"/>
      <c r="J48" s="1174"/>
      <c r="K48" s="1174"/>
      <c r="L48" s="1174"/>
      <c r="M48" s="1174"/>
      <c r="N48" s="1646"/>
      <c r="O48" s="1758"/>
      <c r="P48" s="1386"/>
      <c r="Q48" s="1386"/>
      <c r="R48" s="1386"/>
      <c r="S48" s="1386"/>
      <c r="T48" s="1386"/>
      <c r="U48" s="1732"/>
      <c r="V48" s="1654"/>
      <c r="W48" s="1659"/>
      <c r="X48" s="1660"/>
      <c r="Y48" s="1660"/>
      <c r="Z48" s="1660"/>
      <c r="AA48" s="1660"/>
      <c r="AB48" s="1660"/>
      <c r="AC48" s="1732"/>
      <c r="AD48" s="1629"/>
      <c r="AE48" s="1634"/>
      <c r="AF48" s="1365"/>
      <c r="AG48" s="1365"/>
      <c r="AH48" s="1365"/>
      <c r="AI48" s="1365"/>
      <c r="AJ48" s="1365"/>
      <c r="AK48" s="1761"/>
      <c r="AL48" s="1709"/>
      <c r="AM48" s="1714"/>
      <c r="AN48" s="1715"/>
      <c r="AO48" s="1715"/>
      <c r="AP48" s="1715"/>
      <c r="AQ48" s="1715"/>
      <c r="AR48" s="1715"/>
      <c r="AS48" s="1732"/>
      <c r="AT48" s="1726"/>
      <c r="AU48" s="1694"/>
      <c r="AV48" s="1695"/>
      <c r="AW48" s="1695"/>
      <c r="AX48" s="1695"/>
      <c r="AY48" s="1695"/>
      <c r="AZ48" s="1695"/>
      <c r="BA48" s="1732"/>
      <c r="BB48" s="1646"/>
      <c r="BC48" s="1769"/>
      <c r="BD48" s="1770"/>
      <c r="BE48" s="1770"/>
      <c r="BF48" s="1770"/>
      <c r="BG48" s="1770"/>
      <c r="BH48" s="1770"/>
      <c r="BI48" s="1532"/>
      <c r="BJ48" s="1185"/>
      <c r="BK48" s="1186"/>
      <c r="BL48" s="1186"/>
      <c r="BM48" s="1186"/>
      <c r="BN48" s="1186"/>
      <c r="BO48" s="1187"/>
      <c r="BP48" s="255"/>
      <c r="BQ48" s="255"/>
      <c r="BR48" s="255"/>
    </row>
    <row r="49" spans="1:70" ht="15" customHeight="1" thickBot="1">
      <c r="A49" s="1172"/>
      <c r="B49" s="1173"/>
      <c r="C49" s="1173"/>
      <c r="D49" s="1173"/>
      <c r="E49" s="1173"/>
      <c r="F49" s="1173"/>
      <c r="G49" s="1173"/>
      <c r="H49" s="1345"/>
      <c r="I49" s="1174"/>
      <c r="J49" s="1174"/>
      <c r="K49" s="1174"/>
      <c r="L49" s="1174"/>
      <c r="M49" s="1174"/>
      <c r="N49" s="1647"/>
      <c r="O49" s="1759"/>
      <c r="P49" s="1651"/>
      <c r="Q49" s="1651"/>
      <c r="R49" s="1651"/>
      <c r="S49" s="1651"/>
      <c r="T49" s="1651"/>
      <c r="U49" s="1733"/>
      <c r="V49" s="1655"/>
      <c r="W49" s="1662"/>
      <c r="X49" s="1663"/>
      <c r="Y49" s="1663"/>
      <c r="Z49" s="1663"/>
      <c r="AA49" s="1663"/>
      <c r="AB49" s="1663"/>
      <c r="AC49" s="1733"/>
      <c r="AD49" s="1630"/>
      <c r="AE49" s="1636"/>
      <c r="AF49" s="1637"/>
      <c r="AG49" s="1637"/>
      <c r="AH49" s="1637"/>
      <c r="AI49" s="1637"/>
      <c r="AJ49" s="1637"/>
      <c r="AK49" s="1762"/>
      <c r="AL49" s="1710"/>
      <c r="AM49" s="1717"/>
      <c r="AN49" s="1718"/>
      <c r="AO49" s="1718"/>
      <c r="AP49" s="1718"/>
      <c r="AQ49" s="1718"/>
      <c r="AR49" s="1718"/>
      <c r="AS49" s="1733"/>
      <c r="AT49" s="1727"/>
      <c r="AU49" s="1697"/>
      <c r="AV49" s="1698"/>
      <c r="AW49" s="1698"/>
      <c r="AX49" s="1698"/>
      <c r="AY49" s="1698"/>
      <c r="AZ49" s="1698"/>
      <c r="BA49" s="1733"/>
      <c r="BB49" s="1647"/>
      <c r="BC49" s="1771"/>
      <c r="BD49" s="1772"/>
      <c r="BE49" s="1772"/>
      <c r="BF49" s="1772"/>
      <c r="BG49" s="1772"/>
      <c r="BH49" s="1772"/>
      <c r="BI49" s="1257"/>
      <c r="BJ49" s="1188"/>
      <c r="BK49" s="1189"/>
      <c r="BL49" s="1189"/>
      <c r="BM49" s="1189"/>
      <c r="BN49" s="1189"/>
      <c r="BO49" s="1190"/>
      <c r="BP49" s="255"/>
      <c r="BQ49" s="255"/>
      <c r="BR49" s="255"/>
    </row>
    <row r="50" spans="1:70" ht="15" customHeight="1">
      <c r="A50" s="1307">
        <v>1.1000000000000001</v>
      </c>
      <c r="B50" s="1161" t="s">
        <v>941</v>
      </c>
      <c r="C50" s="1162"/>
      <c r="D50" s="1162"/>
      <c r="E50" s="1162"/>
      <c r="F50" s="1162"/>
      <c r="G50" s="1199"/>
      <c r="H50" s="1205" t="str">
        <f>IF(ISBLANK(P$3),"",1)</f>
        <v/>
      </c>
      <c r="I50" s="1205" t="str">
        <f>IF(ISBLANK(T$3),"",1)</f>
        <v/>
      </c>
      <c r="J50" s="1205" t="str">
        <f>IF(ISBLANK(X$3),"",1)</f>
        <v/>
      </c>
      <c r="K50" s="1205" t="str">
        <f>IF(ISBLANK(AB$3),"",1)</f>
        <v/>
      </c>
      <c r="L50" s="1205" t="str">
        <f>IF(ISBLANK(AF$3),"",1)</f>
        <v/>
      </c>
      <c r="M50" s="1205" t="str">
        <f>IF(ISBLANK(AJ$3),"",1)</f>
        <v/>
      </c>
      <c r="N50" s="1743">
        <v>4.4000000000000004</v>
      </c>
      <c r="O50" s="1749" t="s">
        <v>932</v>
      </c>
      <c r="P50" s="1396"/>
      <c r="Q50" s="1396"/>
      <c r="R50" s="1396"/>
      <c r="S50" s="1396"/>
      <c r="T50" s="1396"/>
      <c r="U50" s="1205" t="str">
        <f>IF(ISBLANK(P$3),"",1)</f>
        <v/>
      </c>
      <c r="V50" s="1724">
        <v>4.4000000000000004</v>
      </c>
      <c r="W50" s="1749" t="s">
        <v>340</v>
      </c>
      <c r="X50" s="1396"/>
      <c r="Y50" s="1396"/>
      <c r="Z50" s="1396"/>
      <c r="AA50" s="1396"/>
      <c r="AB50" s="1396"/>
      <c r="AC50" s="1205" t="str">
        <f>IF(ISBLANK(T$3),"",1)</f>
        <v/>
      </c>
      <c r="AD50" s="1743">
        <v>4.4000000000000004</v>
      </c>
      <c r="AE50" s="1395" t="s">
        <v>341</v>
      </c>
      <c r="AF50" s="1396"/>
      <c r="AG50" s="1396"/>
      <c r="AH50" s="1396"/>
      <c r="AI50" s="1396"/>
      <c r="AJ50" s="1396"/>
      <c r="AK50" s="1205" t="str">
        <f>IF(ISBLANK(X$3),"",1)</f>
        <v/>
      </c>
      <c r="AL50" s="1743">
        <v>4.4000000000000004</v>
      </c>
      <c r="AM50" s="1395" t="s">
        <v>340</v>
      </c>
      <c r="AN50" s="1396"/>
      <c r="AO50" s="1396"/>
      <c r="AP50" s="1396"/>
      <c r="AQ50" s="1396"/>
      <c r="AR50" s="1396"/>
      <c r="AS50" s="1205" t="str">
        <f>IF(ISBLANK(AB$3),"",1)</f>
        <v/>
      </c>
      <c r="AT50" s="1743">
        <v>4.4000000000000004</v>
      </c>
      <c r="AU50" s="1395" t="s">
        <v>342</v>
      </c>
      <c r="AV50" s="1396"/>
      <c r="AW50" s="1396"/>
      <c r="AX50" s="1396"/>
      <c r="AY50" s="1396"/>
      <c r="AZ50" s="1396"/>
      <c r="BA50" s="1205" t="str">
        <f>IF(ISBLANK(AF$3),"",1)</f>
        <v/>
      </c>
      <c r="BB50" s="1743">
        <v>4.4000000000000004</v>
      </c>
      <c r="BC50" s="1526" t="s">
        <v>374</v>
      </c>
      <c r="BD50" s="1527"/>
      <c r="BE50" s="1527"/>
      <c r="BF50" s="1527"/>
      <c r="BG50" s="1527"/>
      <c r="BH50" s="1527"/>
      <c r="BI50" s="1205" t="str">
        <f>IF(ISBLANK(AJ$3),"",1)</f>
        <v/>
      </c>
      <c r="BJ50" s="1188"/>
      <c r="BK50" s="1189"/>
      <c r="BL50" s="1189"/>
      <c r="BM50" s="1189"/>
      <c r="BN50" s="1189"/>
      <c r="BO50" s="1190"/>
      <c r="BP50" s="255"/>
      <c r="BQ50" s="255"/>
      <c r="BR50" s="255"/>
    </row>
    <row r="51" spans="1:70" ht="15" customHeight="1">
      <c r="A51" s="1308"/>
      <c r="B51" s="1163"/>
      <c r="C51" s="1164"/>
      <c r="D51" s="1164"/>
      <c r="E51" s="1164"/>
      <c r="F51" s="1164"/>
      <c r="G51" s="1201"/>
      <c r="H51" s="1206"/>
      <c r="I51" s="1206"/>
      <c r="J51" s="1206"/>
      <c r="K51" s="1206"/>
      <c r="L51" s="1206"/>
      <c r="M51" s="1206"/>
      <c r="N51" s="1744"/>
      <c r="O51" s="1200"/>
      <c r="P51" s="1164"/>
      <c r="Q51" s="1164"/>
      <c r="R51" s="1164"/>
      <c r="S51" s="1164"/>
      <c r="T51" s="1164"/>
      <c r="U51" s="1206"/>
      <c r="V51" s="1293"/>
      <c r="W51" s="1200"/>
      <c r="X51" s="1164"/>
      <c r="Y51" s="1164"/>
      <c r="Z51" s="1164"/>
      <c r="AA51" s="1164"/>
      <c r="AB51" s="1164"/>
      <c r="AC51" s="1206"/>
      <c r="AD51" s="1744"/>
      <c r="AE51" s="1163"/>
      <c r="AF51" s="1164"/>
      <c r="AG51" s="1164"/>
      <c r="AH51" s="1164"/>
      <c r="AI51" s="1164"/>
      <c r="AJ51" s="1164"/>
      <c r="AK51" s="1206"/>
      <c r="AL51" s="1744"/>
      <c r="AM51" s="1163"/>
      <c r="AN51" s="1164"/>
      <c r="AO51" s="1164"/>
      <c r="AP51" s="1164"/>
      <c r="AQ51" s="1164"/>
      <c r="AR51" s="1164"/>
      <c r="AS51" s="1206"/>
      <c r="AT51" s="1744"/>
      <c r="AU51" s="1163"/>
      <c r="AV51" s="1164"/>
      <c r="AW51" s="1164"/>
      <c r="AX51" s="1164"/>
      <c r="AY51" s="1164"/>
      <c r="AZ51" s="1164"/>
      <c r="BA51" s="1206"/>
      <c r="BB51" s="1744"/>
      <c r="BC51" s="1317"/>
      <c r="BD51" s="1296"/>
      <c r="BE51" s="1296"/>
      <c r="BF51" s="1296"/>
      <c r="BG51" s="1296"/>
      <c r="BH51" s="1296"/>
      <c r="BI51" s="1206"/>
      <c r="BJ51" s="1188"/>
      <c r="BK51" s="1189"/>
      <c r="BL51" s="1189"/>
      <c r="BM51" s="1189"/>
      <c r="BN51" s="1189"/>
      <c r="BO51" s="1190"/>
      <c r="BP51" s="255"/>
      <c r="BQ51" s="255"/>
      <c r="BR51" s="255"/>
    </row>
    <row r="52" spans="1:70" ht="15" customHeight="1">
      <c r="A52" s="1309"/>
      <c r="B52" s="1165"/>
      <c r="C52" s="1166"/>
      <c r="D52" s="1166"/>
      <c r="E52" s="1166"/>
      <c r="F52" s="1166"/>
      <c r="G52" s="1292"/>
      <c r="H52" s="1207"/>
      <c r="I52" s="1207"/>
      <c r="J52" s="1207"/>
      <c r="K52" s="1207"/>
      <c r="L52" s="1207"/>
      <c r="M52" s="1207"/>
      <c r="N52" s="1745"/>
      <c r="O52" s="1202"/>
      <c r="P52" s="1203"/>
      <c r="Q52" s="1203"/>
      <c r="R52" s="1203"/>
      <c r="S52" s="1203"/>
      <c r="T52" s="1203"/>
      <c r="U52" s="1207"/>
      <c r="V52" s="1294"/>
      <c r="W52" s="1202"/>
      <c r="X52" s="1203"/>
      <c r="Y52" s="1203"/>
      <c r="Z52" s="1203"/>
      <c r="AA52" s="1203"/>
      <c r="AB52" s="1203"/>
      <c r="AC52" s="1207"/>
      <c r="AD52" s="1745"/>
      <c r="AE52" s="1552"/>
      <c r="AF52" s="1203"/>
      <c r="AG52" s="1203"/>
      <c r="AH52" s="1203"/>
      <c r="AI52" s="1203"/>
      <c r="AJ52" s="1203"/>
      <c r="AK52" s="1207"/>
      <c r="AL52" s="1745"/>
      <c r="AM52" s="1552"/>
      <c r="AN52" s="1203"/>
      <c r="AO52" s="1203"/>
      <c r="AP52" s="1203"/>
      <c r="AQ52" s="1203"/>
      <c r="AR52" s="1203"/>
      <c r="AS52" s="1207"/>
      <c r="AT52" s="1745"/>
      <c r="AU52" s="1552"/>
      <c r="AV52" s="1203"/>
      <c r="AW52" s="1203"/>
      <c r="AX52" s="1203"/>
      <c r="AY52" s="1203"/>
      <c r="AZ52" s="1203"/>
      <c r="BA52" s="1207"/>
      <c r="BB52" s="1745"/>
      <c r="BC52" s="1723"/>
      <c r="BD52" s="1299"/>
      <c r="BE52" s="1299"/>
      <c r="BF52" s="1299"/>
      <c r="BG52" s="1299"/>
      <c r="BH52" s="1299"/>
      <c r="BI52" s="1207"/>
      <c r="BJ52" s="1188"/>
      <c r="BK52" s="1189"/>
      <c r="BL52" s="1189"/>
      <c r="BM52" s="1189"/>
      <c r="BN52" s="1189"/>
      <c r="BO52" s="1190"/>
      <c r="BP52" s="255"/>
      <c r="BQ52" s="255"/>
      <c r="BR52" s="255"/>
    </row>
    <row r="53" spans="1:70" ht="15" customHeight="1">
      <c r="A53" s="1304">
        <v>2.4</v>
      </c>
      <c r="B53" s="1161" t="s">
        <v>316</v>
      </c>
      <c r="C53" s="1162"/>
      <c r="D53" s="1162"/>
      <c r="E53" s="1162"/>
      <c r="F53" s="1162"/>
      <c r="G53" s="1199"/>
      <c r="H53" s="1205" t="str">
        <f>IF(ISBLANK(P$3),"",1)</f>
        <v/>
      </c>
      <c r="I53" s="1205" t="str">
        <f>IF(ISBLANK(T$3),"",1)</f>
        <v/>
      </c>
      <c r="J53" s="1205" t="str">
        <f>IF(ISBLANK(X$3),"",1)</f>
        <v/>
      </c>
      <c r="K53" s="1205" t="str">
        <f>IF(ISBLANK(AB$3),"",1)</f>
        <v/>
      </c>
      <c r="L53" s="1205" t="str">
        <f>IF(ISBLANK(AF$3),"",1)</f>
        <v/>
      </c>
      <c r="M53" s="1205" t="str">
        <f t="shared" ref="M53" si="12">IF(ISBLANK(AJ$3),"",1)</f>
        <v/>
      </c>
      <c r="N53" s="1763">
        <v>4.3</v>
      </c>
      <c r="O53" s="1749" t="s">
        <v>933</v>
      </c>
      <c r="P53" s="1396"/>
      <c r="Q53" s="1396"/>
      <c r="R53" s="1396"/>
      <c r="S53" s="1396"/>
      <c r="T53" s="1396"/>
      <c r="U53" s="1205" t="str">
        <f t="shared" ref="U53" si="13">IF(ISBLANK(P$3),"",1)</f>
        <v/>
      </c>
      <c r="V53" s="1301">
        <v>4.4000000000000004</v>
      </c>
      <c r="W53" s="1749" t="s">
        <v>934</v>
      </c>
      <c r="X53" s="1396"/>
      <c r="Y53" s="1396"/>
      <c r="Z53" s="1396"/>
      <c r="AA53" s="1396"/>
      <c r="AB53" s="1396"/>
      <c r="AC53" s="1205" t="str">
        <f t="shared" ref="AC53" si="14">IF(ISBLANK(T$3),"",1)</f>
        <v/>
      </c>
      <c r="AD53" s="1763">
        <v>4.4000000000000004</v>
      </c>
      <c r="AE53" s="1395" t="s">
        <v>344</v>
      </c>
      <c r="AF53" s="1396"/>
      <c r="AG53" s="1396"/>
      <c r="AH53" s="1396"/>
      <c r="AI53" s="1396"/>
      <c r="AJ53" s="1396"/>
      <c r="AK53" s="1205" t="str">
        <f t="shared" ref="AK53" si="15">IF(ISBLANK(X$3),"",1)</f>
        <v/>
      </c>
      <c r="AL53" s="1746">
        <v>4.3</v>
      </c>
      <c r="AM53" s="1749" t="s">
        <v>319</v>
      </c>
      <c r="AN53" s="1396"/>
      <c r="AO53" s="1396"/>
      <c r="AP53" s="1396"/>
      <c r="AQ53" s="1396"/>
      <c r="AR53" s="1396"/>
      <c r="AS53" s="1205" t="str">
        <f t="shared" ref="AS53" si="16">IF(ISBLANK(AB$3),"",1)</f>
        <v/>
      </c>
      <c r="AT53" s="1763">
        <v>4.3</v>
      </c>
      <c r="AU53" s="1395" t="s">
        <v>319</v>
      </c>
      <c r="AV53" s="1396"/>
      <c r="AW53" s="1396"/>
      <c r="AX53" s="1396"/>
      <c r="AY53" s="1396"/>
      <c r="AZ53" s="1396"/>
      <c r="BA53" s="1205" t="str">
        <f t="shared" ref="BA53" si="17">IF(ISBLANK(AF$3),"",1)</f>
        <v/>
      </c>
      <c r="BB53" s="1746">
        <v>4.4000000000000004</v>
      </c>
      <c r="BC53" s="1756" t="s">
        <v>375</v>
      </c>
      <c r="BD53" s="1527"/>
      <c r="BE53" s="1527"/>
      <c r="BF53" s="1527"/>
      <c r="BG53" s="1527"/>
      <c r="BH53" s="1527"/>
      <c r="BI53" s="1205" t="str">
        <f t="shared" ref="BI53" si="18">IF(ISBLANK(AJ$3),"",1)</f>
        <v/>
      </c>
      <c r="BJ53" s="1188"/>
      <c r="BK53" s="1189"/>
      <c r="BL53" s="1189"/>
      <c r="BM53" s="1189"/>
      <c r="BN53" s="1189"/>
      <c r="BO53" s="1190"/>
      <c r="BP53" s="255"/>
      <c r="BQ53" s="255"/>
      <c r="BR53" s="255"/>
    </row>
    <row r="54" spans="1:70" ht="15" customHeight="1">
      <c r="A54" s="1290"/>
      <c r="B54" s="1163"/>
      <c r="C54" s="1164"/>
      <c r="D54" s="1164"/>
      <c r="E54" s="1164"/>
      <c r="F54" s="1164"/>
      <c r="G54" s="1201"/>
      <c r="H54" s="1206"/>
      <c r="I54" s="1206"/>
      <c r="J54" s="1206"/>
      <c r="K54" s="1206"/>
      <c r="L54" s="1206"/>
      <c r="M54" s="1206"/>
      <c r="N54" s="1744"/>
      <c r="O54" s="1200"/>
      <c r="P54" s="1164"/>
      <c r="Q54" s="1164"/>
      <c r="R54" s="1164"/>
      <c r="S54" s="1164"/>
      <c r="T54" s="1164"/>
      <c r="U54" s="1206"/>
      <c r="V54" s="1302"/>
      <c r="W54" s="1200"/>
      <c r="X54" s="1164"/>
      <c r="Y54" s="1164"/>
      <c r="Z54" s="1164"/>
      <c r="AA54" s="1164"/>
      <c r="AB54" s="1164"/>
      <c r="AC54" s="1206"/>
      <c r="AD54" s="1744"/>
      <c r="AE54" s="1163"/>
      <c r="AF54" s="1164"/>
      <c r="AG54" s="1164"/>
      <c r="AH54" s="1164"/>
      <c r="AI54" s="1164"/>
      <c r="AJ54" s="1164"/>
      <c r="AK54" s="1206"/>
      <c r="AL54" s="1747"/>
      <c r="AM54" s="1200"/>
      <c r="AN54" s="1164"/>
      <c r="AO54" s="1164"/>
      <c r="AP54" s="1164"/>
      <c r="AQ54" s="1164"/>
      <c r="AR54" s="1164"/>
      <c r="AS54" s="1206"/>
      <c r="AT54" s="1744"/>
      <c r="AU54" s="1163"/>
      <c r="AV54" s="1164"/>
      <c r="AW54" s="1164"/>
      <c r="AX54" s="1164"/>
      <c r="AY54" s="1164"/>
      <c r="AZ54" s="1164"/>
      <c r="BA54" s="1206"/>
      <c r="BB54" s="1747"/>
      <c r="BC54" s="1295"/>
      <c r="BD54" s="1296"/>
      <c r="BE54" s="1296"/>
      <c r="BF54" s="1296"/>
      <c r="BG54" s="1296"/>
      <c r="BH54" s="1296"/>
      <c r="BI54" s="1206"/>
      <c r="BJ54" s="1188"/>
      <c r="BK54" s="1189"/>
      <c r="BL54" s="1189"/>
      <c r="BM54" s="1189"/>
      <c r="BN54" s="1189"/>
      <c r="BO54" s="1190"/>
      <c r="BP54" s="255"/>
      <c r="BQ54" s="255"/>
      <c r="BR54" s="255"/>
    </row>
    <row r="55" spans="1:70" ht="15" customHeight="1">
      <c r="A55" s="1291"/>
      <c r="B55" s="1165"/>
      <c r="C55" s="1166"/>
      <c r="D55" s="1166"/>
      <c r="E55" s="1166"/>
      <c r="F55" s="1166"/>
      <c r="G55" s="1292"/>
      <c r="H55" s="1207"/>
      <c r="I55" s="1207"/>
      <c r="J55" s="1207"/>
      <c r="K55" s="1207"/>
      <c r="L55" s="1207"/>
      <c r="M55" s="1207"/>
      <c r="N55" s="1745"/>
      <c r="O55" s="1202"/>
      <c r="P55" s="1203"/>
      <c r="Q55" s="1203"/>
      <c r="R55" s="1203"/>
      <c r="S55" s="1203"/>
      <c r="T55" s="1203"/>
      <c r="U55" s="1207"/>
      <c r="V55" s="1303"/>
      <c r="W55" s="1202"/>
      <c r="X55" s="1203"/>
      <c r="Y55" s="1203"/>
      <c r="Z55" s="1203"/>
      <c r="AA55" s="1203"/>
      <c r="AB55" s="1203"/>
      <c r="AC55" s="1207"/>
      <c r="AD55" s="1745"/>
      <c r="AE55" s="1552"/>
      <c r="AF55" s="1203"/>
      <c r="AG55" s="1203"/>
      <c r="AH55" s="1203"/>
      <c r="AI55" s="1203"/>
      <c r="AJ55" s="1203"/>
      <c r="AK55" s="1207"/>
      <c r="AL55" s="1748"/>
      <c r="AM55" s="1202"/>
      <c r="AN55" s="1203"/>
      <c r="AO55" s="1203"/>
      <c r="AP55" s="1203"/>
      <c r="AQ55" s="1203"/>
      <c r="AR55" s="1203"/>
      <c r="AS55" s="1207"/>
      <c r="AT55" s="1745"/>
      <c r="AU55" s="1552"/>
      <c r="AV55" s="1203"/>
      <c r="AW55" s="1203"/>
      <c r="AX55" s="1203"/>
      <c r="AY55" s="1203"/>
      <c r="AZ55" s="1203"/>
      <c r="BA55" s="1207"/>
      <c r="BB55" s="1748"/>
      <c r="BC55" s="1298"/>
      <c r="BD55" s="1299"/>
      <c r="BE55" s="1299"/>
      <c r="BF55" s="1299"/>
      <c r="BG55" s="1299"/>
      <c r="BH55" s="1299"/>
      <c r="BI55" s="1207"/>
      <c r="BJ55" s="1188"/>
      <c r="BK55" s="1189"/>
      <c r="BL55" s="1189"/>
      <c r="BM55" s="1189"/>
      <c r="BN55" s="1189"/>
      <c r="BO55" s="1190"/>
      <c r="BP55" s="255"/>
      <c r="BQ55" s="255"/>
      <c r="BR55" s="255"/>
    </row>
    <row r="56" spans="1:70" ht="15" customHeight="1">
      <c r="A56" s="1307">
        <v>1.1000000000000001</v>
      </c>
      <c r="B56" s="1161" t="s">
        <v>320</v>
      </c>
      <c r="C56" s="1162"/>
      <c r="D56" s="1162"/>
      <c r="E56" s="1162"/>
      <c r="F56" s="1162"/>
      <c r="G56" s="1199"/>
      <c r="H56" s="1205" t="str">
        <f>IF(ISBLANK(P$3),"",1)</f>
        <v/>
      </c>
      <c r="I56" s="1205" t="str">
        <f>IF(ISBLANK(T$3),"",1)</f>
        <v/>
      </c>
      <c r="J56" s="1205" t="str">
        <f>IF(ISBLANK(X$3),"",1)</f>
        <v/>
      </c>
      <c r="K56" s="1205" t="str">
        <f>IF(ISBLANK(AB$3),"",1)</f>
        <v/>
      </c>
      <c r="L56" s="1205" t="str">
        <f>IF(ISBLANK(AF$3),"",1)</f>
        <v/>
      </c>
      <c r="M56" s="1205" t="str">
        <f t="shared" ref="M56" si="19">IF(ISBLANK(AJ$3),"",1)</f>
        <v/>
      </c>
      <c r="N56" s="1750">
        <v>1.5</v>
      </c>
      <c r="O56" s="1395" t="s">
        <v>345</v>
      </c>
      <c r="P56" s="1396"/>
      <c r="Q56" s="1396"/>
      <c r="R56" s="1396"/>
      <c r="S56" s="1396"/>
      <c r="T56" s="1396"/>
      <c r="U56" s="1205" t="str">
        <f t="shared" ref="U56" si="20">IF(ISBLANK(P$3),"",1)</f>
        <v/>
      </c>
      <c r="V56" s="1304">
        <v>2.4</v>
      </c>
      <c r="W56" s="1737" t="s">
        <v>346</v>
      </c>
      <c r="X56" s="1738"/>
      <c r="Y56" s="1738"/>
      <c r="Z56" s="1738"/>
      <c r="AA56" s="1738"/>
      <c r="AB56" s="1738"/>
      <c r="AC56" s="1205" t="str">
        <f t="shared" ref="AC56" si="21">IF(ISBLANK(T$3),"",1)</f>
        <v/>
      </c>
      <c r="AD56" s="1301">
        <v>4.3</v>
      </c>
      <c r="AE56" s="1395" t="s">
        <v>319</v>
      </c>
      <c r="AF56" s="1396"/>
      <c r="AG56" s="1396"/>
      <c r="AH56" s="1396"/>
      <c r="AI56" s="1396"/>
      <c r="AJ56" s="1396"/>
      <c r="AK56" s="1205" t="str">
        <f t="shared" ref="AK56" si="22">IF(ISBLANK(X$3),"",1)</f>
        <v/>
      </c>
      <c r="AL56" s="1734">
        <v>2.4</v>
      </c>
      <c r="AM56" s="1737" t="s">
        <v>346</v>
      </c>
      <c r="AN56" s="1738"/>
      <c r="AO56" s="1738"/>
      <c r="AP56" s="1738"/>
      <c r="AQ56" s="1738"/>
      <c r="AR56" s="1738"/>
      <c r="AS56" s="1205" t="str">
        <f t="shared" ref="AS56" si="23">IF(ISBLANK(AB$3),"",1)</f>
        <v/>
      </c>
      <c r="AT56" s="1301">
        <v>4.4000000000000004</v>
      </c>
      <c r="AU56" s="1395" t="s">
        <v>347</v>
      </c>
      <c r="AV56" s="1396"/>
      <c r="AW56" s="1396"/>
      <c r="AX56" s="1396"/>
      <c r="AY56" s="1396"/>
      <c r="AZ56" s="1396"/>
      <c r="BA56" s="1205" t="str">
        <f t="shared" ref="BA56" si="24">IF(ISBLANK(AF$3),"",1)</f>
        <v/>
      </c>
      <c r="BB56" s="1763">
        <v>4.4000000000000004</v>
      </c>
      <c r="BC56" s="1526" t="s">
        <v>376</v>
      </c>
      <c r="BD56" s="1527"/>
      <c r="BE56" s="1527"/>
      <c r="BF56" s="1527"/>
      <c r="BG56" s="1527"/>
      <c r="BH56" s="1527"/>
      <c r="BI56" s="1205" t="str">
        <f t="shared" ref="BI56" si="25">IF(ISBLANK(AJ$3),"",1)</f>
        <v/>
      </c>
      <c r="BJ56" s="1188"/>
      <c r="BK56" s="1189"/>
      <c r="BL56" s="1189"/>
      <c r="BM56" s="1189"/>
      <c r="BN56" s="1189"/>
      <c r="BO56" s="1190"/>
      <c r="BP56" s="255"/>
      <c r="BQ56" s="255"/>
      <c r="BR56" s="255"/>
    </row>
    <row r="57" spans="1:70" ht="15" customHeight="1">
      <c r="A57" s="1308"/>
      <c r="B57" s="1163"/>
      <c r="C57" s="1164"/>
      <c r="D57" s="1164"/>
      <c r="E57" s="1164"/>
      <c r="F57" s="1164"/>
      <c r="G57" s="1201"/>
      <c r="H57" s="1206"/>
      <c r="I57" s="1206"/>
      <c r="J57" s="1206"/>
      <c r="K57" s="1206"/>
      <c r="L57" s="1206"/>
      <c r="M57" s="1206"/>
      <c r="N57" s="1751"/>
      <c r="O57" s="1163"/>
      <c r="P57" s="1164"/>
      <c r="Q57" s="1164"/>
      <c r="R57" s="1164"/>
      <c r="S57" s="1164"/>
      <c r="T57" s="1164"/>
      <c r="U57" s="1206"/>
      <c r="V57" s="1290"/>
      <c r="W57" s="1739"/>
      <c r="X57" s="1740"/>
      <c r="Y57" s="1740"/>
      <c r="Z57" s="1740"/>
      <c r="AA57" s="1740"/>
      <c r="AB57" s="1740"/>
      <c r="AC57" s="1206"/>
      <c r="AD57" s="1302"/>
      <c r="AE57" s="1163"/>
      <c r="AF57" s="1164"/>
      <c r="AG57" s="1164"/>
      <c r="AH57" s="1164"/>
      <c r="AI57" s="1164"/>
      <c r="AJ57" s="1164"/>
      <c r="AK57" s="1206"/>
      <c r="AL57" s="1735"/>
      <c r="AM57" s="1739"/>
      <c r="AN57" s="1740"/>
      <c r="AO57" s="1740"/>
      <c r="AP57" s="1740"/>
      <c r="AQ57" s="1740"/>
      <c r="AR57" s="1740"/>
      <c r="AS57" s="1206"/>
      <c r="AT57" s="1302"/>
      <c r="AU57" s="1163"/>
      <c r="AV57" s="1164"/>
      <c r="AW57" s="1164"/>
      <c r="AX57" s="1164"/>
      <c r="AY57" s="1164"/>
      <c r="AZ57" s="1164"/>
      <c r="BA57" s="1206"/>
      <c r="BB57" s="1744"/>
      <c r="BC57" s="1317"/>
      <c r="BD57" s="1296"/>
      <c r="BE57" s="1296"/>
      <c r="BF57" s="1296"/>
      <c r="BG57" s="1296"/>
      <c r="BH57" s="1296"/>
      <c r="BI57" s="1206"/>
      <c r="BJ57" s="1188"/>
      <c r="BK57" s="1189"/>
      <c r="BL57" s="1189"/>
      <c r="BM57" s="1189"/>
      <c r="BN57" s="1189"/>
      <c r="BO57" s="1190"/>
      <c r="BP57" s="255"/>
      <c r="BQ57" s="255"/>
      <c r="BR57" s="255"/>
    </row>
    <row r="58" spans="1:70" ht="15" customHeight="1">
      <c r="A58" s="1309"/>
      <c r="B58" s="1165"/>
      <c r="C58" s="1166"/>
      <c r="D58" s="1166"/>
      <c r="E58" s="1166"/>
      <c r="F58" s="1166"/>
      <c r="G58" s="1292"/>
      <c r="H58" s="1207"/>
      <c r="I58" s="1207"/>
      <c r="J58" s="1207"/>
      <c r="K58" s="1207"/>
      <c r="L58" s="1207"/>
      <c r="M58" s="1207"/>
      <c r="N58" s="1752"/>
      <c r="O58" s="1552"/>
      <c r="P58" s="1203"/>
      <c r="Q58" s="1203"/>
      <c r="R58" s="1203"/>
      <c r="S58" s="1203"/>
      <c r="T58" s="1203"/>
      <c r="U58" s="1207"/>
      <c r="V58" s="1291"/>
      <c r="W58" s="1741"/>
      <c r="X58" s="1742"/>
      <c r="Y58" s="1742"/>
      <c r="Z58" s="1742"/>
      <c r="AA58" s="1742"/>
      <c r="AB58" s="1742"/>
      <c r="AC58" s="1207"/>
      <c r="AD58" s="1303"/>
      <c r="AE58" s="1552"/>
      <c r="AF58" s="1203"/>
      <c r="AG58" s="1203"/>
      <c r="AH58" s="1203"/>
      <c r="AI58" s="1203"/>
      <c r="AJ58" s="1203"/>
      <c r="AK58" s="1207"/>
      <c r="AL58" s="1736"/>
      <c r="AM58" s="1741"/>
      <c r="AN58" s="1742"/>
      <c r="AO58" s="1742"/>
      <c r="AP58" s="1742"/>
      <c r="AQ58" s="1742"/>
      <c r="AR58" s="1742"/>
      <c r="AS58" s="1207"/>
      <c r="AT58" s="1303"/>
      <c r="AU58" s="1552"/>
      <c r="AV58" s="1203"/>
      <c r="AW58" s="1203"/>
      <c r="AX58" s="1203"/>
      <c r="AY58" s="1203"/>
      <c r="AZ58" s="1203"/>
      <c r="BA58" s="1207"/>
      <c r="BB58" s="1745"/>
      <c r="BC58" s="1723"/>
      <c r="BD58" s="1299"/>
      <c r="BE58" s="1299"/>
      <c r="BF58" s="1299"/>
      <c r="BG58" s="1299"/>
      <c r="BH58" s="1299"/>
      <c r="BI58" s="1207"/>
      <c r="BJ58" s="1188"/>
      <c r="BK58" s="1189"/>
      <c r="BL58" s="1189"/>
      <c r="BM58" s="1189"/>
      <c r="BN58" s="1189"/>
      <c r="BO58" s="1190"/>
      <c r="BP58" s="255"/>
      <c r="BQ58" s="255"/>
      <c r="BR58" s="255"/>
    </row>
    <row r="59" spans="1:70" ht="15" customHeight="1">
      <c r="A59" s="1304">
        <v>2.1</v>
      </c>
      <c r="B59" s="1161" t="s">
        <v>322</v>
      </c>
      <c r="C59" s="1162"/>
      <c r="D59" s="1162"/>
      <c r="E59" s="1162"/>
      <c r="F59" s="1162"/>
      <c r="G59" s="1199"/>
      <c r="H59" s="1205" t="str">
        <f t="shared" ref="H59" si="26">IF(ISBLANK(P$3),"",1)</f>
        <v/>
      </c>
      <c r="I59" s="1205" t="str">
        <f>IF(ISBLANK(T$3),"",1)</f>
        <v/>
      </c>
      <c r="J59" s="1205" t="str">
        <f>IF(ISBLANK(X$3),"",1)</f>
        <v/>
      </c>
      <c r="K59" s="1205" t="str">
        <f>IF(ISBLANK(AB$3),"",1)</f>
        <v/>
      </c>
      <c r="L59" s="1205" t="str">
        <f>IF(ISBLANK(AF$3),"",1)</f>
        <v/>
      </c>
      <c r="M59" s="1205" t="str">
        <f t="shared" ref="M59" si="27">IF(ISBLANK(AJ$3),"",1)</f>
        <v/>
      </c>
      <c r="N59" s="1746">
        <v>4.3</v>
      </c>
      <c r="O59" s="1749" t="s">
        <v>348</v>
      </c>
      <c r="P59" s="1396"/>
      <c r="Q59" s="1396"/>
      <c r="R59" s="1396"/>
      <c r="S59" s="1396"/>
      <c r="T59" s="1396"/>
      <c r="U59" s="1205" t="str">
        <f t="shared" ref="U59" si="28">IF(ISBLANK(P$3),"",1)</f>
        <v/>
      </c>
      <c r="V59" s="1763">
        <v>4.3</v>
      </c>
      <c r="W59" s="1395" t="s">
        <v>321</v>
      </c>
      <c r="X59" s="1396"/>
      <c r="Y59" s="1396"/>
      <c r="Z59" s="1396"/>
      <c r="AA59" s="1396"/>
      <c r="AB59" s="1396"/>
      <c r="AC59" s="1205" t="str">
        <f t="shared" ref="AC59" si="29">IF(ISBLANK(T$3),"",1)</f>
        <v/>
      </c>
      <c r="AD59" s="1746">
        <v>4.3</v>
      </c>
      <c r="AE59" s="1749" t="s">
        <v>321</v>
      </c>
      <c r="AF59" s="1396"/>
      <c r="AG59" s="1396"/>
      <c r="AH59" s="1396"/>
      <c r="AI59" s="1396"/>
      <c r="AJ59" s="1396"/>
      <c r="AK59" s="1205" t="str">
        <f t="shared" ref="AK59" si="30">IF(ISBLANK(X$3),"",1)</f>
        <v/>
      </c>
      <c r="AL59" s="1763">
        <v>4.3</v>
      </c>
      <c r="AM59" s="1395" t="s">
        <v>347</v>
      </c>
      <c r="AN59" s="1396"/>
      <c r="AO59" s="1396"/>
      <c r="AP59" s="1396"/>
      <c r="AQ59" s="1396"/>
      <c r="AR59" s="1396"/>
      <c r="AS59" s="1205" t="str">
        <f t="shared" ref="AS59" si="31">IF(ISBLANK(AB$3),"",1)</f>
        <v/>
      </c>
      <c r="AT59" s="1753">
        <v>4.4000000000000004</v>
      </c>
      <c r="AU59" s="1395" t="s">
        <v>349</v>
      </c>
      <c r="AV59" s="1396"/>
      <c r="AW59" s="1396"/>
      <c r="AX59" s="1396"/>
      <c r="AY59" s="1396"/>
      <c r="AZ59" s="1396"/>
      <c r="BA59" s="1205" t="str">
        <f t="shared" ref="BA59" si="32">IF(ISBLANK(AF$3),"",1)</f>
        <v/>
      </c>
      <c r="BB59" s="1746">
        <v>4.3</v>
      </c>
      <c r="BC59" s="1756" t="s">
        <v>319</v>
      </c>
      <c r="BD59" s="1527"/>
      <c r="BE59" s="1527"/>
      <c r="BF59" s="1527"/>
      <c r="BG59" s="1527"/>
      <c r="BH59" s="1527"/>
      <c r="BI59" s="1205" t="str">
        <f t="shared" ref="BI59" si="33">IF(ISBLANK(AJ$3),"",1)</f>
        <v/>
      </c>
      <c r="BJ59" s="1188"/>
      <c r="BK59" s="1189"/>
      <c r="BL59" s="1189"/>
      <c r="BM59" s="1189"/>
      <c r="BN59" s="1189"/>
      <c r="BO59" s="1190"/>
      <c r="BP59" s="255"/>
      <c r="BQ59" s="255"/>
      <c r="BR59" s="255"/>
    </row>
    <row r="60" spans="1:70" ht="15" customHeight="1">
      <c r="A60" s="1290"/>
      <c r="B60" s="1163"/>
      <c r="C60" s="1164"/>
      <c r="D60" s="1164"/>
      <c r="E60" s="1164"/>
      <c r="F60" s="1164"/>
      <c r="G60" s="1201"/>
      <c r="H60" s="1206"/>
      <c r="I60" s="1206"/>
      <c r="J60" s="1206"/>
      <c r="K60" s="1206"/>
      <c r="L60" s="1206"/>
      <c r="M60" s="1206"/>
      <c r="N60" s="1747"/>
      <c r="O60" s="1200"/>
      <c r="P60" s="1164"/>
      <c r="Q60" s="1164"/>
      <c r="R60" s="1164"/>
      <c r="S60" s="1164"/>
      <c r="T60" s="1164"/>
      <c r="U60" s="1206"/>
      <c r="V60" s="1744"/>
      <c r="W60" s="1163"/>
      <c r="X60" s="1164"/>
      <c r="Y60" s="1164"/>
      <c r="Z60" s="1164"/>
      <c r="AA60" s="1164"/>
      <c r="AB60" s="1164"/>
      <c r="AC60" s="1206"/>
      <c r="AD60" s="1747"/>
      <c r="AE60" s="1200"/>
      <c r="AF60" s="1164"/>
      <c r="AG60" s="1164"/>
      <c r="AH60" s="1164"/>
      <c r="AI60" s="1164"/>
      <c r="AJ60" s="1164"/>
      <c r="AK60" s="1206"/>
      <c r="AL60" s="1744"/>
      <c r="AM60" s="1163"/>
      <c r="AN60" s="1164"/>
      <c r="AO60" s="1164"/>
      <c r="AP60" s="1164"/>
      <c r="AQ60" s="1164"/>
      <c r="AR60" s="1164"/>
      <c r="AS60" s="1206"/>
      <c r="AT60" s="1754"/>
      <c r="AU60" s="1163"/>
      <c r="AV60" s="1164"/>
      <c r="AW60" s="1164"/>
      <c r="AX60" s="1164"/>
      <c r="AY60" s="1164"/>
      <c r="AZ60" s="1164"/>
      <c r="BA60" s="1206"/>
      <c r="BB60" s="1747"/>
      <c r="BC60" s="1295"/>
      <c r="BD60" s="1296"/>
      <c r="BE60" s="1296"/>
      <c r="BF60" s="1296"/>
      <c r="BG60" s="1296"/>
      <c r="BH60" s="1296"/>
      <c r="BI60" s="1206"/>
      <c r="BJ60" s="1188"/>
      <c r="BK60" s="1189"/>
      <c r="BL60" s="1189"/>
      <c r="BM60" s="1189"/>
      <c r="BN60" s="1189"/>
      <c r="BO60" s="1190"/>
      <c r="BP60" s="255"/>
      <c r="BQ60" s="255"/>
      <c r="BR60" s="255"/>
    </row>
    <row r="61" spans="1:70" ht="15" customHeight="1">
      <c r="A61" s="1291"/>
      <c r="B61" s="1165"/>
      <c r="C61" s="1166"/>
      <c r="D61" s="1166"/>
      <c r="E61" s="1166"/>
      <c r="F61" s="1166"/>
      <c r="G61" s="1292"/>
      <c r="H61" s="1207"/>
      <c r="I61" s="1207"/>
      <c r="J61" s="1207"/>
      <c r="K61" s="1207"/>
      <c r="L61" s="1207"/>
      <c r="M61" s="1207"/>
      <c r="N61" s="1748"/>
      <c r="O61" s="1202"/>
      <c r="P61" s="1203"/>
      <c r="Q61" s="1203"/>
      <c r="R61" s="1203"/>
      <c r="S61" s="1203"/>
      <c r="T61" s="1203"/>
      <c r="U61" s="1207"/>
      <c r="V61" s="1745"/>
      <c r="W61" s="1552"/>
      <c r="X61" s="1203"/>
      <c r="Y61" s="1203"/>
      <c r="Z61" s="1203"/>
      <c r="AA61" s="1203"/>
      <c r="AB61" s="1203"/>
      <c r="AC61" s="1207"/>
      <c r="AD61" s="1748"/>
      <c r="AE61" s="1202"/>
      <c r="AF61" s="1203"/>
      <c r="AG61" s="1203"/>
      <c r="AH61" s="1203"/>
      <c r="AI61" s="1203"/>
      <c r="AJ61" s="1203"/>
      <c r="AK61" s="1207"/>
      <c r="AL61" s="1745"/>
      <c r="AM61" s="1552"/>
      <c r="AN61" s="1203"/>
      <c r="AO61" s="1203"/>
      <c r="AP61" s="1203"/>
      <c r="AQ61" s="1203"/>
      <c r="AR61" s="1203"/>
      <c r="AS61" s="1207"/>
      <c r="AT61" s="1755"/>
      <c r="AU61" s="1552"/>
      <c r="AV61" s="1203"/>
      <c r="AW61" s="1203"/>
      <c r="AX61" s="1203"/>
      <c r="AY61" s="1203"/>
      <c r="AZ61" s="1203"/>
      <c r="BA61" s="1207"/>
      <c r="BB61" s="1748"/>
      <c r="BC61" s="1298"/>
      <c r="BD61" s="1299"/>
      <c r="BE61" s="1299"/>
      <c r="BF61" s="1299"/>
      <c r="BG61" s="1299"/>
      <c r="BH61" s="1299"/>
      <c r="BI61" s="1207"/>
      <c r="BJ61" s="1188"/>
      <c r="BK61" s="1189"/>
      <c r="BL61" s="1189"/>
      <c r="BM61" s="1189"/>
      <c r="BN61" s="1189"/>
      <c r="BO61" s="1190"/>
      <c r="BP61" s="255"/>
      <c r="BQ61" s="255"/>
      <c r="BR61" s="255"/>
    </row>
    <row r="62" spans="1:70" ht="15" customHeight="1">
      <c r="A62" s="1307">
        <v>1.1000000000000001</v>
      </c>
      <c r="B62" s="1161" t="s">
        <v>940</v>
      </c>
      <c r="C62" s="1162"/>
      <c r="D62" s="1162"/>
      <c r="E62" s="1162"/>
      <c r="F62" s="1162"/>
      <c r="G62" s="1199"/>
      <c r="H62" s="1205" t="str">
        <f t="shared" ref="H62" si="34">IF(ISBLANK(P$3),"",1)</f>
        <v/>
      </c>
      <c r="I62" s="1205" t="str">
        <f>IF(ISBLANK(T$3),"",1)</f>
        <v/>
      </c>
      <c r="J62" s="1205" t="str">
        <f>IF(ISBLANK(X$3),"",1)</f>
        <v/>
      </c>
      <c r="K62" s="1205" t="str">
        <f>IF(ISBLANK(AB$3),"",1)</f>
        <v/>
      </c>
      <c r="L62" s="1205" t="str">
        <f>IF(ISBLANK(AF$3),"",1)</f>
        <v/>
      </c>
      <c r="M62" s="1205" t="str">
        <f t="shared" ref="M62" si="35">IF(ISBLANK(AJ$3),"",1)</f>
        <v/>
      </c>
      <c r="N62" s="1764">
        <v>2.1</v>
      </c>
      <c r="O62" s="1749" t="s">
        <v>350</v>
      </c>
      <c r="P62" s="1396"/>
      <c r="Q62" s="1396"/>
      <c r="R62" s="1396"/>
      <c r="S62" s="1396"/>
      <c r="T62" s="1396"/>
      <c r="U62" s="1205" t="str">
        <f t="shared" ref="U62" si="36">IF(ISBLANK(P$3),"",1)</f>
        <v/>
      </c>
      <c r="V62" s="1763">
        <v>4.4000000000000004</v>
      </c>
      <c r="W62" s="1395" t="s">
        <v>351</v>
      </c>
      <c r="X62" s="1396"/>
      <c r="Y62" s="1396"/>
      <c r="Z62" s="1396"/>
      <c r="AA62" s="1396"/>
      <c r="AB62" s="1396"/>
      <c r="AC62" s="1205" t="str">
        <f t="shared" ref="AC62" si="37">IF(ISBLANK(T$3),"",1)</f>
        <v/>
      </c>
      <c r="AD62" s="1301">
        <v>4.3</v>
      </c>
      <c r="AE62" s="1395" t="s">
        <v>352</v>
      </c>
      <c r="AF62" s="1396"/>
      <c r="AG62" s="1396"/>
      <c r="AH62" s="1396"/>
      <c r="AI62" s="1396"/>
      <c r="AJ62" s="1396"/>
      <c r="AK62" s="1205" t="str">
        <f t="shared" ref="AK62" si="38">IF(ISBLANK(X$3),"",1)</f>
        <v/>
      </c>
      <c r="AL62" s="1734">
        <v>2.4</v>
      </c>
      <c r="AM62" s="1395" t="s">
        <v>353</v>
      </c>
      <c r="AN62" s="1396"/>
      <c r="AO62" s="1396"/>
      <c r="AP62" s="1396"/>
      <c r="AQ62" s="1396"/>
      <c r="AR62" s="1396"/>
      <c r="AS62" s="1205" t="str">
        <f t="shared" ref="AS62" si="39">IF(ISBLANK(AB$3),"",1)</f>
        <v/>
      </c>
      <c r="AT62" s="1753">
        <v>4.4000000000000004</v>
      </c>
      <c r="AU62" s="1395" t="s">
        <v>354</v>
      </c>
      <c r="AV62" s="1396"/>
      <c r="AW62" s="1396"/>
      <c r="AX62" s="1396"/>
      <c r="AY62" s="1396"/>
      <c r="AZ62" s="1396"/>
      <c r="BA62" s="1205" t="str">
        <f t="shared" ref="BA62" si="40">IF(ISBLANK(AF$3),"",1)</f>
        <v/>
      </c>
      <c r="BB62" s="1763">
        <v>4.3</v>
      </c>
      <c r="BC62" s="1526" t="s">
        <v>321</v>
      </c>
      <c r="BD62" s="1527"/>
      <c r="BE62" s="1527"/>
      <c r="BF62" s="1527"/>
      <c r="BG62" s="1527"/>
      <c r="BH62" s="1527"/>
      <c r="BI62" s="1205" t="str">
        <f t="shared" ref="BI62" si="41">IF(ISBLANK(AJ$3),"",1)</f>
        <v/>
      </c>
      <c r="BJ62" s="1188"/>
      <c r="BK62" s="1189"/>
      <c r="BL62" s="1189"/>
      <c r="BM62" s="1189"/>
      <c r="BN62" s="1189"/>
      <c r="BO62" s="1190"/>
      <c r="BP62" s="255"/>
      <c r="BQ62" s="255"/>
      <c r="BR62" s="255"/>
    </row>
    <row r="63" spans="1:70" ht="15" customHeight="1">
      <c r="A63" s="1308"/>
      <c r="B63" s="1163"/>
      <c r="C63" s="1164"/>
      <c r="D63" s="1164"/>
      <c r="E63" s="1164"/>
      <c r="F63" s="1164"/>
      <c r="G63" s="1201"/>
      <c r="H63" s="1206"/>
      <c r="I63" s="1206"/>
      <c r="J63" s="1206"/>
      <c r="K63" s="1206"/>
      <c r="L63" s="1206"/>
      <c r="M63" s="1206"/>
      <c r="N63" s="1765"/>
      <c r="O63" s="1200"/>
      <c r="P63" s="1164"/>
      <c r="Q63" s="1164"/>
      <c r="R63" s="1164"/>
      <c r="S63" s="1164"/>
      <c r="T63" s="1164"/>
      <c r="U63" s="1206"/>
      <c r="V63" s="1744"/>
      <c r="W63" s="1163"/>
      <c r="X63" s="1164"/>
      <c r="Y63" s="1164"/>
      <c r="Z63" s="1164"/>
      <c r="AA63" s="1164"/>
      <c r="AB63" s="1164"/>
      <c r="AC63" s="1206"/>
      <c r="AD63" s="1302"/>
      <c r="AE63" s="1163"/>
      <c r="AF63" s="1164"/>
      <c r="AG63" s="1164"/>
      <c r="AH63" s="1164"/>
      <c r="AI63" s="1164"/>
      <c r="AJ63" s="1164"/>
      <c r="AK63" s="1206"/>
      <c r="AL63" s="1735"/>
      <c r="AM63" s="1163"/>
      <c r="AN63" s="1164"/>
      <c r="AO63" s="1164"/>
      <c r="AP63" s="1164"/>
      <c r="AQ63" s="1164"/>
      <c r="AR63" s="1164"/>
      <c r="AS63" s="1206"/>
      <c r="AT63" s="1754"/>
      <c r="AU63" s="1163"/>
      <c r="AV63" s="1164"/>
      <c r="AW63" s="1164"/>
      <c r="AX63" s="1164"/>
      <c r="AY63" s="1164"/>
      <c r="AZ63" s="1164"/>
      <c r="BA63" s="1206"/>
      <c r="BB63" s="1744"/>
      <c r="BC63" s="1317"/>
      <c r="BD63" s="1296"/>
      <c r="BE63" s="1296"/>
      <c r="BF63" s="1296"/>
      <c r="BG63" s="1296"/>
      <c r="BH63" s="1296"/>
      <c r="BI63" s="1206"/>
      <c r="BJ63" s="1188"/>
      <c r="BK63" s="1189"/>
      <c r="BL63" s="1189"/>
      <c r="BM63" s="1189"/>
      <c r="BN63" s="1189"/>
      <c r="BO63" s="1190"/>
      <c r="BP63" s="255"/>
      <c r="BQ63" s="255"/>
      <c r="BR63" s="255"/>
    </row>
    <row r="64" spans="1:70" ht="15" customHeight="1" thickBot="1">
      <c r="A64" s="1309"/>
      <c r="B64" s="1165"/>
      <c r="C64" s="1166"/>
      <c r="D64" s="1166"/>
      <c r="E64" s="1166"/>
      <c r="F64" s="1166"/>
      <c r="G64" s="1292"/>
      <c r="H64" s="1207"/>
      <c r="I64" s="1207"/>
      <c r="J64" s="1207"/>
      <c r="K64" s="1207"/>
      <c r="L64" s="1207"/>
      <c r="M64" s="1207"/>
      <c r="N64" s="1766"/>
      <c r="O64" s="1202"/>
      <c r="P64" s="1203"/>
      <c r="Q64" s="1203"/>
      <c r="R64" s="1203"/>
      <c r="S64" s="1203"/>
      <c r="T64" s="1203"/>
      <c r="U64" s="1207"/>
      <c r="V64" s="1745"/>
      <c r="W64" s="1552"/>
      <c r="X64" s="1203"/>
      <c r="Y64" s="1203"/>
      <c r="Z64" s="1203"/>
      <c r="AA64" s="1203"/>
      <c r="AB64" s="1203"/>
      <c r="AC64" s="1207"/>
      <c r="AD64" s="1303"/>
      <c r="AE64" s="1552"/>
      <c r="AF64" s="1203"/>
      <c r="AG64" s="1203"/>
      <c r="AH64" s="1203"/>
      <c r="AI64" s="1203"/>
      <c r="AJ64" s="1203"/>
      <c r="AK64" s="1207"/>
      <c r="AL64" s="1736"/>
      <c r="AM64" s="1552"/>
      <c r="AN64" s="1203"/>
      <c r="AO64" s="1203"/>
      <c r="AP64" s="1203"/>
      <c r="AQ64" s="1203"/>
      <c r="AR64" s="1203"/>
      <c r="AS64" s="1207"/>
      <c r="AT64" s="1755"/>
      <c r="AU64" s="1552"/>
      <c r="AV64" s="1203"/>
      <c r="AW64" s="1203"/>
      <c r="AX64" s="1203"/>
      <c r="AY64" s="1203"/>
      <c r="AZ64" s="1203"/>
      <c r="BA64" s="1207"/>
      <c r="BB64" s="1745"/>
      <c r="BC64" s="1723"/>
      <c r="BD64" s="1299"/>
      <c r="BE64" s="1299"/>
      <c r="BF64" s="1299"/>
      <c r="BG64" s="1299"/>
      <c r="BH64" s="1299"/>
      <c r="BI64" s="1207"/>
      <c r="BJ64" s="1188"/>
      <c r="BK64" s="1189"/>
      <c r="BL64" s="1189"/>
      <c r="BM64" s="1189"/>
      <c r="BN64" s="1189"/>
      <c r="BO64" s="1190"/>
      <c r="BP64" s="255"/>
      <c r="BQ64" s="255"/>
      <c r="BR64" s="255"/>
    </row>
    <row r="65" spans="1:70" ht="15" customHeight="1">
      <c r="A65" s="1307">
        <v>1.1000000000000001</v>
      </c>
      <c r="B65" s="1161" t="s">
        <v>330</v>
      </c>
      <c r="C65" s="1162"/>
      <c r="D65" s="1162"/>
      <c r="E65" s="1162"/>
      <c r="F65" s="1162"/>
      <c r="G65" s="1199"/>
      <c r="H65" s="1205" t="str">
        <f t="shared" ref="H65" si="42">IF(ISBLANK(P$3),"",1)</f>
        <v/>
      </c>
      <c r="I65" s="1205" t="str">
        <f>IF(ISBLANK(T$3),"",1)</f>
        <v/>
      </c>
      <c r="J65" s="1205" t="str">
        <f>IF(ISBLANK(X$3),"",1)</f>
        <v/>
      </c>
      <c r="K65" s="1205" t="str">
        <f>IF(ISBLANK(AB$3),"",1)</f>
        <v/>
      </c>
      <c r="L65" s="1205" t="str">
        <f>IF(ISBLANK(AF$3),"",1)</f>
        <v/>
      </c>
      <c r="M65" s="1205" t="str">
        <f t="shared" ref="M65" si="43">IF(ISBLANK(AJ$3),"",1)</f>
        <v/>
      </c>
      <c r="N65" s="256"/>
      <c r="O65" s="256"/>
      <c r="P65" s="256"/>
      <c r="Q65" s="256"/>
      <c r="R65" s="256"/>
      <c r="S65" s="338">
        <v>1.5</v>
      </c>
      <c r="T65" s="312">
        <f>COUNTIF($N$50:$N$64,S65)</f>
        <v>1</v>
      </c>
      <c r="U65" s="240" t="str">
        <f>IF($P$3=1,SUMIF($N$50:$N$64,S65,$U$50:$U$64),"")</f>
        <v/>
      </c>
      <c r="V65" s="1301">
        <v>4.3</v>
      </c>
      <c r="W65" s="1395" t="s">
        <v>935</v>
      </c>
      <c r="X65" s="1396"/>
      <c r="Y65" s="1396"/>
      <c r="Z65" s="1396"/>
      <c r="AA65" s="1396"/>
      <c r="AB65" s="1396"/>
      <c r="AC65" s="1205" t="str">
        <f t="shared" ref="AC65" si="44">IF(ISBLANK(T$3),"",1)</f>
        <v/>
      </c>
      <c r="AD65" s="1728">
        <v>2.4</v>
      </c>
      <c r="AE65" s="1395" t="s">
        <v>355</v>
      </c>
      <c r="AF65" s="1396"/>
      <c r="AG65" s="1396"/>
      <c r="AH65" s="1396"/>
      <c r="AI65" s="1396"/>
      <c r="AJ65" s="1396"/>
      <c r="AK65" s="1205" t="str">
        <f t="shared" ref="AK65" si="45">IF(ISBLANK(X$3),"",1)</f>
        <v/>
      </c>
      <c r="AL65" s="1753">
        <v>4.4000000000000004</v>
      </c>
      <c r="AM65" s="1395" t="s">
        <v>356</v>
      </c>
      <c r="AN65" s="1396"/>
      <c r="AO65" s="1396"/>
      <c r="AP65" s="1396"/>
      <c r="AQ65" s="1396"/>
      <c r="AR65" s="1396"/>
      <c r="AS65" s="1205" t="str">
        <f t="shared" ref="AS65" si="46">IF(ISBLANK(AB$3),"",1)</f>
        <v/>
      </c>
      <c r="AT65" s="1304">
        <v>2.4</v>
      </c>
      <c r="AU65" s="1395" t="s">
        <v>335</v>
      </c>
      <c r="AV65" s="1396"/>
      <c r="AW65" s="1396"/>
      <c r="AX65" s="1396"/>
      <c r="AY65" s="1396"/>
      <c r="AZ65" s="1396"/>
      <c r="BA65" s="1205" t="str">
        <f t="shared" ref="BA65" si="47">IF(ISBLANK(AF$3),"",1)</f>
        <v/>
      </c>
      <c r="BB65" s="1301">
        <v>4.3</v>
      </c>
      <c r="BC65" s="1526" t="s">
        <v>377</v>
      </c>
      <c r="BD65" s="1527"/>
      <c r="BE65" s="1527"/>
      <c r="BF65" s="1527"/>
      <c r="BG65" s="1527"/>
      <c r="BH65" s="1527"/>
      <c r="BI65" s="1205" t="str">
        <f t="shared" ref="BI65" si="48">IF(ISBLANK(AJ$3),"",1)</f>
        <v/>
      </c>
      <c r="BJ65" s="1188"/>
      <c r="BK65" s="1189"/>
      <c r="BL65" s="1189"/>
      <c r="BM65" s="1189"/>
      <c r="BN65" s="1189"/>
      <c r="BO65" s="1190"/>
      <c r="BP65" s="255"/>
      <c r="BQ65" s="255"/>
      <c r="BR65" s="255"/>
    </row>
    <row r="66" spans="1:70" ht="15" customHeight="1">
      <c r="A66" s="1308"/>
      <c r="B66" s="1163"/>
      <c r="C66" s="1164"/>
      <c r="D66" s="1164"/>
      <c r="E66" s="1164"/>
      <c r="F66" s="1164"/>
      <c r="G66" s="1201"/>
      <c r="H66" s="1206"/>
      <c r="I66" s="1206"/>
      <c r="J66" s="1206"/>
      <c r="K66" s="1206"/>
      <c r="L66" s="1206"/>
      <c r="M66" s="1206"/>
      <c r="N66" s="256"/>
      <c r="O66" s="256"/>
      <c r="P66" s="256"/>
      <c r="Q66" s="256"/>
      <c r="R66" s="256"/>
      <c r="S66" s="337">
        <v>2.1</v>
      </c>
      <c r="T66" s="312">
        <f t="shared" ref="T66:T68" si="49">COUNTIF($N$50:$N$64,S66)</f>
        <v>1</v>
      </c>
      <c r="U66" s="240" t="str">
        <f>IF($P$3=1,SUMIF($N$50:$N$64,S66,$U$50:$U$64),"")</f>
        <v/>
      </c>
      <c r="V66" s="1302"/>
      <c r="W66" s="1163"/>
      <c r="X66" s="1164"/>
      <c r="Y66" s="1164"/>
      <c r="Z66" s="1164"/>
      <c r="AA66" s="1164"/>
      <c r="AB66" s="1164"/>
      <c r="AC66" s="1206"/>
      <c r="AD66" s="1729"/>
      <c r="AE66" s="1163"/>
      <c r="AF66" s="1164"/>
      <c r="AG66" s="1164"/>
      <c r="AH66" s="1164"/>
      <c r="AI66" s="1164"/>
      <c r="AJ66" s="1164"/>
      <c r="AK66" s="1206"/>
      <c r="AL66" s="1754"/>
      <c r="AM66" s="1163"/>
      <c r="AN66" s="1164"/>
      <c r="AO66" s="1164"/>
      <c r="AP66" s="1164"/>
      <c r="AQ66" s="1164"/>
      <c r="AR66" s="1164"/>
      <c r="AS66" s="1206"/>
      <c r="AT66" s="1290"/>
      <c r="AU66" s="1163"/>
      <c r="AV66" s="1164"/>
      <c r="AW66" s="1164"/>
      <c r="AX66" s="1164"/>
      <c r="AY66" s="1164"/>
      <c r="AZ66" s="1164"/>
      <c r="BA66" s="1206"/>
      <c r="BB66" s="1302"/>
      <c r="BC66" s="1317"/>
      <c r="BD66" s="1296"/>
      <c r="BE66" s="1296"/>
      <c r="BF66" s="1296"/>
      <c r="BG66" s="1296"/>
      <c r="BH66" s="1296"/>
      <c r="BI66" s="1206"/>
      <c r="BJ66" s="1188"/>
      <c r="BK66" s="1189"/>
      <c r="BL66" s="1189"/>
      <c r="BM66" s="1189"/>
      <c r="BN66" s="1189"/>
      <c r="BO66" s="1190"/>
      <c r="BP66" s="255"/>
      <c r="BQ66" s="255"/>
      <c r="BR66" s="255"/>
    </row>
    <row r="67" spans="1:70" ht="15" customHeight="1">
      <c r="A67" s="1309"/>
      <c r="B67" s="1165"/>
      <c r="C67" s="1166"/>
      <c r="D67" s="1166"/>
      <c r="E67" s="1166"/>
      <c r="F67" s="1166"/>
      <c r="G67" s="1292"/>
      <c r="H67" s="1207"/>
      <c r="I67" s="1207"/>
      <c r="J67" s="1207"/>
      <c r="K67" s="1207"/>
      <c r="L67" s="1207"/>
      <c r="M67" s="1207"/>
      <c r="N67" s="256"/>
      <c r="O67" s="256"/>
      <c r="P67" s="256"/>
      <c r="Q67" s="256"/>
      <c r="R67" s="256"/>
      <c r="S67" s="335">
        <v>4.3</v>
      </c>
      <c r="T67" s="312">
        <f t="shared" si="49"/>
        <v>2</v>
      </c>
      <c r="U67" s="240" t="str">
        <f>IF($P$3=1,SUMIF($N$50:$N$64,S67,$U$50:$U$64),"")</f>
        <v/>
      </c>
      <c r="V67" s="1303"/>
      <c r="W67" s="1552"/>
      <c r="X67" s="1203"/>
      <c r="Y67" s="1203"/>
      <c r="Z67" s="1203"/>
      <c r="AA67" s="1203"/>
      <c r="AB67" s="1203"/>
      <c r="AC67" s="1207"/>
      <c r="AD67" s="1730"/>
      <c r="AE67" s="1552"/>
      <c r="AF67" s="1203"/>
      <c r="AG67" s="1203"/>
      <c r="AH67" s="1203"/>
      <c r="AI67" s="1203"/>
      <c r="AJ67" s="1203"/>
      <c r="AK67" s="1207"/>
      <c r="AL67" s="1755"/>
      <c r="AM67" s="1552"/>
      <c r="AN67" s="1203"/>
      <c r="AO67" s="1203"/>
      <c r="AP67" s="1203"/>
      <c r="AQ67" s="1203"/>
      <c r="AR67" s="1203"/>
      <c r="AS67" s="1207"/>
      <c r="AT67" s="1291"/>
      <c r="AU67" s="1552"/>
      <c r="AV67" s="1203"/>
      <c r="AW67" s="1203"/>
      <c r="AX67" s="1203"/>
      <c r="AY67" s="1203"/>
      <c r="AZ67" s="1203"/>
      <c r="BA67" s="1207"/>
      <c r="BB67" s="1303"/>
      <c r="BC67" s="1723"/>
      <c r="BD67" s="1299"/>
      <c r="BE67" s="1299"/>
      <c r="BF67" s="1299"/>
      <c r="BG67" s="1299"/>
      <c r="BH67" s="1299"/>
      <c r="BI67" s="1207"/>
      <c r="BJ67" s="1188"/>
      <c r="BK67" s="1189"/>
      <c r="BL67" s="1189"/>
      <c r="BM67" s="1189"/>
      <c r="BN67" s="1189"/>
      <c r="BO67" s="1190"/>
      <c r="BP67" s="255"/>
      <c r="BQ67" s="255"/>
      <c r="BR67" s="255"/>
    </row>
    <row r="68" spans="1:70" ht="15" customHeight="1">
      <c r="A68" s="1304">
        <v>1.5</v>
      </c>
      <c r="B68" s="1161" t="s">
        <v>336</v>
      </c>
      <c r="C68" s="1162"/>
      <c r="D68" s="1162"/>
      <c r="E68" s="1162"/>
      <c r="F68" s="1162"/>
      <c r="G68" s="1199"/>
      <c r="H68" s="1205" t="str">
        <f>IF(ISBLANK(P$3),"",1)</f>
        <v/>
      </c>
      <c r="I68" s="1205" t="str">
        <f>IF(ISBLANK(T$3),"",1)</f>
        <v/>
      </c>
      <c r="J68" s="1205" t="str">
        <f>IF(ISBLANK(X$3),"",1)</f>
        <v/>
      </c>
      <c r="K68" s="1205" t="str">
        <f>IF(ISBLANK(AB$3),"",1)</f>
        <v/>
      </c>
      <c r="L68" s="1205" t="str">
        <f>IF(ISBLANK(AF$3),"",1)</f>
        <v/>
      </c>
      <c r="M68" s="1205" t="str">
        <f t="shared" ref="M68" si="50">IF(ISBLANK(AJ$3),"",1)</f>
        <v/>
      </c>
      <c r="N68" s="256"/>
      <c r="O68" s="256"/>
      <c r="P68" s="256"/>
      <c r="Q68" s="256"/>
      <c r="R68" s="256"/>
      <c r="S68" s="336">
        <v>4.4000000000000004</v>
      </c>
      <c r="T68" s="312">
        <f t="shared" si="49"/>
        <v>1</v>
      </c>
      <c r="U68" s="240" t="str">
        <f>IF($P$3=1,SUMIF($N$50:$N$64,S68,$U$50:$U$64),"")</f>
        <v/>
      </c>
      <c r="V68" s="1301">
        <v>4.3</v>
      </c>
      <c r="W68" s="1395" t="s">
        <v>364</v>
      </c>
      <c r="X68" s="1396"/>
      <c r="Y68" s="1396"/>
      <c r="Z68" s="1396"/>
      <c r="AA68" s="1396"/>
      <c r="AB68" s="1396"/>
      <c r="AC68" s="1205" t="str">
        <f t="shared" ref="AC68" si="51">IF(ISBLANK(T$3),"",1)</f>
        <v/>
      </c>
      <c r="AD68" s="1720">
        <v>2.4</v>
      </c>
      <c r="AE68" s="1395" t="s">
        <v>358</v>
      </c>
      <c r="AF68" s="1396"/>
      <c r="AG68" s="1396"/>
      <c r="AH68" s="1396"/>
      <c r="AI68" s="1396"/>
      <c r="AJ68" s="1396"/>
      <c r="AK68" s="1205" t="str">
        <f t="shared" ref="AK68" si="52">IF(ISBLANK(X$3),"",1)</f>
        <v/>
      </c>
      <c r="AL68" s="1734">
        <v>2.4</v>
      </c>
      <c r="AM68" s="1395" t="s">
        <v>359</v>
      </c>
      <c r="AN68" s="1396"/>
      <c r="AO68" s="1396"/>
      <c r="AP68" s="1396"/>
      <c r="AQ68" s="1396"/>
      <c r="AR68" s="1396"/>
      <c r="AS68" s="1205" t="str">
        <f t="shared" ref="AS68" si="53">IF(ISBLANK(AB$3),"",1)</f>
        <v/>
      </c>
      <c r="AT68" s="1720">
        <v>2.4</v>
      </c>
      <c r="AU68" s="1395" t="s">
        <v>337</v>
      </c>
      <c r="AV68" s="1396"/>
      <c r="AW68" s="1396"/>
      <c r="AX68" s="1396"/>
      <c r="AY68" s="1396"/>
      <c r="AZ68" s="1396"/>
      <c r="BA68" s="1205" t="str">
        <f t="shared" ref="BA68" si="54">IF(ISBLANK(AF$3),"",1)</f>
        <v/>
      </c>
      <c r="BB68" s="1720">
        <v>2.4</v>
      </c>
      <c r="BC68" s="1526" t="s">
        <v>378</v>
      </c>
      <c r="BD68" s="1527"/>
      <c r="BE68" s="1527"/>
      <c r="BF68" s="1527"/>
      <c r="BG68" s="1527"/>
      <c r="BH68" s="1527"/>
      <c r="BI68" s="1205" t="str">
        <f t="shared" ref="BI68" si="55">IF(ISBLANK(AJ$3),"",1)</f>
        <v/>
      </c>
      <c r="BJ68" s="1188"/>
      <c r="BK68" s="1189"/>
      <c r="BL68" s="1189"/>
      <c r="BM68" s="1189"/>
      <c r="BN68" s="1189"/>
      <c r="BO68" s="1190"/>
      <c r="BP68" s="255"/>
      <c r="BQ68" s="255"/>
      <c r="BR68" s="255"/>
    </row>
    <row r="69" spans="1:70" ht="15" customHeight="1">
      <c r="A69" s="1290"/>
      <c r="B69" s="1163"/>
      <c r="C69" s="1164"/>
      <c r="D69" s="1164"/>
      <c r="E69" s="1164"/>
      <c r="F69" s="1164"/>
      <c r="G69" s="1201"/>
      <c r="H69" s="1206"/>
      <c r="I69" s="1206"/>
      <c r="J69" s="1206"/>
      <c r="K69" s="1206"/>
      <c r="L69" s="1206"/>
      <c r="M69" s="1206"/>
      <c r="N69" s="256"/>
      <c r="O69" s="256"/>
      <c r="P69" s="256"/>
      <c r="Q69" s="256"/>
      <c r="R69" s="256"/>
      <c r="S69" s="256"/>
      <c r="T69" s="256"/>
      <c r="U69" s="256"/>
      <c r="V69" s="1302"/>
      <c r="W69" s="1163"/>
      <c r="X69" s="1164"/>
      <c r="Y69" s="1164"/>
      <c r="Z69" s="1164"/>
      <c r="AA69" s="1164"/>
      <c r="AB69" s="1164"/>
      <c r="AC69" s="1206"/>
      <c r="AD69" s="1721"/>
      <c r="AE69" s="1163"/>
      <c r="AF69" s="1164"/>
      <c r="AG69" s="1164"/>
      <c r="AH69" s="1164"/>
      <c r="AI69" s="1164"/>
      <c r="AJ69" s="1164"/>
      <c r="AK69" s="1206"/>
      <c r="AL69" s="1735"/>
      <c r="AM69" s="1163"/>
      <c r="AN69" s="1164"/>
      <c r="AO69" s="1164"/>
      <c r="AP69" s="1164"/>
      <c r="AQ69" s="1164"/>
      <c r="AR69" s="1164"/>
      <c r="AS69" s="1206"/>
      <c r="AT69" s="1721"/>
      <c r="AU69" s="1163"/>
      <c r="AV69" s="1164"/>
      <c r="AW69" s="1164"/>
      <c r="AX69" s="1164"/>
      <c r="AY69" s="1164"/>
      <c r="AZ69" s="1164"/>
      <c r="BA69" s="1206"/>
      <c r="BB69" s="1721"/>
      <c r="BC69" s="1317"/>
      <c r="BD69" s="1296"/>
      <c r="BE69" s="1296"/>
      <c r="BF69" s="1296"/>
      <c r="BG69" s="1296"/>
      <c r="BH69" s="1296"/>
      <c r="BI69" s="1206"/>
      <c r="BJ69" s="1188"/>
      <c r="BK69" s="1189"/>
      <c r="BL69" s="1189"/>
      <c r="BM69" s="1189"/>
      <c r="BN69" s="1189"/>
      <c r="BO69" s="1190"/>
      <c r="BP69" s="255"/>
      <c r="BQ69" s="255"/>
      <c r="BR69" s="255"/>
    </row>
    <row r="70" spans="1:70" ht="15" customHeight="1">
      <c r="A70" s="1291"/>
      <c r="B70" s="1165"/>
      <c r="C70" s="1166"/>
      <c r="D70" s="1166"/>
      <c r="E70" s="1166"/>
      <c r="F70" s="1166"/>
      <c r="G70" s="1292"/>
      <c r="H70" s="1207"/>
      <c r="I70" s="1207"/>
      <c r="J70" s="1207"/>
      <c r="K70" s="1207"/>
      <c r="L70" s="1207"/>
      <c r="M70" s="1207"/>
      <c r="N70" s="256"/>
      <c r="O70" s="256"/>
      <c r="P70" s="256"/>
      <c r="Q70" s="256"/>
      <c r="R70" s="256"/>
      <c r="S70" s="256"/>
      <c r="T70" s="256"/>
      <c r="U70" s="256"/>
      <c r="V70" s="1303"/>
      <c r="W70" s="1552"/>
      <c r="X70" s="1203"/>
      <c r="Y70" s="1203"/>
      <c r="Z70" s="1203"/>
      <c r="AA70" s="1203"/>
      <c r="AB70" s="1203"/>
      <c r="AC70" s="1207"/>
      <c r="AD70" s="1722"/>
      <c r="AE70" s="1552"/>
      <c r="AF70" s="1203"/>
      <c r="AG70" s="1203"/>
      <c r="AH70" s="1203"/>
      <c r="AI70" s="1203"/>
      <c r="AJ70" s="1203"/>
      <c r="AK70" s="1207"/>
      <c r="AL70" s="1736"/>
      <c r="AM70" s="1552"/>
      <c r="AN70" s="1203"/>
      <c r="AO70" s="1203"/>
      <c r="AP70" s="1203"/>
      <c r="AQ70" s="1203"/>
      <c r="AR70" s="1203"/>
      <c r="AS70" s="1207"/>
      <c r="AT70" s="1722"/>
      <c r="AU70" s="1552"/>
      <c r="AV70" s="1203"/>
      <c r="AW70" s="1203"/>
      <c r="AX70" s="1203"/>
      <c r="AY70" s="1203"/>
      <c r="AZ70" s="1203"/>
      <c r="BA70" s="1207"/>
      <c r="BB70" s="1722"/>
      <c r="BC70" s="1723"/>
      <c r="BD70" s="1299"/>
      <c r="BE70" s="1299"/>
      <c r="BF70" s="1299"/>
      <c r="BG70" s="1299"/>
      <c r="BH70" s="1299"/>
      <c r="BI70" s="1207"/>
      <c r="BJ70" s="1188"/>
      <c r="BK70" s="1189"/>
      <c r="BL70" s="1189"/>
      <c r="BM70" s="1189"/>
      <c r="BN70" s="1189"/>
      <c r="BO70" s="1190"/>
      <c r="BP70" s="255"/>
      <c r="BQ70" s="255"/>
      <c r="BR70" s="255"/>
    </row>
    <row r="71" spans="1:70" ht="15" customHeight="1">
      <c r="A71" s="1304">
        <v>2.1</v>
      </c>
      <c r="B71" s="1161" t="s">
        <v>360</v>
      </c>
      <c r="C71" s="1162"/>
      <c r="D71" s="1162"/>
      <c r="E71" s="1162"/>
      <c r="F71" s="1162"/>
      <c r="G71" s="1199"/>
      <c r="H71" s="1205" t="str">
        <f>IF(ISBLANK(P$3),"",1)</f>
        <v/>
      </c>
      <c r="I71" s="1205" t="str">
        <f>IF(ISBLANK(T$3),"",1)</f>
        <v/>
      </c>
      <c r="J71" s="1205" t="str">
        <f>IF(ISBLANK(X$3),"",1)</f>
        <v/>
      </c>
      <c r="K71" s="1205" t="str">
        <f>IF(ISBLANK(AB$3),"",1)</f>
        <v/>
      </c>
      <c r="L71" s="1205" t="str">
        <f>IF(ISBLANK(AF$3),"",1)</f>
        <v/>
      </c>
      <c r="M71" s="1205" t="str">
        <f t="shared" ref="M71" si="56">IF(ISBLANK(AJ$3),"",1)</f>
        <v/>
      </c>
      <c r="N71" s="256"/>
      <c r="O71" s="256"/>
      <c r="P71" s="256"/>
      <c r="Q71" s="256"/>
      <c r="R71" s="256"/>
      <c r="S71" s="256"/>
      <c r="T71" s="256"/>
      <c r="U71" s="256"/>
      <c r="V71" s="1301">
        <v>2.4</v>
      </c>
      <c r="W71" s="1395" t="s">
        <v>355</v>
      </c>
      <c r="X71" s="1396"/>
      <c r="Y71" s="1396"/>
      <c r="Z71" s="1396"/>
      <c r="AA71" s="1396"/>
      <c r="AB71" s="1396"/>
      <c r="AC71" s="1205" t="str">
        <f t="shared" ref="AC71" si="57">IF(ISBLANK(T$3),"",1)</f>
        <v/>
      </c>
      <c r="AD71" s="1746">
        <v>4.3</v>
      </c>
      <c r="AE71" s="1749" t="s">
        <v>362</v>
      </c>
      <c r="AF71" s="1396"/>
      <c r="AG71" s="1396"/>
      <c r="AH71" s="1396"/>
      <c r="AI71" s="1396"/>
      <c r="AJ71" s="1396"/>
      <c r="AK71" s="1205" t="str">
        <f t="shared" ref="AK71" si="58">IF(ISBLANK(X$3),"",1)</f>
        <v/>
      </c>
      <c r="AL71" s="1304">
        <v>2.4</v>
      </c>
      <c r="AM71" s="1395" t="s">
        <v>363</v>
      </c>
      <c r="AN71" s="1396"/>
      <c r="AO71" s="1396"/>
      <c r="AP71" s="1396"/>
      <c r="AQ71" s="1396"/>
      <c r="AR71" s="1396"/>
      <c r="AS71" s="1205" t="str">
        <f t="shared" ref="AS71" si="59">IF(ISBLANK(AB$3),"",1)</f>
        <v/>
      </c>
      <c r="AT71" s="255"/>
      <c r="AU71" s="255"/>
      <c r="AV71" s="255"/>
      <c r="AW71" s="255"/>
      <c r="AX71" s="255"/>
      <c r="AY71" s="298">
        <v>2.4</v>
      </c>
      <c r="AZ71" s="312">
        <f>COUNTIF($AT$50:$AT$70,AY71)</f>
        <v>2</v>
      </c>
      <c r="BA71" s="240" t="str">
        <f>IF($AF$3=1,SUMIF($AT$50:$AT$70,AY71,$BA$50:$BA$70),"")</f>
        <v/>
      </c>
      <c r="BB71" s="1720">
        <v>2.4</v>
      </c>
      <c r="BC71" s="1526" t="s">
        <v>334</v>
      </c>
      <c r="BD71" s="1527"/>
      <c r="BE71" s="1527"/>
      <c r="BF71" s="1527"/>
      <c r="BG71" s="1527"/>
      <c r="BH71" s="1527"/>
      <c r="BI71" s="1205" t="str">
        <f t="shared" ref="BI71" si="60">IF(ISBLANK(AJ$3),"",1)</f>
        <v/>
      </c>
      <c r="BJ71" s="1188"/>
      <c r="BK71" s="1189"/>
      <c r="BL71" s="1189"/>
      <c r="BM71" s="1189"/>
      <c r="BN71" s="1189"/>
      <c r="BO71" s="1190"/>
      <c r="BP71" s="255"/>
      <c r="BQ71" s="255"/>
      <c r="BR71" s="255"/>
    </row>
    <row r="72" spans="1:70" ht="15" customHeight="1">
      <c r="A72" s="1290"/>
      <c r="B72" s="1163"/>
      <c r="C72" s="1164"/>
      <c r="D72" s="1164"/>
      <c r="E72" s="1164"/>
      <c r="F72" s="1164"/>
      <c r="G72" s="1201"/>
      <c r="H72" s="1206"/>
      <c r="I72" s="1206"/>
      <c r="J72" s="1206"/>
      <c r="K72" s="1206"/>
      <c r="L72" s="1206"/>
      <c r="M72" s="1206"/>
      <c r="N72" s="256"/>
      <c r="O72" s="256"/>
      <c r="P72" s="256"/>
      <c r="Q72" s="256"/>
      <c r="R72" s="256"/>
      <c r="S72" s="256"/>
      <c r="T72" s="256"/>
      <c r="U72" s="256"/>
      <c r="V72" s="1302"/>
      <c r="W72" s="1163"/>
      <c r="X72" s="1164"/>
      <c r="Y72" s="1164"/>
      <c r="Z72" s="1164"/>
      <c r="AA72" s="1164"/>
      <c r="AB72" s="1164"/>
      <c r="AC72" s="1206"/>
      <c r="AD72" s="1747"/>
      <c r="AE72" s="1200"/>
      <c r="AF72" s="1164"/>
      <c r="AG72" s="1164"/>
      <c r="AH72" s="1164"/>
      <c r="AI72" s="1164"/>
      <c r="AJ72" s="1164"/>
      <c r="AK72" s="1206"/>
      <c r="AL72" s="1290"/>
      <c r="AM72" s="1163"/>
      <c r="AN72" s="1164"/>
      <c r="AO72" s="1164"/>
      <c r="AP72" s="1164"/>
      <c r="AQ72" s="1164"/>
      <c r="AR72" s="1164"/>
      <c r="AS72" s="1206"/>
      <c r="AT72" s="255"/>
      <c r="AU72" s="255"/>
      <c r="AV72" s="255"/>
      <c r="AW72" s="255"/>
      <c r="AX72" s="255"/>
      <c r="AY72" s="297">
        <v>4.3</v>
      </c>
      <c r="AZ72" s="312">
        <f t="shared" ref="AZ72:AZ73" si="61">COUNTIF($AT$50:$AT$70,AY72)</f>
        <v>1</v>
      </c>
      <c r="BA72" s="240" t="str">
        <f>IF($AF$3=1,SUMIF($AT$50:$AT$70,AY72,$BA$50:$BA$70),"")</f>
        <v/>
      </c>
      <c r="BB72" s="1721"/>
      <c r="BC72" s="1317"/>
      <c r="BD72" s="1296"/>
      <c r="BE72" s="1296"/>
      <c r="BF72" s="1296"/>
      <c r="BG72" s="1296"/>
      <c r="BH72" s="1296"/>
      <c r="BI72" s="1206"/>
      <c r="BJ72" s="1188"/>
      <c r="BK72" s="1189"/>
      <c r="BL72" s="1189"/>
      <c r="BM72" s="1189"/>
      <c r="BN72" s="1189"/>
      <c r="BO72" s="1190"/>
      <c r="BP72" s="255"/>
      <c r="BQ72" s="255"/>
      <c r="BR72" s="255"/>
    </row>
    <row r="73" spans="1:70" ht="15" customHeight="1">
      <c r="A73" s="1291"/>
      <c r="B73" s="1165"/>
      <c r="C73" s="1166"/>
      <c r="D73" s="1166"/>
      <c r="E73" s="1166"/>
      <c r="F73" s="1166"/>
      <c r="G73" s="1292"/>
      <c r="H73" s="1207"/>
      <c r="I73" s="1207"/>
      <c r="J73" s="1207"/>
      <c r="K73" s="1207"/>
      <c r="L73" s="1207"/>
      <c r="M73" s="1207"/>
      <c r="N73" s="256"/>
      <c r="O73" s="256"/>
      <c r="P73" s="256"/>
      <c r="Q73" s="256"/>
      <c r="R73" s="256"/>
      <c r="S73" s="256"/>
      <c r="T73" s="256"/>
      <c r="U73" s="256"/>
      <c r="V73" s="1303"/>
      <c r="W73" s="1552"/>
      <c r="X73" s="1203"/>
      <c r="Y73" s="1203"/>
      <c r="Z73" s="1203"/>
      <c r="AA73" s="1203"/>
      <c r="AB73" s="1203"/>
      <c r="AC73" s="1207"/>
      <c r="AD73" s="1748"/>
      <c r="AE73" s="1202"/>
      <c r="AF73" s="1203"/>
      <c r="AG73" s="1203"/>
      <c r="AH73" s="1203"/>
      <c r="AI73" s="1203"/>
      <c r="AJ73" s="1203"/>
      <c r="AK73" s="1207"/>
      <c r="AL73" s="1291"/>
      <c r="AM73" s="1552"/>
      <c r="AN73" s="1203"/>
      <c r="AO73" s="1203"/>
      <c r="AP73" s="1203"/>
      <c r="AQ73" s="1203"/>
      <c r="AR73" s="1203"/>
      <c r="AS73" s="1207"/>
      <c r="AT73" s="255"/>
      <c r="AU73" s="255"/>
      <c r="AV73" s="255"/>
      <c r="AW73" s="255"/>
      <c r="AX73" s="255"/>
      <c r="AY73" s="297">
        <v>4.4000000000000004</v>
      </c>
      <c r="AZ73" s="312">
        <f t="shared" si="61"/>
        <v>4</v>
      </c>
      <c r="BA73" s="240" t="str">
        <f>IF($AF$3=1,SUMIF($AT$50:$AT$70,AY73,$BA$50:$BA$70),"")</f>
        <v/>
      </c>
      <c r="BB73" s="1722"/>
      <c r="BC73" s="1723"/>
      <c r="BD73" s="1299"/>
      <c r="BE73" s="1299"/>
      <c r="BF73" s="1299"/>
      <c r="BG73" s="1299"/>
      <c r="BH73" s="1299"/>
      <c r="BI73" s="1207"/>
      <c r="BJ73" s="1188"/>
      <c r="BK73" s="1189"/>
      <c r="BL73" s="1189"/>
      <c r="BM73" s="1189"/>
      <c r="BN73" s="1189"/>
      <c r="BO73" s="1190"/>
      <c r="BP73" s="255"/>
      <c r="BQ73" s="255"/>
      <c r="BR73" s="255"/>
    </row>
    <row r="74" spans="1:70" ht="15" customHeight="1">
      <c r="A74" s="1304">
        <v>2.4</v>
      </c>
      <c r="B74" s="1161" t="s">
        <v>942</v>
      </c>
      <c r="C74" s="1162"/>
      <c r="D74" s="1162"/>
      <c r="E74" s="1162"/>
      <c r="F74" s="1162"/>
      <c r="G74" s="1199"/>
      <c r="H74" s="1205" t="str">
        <f>IF(ISBLANK(P$3),"",1)</f>
        <v/>
      </c>
      <c r="I74" s="1205" t="str">
        <f>IF(ISBLANK(T$3),"",1)</f>
        <v/>
      </c>
      <c r="J74" s="1205" t="str">
        <f>IF(ISBLANK(X$3),"",1)</f>
        <v/>
      </c>
      <c r="K74" s="1205" t="str">
        <f>IF(ISBLANK(AB$3),"",1)</f>
        <v/>
      </c>
      <c r="L74" s="1205" t="str">
        <f>IF(ISBLANK(AF$3),"",1)</f>
        <v/>
      </c>
      <c r="M74" s="1205" t="str">
        <f t="shared" ref="M74" si="62">IF(ISBLANK(AJ$3),"",1)</f>
        <v/>
      </c>
      <c r="N74" s="255"/>
      <c r="O74" s="255"/>
      <c r="P74" s="256"/>
      <c r="Q74" s="256"/>
      <c r="R74" s="256"/>
      <c r="S74" s="256"/>
      <c r="T74" s="256"/>
      <c r="U74" s="256"/>
      <c r="V74" s="1301">
        <v>4.3</v>
      </c>
      <c r="W74" s="1395" t="s">
        <v>380</v>
      </c>
      <c r="X74" s="1396"/>
      <c r="Y74" s="1396"/>
      <c r="Z74" s="1396"/>
      <c r="AA74" s="1396"/>
      <c r="AB74" s="1396"/>
      <c r="AC74" s="1205" t="str">
        <f t="shared" ref="AC74" si="63">IF(ISBLANK(T$3),"",1)</f>
        <v/>
      </c>
      <c r="AD74" s="1728">
        <v>2.4</v>
      </c>
      <c r="AE74" s="1395" t="s">
        <v>365</v>
      </c>
      <c r="AF74" s="1396"/>
      <c r="AG74" s="1396"/>
      <c r="AH74" s="1396"/>
      <c r="AI74" s="1396"/>
      <c r="AJ74" s="1396"/>
      <c r="AK74" s="1205" t="str">
        <f t="shared" ref="AK74" si="64">IF(ISBLANK(X$3),"",1)</f>
        <v/>
      </c>
      <c r="AL74" s="255"/>
      <c r="AM74" s="255"/>
      <c r="AN74" s="255"/>
      <c r="AO74" s="255"/>
      <c r="AP74" s="255"/>
      <c r="AQ74" s="298">
        <v>2.4</v>
      </c>
      <c r="AR74" s="312">
        <f>COUNTIF($AL$50:$AL$73,AQ74)</f>
        <v>4</v>
      </c>
      <c r="AS74" s="240" t="str">
        <f>IF($AB$3=1,SUMIF($AL$50:$AL$73,AQ74,$AS$50:$AS$73),"")</f>
        <v/>
      </c>
      <c r="AT74" s="255"/>
      <c r="AU74" s="255"/>
      <c r="AV74" s="255"/>
      <c r="AW74" s="255"/>
      <c r="AX74" s="255"/>
      <c r="AY74" s="255"/>
      <c r="AZ74" s="255"/>
      <c r="BA74" s="255"/>
      <c r="BB74" s="1720">
        <v>2.4</v>
      </c>
      <c r="BC74" s="1526" t="s">
        <v>337</v>
      </c>
      <c r="BD74" s="1527"/>
      <c r="BE74" s="1527"/>
      <c r="BF74" s="1527"/>
      <c r="BG74" s="1527"/>
      <c r="BH74" s="1527"/>
      <c r="BI74" s="1205" t="str">
        <f t="shared" ref="BI74" si="65">IF(ISBLANK(AJ$3),"",1)</f>
        <v/>
      </c>
      <c r="BJ74" s="1188"/>
      <c r="BK74" s="1189"/>
      <c r="BL74" s="1189"/>
      <c r="BM74" s="1189"/>
      <c r="BN74" s="1189"/>
      <c r="BO74" s="1190"/>
      <c r="BP74" s="255"/>
      <c r="BQ74" s="255"/>
      <c r="BR74" s="255"/>
    </row>
    <row r="75" spans="1:70" ht="15" customHeight="1">
      <c r="A75" s="1290"/>
      <c r="B75" s="1163"/>
      <c r="C75" s="1164"/>
      <c r="D75" s="1164"/>
      <c r="E75" s="1164"/>
      <c r="F75" s="1164"/>
      <c r="G75" s="1201"/>
      <c r="H75" s="1206"/>
      <c r="I75" s="1206"/>
      <c r="J75" s="1206"/>
      <c r="K75" s="1206"/>
      <c r="L75" s="1206"/>
      <c r="M75" s="1206"/>
      <c r="N75" s="255"/>
      <c r="O75" s="255"/>
      <c r="P75" s="256"/>
      <c r="Q75" s="256"/>
      <c r="R75" s="256"/>
      <c r="S75" s="256"/>
      <c r="T75" s="256"/>
      <c r="U75" s="256"/>
      <c r="V75" s="1302"/>
      <c r="W75" s="1163"/>
      <c r="X75" s="1164"/>
      <c r="Y75" s="1164"/>
      <c r="Z75" s="1164"/>
      <c r="AA75" s="1164"/>
      <c r="AB75" s="1164"/>
      <c r="AC75" s="1206"/>
      <c r="AD75" s="1729"/>
      <c r="AE75" s="1163"/>
      <c r="AF75" s="1164"/>
      <c r="AG75" s="1164"/>
      <c r="AH75" s="1164"/>
      <c r="AI75" s="1164"/>
      <c r="AJ75" s="1164"/>
      <c r="AK75" s="1206"/>
      <c r="AL75" s="255"/>
      <c r="AM75" s="255"/>
      <c r="AN75" s="255"/>
      <c r="AO75" s="255"/>
      <c r="AP75" s="255"/>
      <c r="AQ75" s="297">
        <v>4.3</v>
      </c>
      <c r="AR75" s="312">
        <f t="shared" ref="AR75:AR76" si="66">COUNTIF($AL$50:$AL$73,AQ75)</f>
        <v>2</v>
      </c>
      <c r="AS75" s="240" t="str">
        <f>IF($AB$3=1,SUMIF($AL$50:$AL$73,AQ75,$AS$50:$AS$73),"")</f>
        <v/>
      </c>
      <c r="AT75" s="255"/>
      <c r="AU75" s="255"/>
      <c r="AV75" s="255"/>
      <c r="AW75" s="255"/>
      <c r="AX75" s="255"/>
      <c r="AY75" s="255"/>
      <c r="AZ75" s="255"/>
      <c r="BA75" s="255"/>
      <c r="BB75" s="1721"/>
      <c r="BC75" s="1317"/>
      <c r="BD75" s="1296"/>
      <c r="BE75" s="1296"/>
      <c r="BF75" s="1296"/>
      <c r="BG75" s="1296"/>
      <c r="BH75" s="1296"/>
      <c r="BI75" s="1206"/>
      <c r="BJ75" s="1188"/>
      <c r="BK75" s="1189"/>
      <c r="BL75" s="1189"/>
      <c r="BM75" s="1189"/>
      <c r="BN75" s="1189"/>
      <c r="BO75" s="1190"/>
      <c r="BP75" s="255"/>
      <c r="BQ75" s="255"/>
      <c r="BR75" s="255"/>
    </row>
    <row r="76" spans="1:70" ht="15" customHeight="1">
      <c r="A76" s="1291"/>
      <c r="B76" s="1165"/>
      <c r="C76" s="1166"/>
      <c r="D76" s="1166"/>
      <c r="E76" s="1166"/>
      <c r="F76" s="1166"/>
      <c r="G76" s="1292"/>
      <c r="H76" s="1207"/>
      <c r="I76" s="1207"/>
      <c r="J76" s="1207"/>
      <c r="K76" s="1207"/>
      <c r="L76" s="1207"/>
      <c r="M76" s="1207"/>
      <c r="N76" s="256"/>
      <c r="O76" s="256"/>
      <c r="P76" s="256"/>
      <c r="Q76" s="256"/>
      <c r="R76" s="256"/>
      <c r="S76" s="256"/>
      <c r="T76" s="256"/>
      <c r="U76" s="256"/>
      <c r="V76" s="1303"/>
      <c r="W76" s="1552"/>
      <c r="X76" s="1203"/>
      <c r="Y76" s="1203"/>
      <c r="Z76" s="1203"/>
      <c r="AA76" s="1203"/>
      <c r="AB76" s="1203"/>
      <c r="AC76" s="1207"/>
      <c r="AD76" s="1730"/>
      <c r="AE76" s="1552"/>
      <c r="AF76" s="1203"/>
      <c r="AG76" s="1203"/>
      <c r="AH76" s="1203"/>
      <c r="AI76" s="1203"/>
      <c r="AJ76" s="1203"/>
      <c r="AK76" s="1207"/>
      <c r="AL76" s="255"/>
      <c r="AM76" s="255"/>
      <c r="AN76" s="255"/>
      <c r="AO76" s="255"/>
      <c r="AP76" s="255"/>
      <c r="AQ76" s="297">
        <v>4.4000000000000004</v>
      </c>
      <c r="AR76" s="312">
        <f t="shared" si="66"/>
        <v>2</v>
      </c>
      <c r="AS76" s="240" t="str">
        <f>IF($AB$3=1,SUMIF($AL$50:$AL$73,AQ76,$AS$50:$AS$73),"")</f>
        <v/>
      </c>
      <c r="AT76" s="255"/>
      <c r="AU76" s="255"/>
      <c r="AV76" s="255"/>
      <c r="AW76" s="255"/>
      <c r="AX76" s="255"/>
      <c r="AY76" s="255"/>
      <c r="AZ76" s="255"/>
      <c r="BA76" s="255"/>
      <c r="BB76" s="1722"/>
      <c r="BC76" s="1723"/>
      <c r="BD76" s="1299"/>
      <c r="BE76" s="1299"/>
      <c r="BF76" s="1299"/>
      <c r="BG76" s="1299"/>
      <c r="BH76" s="1299"/>
      <c r="BI76" s="1207"/>
      <c r="BJ76" s="1188"/>
      <c r="BK76" s="1189"/>
      <c r="BL76" s="1189"/>
      <c r="BM76" s="1189"/>
      <c r="BN76" s="1189"/>
      <c r="BO76" s="1190"/>
      <c r="BP76" s="255"/>
      <c r="BQ76" s="255"/>
      <c r="BR76" s="255"/>
    </row>
    <row r="77" spans="1:70" ht="15" customHeight="1">
      <c r="A77" s="252"/>
      <c r="B77" s="243"/>
      <c r="C77" s="242"/>
      <c r="D77" s="242"/>
      <c r="F77" s="278">
        <v>1.1000000000000001</v>
      </c>
      <c r="G77" s="311">
        <f>COUNTIF($A$50:$A$76,F77)</f>
        <v>4</v>
      </c>
      <c r="H77" s="240" t="str">
        <f>IF($P$3=1,SUMIF($A$50:$A$76,$F77,$H$50:$H$76),"")</f>
        <v/>
      </c>
      <c r="I77" s="240" t="str">
        <f>IF($T$3=1,SUMIF($A$50:$A$76,$F77,$I$50:$I$76),"")</f>
        <v/>
      </c>
      <c r="J77" s="240" t="str">
        <f>IF($X$3=1,SUMIF($A$50:$A$76,$F77,$J$50:$J$76),"")</f>
        <v/>
      </c>
      <c r="K77" s="240" t="str">
        <f>IF($AB$3=1,SUMIF($A$50:$A$76,$F77,$K$50:$K$76),"")</f>
        <v/>
      </c>
      <c r="L77" s="240" t="str">
        <f>IF($AF$3=1,SUMIF($A$50:$A$76,$F77,$L$50:$L$76),"")</f>
        <v/>
      </c>
      <c r="M77" s="240" t="str">
        <f>IF($AJ$3=1,SUMIF($A$50:$A$76,$F77,$M$50:$M$76),"")</f>
        <v/>
      </c>
      <c r="N77" s="256"/>
      <c r="O77" s="256"/>
      <c r="P77" s="256"/>
      <c r="Q77" s="256"/>
      <c r="R77" s="256"/>
      <c r="S77" s="256"/>
      <c r="T77" s="256"/>
      <c r="U77" s="256"/>
      <c r="V77" s="1301">
        <v>4.3</v>
      </c>
      <c r="W77" s="1395" t="s">
        <v>381</v>
      </c>
      <c r="X77" s="1396"/>
      <c r="Y77" s="1396"/>
      <c r="Z77" s="1396"/>
      <c r="AA77" s="1396"/>
      <c r="AB77" s="1396"/>
      <c r="AC77" s="1205" t="str">
        <f t="shared" ref="AC77" si="67">IF(ISBLANK(T$3),"",1)</f>
        <v/>
      </c>
      <c r="AD77" s="255"/>
      <c r="AE77" s="255"/>
      <c r="AF77" s="255"/>
      <c r="AG77" s="255"/>
      <c r="AH77" s="255"/>
      <c r="AI77" s="298">
        <v>2.4</v>
      </c>
      <c r="AJ77" s="312">
        <f>COUNTIF($AD$50:$AD$76,AI77)</f>
        <v>3</v>
      </c>
      <c r="AK77" s="240" t="str">
        <f>IF($X$3=1,SUMIF($AD$50:$AD$76,AI77,$AK$50:$AK$76),"")</f>
        <v/>
      </c>
      <c r="AL77" s="255"/>
      <c r="AM77" s="255"/>
      <c r="AN77" s="255"/>
      <c r="AO77" s="255"/>
      <c r="AP77" s="255"/>
      <c r="AQ77" s="255"/>
      <c r="AR77" s="255"/>
      <c r="AS77" s="255"/>
      <c r="AT77" s="255"/>
      <c r="AU77" s="255"/>
      <c r="AV77" s="255"/>
      <c r="AW77" s="255"/>
      <c r="AX77" s="255"/>
      <c r="AY77" s="255"/>
      <c r="AZ77" s="255"/>
      <c r="BA77" s="255"/>
      <c r="BB77" s="1301">
        <v>4.4000000000000004</v>
      </c>
      <c r="BC77" s="1526" t="s">
        <v>379</v>
      </c>
      <c r="BD77" s="1527"/>
      <c r="BE77" s="1527"/>
      <c r="BF77" s="1527"/>
      <c r="BG77" s="1527"/>
      <c r="BH77" s="1527"/>
      <c r="BI77" s="1205" t="str">
        <f t="shared" ref="BI77" si="68">IF(ISBLANK(AJ$3),"",1)</f>
        <v/>
      </c>
      <c r="BJ77" s="1191"/>
      <c r="BK77" s="1192"/>
      <c r="BL77" s="1192"/>
      <c r="BM77" s="1192"/>
      <c r="BN77" s="1192"/>
      <c r="BO77" s="1193"/>
      <c r="BP77" s="255"/>
      <c r="BQ77" s="255"/>
      <c r="BR77" s="255"/>
    </row>
    <row r="78" spans="1:70" ht="15" customHeight="1">
      <c r="A78" s="252"/>
      <c r="B78" s="243"/>
      <c r="C78" s="242"/>
      <c r="D78" s="242"/>
      <c r="F78" s="278">
        <v>1.5</v>
      </c>
      <c r="G78" s="311">
        <f t="shared" ref="G78:G80" si="69">COUNTIF($A$50:$A$76,F78)</f>
        <v>1</v>
      </c>
      <c r="H78" s="240" t="str">
        <f t="shared" ref="H78:H80" si="70">IF($P$3=1,SUMIF($A$50:$A$76,$F78,$H$50:$H$76),"")</f>
        <v/>
      </c>
      <c r="I78" s="240" t="str">
        <f t="shared" ref="I78:I80" si="71">IF($T$3=1,SUMIF($A$50:$A$76,$F78,$I$50:$I$76),"")</f>
        <v/>
      </c>
      <c r="J78" s="240" t="str">
        <f t="shared" ref="J78:J80" si="72">IF($X$3=1,SUMIF($A$50:$A$76,$F78,$J$50:$J$76),"")</f>
        <v/>
      </c>
      <c r="K78" s="240" t="str">
        <f t="shared" ref="K78:K80" si="73">IF($AB$3=1,SUMIF($A$50:$A$76,$F78,$K$50:$K$76),"")</f>
        <v/>
      </c>
      <c r="L78" s="240" t="str">
        <f t="shared" ref="L78:L80" si="74">IF($AF$3=1,SUMIF($A$50:$A$76,$F78,$L$50:$L$76),"")</f>
        <v/>
      </c>
      <c r="M78" s="240" t="str">
        <f t="shared" ref="M78:M80" si="75">IF($AJ$3=1,SUMIF($A$50:$A$76,$F78,$M$50:$M$76),"")</f>
        <v/>
      </c>
      <c r="N78" s="256"/>
      <c r="O78" s="256"/>
      <c r="P78" s="256"/>
      <c r="Q78" s="256"/>
      <c r="R78" s="256"/>
      <c r="S78" s="256"/>
      <c r="T78" s="256"/>
      <c r="U78" s="256"/>
      <c r="V78" s="1302"/>
      <c r="W78" s="1163"/>
      <c r="X78" s="1164"/>
      <c r="Y78" s="1164"/>
      <c r="Z78" s="1164"/>
      <c r="AA78" s="1164"/>
      <c r="AB78" s="1164"/>
      <c r="AC78" s="1206"/>
      <c r="AD78" s="255"/>
      <c r="AE78" s="255"/>
      <c r="AF78" s="255"/>
      <c r="AG78" s="255"/>
      <c r="AH78" s="255"/>
      <c r="AI78" s="297">
        <v>4.3</v>
      </c>
      <c r="AJ78" s="312">
        <f t="shared" ref="AJ78:AJ79" si="76">COUNTIF($AD$50:$AD$76,AI78)</f>
        <v>4</v>
      </c>
      <c r="AK78" s="240" t="str">
        <f>IF($X$3=1,SUMIF($AD$50:$AD$76,AI78,$AK$50:$AK$76),"")</f>
        <v/>
      </c>
      <c r="AL78" s="255"/>
      <c r="AM78" s="255"/>
      <c r="AN78" s="255"/>
      <c r="AO78" s="255"/>
      <c r="AP78" s="255"/>
      <c r="AQ78" s="255"/>
      <c r="AR78" s="255"/>
      <c r="AS78" s="255"/>
      <c r="AT78" s="255"/>
      <c r="AU78" s="255"/>
      <c r="AV78" s="255"/>
      <c r="AW78" s="255"/>
      <c r="AX78" s="255"/>
      <c r="AY78" s="255"/>
      <c r="AZ78" s="255"/>
      <c r="BA78" s="255"/>
      <c r="BB78" s="1302"/>
      <c r="BC78" s="1317"/>
      <c r="BD78" s="1296"/>
      <c r="BE78" s="1296"/>
      <c r="BF78" s="1296"/>
      <c r="BG78" s="1296"/>
      <c r="BH78" s="1296"/>
      <c r="BI78" s="1206"/>
      <c r="BJ78" s="255"/>
      <c r="BK78" s="255"/>
      <c r="BL78" s="255"/>
      <c r="BM78" s="255"/>
      <c r="BN78" s="255"/>
      <c r="BO78" s="255"/>
      <c r="BP78" s="255"/>
      <c r="BQ78" s="255"/>
      <c r="BR78" s="255"/>
    </row>
    <row r="79" spans="1:70" ht="15" customHeight="1">
      <c r="A79" s="249"/>
      <c r="B79" s="249"/>
      <c r="C79" s="249"/>
      <c r="D79" s="249"/>
      <c r="F79" s="277">
        <v>2.1</v>
      </c>
      <c r="G79" s="311">
        <f t="shared" si="69"/>
        <v>2</v>
      </c>
      <c r="H79" s="240" t="str">
        <f t="shared" si="70"/>
        <v/>
      </c>
      <c r="I79" s="240" t="str">
        <f t="shared" si="71"/>
        <v/>
      </c>
      <c r="J79" s="240" t="str">
        <f t="shared" si="72"/>
        <v/>
      </c>
      <c r="K79" s="240" t="str">
        <f t="shared" si="73"/>
        <v/>
      </c>
      <c r="L79" s="240" t="str">
        <f t="shared" si="74"/>
        <v/>
      </c>
      <c r="M79" s="240" t="str">
        <f t="shared" si="75"/>
        <v/>
      </c>
      <c r="N79" s="256"/>
      <c r="O79" s="256"/>
      <c r="P79" s="256"/>
      <c r="Q79" s="256"/>
      <c r="R79" s="256"/>
      <c r="S79" s="256"/>
      <c r="T79" s="256"/>
      <c r="U79" s="256"/>
      <c r="V79" s="1303"/>
      <c r="W79" s="1552"/>
      <c r="X79" s="1203"/>
      <c r="Y79" s="1203"/>
      <c r="Z79" s="1203"/>
      <c r="AA79" s="1203"/>
      <c r="AB79" s="1203"/>
      <c r="AC79" s="1207"/>
      <c r="AD79" s="255"/>
      <c r="AE79" s="255"/>
      <c r="AF79" s="255"/>
      <c r="AG79" s="255"/>
      <c r="AH79" s="255"/>
      <c r="AI79" s="297">
        <v>4.4000000000000004</v>
      </c>
      <c r="AJ79" s="312">
        <f t="shared" si="76"/>
        <v>2</v>
      </c>
      <c r="AK79" s="240" t="str">
        <f>IF($X$3=1,SUMIF($AD$50:$AD$76,AI79,$AK$50:$AK$76),"")</f>
        <v/>
      </c>
      <c r="AL79" s="255"/>
      <c r="AM79" s="255"/>
      <c r="AN79" s="255"/>
      <c r="AO79" s="255"/>
      <c r="AP79" s="255"/>
      <c r="AQ79" s="255"/>
      <c r="AR79" s="255"/>
      <c r="AS79" s="255"/>
      <c r="AT79" s="255"/>
      <c r="AU79" s="255"/>
      <c r="AV79" s="255"/>
      <c r="AW79" s="255"/>
      <c r="AX79" s="255"/>
      <c r="AY79" s="255"/>
      <c r="AZ79" s="255"/>
      <c r="BA79" s="255"/>
      <c r="BB79" s="1303"/>
      <c r="BC79" s="1723"/>
      <c r="BD79" s="1299"/>
      <c r="BE79" s="1299"/>
      <c r="BF79" s="1299"/>
      <c r="BG79" s="1299"/>
      <c r="BH79" s="1299"/>
      <c r="BI79" s="1207"/>
      <c r="BJ79" s="255"/>
      <c r="BK79" s="255"/>
      <c r="BL79" s="255"/>
      <c r="BM79" s="255"/>
      <c r="BN79" s="255"/>
      <c r="BO79" s="255"/>
      <c r="BP79" s="255"/>
      <c r="BQ79" s="255"/>
      <c r="BR79" s="255"/>
    </row>
    <row r="80" spans="1:70" ht="15" customHeight="1">
      <c r="F80" s="277">
        <v>2.4</v>
      </c>
      <c r="G80" s="311">
        <f t="shared" si="69"/>
        <v>2</v>
      </c>
      <c r="H80" s="240" t="str">
        <f t="shared" si="70"/>
        <v/>
      </c>
      <c r="I80" s="240" t="str">
        <f t="shared" si="71"/>
        <v/>
      </c>
      <c r="J80" s="240" t="str">
        <f t="shared" si="72"/>
        <v/>
      </c>
      <c r="K80" s="240" t="str">
        <f t="shared" si="73"/>
        <v/>
      </c>
      <c r="L80" s="240" t="str">
        <f t="shared" si="74"/>
        <v/>
      </c>
      <c r="M80" s="240" t="str">
        <f t="shared" si="75"/>
        <v/>
      </c>
      <c r="N80" s="256"/>
      <c r="O80" s="256"/>
      <c r="P80" s="256"/>
      <c r="Q80" s="256"/>
      <c r="R80" s="256"/>
      <c r="S80" s="256"/>
      <c r="T80" s="256"/>
      <c r="U80" s="256"/>
      <c r="V80" s="1301">
        <v>2.4</v>
      </c>
      <c r="W80" s="1395" t="s">
        <v>363</v>
      </c>
      <c r="X80" s="1396"/>
      <c r="Y80" s="1396"/>
      <c r="Z80" s="1396"/>
      <c r="AA80" s="1396"/>
      <c r="AB80" s="1396"/>
      <c r="AC80" s="1205" t="str">
        <f t="shared" ref="AC80" si="77">IF(ISBLANK(T$3),"",1)</f>
        <v/>
      </c>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G80" s="298">
        <v>2.4</v>
      </c>
      <c r="BH80" s="312">
        <f>COUNTIF($BB$50:$BB$79,BG80)</f>
        <v>3</v>
      </c>
      <c r="BI80" s="240" t="str">
        <f>IF($AJ$3=1,SUMIF($BB$50:$BB$79,BG80,$BI$50:$BI$79),"")</f>
        <v/>
      </c>
      <c r="BJ80" s="255"/>
      <c r="BK80" s="255"/>
      <c r="BL80" s="255"/>
      <c r="BM80" s="255"/>
      <c r="BN80" s="255"/>
      <c r="BO80" s="255"/>
      <c r="BP80" s="255"/>
      <c r="BQ80" s="255"/>
      <c r="BR80" s="255"/>
    </row>
    <row r="81" spans="1:70" ht="15" customHeight="1">
      <c r="N81" s="339"/>
      <c r="O81" s="339"/>
      <c r="P81" s="255"/>
      <c r="Q81" s="256"/>
      <c r="R81" s="256"/>
      <c r="S81" s="256"/>
      <c r="T81" s="256"/>
      <c r="U81" s="256"/>
      <c r="V81" s="1302"/>
      <c r="W81" s="1163"/>
      <c r="X81" s="1164"/>
      <c r="Y81" s="1164"/>
      <c r="Z81" s="1164"/>
      <c r="AA81" s="1164"/>
      <c r="AB81" s="1164"/>
      <c r="AC81" s="1206"/>
      <c r="AD81" s="255"/>
      <c r="AE81" s="255"/>
      <c r="AF81" s="255"/>
      <c r="AG81" s="255"/>
      <c r="AH81" s="255"/>
      <c r="AI81" s="255"/>
      <c r="AJ81" s="255"/>
      <c r="AK81" s="255"/>
      <c r="AL81" s="255"/>
      <c r="AM81" s="255"/>
      <c r="AN81" s="255"/>
      <c r="AO81" s="255"/>
      <c r="AP81" s="255"/>
      <c r="AQ81" s="255"/>
      <c r="AR81" s="255"/>
      <c r="AS81" s="255"/>
      <c r="AT81" s="255"/>
      <c r="AU81" s="255"/>
      <c r="AV81" s="255"/>
      <c r="AW81" s="255"/>
      <c r="AX81" s="255"/>
      <c r="AY81" s="255"/>
      <c r="AZ81" s="255"/>
      <c r="BA81" s="255"/>
      <c r="BB81" s="255"/>
      <c r="BC81" s="255"/>
      <c r="BD81" s="255"/>
      <c r="BE81" s="255"/>
      <c r="BF81" s="255"/>
      <c r="BG81" s="297">
        <v>4.3</v>
      </c>
      <c r="BH81" s="312">
        <f t="shared" ref="BH81:BH82" si="78">COUNTIF($BB$50:$BB$79,BG81)</f>
        <v>3</v>
      </c>
      <c r="BI81" s="240" t="str">
        <f>IF($AJ$3=1,SUMIF($BB$50:$BB$79,BG81,$BI$50:$BI$79),"")</f>
        <v/>
      </c>
      <c r="BJ81" s="332"/>
      <c r="BK81" s="332"/>
      <c r="BL81" s="332"/>
      <c r="BM81" s="332"/>
      <c r="BN81" s="255"/>
      <c r="BO81" s="255"/>
      <c r="BP81" s="255"/>
      <c r="BQ81" s="255"/>
      <c r="BR81" s="255"/>
    </row>
    <row r="82" spans="1:70" ht="15" customHeight="1">
      <c r="A82" s="1209"/>
      <c r="B82" s="1210" t="s">
        <v>609</v>
      </c>
      <c r="C82" s="1211"/>
      <c r="D82" s="1211"/>
      <c r="E82" s="1211"/>
      <c r="F82" s="1211"/>
      <c r="G82" s="1211"/>
      <c r="H82" s="1174">
        <v>1</v>
      </c>
      <c r="I82" s="1174">
        <v>2</v>
      </c>
      <c r="J82" s="1174">
        <v>3</v>
      </c>
      <c r="K82" s="1174">
        <v>4</v>
      </c>
      <c r="L82" s="1174">
        <v>5</v>
      </c>
      <c r="M82" s="1174">
        <v>6</v>
      </c>
      <c r="N82" s="339"/>
      <c r="O82" s="339"/>
      <c r="P82" s="255"/>
      <c r="Q82" s="256"/>
      <c r="R82" s="256"/>
      <c r="S82" s="256"/>
      <c r="T82" s="256"/>
      <c r="U82" s="256"/>
      <c r="V82" s="1303"/>
      <c r="W82" s="1552"/>
      <c r="X82" s="1203"/>
      <c r="Y82" s="1203"/>
      <c r="Z82" s="1203"/>
      <c r="AA82" s="1203"/>
      <c r="AB82" s="1203"/>
      <c r="AC82" s="1207"/>
      <c r="AD82" s="255"/>
      <c r="AH82" s="255"/>
      <c r="AI82" s="255"/>
      <c r="AJ82" s="255"/>
      <c r="AK82" s="255"/>
      <c r="AL82" s="255"/>
      <c r="AM82" s="255"/>
      <c r="AN82" s="255"/>
      <c r="AO82" s="255"/>
      <c r="AP82" s="255"/>
      <c r="AQ82" s="255"/>
      <c r="AR82" s="255"/>
      <c r="AS82" s="255"/>
      <c r="AT82" s="255"/>
      <c r="AU82" s="255"/>
      <c r="AV82" s="255"/>
      <c r="AW82" s="255"/>
      <c r="AX82" s="255"/>
      <c r="AY82" s="255"/>
      <c r="AZ82" s="255"/>
      <c r="BA82" s="255"/>
      <c r="BB82" s="255"/>
      <c r="BC82" s="255"/>
      <c r="BD82" s="255"/>
      <c r="BE82" s="255"/>
      <c r="BF82" s="255"/>
      <c r="BG82" s="297">
        <v>4.4000000000000004</v>
      </c>
      <c r="BH82" s="312">
        <f t="shared" si="78"/>
        <v>4</v>
      </c>
      <c r="BI82" s="240" t="str">
        <f>IF($AJ$3=1,SUMIF($BB$50:$BB$79,BG82,$BI$50:$BI$79),"")</f>
        <v/>
      </c>
      <c r="BJ82" s="332"/>
      <c r="BK82" s="332"/>
      <c r="BL82" s="332"/>
      <c r="BM82" s="332"/>
      <c r="BN82" s="255"/>
      <c r="BO82" s="255"/>
      <c r="BP82" s="255"/>
    </row>
    <row r="83" spans="1:70" ht="15" customHeight="1">
      <c r="A83" s="1209"/>
      <c r="B83" s="1340"/>
      <c r="C83" s="1341"/>
      <c r="D83" s="1341"/>
      <c r="E83" s="1341"/>
      <c r="F83" s="1341"/>
      <c r="G83" s="1341"/>
      <c r="H83" s="1174"/>
      <c r="I83" s="1174"/>
      <c r="J83" s="1174"/>
      <c r="K83" s="1174"/>
      <c r="L83" s="1174"/>
      <c r="M83" s="1174"/>
      <c r="N83" s="339"/>
      <c r="O83" s="339"/>
      <c r="P83" s="255"/>
      <c r="Q83" s="255"/>
      <c r="R83" s="255"/>
      <c r="S83" s="255"/>
      <c r="T83" s="255"/>
      <c r="U83" s="256"/>
      <c r="V83" s="325"/>
      <c r="W83" s="325"/>
      <c r="X83" s="325"/>
      <c r="Y83" s="325"/>
      <c r="Z83" s="325"/>
      <c r="AA83" s="315">
        <v>2.4</v>
      </c>
      <c r="AB83" s="312">
        <f>COUNTIF($V$50:$V$82,AA83)</f>
        <v>3</v>
      </c>
      <c r="AC83" s="240" t="str">
        <f>IF($T$3=1,SUMIF($V$50:$V$82,AA83,$AC$50:$AC$82),"")</f>
        <v/>
      </c>
      <c r="AD83" s="255"/>
      <c r="AH83" s="255"/>
      <c r="AI83" s="255"/>
      <c r="AJ83" s="255"/>
      <c r="AK83" s="255"/>
      <c r="AL83" s="255"/>
      <c r="AM83" s="255"/>
      <c r="AN83" s="255"/>
      <c r="AO83" s="255"/>
      <c r="AP83" s="255"/>
      <c r="AQ83" s="255"/>
      <c r="AR83" s="255"/>
      <c r="AS83" s="255"/>
      <c r="AT83" s="255"/>
      <c r="AU83" s="255"/>
      <c r="AV83" s="255"/>
      <c r="AW83" s="255"/>
      <c r="AX83" s="255"/>
      <c r="AY83" s="255"/>
      <c r="AZ83" s="255"/>
      <c r="BA83" s="255"/>
      <c r="BB83" s="255"/>
      <c r="BC83" s="255"/>
      <c r="BD83" s="255"/>
      <c r="BE83" s="255"/>
      <c r="BF83" s="255"/>
      <c r="BG83" s="255"/>
      <c r="BH83" s="255"/>
      <c r="BI83" s="255"/>
      <c r="BP83" s="255"/>
    </row>
    <row r="84" spans="1:70" ht="15" customHeight="1">
      <c r="A84" s="1209"/>
      <c r="B84" s="1212"/>
      <c r="C84" s="1213"/>
      <c r="D84" s="1213"/>
      <c r="E84" s="1213"/>
      <c r="F84" s="1213"/>
      <c r="G84" s="1213"/>
      <c r="H84" s="1174"/>
      <c r="I84" s="1174"/>
      <c r="J84" s="1174"/>
      <c r="K84" s="1174"/>
      <c r="L84" s="1174"/>
      <c r="M84" s="1174"/>
      <c r="N84" s="339"/>
      <c r="O84" s="339"/>
      <c r="P84" s="256"/>
      <c r="Q84" s="256"/>
      <c r="R84" s="256"/>
      <c r="S84" s="256"/>
      <c r="T84" s="256"/>
      <c r="U84" s="256"/>
      <c r="V84" s="325"/>
      <c r="W84" s="325"/>
      <c r="X84" s="325"/>
      <c r="Y84" s="325"/>
      <c r="Z84" s="325"/>
      <c r="AA84" s="330">
        <v>4.3</v>
      </c>
      <c r="AB84" s="312">
        <f>COUNTIF($V$50:$V$82,AA84)</f>
        <v>5</v>
      </c>
      <c r="AC84" s="240" t="str">
        <f>IF($T$3=1,SUMIF($V$50:$V$82,AA84,$AC$50:$AC$82),"")</f>
        <v/>
      </c>
      <c r="AD84" s="255"/>
      <c r="AH84" s="255"/>
      <c r="AI84" s="255"/>
      <c r="AJ84" s="255"/>
      <c r="AK84" s="255"/>
      <c r="AL84" s="255"/>
      <c r="AM84" s="255"/>
      <c r="AN84" s="255"/>
      <c r="AO84" s="255"/>
      <c r="AP84" s="255"/>
      <c r="AQ84" s="255"/>
      <c r="AR84" s="255"/>
      <c r="AS84" s="255"/>
      <c r="AT84" s="255"/>
      <c r="AU84" s="255"/>
      <c r="AV84" s="255"/>
      <c r="AW84" s="255"/>
      <c r="AX84" s="255"/>
      <c r="AY84" s="255"/>
      <c r="AZ84" s="255"/>
      <c r="BA84" s="255"/>
      <c r="BB84" s="255"/>
      <c r="BC84" s="255"/>
      <c r="BD84" s="255"/>
      <c r="BE84" s="255"/>
      <c r="BF84" s="255"/>
      <c r="BG84" s="255"/>
      <c r="BH84" s="255"/>
      <c r="BI84" s="255"/>
      <c r="BP84" s="255"/>
    </row>
    <row r="85" spans="1:70" ht="15" customHeight="1">
      <c r="A85" s="1336">
        <v>3.1</v>
      </c>
      <c r="B85" s="1198" t="s">
        <v>366</v>
      </c>
      <c r="C85" s="1162"/>
      <c r="D85" s="1162"/>
      <c r="E85" s="1162"/>
      <c r="F85" s="1162"/>
      <c r="G85" s="1265"/>
      <c r="H85" s="1205" t="str">
        <f>IF(ISBLANK(P$3),"",1)</f>
        <v/>
      </c>
      <c r="I85" s="1205" t="str">
        <f>IF(ISBLANK(T$3),"",1)</f>
        <v/>
      </c>
      <c r="J85" s="1205" t="str">
        <f>IF(ISBLANK(X$3),"",1)</f>
        <v/>
      </c>
      <c r="K85" s="1205" t="str">
        <f>IF(ISBLANK(AB$3),"",1)</f>
        <v/>
      </c>
      <c r="L85" s="1205" t="str">
        <f>IF(ISBLANK(AF$3),"",1)</f>
        <v/>
      </c>
      <c r="M85" s="1205" t="str">
        <f t="shared" ref="M85" si="79">IF(ISBLANK(AJ$3),"",1)</f>
        <v/>
      </c>
      <c r="N85" s="339"/>
      <c r="O85" s="339"/>
      <c r="P85" s="256"/>
      <c r="Q85" s="256"/>
      <c r="R85" s="256"/>
      <c r="S85" s="256"/>
      <c r="T85" s="256"/>
      <c r="U85" s="256"/>
      <c r="V85" s="325"/>
      <c r="W85" s="325"/>
      <c r="X85" s="325"/>
      <c r="Y85" s="325"/>
      <c r="Z85" s="325"/>
      <c r="AA85" s="334">
        <v>4.4000000000000004</v>
      </c>
      <c r="AB85" s="312">
        <f>COUNTIF($V$50:$V$82,AA85)</f>
        <v>3</v>
      </c>
      <c r="AC85" s="240" t="str">
        <f>IF($T$3=1,SUMIF($V$50:$V$82,AA85,$AC$50:$AC$82),"")</f>
        <v/>
      </c>
      <c r="AD85" s="255"/>
      <c r="AH85" s="255"/>
      <c r="AI85" s="255"/>
      <c r="AJ85" s="255"/>
      <c r="AK85" s="255"/>
      <c r="AL85" s="255"/>
      <c r="AM85" s="255"/>
      <c r="AN85" s="255"/>
      <c r="AO85" s="255"/>
      <c r="AP85" s="255"/>
      <c r="AQ85" s="255"/>
      <c r="AR85" s="255"/>
      <c r="AS85" s="255"/>
      <c r="AT85" s="255"/>
      <c r="AU85" s="255"/>
      <c r="AV85" s="255"/>
      <c r="AW85" s="255"/>
      <c r="AX85" s="255"/>
      <c r="AY85" s="255"/>
      <c r="AZ85" s="255"/>
      <c r="BA85" s="255"/>
      <c r="BB85" s="255"/>
      <c r="BC85" s="255"/>
      <c r="BD85" s="255"/>
      <c r="BE85" s="255"/>
      <c r="BF85" s="255"/>
      <c r="BG85" s="255"/>
      <c r="BH85" s="255"/>
      <c r="BI85" s="255"/>
      <c r="BP85" s="255"/>
    </row>
    <row r="86" spans="1:70" ht="15" customHeight="1">
      <c r="A86" s="1159"/>
      <c r="B86" s="1200"/>
      <c r="C86" s="1164"/>
      <c r="D86" s="1164"/>
      <c r="E86" s="1164"/>
      <c r="F86" s="1164"/>
      <c r="G86" s="1266"/>
      <c r="H86" s="1206"/>
      <c r="I86" s="1206"/>
      <c r="J86" s="1206"/>
      <c r="K86" s="1206"/>
      <c r="L86" s="1206"/>
      <c r="M86" s="1206"/>
      <c r="N86" s="339"/>
      <c r="O86" s="339"/>
      <c r="P86" s="256"/>
      <c r="Q86" s="256"/>
      <c r="R86" s="256"/>
      <c r="S86" s="256"/>
      <c r="T86" s="256"/>
      <c r="U86" s="256"/>
      <c r="V86" s="325"/>
      <c r="W86" s="325"/>
      <c r="X86" s="325"/>
      <c r="Y86" s="325"/>
      <c r="Z86" s="325"/>
      <c r="AA86" s="325"/>
      <c r="AB86" s="325"/>
      <c r="AC86" s="325"/>
      <c r="AD86" s="325"/>
      <c r="AE86" s="325"/>
      <c r="AH86" s="255"/>
      <c r="AI86" s="255"/>
      <c r="AJ86" s="255"/>
      <c r="AK86" s="255"/>
      <c r="AL86" s="255"/>
      <c r="AM86" s="255"/>
      <c r="AN86" s="255"/>
      <c r="AO86" s="255"/>
      <c r="AP86" s="255"/>
      <c r="AQ86" s="255"/>
      <c r="AR86" s="255"/>
      <c r="AS86" s="255"/>
      <c r="AT86" s="255"/>
      <c r="AU86" s="255"/>
      <c r="AV86" s="255"/>
      <c r="AW86" s="255"/>
      <c r="AX86" s="255"/>
      <c r="AY86" s="255"/>
      <c r="AZ86" s="255"/>
      <c r="BA86" s="255"/>
      <c r="BB86" s="255"/>
      <c r="BC86" s="255"/>
      <c r="BD86" s="255"/>
      <c r="BE86" s="255"/>
      <c r="BF86" s="255"/>
      <c r="BG86" s="255"/>
      <c r="BH86" s="255"/>
      <c r="BI86" s="255"/>
      <c r="BP86" s="255"/>
    </row>
    <row r="87" spans="1:70" ht="15" customHeight="1">
      <c r="A87" s="1160"/>
      <c r="B87" s="1200"/>
      <c r="C87" s="1164"/>
      <c r="D87" s="1164"/>
      <c r="E87" s="1164"/>
      <c r="F87" s="1164"/>
      <c r="G87" s="1266"/>
      <c r="H87" s="1207"/>
      <c r="I87" s="1207"/>
      <c r="J87" s="1207"/>
      <c r="K87" s="1207"/>
      <c r="L87" s="1207"/>
      <c r="M87" s="1207"/>
      <c r="N87" s="339"/>
      <c r="O87" s="339"/>
      <c r="P87" s="256"/>
      <c r="Q87" s="256"/>
      <c r="R87" s="256"/>
      <c r="S87" s="256"/>
      <c r="T87" s="256"/>
      <c r="U87" s="256"/>
      <c r="V87" s="325"/>
      <c r="W87" s="325"/>
      <c r="X87" s="325"/>
      <c r="Y87" s="325"/>
      <c r="Z87" s="325"/>
      <c r="AA87" s="325"/>
      <c r="AB87" s="325"/>
      <c r="AC87" s="325"/>
      <c r="AD87" s="325"/>
      <c r="AE87" s="242"/>
      <c r="AF87" s="52"/>
      <c r="AG87" s="255"/>
      <c r="AH87" s="255"/>
      <c r="AI87" s="255"/>
      <c r="AJ87" s="255"/>
      <c r="AK87" s="255"/>
      <c r="AL87" s="255"/>
      <c r="AM87" s="255"/>
      <c r="AN87" s="255"/>
      <c r="AO87" s="255"/>
      <c r="AP87" s="255"/>
      <c r="AQ87" s="255"/>
      <c r="AR87" s="255"/>
      <c r="AS87" s="255"/>
      <c r="AT87" s="255"/>
      <c r="AU87" s="255"/>
      <c r="AV87" s="255"/>
      <c r="AW87" s="255"/>
      <c r="AX87" s="255"/>
      <c r="AY87" s="255"/>
      <c r="AZ87" s="255"/>
      <c r="BA87" s="255"/>
      <c r="BB87" s="255"/>
      <c r="BC87" s="255"/>
      <c r="BD87" s="255"/>
      <c r="BE87" s="255"/>
      <c r="BF87" s="255"/>
      <c r="BG87" s="255"/>
      <c r="BH87" s="255"/>
      <c r="BO87" s="255"/>
    </row>
    <row r="88" spans="1:70" ht="15" customHeight="1">
      <c r="A88" s="1336">
        <v>1.4</v>
      </c>
      <c r="B88" s="1198" t="s">
        <v>943</v>
      </c>
      <c r="C88" s="1162"/>
      <c r="D88" s="1162"/>
      <c r="E88" s="1162"/>
      <c r="F88" s="1162"/>
      <c r="G88" s="1265"/>
      <c r="H88" s="1205" t="str">
        <f>IF(ISBLANK(P$3),"",1)</f>
        <v/>
      </c>
      <c r="I88" s="1205" t="str">
        <f>IF(ISBLANK(T$3),"",1)</f>
        <v/>
      </c>
      <c r="J88" s="1205" t="str">
        <f>IF(ISBLANK(X$3),"",1)</f>
        <v/>
      </c>
      <c r="K88" s="1205" t="str">
        <f>IF(ISBLANK(AB$3),"",1)</f>
        <v/>
      </c>
      <c r="L88" s="1205" t="str">
        <f>IF(ISBLANK(AF$3),"",1)</f>
        <v/>
      </c>
      <c r="M88" s="1205" t="str">
        <f t="shared" ref="M88" si="80">IF(ISBLANK(AJ$3),"",1)</f>
        <v/>
      </c>
      <c r="N88" s="339"/>
      <c r="O88" s="339"/>
      <c r="P88" s="256"/>
      <c r="Q88" s="256"/>
      <c r="R88" s="256"/>
      <c r="S88" s="256"/>
      <c r="T88" s="256"/>
      <c r="U88" s="256"/>
      <c r="V88" s="325"/>
      <c r="W88" s="325"/>
      <c r="X88" s="325"/>
      <c r="Y88" s="325"/>
      <c r="Z88" s="325"/>
      <c r="AA88" s="325"/>
      <c r="AB88" s="325"/>
      <c r="AC88" s="325"/>
      <c r="AD88" s="325"/>
      <c r="AE88" s="242"/>
      <c r="AF88" s="52"/>
      <c r="AG88" s="255"/>
      <c r="AH88" s="255"/>
      <c r="AI88" s="255"/>
      <c r="AJ88" s="255"/>
      <c r="AK88" s="255"/>
      <c r="AL88" s="255"/>
      <c r="AM88" s="255"/>
      <c r="AN88" s="255"/>
      <c r="AO88" s="255"/>
      <c r="AP88" s="255"/>
      <c r="AQ88" s="255"/>
      <c r="AR88" s="255"/>
      <c r="AS88" s="255"/>
      <c r="AT88" s="255"/>
      <c r="AU88" s="255"/>
      <c r="AV88" s="255"/>
      <c r="AW88" s="255"/>
      <c r="AX88" s="255"/>
      <c r="AY88" s="255"/>
      <c r="AZ88" s="255"/>
      <c r="BA88" s="255"/>
      <c r="BB88" s="255"/>
      <c r="BC88" s="255"/>
      <c r="BD88" s="255"/>
      <c r="BE88" s="255"/>
      <c r="BF88" s="255"/>
      <c r="BG88" s="255"/>
      <c r="BH88" s="255"/>
      <c r="BO88" s="255"/>
    </row>
    <row r="89" spans="1:70" ht="15" customHeight="1">
      <c r="A89" s="1159"/>
      <c r="B89" s="1200"/>
      <c r="C89" s="1164"/>
      <c r="D89" s="1164"/>
      <c r="E89" s="1164"/>
      <c r="F89" s="1164"/>
      <c r="G89" s="1266"/>
      <c r="H89" s="1206"/>
      <c r="I89" s="1206"/>
      <c r="J89" s="1206"/>
      <c r="K89" s="1206"/>
      <c r="L89" s="1206"/>
      <c r="M89" s="1206"/>
      <c r="N89" s="339"/>
      <c r="O89" s="339"/>
      <c r="P89" s="256"/>
      <c r="Q89" s="256"/>
      <c r="R89" s="256"/>
      <c r="S89" s="256"/>
      <c r="T89" s="256"/>
      <c r="U89" s="256"/>
      <c r="V89" s="325"/>
      <c r="W89" s="325"/>
      <c r="X89" s="325"/>
      <c r="Y89" s="325"/>
      <c r="Z89" s="325"/>
      <c r="AA89" s="325"/>
      <c r="AB89" s="325"/>
      <c r="AC89" s="325"/>
      <c r="AD89" s="325"/>
      <c r="AE89" s="242"/>
      <c r="AF89" s="52"/>
      <c r="AG89" s="255"/>
      <c r="AH89" s="255"/>
      <c r="AI89" s="255"/>
      <c r="AJ89" s="255"/>
      <c r="AK89" s="255"/>
      <c r="AL89" s="255"/>
      <c r="AM89" s="255"/>
      <c r="AN89" s="255"/>
      <c r="AO89" s="255"/>
      <c r="AP89" s="255"/>
      <c r="AQ89" s="255"/>
      <c r="AR89" s="255"/>
      <c r="AS89" s="255"/>
      <c r="AT89" s="255"/>
      <c r="AU89" s="255"/>
      <c r="AV89" s="255"/>
      <c r="AW89" s="255"/>
      <c r="AX89" s="255"/>
      <c r="AY89" s="255"/>
      <c r="AZ89" s="255"/>
      <c r="BA89" s="255"/>
      <c r="BB89" s="255"/>
      <c r="BC89" s="255"/>
      <c r="BD89" s="255"/>
      <c r="BE89" s="255"/>
      <c r="BF89" s="255"/>
      <c r="BG89" s="255"/>
      <c r="BH89" s="255"/>
      <c r="BO89" s="255"/>
    </row>
    <row r="90" spans="1:70" ht="15" customHeight="1">
      <c r="A90" s="1160"/>
      <c r="B90" s="1200"/>
      <c r="C90" s="1164"/>
      <c r="D90" s="1164"/>
      <c r="E90" s="1164"/>
      <c r="F90" s="1164"/>
      <c r="G90" s="1266"/>
      <c r="H90" s="1207"/>
      <c r="I90" s="1207"/>
      <c r="J90" s="1207"/>
      <c r="K90" s="1207"/>
      <c r="L90" s="1207"/>
      <c r="M90" s="1207"/>
      <c r="N90" s="339"/>
      <c r="O90" s="339"/>
      <c r="P90" s="256"/>
      <c r="Q90" s="256"/>
      <c r="R90" s="256"/>
      <c r="S90" s="256"/>
      <c r="T90" s="256"/>
      <c r="U90" s="256"/>
      <c r="V90" s="325"/>
      <c r="W90" s="325"/>
      <c r="X90" s="325"/>
      <c r="Y90" s="325"/>
      <c r="Z90" s="325"/>
      <c r="AA90" s="325"/>
      <c r="AB90" s="325"/>
      <c r="AC90" s="325"/>
      <c r="AD90" s="325"/>
      <c r="AE90" s="242"/>
      <c r="AF90" s="52"/>
      <c r="AG90" s="255"/>
      <c r="AH90" s="255"/>
      <c r="AI90" s="255"/>
      <c r="AJ90" s="255"/>
      <c r="AK90" s="255"/>
      <c r="AL90" s="255"/>
      <c r="AM90" s="255"/>
      <c r="AN90" s="255"/>
      <c r="AO90" s="255"/>
      <c r="AP90" s="255"/>
      <c r="AQ90" s="255"/>
      <c r="AR90" s="255"/>
      <c r="AS90" s="255"/>
      <c r="AT90" s="255"/>
      <c r="AU90" s="255"/>
      <c r="AV90" s="255"/>
      <c r="AW90" s="255"/>
      <c r="AX90" s="255"/>
      <c r="AY90" s="255"/>
      <c r="AZ90" s="255"/>
      <c r="BA90" s="255"/>
      <c r="BB90" s="255"/>
      <c r="BC90" s="255"/>
      <c r="BD90" s="255"/>
      <c r="BE90" s="255"/>
      <c r="BF90" s="255"/>
      <c r="BG90" s="255"/>
      <c r="BH90" s="255"/>
      <c r="BO90" s="255"/>
    </row>
    <row r="91" spans="1:70" ht="15" customHeight="1">
      <c r="A91" s="1168" t="s">
        <v>637</v>
      </c>
      <c r="B91" s="1168"/>
      <c r="C91" s="1168"/>
      <c r="D91" s="1168"/>
      <c r="E91" s="1169"/>
      <c r="F91" s="614">
        <v>3.1</v>
      </c>
      <c r="G91" s="620">
        <f>COUNTIF($A$85:$A$90,F91)</f>
        <v>1</v>
      </c>
      <c r="H91" s="240" t="str">
        <f>IF($P$3=1,SUMIF($A$85:$A$90,$F91,$H$85:$H$90),"")</f>
        <v/>
      </c>
      <c r="I91" s="240" t="str">
        <f>IF($T$3=1,SUMIF($A$85:$A$90,$F91,$I$85:$I$90),"")</f>
        <v/>
      </c>
      <c r="J91" s="240" t="str">
        <f>IF($X$3=1,SUMIF($A$85:$A$90,$F91,$J$85:$J$90),"")</f>
        <v/>
      </c>
      <c r="K91" s="240" t="str">
        <f>IF($AB$3=1,SUMIF($A$85:$A$90,$F91,$K$85:$K$90),"")</f>
        <v/>
      </c>
      <c r="L91" s="240" t="str">
        <f>IF($AF$3=1,SUMIF($A$85:$A$90,$F91,$L$85:$L$90),"")</f>
        <v/>
      </c>
      <c r="M91" s="240" t="str">
        <f>IF($AJ$3=1,SUMIF($A$85:$A$90,$F91,$M$85:$M$90),"")</f>
        <v/>
      </c>
      <c r="N91" s="339"/>
      <c r="O91" s="339"/>
      <c r="P91" s="256"/>
      <c r="Q91" s="256"/>
      <c r="R91" s="256"/>
      <c r="S91" s="256"/>
      <c r="T91" s="256"/>
      <c r="U91" s="256"/>
      <c r="V91" s="325"/>
      <c r="W91" s="325"/>
      <c r="X91" s="325"/>
      <c r="Y91" s="325"/>
      <c r="Z91" s="325"/>
      <c r="AA91" s="325"/>
      <c r="AB91" s="325"/>
      <c r="AC91" s="325"/>
      <c r="AD91" s="325"/>
      <c r="AE91" s="242"/>
      <c r="AF91" s="52"/>
      <c r="AG91" s="255"/>
      <c r="AH91" s="255"/>
      <c r="AI91" s="255"/>
      <c r="AJ91" s="255"/>
      <c r="AK91" s="255"/>
      <c r="AL91" s="255"/>
      <c r="AM91" s="255"/>
      <c r="AN91" s="255"/>
      <c r="AO91" s="255"/>
      <c r="AP91" s="255"/>
      <c r="AQ91" s="255"/>
      <c r="AR91" s="255"/>
      <c r="AS91" s="255"/>
      <c r="AT91" s="255"/>
      <c r="AU91" s="255"/>
      <c r="AV91" s="255"/>
      <c r="AW91" s="255"/>
      <c r="AX91" s="255"/>
      <c r="AY91" s="255"/>
      <c r="AZ91" s="255"/>
      <c r="BA91" s="255"/>
      <c r="BB91" s="255"/>
      <c r="BC91" s="255"/>
      <c r="BD91" s="255"/>
      <c r="BE91" s="255"/>
      <c r="BF91" s="255"/>
      <c r="BG91" s="255"/>
      <c r="BH91" s="255"/>
      <c r="BO91" s="255"/>
    </row>
    <row r="92" spans="1:70" ht="15" customHeight="1">
      <c r="F92" s="614">
        <v>1.4</v>
      </c>
      <c r="G92" s="620">
        <f>COUNTIF($A$85:$A$90,F92)</f>
        <v>1</v>
      </c>
      <c r="H92" s="240" t="str">
        <f>IF($P$3=1,SUMIF($A$85:$A$90,$F92,$H$85:$H$90),"")</f>
        <v/>
      </c>
      <c r="I92" s="240" t="str">
        <f>IF($T$3=1,SUMIF($A$85:$A$90,$F92,$I$85:$I$90),"")</f>
        <v/>
      </c>
      <c r="J92" s="240" t="str">
        <f>IF($X$3=1,SUMIF($A$85:$A$90,$F92,$J$85:$J$90),"")</f>
        <v/>
      </c>
      <c r="K92" s="240" t="str">
        <f>IF($AB$3=1,SUMIF($A$85:$A$90,$F92,$K$85:$K$90),"")</f>
        <v/>
      </c>
      <c r="L92" s="240" t="str">
        <f>IF($AF$3=1,SUMIF($A$85:$A$90,$F92,$L$85:$L$90),"")</f>
        <v/>
      </c>
      <c r="M92" s="240" t="str">
        <f>IF($AJ$3=1,SUMIF($A$85:$A$90,$F92,$M$85:$M$90),"")</f>
        <v/>
      </c>
      <c r="N92" s="339"/>
      <c r="O92" s="339"/>
      <c r="P92" s="256"/>
      <c r="Q92" s="256"/>
      <c r="R92" s="256"/>
      <c r="S92" s="256"/>
      <c r="T92" s="256"/>
      <c r="U92" s="256"/>
      <c r="V92" s="325"/>
      <c r="W92" s="325"/>
      <c r="X92" s="325"/>
      <c r="Y92" s="325"/>
      <c r="Z92" s="325"/>
      <c r="AA92" s="325"/>
      <c r="AB92" s="325"/>
      <c r="AC92" s="325"/>
      <c r="AD92" s="325"/>
      <c r="AE92" s="242"/>
      <c r="AF92" s="52"/>
      <c r="AG92" s="255"/>
      <c r="AH92" s="255"/>
      <c r="AI92" s="255"/>
      <c r="AJ92" s="255"/>
      <c r="AK92" s="255"/>
      <c r="AL92" s="255"/>
      <c r="AM92" s="255"/>
      <c r="AN92" s="255"/>
      <c r="AO92" s="255"/>
      <c r="AP92" s="255"/>
      <c r="AQ92" s="255"/>
      <c r="AR92" s="255"/>
      <c r="AS92" s="255"/>
      <c r="AT92" s="255"/>
      <c r="AU92" s="255"/>
      <c r="AV92" s="255"/>
      <c r="AW92" s="255"/>
      <c r="AX92" s="255"/>
      <c r="AY92" s="255"/>
      <c r="AZ92" s="255"/>
      <c r="BA92" s="255"/>
      <c r="BB92" s="255"/>
      <c r="BC92" s="255"/>
      <c r="BD92" s="255"/>
      <c r="BE92" s="255"/>
      <c r="BF92" s="255"/>
      <c r="BG92" s="255"/>
      <c r="BH92" s="255"/>
      <c r="BO92" s="255"/>
    </row>
    <row r="93" spans="1:70" ht="15" customHeight="1">
      <c r="A93" s="1171" t="s">
        <v>17</v>
      </c>
      <c r="B93" s="1171"/>
      <c r="C93" s="1171"/>
      <c r="D93" s="1171"/>
      <c r="E93" s="1171"/>
      <c r="F93" s="1171"/>
      <c r="G93" s="1171"/>
      <c r="H93" s="1171"/>
      <c r="I93" s="1171"/>
      <c r="J93" s="1171"/>
      <c r="K93" s="1171"/>
      <c r="L93" s="1171"/>
      <c r="M93" s="1171"/>
      <c r="N93" s="1171"/>
      <c r="O93" s="1171"/>
      <c r="P93" s="1171"/>
      <c r="Q93" s="1171"/>
      <c r="R93" s="1171"/>
      <c r="S93" s="1171"/>
      <c r="T93" s="1171"/>
      <c r="U93" s="1171"/>
      <c r="V93" s="1171"/>
      <c r="W93" s="1171"/>
      <c r="X93" s="1171"/>
      <c r="Y93" s="1171"/>
      <c r="Z93" s="1171"/>
      <c r="AA93" s="1171"/>
      <c r="AB93" s="1171"/>
      <c r="AC93" s="1171"/>
      <c r="AD93" s="1171"/>
      <c r="AE93" s="1171"/>
      <c r="AF93" s="1171"/>
      <c r="AG93" s="1171"/>
      <c r="AH93" s="1171"/>
      <c r="AI93" s="117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P93" s="255"/>
    </row>
    <row r="94" spans="1:70" ht="15" customHeight="1">
      <c r="A94" s="1275"/>
      <c r="B94" s="1275"/>
      <c r="C94" s="1275"/>
      <c r="D94" s="1275"/>
      <c r="E94" s="1275"/>
      <c r="F94" s="1275"/>
      <c r="G94" s="1275"/>
      <c r="H94" s="1275"/>
      <c r="I94" s="1275"/>
      <c r="J94" s="1275"/>
      <c r="K94" s="1275"/>
      <c r="L94" s="1275"/>
      <c r="M94" s="1275"/>
      <c r="N94" s="1275"/>
      <c r="O94" s="1275"/>
      <c r="P94" s="1275"/>
      <c r="Q94" s="1275"/>
      <c r="R94" s="1275"/>
      <c r="S94" s="1275"/>
      <c r="T94" s="1275"/>
      <c r="U94" s="1275"/>
      <c r="V94" s="1275"/>
      <c r="W94" s="1275"/>
      <c r="X94" s="1275"/>
      <c r="Y94" s="1275"/>
      <c r="Z94" s="1275"/>
      <c r="AA94" s="1275"/>
      <c r="AB94" s="1275"/>
      <c r="AC94" s="1275"/>
      <c r="AD94" s="1275"/>
      <c r="AE94" s="1275"/>
      <c r="AF94" s="1275"/>
      <c r="AG94" s="1275"/>
      <c r="AH94" s="1275"/>
      <c r="AI94" s="1275"/>
      <c r="AJ94" s="1275"/>
      <c r="AK94" s="1275"/>
      <c r="AL94" s="1275"/>
      <c r="AM94" s="1275"/>
      <c r="AN94" s="1275"/>
      <c r="AO94" s="1275"/>
      <c r="AP94" s="1275"/>
      <c r="AQ94" s="1275"/>
      <c r="AR94" s="1275"/>
      <c r="AS94" s="1275"/>
      <c r="AT94" s="1275"/>
      <c r="AU94" s="1275"/>
      <c r="AV94" s="1275"/>
      <c r="AW94" s="1275"/>
      <c r="AX94" s="1275"/>
      <c r="AY94" s="1275"/>
      <c r="AZ94" s="1275"/>
      <c r="BA94" s="1275"/>
      <c r="BB94" s="1275"/>
      <c r="BC94" s="1275"/>
      <c r="BD94" s="1275"/>
      <c r="BE94" s="1275"/>
      <c r="BF94" s="1275"/>
      <c r="BG94" s="1275"/>
      <c r="BH94" s="1275"/>
      <c r="BI94" s="1275"/>
      <c r="BJ94" s="1275"/>
      <c r="BK94" s="1275"/>
      <c r="BL94" s="1275"/>
      <c r="BM94" s="1275"/>
    </row>
    <row r="95" spans="1:70" ht="15" customHeight="1">
      <c r="A95" s="1172"/>
      <c r="B95" s="1173" t="s">
        <v>608</v>
      </c>
      <c r="C95" s="1173"/>
      <c r="D95" s="1173"/>
      <c r="E95" s="1173"/>
      <c r="F95" s="1173"/>
      <c r="G95" s="1173"/>
      <c r="H95" s="1343">
        <v>1</v>
      </c>
      <c r="I95" s="1174">
        <v>2</v>
      </c>
      <c r="J95" s="1174">
        <v>3</v>
      </c>
      <c r="K95" s="1174">
        <v>4</v>
      </c>
      <c r="L95" s="1174">
        <v>5</v>
      </c>
      <c r="M95" s="1343">
        <v>6</v>
      </c>
      <c r="N95" s="1277"/>
      <c r="O95" s="1516" t="s">
        <v>432</v>
      </c>
      <c r="P95" s="1517"/>
      <c r="Q95" s="1517"/>
      <c r="R95" s="1517"/>
      <c r="S95" s="1517"/>
      <c r="T95" s="1517"/>
      <c r="U95" s="1518"/>
      <c r="V95" s="1281"/>
      <c r="W95" s="1464" t="s">
        <v>881</v>
      </c>
      <c r="X95" s="1465"/>
      <c r="Y95" s="1465"/>
      <c r="Z95" s="1465"/>
      <c r="AA95" s="1465"/>
      <c r="AB95" s="1465"/>
      <c r="AC95" s="1466"/>
      <c r="AD95" s="1473"/>
      <c r="AE95" s="1496" t="s">
        <v>911</v>
      </c>
      <c r="AF95" s="1497"/>
      <c r="AG95" s="1497"/>
      <c r="AH95" s="1497"/>
      <c r="AI95" s="1497"/>
      <c r="AJ95" s="1497"/>
      <c r="AK95" s="1498"/>
      <c r="AL95" s="1505"/>
      <c r="AM95" s="1476" t="s">
        <v>912</v>
      </c>
      <c r="AN95" s="1477"/>
      <c r="AO95" s="1477"/>
      <c r="AP95" s="1477"/>
      <c r="AQ95" s="1477"/>
      <c r="AR95" s="1477"/>
      <c r="AS95" s="1478"/>
      <c r="AT95" s="1485"/>
      <c r="AU95" s="1506" t="s">
        <v>913</v>
      </c>
      <c r="AV95" s="1507"/>
      <c r="AW95" s="1507"/>
      <c r="AX95" s="1507"/>
      <c r="AY95" s="1507"/>
      <c r="AZ95" s="1507"/>
      <c r="BA95" s="1508"/>
      <c r="BB95" s="1515"/>
      <c r="BC95" s="1487" t="s">
        <v>914</v>
      </c>
      <c r="BD95" s="1488"/>
      <c r="BE95" s="1488"/>
      <c r="BF95" s="1488"/>
      <c r="BG95" s="1488"/>
      <c r="BH95" s="1488"/>
      <c r="BI95" s="1489"/>
      <c r="BJ95" s="1182" t="s">
        <v>263</v>
      </c>
      <c r="BK95" s="1183"/>
      <c r="BL95" s="1183"/>
      <c r="BM95" s="1183"/>
      <c r="BN95" s="1183"/>
      <c r="BO95" s="1184"/>
    </row>
    <row r="96" spans="1:70" ht="15" customHeight="1">
      <c r="A96" s="1172"/>
      <c r="B96" s="1173"/>
      <c r="C96" s="1173"/>
      <c r="D96" s="1173"/>
      <c r="E96" s="1173"/>
      <c r="F96" s="1173"/>
      <c r="G96" s="1173"/>
      <c r="H96" s="1344"/>
      <c r="I96" s="1174"/>
      <c r="J96" s="1174"/>
      <c r="K96" s="1174"/>
      <c r="L96" s="1174"/>
      <c r="M96" s="1344"/>
      <c r="N96" s="1277"/>
      <c r="O96" s="1519"/>
      <c r="P96" s="1520"/>
      <c r="Q96" s="1520"/>
      <c r="R96" s="1520"/>
      <c r="S96" s="1520"/>
      <c r="T96" s="1520"/>
      <c r="U96" s="1521"/>
      <c r="V96" s="1281"/>
      <c r="W96" s="1467"/>
      <c r="X96" s="1468"/>
      <c r="Y96" s="1468"/>
      <c r="Z96" s="1468"/>
      <c r="AA96" s="1468"/>
      <c r="AB96" s="1468"/>
      <c r="AC96" s="1469"/>
      <c r="AD96" s="1474"/>
      <c r="AE96" s="1499"/>
      <c r="AF96" s="1500"/>
      <c r="AG96" s="1500"/>
      <c r="AH96" s="1500"/>
      <c r="AI96" s="1500"/>
      <c r="AJ96" s="1500"/>
      <c r="AK96" s="1501"/>
      <c r="AL96" s="1505"/>
      <c r="AM96" s="1479"/>
      <c r="AN96" s="1480"/>
      <c r="AO96" s="1480"/>
      <c r="AP96" s="1480"/>
      <c r="AQ96" s="1480"/>
      <c r="AR96" s="1480"/>
      <c r="AS96" s="1481"/>
      <c r="AT96" s="1485"/>
      <c r="AU96" s="1509"/>
      <c r="AV96" s="1510"/>
      <c r="AW96" s="1510"/>
      <c r="AX96" s="1510"/>
      <c r="AY96" s="1510"/>
      <c r="AZ96" s="1510"/>
      <c r="BA96" s="1511"/>
      <c r="BB96" s="1515"/>
      <c r="BC96" s="1490"/>
      <c r="BD96" s="1491"/>
      <c r="BE96" s="1491"/>
      <c r="BF96" s="1491"/>
      <c r="BG96" s="1491"/>
      <c r="BH96" s="1491"/>
      <c r="BI96" s="1492"/>
      <c r="BJ96" s="1219"/>
      <c r="BK96" s="1220"/>
      <c r="BL96" s="1220"/>
      <c r="BM96" s="1220"/>
      <c r="BN96" s="1220"/>
      <c r="BO96" s="1221"/>
    </row>
    <row r="97" spans="1:67" ht="15" customHeight="1" thickBot="1">
      <c r="A97" s="1172"/>
      <c r="B97" s="1173"/>
      <c r="C97" s="1173"/>
      <c r="D97" s="1173"/>
      <c r="E97" s="1173"/>
      <c r="F97" s="1173"/>
      <c r="G97" s="1173"/>
      <c r="H97" s="1345"/>
      <c r="I97" s="1174"/>
      <c r="J97" s="1174"/>
      <c r="K97" s="1174"/>
      <c r="L97" s="1174"/>
      <c r="M97" s="1486"/>
      <c r="N97" s="1277"/>
      <c r="O97" s="1522"/>
      <c r="P97" s="1523"/>
      <c r="Q97" s="1523"/>
      <c r="R97" s="1523"/>
      <c r="S97" s="1523"/>
      <c r="T97" s="1523"/>
      <c r="U97" s="1524"/>
      <c r="V97" s="1281"/>
      <c r="W97" s="1470"/>
      <c r="X97" s="1471"/>
      <c r="Y97" s="1471"/>
      <c r="Z97" s="1471"/>
      <c r="AA97" s="1471"/>
      <c r="AB97" s="1471"/>
      <c r="AC97" s="1472"/>
      <c r="AD97" s="1475"/>
      <c r="AE97" s="1502"/>
      <c r="AF97" s="1503"/>
      <c r="AG97" s="1503"/>
      <c r="AH97" s="1503"/>
      <c r="AI97" s="1503"/>
      <c r="AJ97" s="1503"/>
      <c r="AK97" s="1504"/>
      <c r="AL97" s="1505"/>
      <c r="AM97" s="1482"/>
      <c r="AN97" s="1483"/>
      <c r="AO97" s="1483"/>
      <c r="AP97" s="1483"/>
      <c r="AQ97" s="1483"/>
      <c r="AR97" s="1483"/>
      <c r="AS97" s="1484"/>
      <c r="AT97" s="1485"/>
      <c r="AU97" s="1512"/>
      <c r="AV97" s="1513"/>
      <c r="AW97" s="1513"/>
      <c r="AX97" s="1513"/>
      <c r="AY97" s="1513"/>
      <c r="AZ97" s="1513"/>
      <c r="BA97" s="1514"/>
      <c r="BB97" s="1515"/>
      <c r="BC97" s="1493"/>
      <c r="BD97" s="1494"/>
      <c r="BE97" s="1494"/>
      <c r="BF97" s="1494"/>
      <c r="BG97" s="1494"/>
      <c r="BH97" s="1494"/>
      <c r="BI97" s="1495"/>
      <c r="BJ97" s="1337"/>
      <c r="BK97" s="1338"/>
      <c r="BL97" s="1338"/>
      <c r="BM97" s="1338"/>
      <c r="BN97" s="1338"/>
      <c r="BO97" s="1339"/>
    </row>
    <row r="98" spans="1:67" ht="15" customHeight="1">
      <c r="A98" s="1307">
        <v>1.1000000000000001</v>
      </c>
      <c r="B98" s="1161" t="s">
        <v>941</v>
      </c>
      <c r="C98" s="1162"/>
      <c r="D98" s="1162"/>
      <c r="E98" s="1162"/>
      <c r="F98" s="1162"/>
      <c r="G98" s="1199"/>
      <c r="H98" s="1268" t="str">
        <f>IF(ISBLANK(D$5),"",1)</f>
        <v/>
      </c>
      <c r="I98" s="1205" t="str">
        <f>IF(ISBLANK(H$5),"",1)</f>
        <v/>
      </c>
      <c r="J98" s="1205" t="str">
        <f>IF(ISBLANK(L$5),"",1)</f>
        <v/>
      </c>
      <c r="K98" s="1205" t="str">
        <f>IF(ISBLANK(P$5),"",1)</f>
        <v/>
      </c>
      <c r="L98" s="1205" t="str">
        <f>IF(ISBLANK(T$5),"",1)</f>
        <v/>
      </c>
      <c r="M98" s="1248" t="str">
        <f>IF(ISBLANK(X$5),"",1)</f>
        <v/>
      </c>
      <c r="N98" s="1525">
        <v>4.3</v>
      </c>
      <c r="O98" s="1526" t="s">
        <v>629</v>
      </c>
      <c r="P98" s="1527"/>
      <c r="Q98" s="1527"/>
      <c r="R98" s="1527"/>
      <c r="S98" s="1527"/>
      <c r="T98" s="1528"/>
      <c r="U98" s="1399" t="str">
        <f>IF(ISBLANK(D$5),"",1)</f>
        <v/>
      </c>
      <c r="V98" s="1258">
        <v>4.3</v>
      </c>
      <c r="W98" s="1161" t="s">
        <v>404</v>
      </c>
      <c r="X98" s="1162"/>
      <c r="Y98" s="1162"/>
      <c r="Z98" s="1162"/>
      <c r="AA98" s="1162"/>
      <c r="AB98" s="1199"/>
      <c r="AC98" s="1399" t="str">
        <f>IF(ISBLANK(H$5),"",1)</f>
        <v/>
      </c>
      <c r="AD98" s="1258">
        <v>4.3</v>
      </c>
      <c r="AE98" s="1198" t="s">
        <v>387</v>
      </c>
      <c r="AF98" s="1162"/>
      <c r="AG98" s="1162"/>
      <c r="AH98" s="1162"/>
      <c r="AI98" s="1162"/>
      <c r="AJ98" s="1199"/>
      <c r="AK98" s="1226" t="str">
        <f>IF(ISBLANK(L$5),"",1)</f>
        <v/>
      </c>
      <c r="AL98" s="1196">
        <v>4.3</v>
      </c>
      <c r="AM98" s="1198" t="s">
        <v>404</v>
      </c>
      <c r="AN98" s="1162"/>
      <c r="AO98" s="1162"/>
      <c r="AP98" s="1162"/>
      <c r="AQ98" s="1162"/>
      <c r="AR98" s="1199"/>
      <c r="AS98" s="1226" t="str">
        <f>IF(ISBLANK(P$5),"",1)</f>
        <v/>
      </c>
      <c r="AT98" s="1258">
        <v>4.3</v>
      </c>
      <c r="AU98" s="1198" t="s">
        <v>398</v>
      </c>
      <c r="AV98" s="1162"/>
      <c r="AW98" s="1162"/>
      <c r="AX98" s="1162"/>
      <c r="AY98" s="1162"/>
      <c r="AZ98" s="1199"/>
      <c r="BA98" s="1226" t="str">
        <f>IF(ISBLANK(T$5),"",1)</f>
        <v/>
      </c>
      <c r="BB98" s="1258">
        <v>4.3</v>
      </c>
      <c r="BC98" s="1198" t="s">
        <v>398</v>
      </c>
      <c r="BD98" s="1162"/>
      <c r="BE98" s="1162"/>
      <c r="BF98" s="1162"/>
      <c r="BG98" s="1162"/>
      <c r="BH98" s="1199"/>
      <c r="BI98" s="1226" t="str">
        <f>IF(ISBLANK(X$5),"",1)</f>
        <v/>
      </c>
      <c r="BJ98" s="1337"/>
      <c r="BK98" s="1338"/>
      <c r="BL98" s="1338"/>
      <c r="BM98" s="1338"/>
      <c r="BN98" s="1338"/>
      <c r="BO98" s="1339"/>
    </row>
    <row r="99" spans="1:67" ht="15" customHeight="1">
      <c r="A99" s="1308"/>
      <c r="B99" s="1163"/>
      <c r="C99" s="1164"/>
      <c r="D99" s="1164"/>
      <c r="E99" s="1164"/>
      <c r="F99" s="1164"/>
      <c r="G99" s="1201"/>
      <c r="H99" s="1269"/>
      <c r="I99" s="1206"/>
      <c r="J99" s="1206"/>
      <c r="K99" s="1206"/>
      <c r="L99" s="1206"/>
      <c r="M99" s="1206"/>
      <c r="N99" s="1302"/>
      <c r="O99" s="1317"/>
      <c r="P99" s="1296"/>
      <c r="Q99" s="1296"/>
      <c r="R99" s="1296"/>
      <c r="S99" s="1296"/>
      <c r="T99" s="1318"/>
      <c r="U99" s="1269"/>
      <c r="V99" s="1258"/>
      <c r="W99" s="1163"/>
      <c r="X99" s="1164"/>
      <c r="Y99" s="1164"/>
      <c r="Z99" s="1164"/>
      <c r="AA99" s="1164"/>
      <c r="AB99" s="1201"/>
      <c r="AC99" s="1269"/>
      <c r="AD99" s="1258"/>
      <c r="AE99" s="1200"/>
      <c r="AF99" s="1164"/>
      <c r="AG99" s="1164"/>
      <c r="AH99" s="1164"/>
      <c r="AI99" s="1164"/>
      <c r="AJ99" s="1201"/>
      <c r="AK99" s="1342"/>
      <c r="AL99" s="1197"/>
      <c r="AM99" s="1200"/>
      <c r="AN99" s="1164"/>
      <c r="AO99" s="1164"/>
      <c r="AP99" s="1164"/>
      <c r="AQ99" s="1164"/>
      <c r="AR99" s="1201"/>
      <c r="AS99" s="1342"/>
      <c r="AT99" s="1258"/>
      <c r="AU99" s="1200"/>
      <c r="AV99" s="1164"/>
      <c r="AW99" s="1164"/>
      <c r="AX99" s="1164"/>
      <c r="AY99" s="1164"/>
      <c r="AZ99" s="1201"/>
      <c r="BA99" s="1342"/>
      <c r="BB99" s="1258"/>
      <c r="BC99" s="1200"/>
      <c r="BD99" s="1164"/>
      <c r="BE99" s="1164"/>
      <c r="BF99" s="1164"/>
      <c r="BG99" s="1164"/>
      <c r="BH99" s="1201"/>
      <c r="BI99" s="1342"/>
      <c r="BJ99" s="1337"/>
      <c r="BK99" s="1338"/>
      <c r="BL99" s="1338"/>
      <c r="BM99" s="1338"/>
      <c r="BN99" s="1338"/>
      <c r="BO99" s="1339"/>
    </row>
    <row r="100" spans="1:67" ht="15" customHeight="1">
      <c r="A100" s="1309"/>
      <c r="B100" s="1165"/>
      <c r="C100" s="1166"/>
      <c r="D100" s="1166"/>
      <c r="E100" s="1166"/>
      <c r="F100" s="1166"/>
      <c r="G100" s="1292"/>
      <c r="H100" s="1270"/>
      <c r="I100" s="1207"/>
      <c r="J100" s="1207"/>
      <c r="K100" s="1207"/>
      <c r="L100" s="1207"/>
      <c r="M100" s="1207"/>
      <c r="N100" s="1303"/>
      <c r="O100" s="1319"/>
      <c r="P100" s="1320"/>
      <c r="Q100" s="1320"/>
      <c r="R100" s="1320"/>
      <c r="S100" s="1320"/>
      <c r="T100" s="1321"/>
      <c r="U100" s="1270"/>
      <c r="V100" s="1258"/>
      <c r="W100" s="1165"/>
      <c r="X100" s="1166"/>
      <c r="Y100" s="1166"/>
      <c r="Z100" s="1166"/>
      <c r="AA100" s="1166"/>
      <c r="AB100" s="1292"/>
      <c r="AC100" s="1270"/>
      <c r="AD100" s="1258"/>
      <c r="AE100" s="1202"/>
      <c r="AF100" s="1203"/>
      <c r="AG100" s="1203"/>
      <c r="AH100" s="1203"/>
      <c r="AI100" s="1203"/>
      <c r="AJ100" s="1204"/>
      <c r="AK100" s="1342"/>
      <c r="AL100" s="1197"/>
      <c r="AM100" s="1202"/>
      <c r="AN100" s="1203"/>
      <c r="AO100" s="1203"/>
      <c r="AP100" s="1203"/>
      <c r="AQ100" s="1203"/>
      <c r="AR100" s="1204"/>
      <c r="AS100" s="1342"/>
      <c r="AT100" s="1258"/>
      <c r="AU100" s="1202"/>
      <c r="AV100" s="1203"/>
      <c r="AW100" s="1203"/>
      <c r="AX100" s="1203"/>
      <c r="AY100" s="1203"/>
      <c r="AZ100" s="1204"/>
      <c r="BA100" s="1342"/>
      <c r="BB100" s="1258"/>
      <c r="BC100" s="1202"/>
      <c r="BD100" s="1203"/>
      <c r="BE100" s="1203"/>
      <c r="BF100" s="1203"/>
      <c r="BG100" s="1203"/>
      <c r="BH100" s="1204"/>
      <c r="BI100" s="1342"/>
      <c r="BJ100" s="1337"/>
      <c r="BK100" s="1338"/>
      <c r="BL100" s="1338"/>
      <c r="BM100" s="1338"/>
      <c r="BN100" s="1338"/>
      <c r="BO100" s="1339"/>
    </row>
    <row r="101" spans="1:67" ht="15" customHeight="1">
      <c r="A101" s="1304">
        <v>2.4</v>
      </c>
      <c r="B101" s="1161" t="s">
        <v>316</v>
      </c>
      <c r="C101" s="1162"/>
      <c r="D101" s="1162"/>
      <c r="E101" s="1162"/>
      <c r="F101" s="1162"/>
      <c r="G101" s="1199"/>
      <c r="H101" s="1268" t="str">
        <f t="shared" ref="H101" si="81">IF(ISBLANK(D$5),"",1)</f>
        <v/>
      </c>
      <c r="I101" s="1205" t="str">
        <f t="shared" ref="I101" si="82">IF(ISBLANK(H$5),"",1)</f>
        <v/>
      </c>
      <c r="J101" s="1205" t="str">
        <f t="shared" ref="J101" si="83">IF(ISBLANK(L$5),"",1)</f>
        <v/>
      </c>
      <c r="K101" s="1205" t="str">
        <f t="shared" ref="K101" si="84">IF(ISBLANK(P$5),"",1)</f>
        <v/>
      </c>
      <c r="L101" s="1205" t="str">
        <f t="shared" ref="L101" si="85">IF(ISBLANK(T$5),"",1)</f>
        <v/>
      </c>
      <c r="M101" s="1248" t="str">
        <f t="shared" ref="M101" si="86">IF(ISBLANK(X$5),"",1)</f>
        <v/>
      </c>
      <c r="N101" s="1304">
        <v>4.3</v>
      </c>
      <c r="O101" s="1161" t="s">
        <v>399</v>
      </c>
      <c r="P101" s="1162"/>
      <c r="Q101" s="1162"/>
      <c r="R101" s="1162"/>
      <c r="S101" s="1162"/>
      <c r="T101" s="1199"/>
      <c r="U101" s="1399" t="str">
        <f t="shared" ref="U101" si="87">IF(ISBLANK(D$5),"",1)</f>
        <v/>
      </c>
      <c r="V101" s="1304">
        <v>4.3</v>
      </c>
      <c r="W101" s="1161" t="s">
        <v>405</v>
      </c>
      <c r="X101" s="1162"/>
      <c r="Y101" s="1162"/>
      <c r="Z101" s="1162"/>
      <c r="AA101" s="1162"/>
      <c r="AB101" s="1199"/>
      <c r="AC101" s="1399" t="str">
        <f t="shared" ref="AC101" si="88">IF(ISBLANK(H$5),"",1)</f>
        <v/>
      </c>
      <c r="AD101" s="1304">
        <v>4.3</v>
      </c>
      <c r="AE101" s="1198" t="s">
        <v>405</v>
      </c>
      <c r="AF101" s="1162"/>
      <c r="AG101" s="1162"/>
      <c r="AH101" s="1162"/>
      <c r="AI101" s="1162"/>
      <c r="AJ101" s="1199"/>
      <c r="AK101" s="1226" t="str">
        <f t="shared" ref="AK101" si="89">IF(ISBLANK(L$5),"",1)</f>
        <v/>
      </c>
      <c r="AL101" s="1304">
        <v>4.3</v>
      </c>
      <c r="AM101" s="1198" t="s">
        <v>891</v>
      </c>
      <c r="AN101" s="1162"/>
      <c r="AO101" s="1162"/>
      <c r="AP101" s="1162"/>
      <c r="AQ101" s="1162"/>
      <c r="AR101" s="1199"/>
      <c r="AS101" s="1226" t="str">
        <f t="shared" ref="AS101" si="90">IF(ISBLANK(P$5),"",1)</f>
        <v/>
      </c>
      <c r="AT101" s="1304">
        <v>4.3</v>
      </c>
      <c r="AU101" s="1198" t="s">
        <v>891</v>
      </c>
      <c r="AV101" s="1162"/>
      <c r="AW101" s="1162"/>
      <c r="AX101" s="1162"/>
      <c r="AY101" s="1162"/>
      <c r="AZ101" s="1199"/>
      <c r="BA101" s="1226" t="str">
        <f t="shared" ref="BA101" si="91">IF(ISBLANK(T$5),"",1)</f>
        <v/>
      </c>
      <c r="BB101" s="1304">
        <v>4.3</v>
      </c>
      <c r="BC101" s="1198" t="s">
        <v>891</v>
      </c>
      <c r="BD101" s="1162"/>
      <c r="BE101" s="1162"/>
      <c r="BF101" s="1162"/>
      <c r="BG101" s="1162"/>
      <c r="BH101" s="1199"/>
      <c r="BI101" s="1226" t="str">
        <f t="shared" ref="BI101" si="92">IF(ISBLANK(X$5),"",1)</f>
        <v/>
      </c>
      <c r="BJ101" s="1337"/>
      <c r="BK101" s="1338"/>
      <c r="BL101" s="1338"/>
      <c r="BM101" s="1338"/>
      <c r="BN101" s="1338"/>
      <c r="BO101" s="1339"/>
    </row>
    <row r="102" spans="1:67" ht="15" customHeight="1">
      <c r="A102" s="1290"/>
      <c r="B102" s="1163"/>
      <c r="C102" s="1164"/>
      <c r="D102" s="1164"/>
      <c r="E102" s="1164"/>
      <c r="F102" s="1164"/>
      <c r="G102" s="1201"/>
      <c r="H102" s="1269"/>
      <c r="I102" s="1206"/>
      <c r="J102" s="1206"/>
      <c r="K102" s="1206"/>
      <c r="L102" s="1206"/>
      <c r="M102" s="1206"/>
      <c r="N102" s="1290"/>
      <c r="O102" s="1163"/>
      <c r="P102" s="1164"/>
      <c r="Q102" s="1164"/>
      <c r="R102" s="1164"/>
      <c r="S102" s="1164"/>
      <c r="T102" s="1201"/>
      <c r="U102" s="1269"/>
      <c r="V102" s="1290"/>
      <c r="W102" s="1163"/>
      <c r="X102" s="1164"/>
      <c r="Y102" s="1164"/>
      <c r="Z102" s="1164"/>
      <c r="AA102" s="1164"/>
      <c r="AB102" s="1201"/>
      <c r="AC102" s="1269"/>
      <c r="AD102" s="1290"/>
      <c r="AE102" s="1200"/>
      <c r="AF102" s="1164"/>
      <c r="AG102" s="1164"/>
      <c r="AH102" s="1164"/>
      <c r="AI102" s="1164"/>
      <c r="AJ102" s="1201"/>
      <c r="AK102" s="1342"/>
      <c r="AL102" s="1290"/>
      <c r="AM102" s="1200"/>
      <c r="AN102" s="1164"/>
      <c r="AO102" s="1164"/>
      <c r="AP102" s="1164"/>
      <c r="AQ102" s="1164"/>
      <c r="AR102" s="1201"/>
      <c r="AS102" s="1342"/>
      <c r="AT102" s="1290"/>
      <c r="AU102" s="1200"/>
      <c r="AV102" s="1164"/>
      <c r="AW102" s="1164"/>
      <c r="AX102" s="1164"/>
      <c r="AY102" s="1164"/>
      <c r="AZ102" s="1201"/>
      <c r="BA102" s="1342"/>
      <c r="BB102" s="1290"/>
      <c r="BC102" s="1200"/>
      <c r="BD102" s="1164"/>
      <c r="BE102" s="1164"/>
      <c r="BF102" s="1164"/>
      <c r="BG102" s="1164"/>
      <c r="BH102" s="1201"/>
      <c r="BI102" s="1342"/>
      <c r="BJ102" s="1337"/>
      <c r="BK102" s="1338"/>
      <c r="BL102" s="1338"/>
      <c r="BM102" s="1338"/>
      <c r="BN102" s="1338"/>
      <c r="BO102" s="1339"/>
    </row>
    <row r="103" spans="1:67" ht="15" customHeight="1">
      <c r="A103" s="1291"/>
      <c r="B103" s="1165"/>
      <c r="C103" s="1166"/>
      <c r="D103" s="1166"/>
      <c r="E103" s="1166"/>
      <c r="F103" s="1166"/>
      <c r="G103" s="1292"/>
      <c r="H103" s="1270"/>
      <c r="I103" s="1207"/>
      <c r="J103" s="1207"/>
      <c r="K103" s="1207"/>
      <c r="L103" s="1207"/>
      <c r="M103" s="1207"/>
      <c r="N103" s="1291"/>
      <c r="O103" s="1165"/>
      <c r="P103" s="1166"/>
      <c r="Q103" s="1166"/>
      <c r="R103" s="1166"/>
      <c r="S103" s="1166"/>
      <c r="T103" s="1292"/>
      <c r="U103" s="1270"/>
      <c r="V103" s="1291"/>
      <c r="W103" s="1165"/>
      <c r="X103" s="1166"/>
      <c r="Y103" s="1166"/>
      <c r="Z103" s="1166"/>
      <c r="AA103" s="1166"/>
      <c r="AB103" s="1292"/>
      <c r="AC103" s="1270"/>
      <c r="AD103" s="1291"/>
      <c r="AE103" s="1202"/>
      <c r="AF103" s="1203"/>
      <c r="AG103" s="1203"/>
      <c r="AH103" s="1203"/>
      <c r="AI103" s="1203"/>
      <c r="AJ103" s="1204"/>
      <c r="AK103" s="1342"/>
      <c r="AL103" s="1291"/>
      <c r="AM103" s="1202"/>
      <c r="AN103" s="1203"/>
      <c r="AO103" s="1203"/>
      <c r="AP103" s="1203"/>
      <c r="AQ103" s="1203"/>
      <c r="AR103" s="1204"/>
      <c r="AS103" s="1342"/>
      <c r="AT103" s="1291"/>
      <c r="AU103" s="1202"/>
      <c r="AV103" s="1203"/>
      <c r="AW103" s="1203"/>
      <c r="AX103" s="1203"/>
      <c r="AY103" s="1203"/>
      <c r="AZ103" s="1204"/>
      <c r="BA103" s="1342"/>
      <c r="BB103" s="1291"/>
      <c r="BC103" s="1202"/>
      <c r="BD103" s="1203"/>
      <c r="BE103" s="1203"/>
      <c r="BF103" s="1203"/>
      <c r="BG103" s="1203"/>
      <c r="BH103" s="1204"/>
      <c r="BI103" s="1342"/>
      <c r="BJ103" s="1337"/>
      <c r="BK103" s="1338"/>
      <c r="BL103" s="1338"/>
      <c r="BM103" s="1338"/>
      <c r="BN103" s="1338"/>
      <c r="BO103" s="1339"/>
    </row>
    <row r="104" spans="1:67" ht="15" customHeight="1">
      <c r="A104" s="1307">
        <v>1.1000000000000001</v>
      </c>
      <c r="B104" s="1161" t="s">
        <v>320</v>
      </c>
      <c r="C104" s="1162"/>
      <c r="D104" s="1162"/>
      <c r="E104" s="1162"/>
      <c r="F104" s="1162"/>
      <c r="G104" s="1199"/>
      <c r="H104" s="1268" t="str">
        <f t="shared" ref="H104" si="93">IF(ISBLANK(D$5),"",1)</f>
        <v/>
      </c>
      <c r="I104" s="1205" t="str">
        <f t="shared" ref="I104" si="94">IF(ISBLANK(H$5),"",1)</f>
        <v/>
      </c>
      <c r="J104" s="1205" t="str">
        <f t="shared" ref="J104" si="95">IF(ISBLANK(L$5),"",1)</f>
        <v/>
      </c>
      <c r="K104" s="1205" t="str">
        <f t="shared" ref="K104" si="96">IF(ISBLANK(P$5),"",1)</f>
        <v/>
      </c>
      <c r="L104" s="1205" t="str">
        <f t="shared" ref="L104" si="97">IF(ISBLANK(T$5),"",1)</f>
        <v/>
      </c>
      <c r="M104" s="1248" t="str">
        <f t="shared" ref="M104" si="98">IF(ISBLANK(X$5),"",1)</f>
        <v/>
      </c>
      <c r="N104" s="1301">
        <v>4.3</v>
      </c>
      <c r="O104" s="1161" t="s">
        <v>388</v>
      </c>
      <c r="P104" s="1162"/>
      <c r="Q104" s="1162"/>
      <c r="R104" s="1162"/>
      <c r="S104" s="1162"/>
      <c r="T104" s="1199"/>
      <c r="U104" s="1399" t="str">
        <f t="shared" ref="U104" si="99">IF(ISBLANK(D$5),"",1)</f>
        <v/>
      </c>
      <c r="V104" s="1258">
        <v>4.3</v>
      </c>
      <c r="W104" s="1161" t="s">
        <v>406</v>
      </c>
      <c r="X104" s="1162"/>
      <c r="Y104" s="1162"/>
      <c r="Z104" s="1162"/>
      <c r="AA104" s="1162"/>
      <c r="AB104" s="1199"/>
      <c r="AC104" s="1399" t="str">
        <f t="shared" ref="AC104" si="100">IF(ISBLANK(H$5),"",1)</f>
        <v/>
      </c>
      <c r="AD104" s="1258">
        <v>4.3</v>
      </c>
      <c r="AE104" s="1198" t="s">
        <v>406</v>
      </c>
      <c r="AF104" s="1162"/>
      <c r="AG104" s="1162"/>
      <c r="AH104" s="1162"/>
      <c r="AI104" s="1162"/>
      <c r="AJ104" s="1199"/>
      <c r="AK104" s="1226" t="str">
        <f t="shared" ref="AK104" si="101">IF(ISBLANK(L$5),"",1)</f>
        <v/>
      </c>
      <c r="AL104" s="1196">
        <v>4.3</v>
      </c>
      <c r="AM104" s="1198" t="s">
        <v>406</v>
      </c>
      <c r="AN104" s="1162"/>
      <c r="AO104" s="1162"/>
      <c r="AP104" s="1162"/>
      <c r="AQ104" s="1162"/>
      <c r="AR104" s="1199"/>
      <c r="AS104" s="1226" t="str">
        <f t="shared" ref="AS104" si="102">IF(ISBLANK(P$5),"",1)</f>
        <v/>
      </c>
      <c r="AT104" s="1258">
        <v>4.3</v>
      </c>
      <c r="AU104" s="1198" t="s">
        <v>406</v>
      </c>
      <c r="AV104" s="1162"/>
      <c r="AW104" s="1162"/>
      <c r="AX104" s="1162"/>
      <c r="AY104" s="1162"/>
      <c r="AZ104" s="1199"/>
      <c r="BA104" s="1226" t="str">
        <f>IF(ISBLANK(T$5),"",1)</f>
        <v/>
      </c>
      <c r="BB104" s="1258">
        <v>4.3</v>
      </c>
      <c r="BC104" s="1198" t="s">
        <v>406</v>
      </c>
      <c r="BD104" s="1162"/>
      <c r="BE104" s="1162"/>
      <c r="BF104" s="1162"/>
      <c r="BG104" s="1162"/>
      <c r="BH104" s="1199"/>
      <c r="BI104" s="1226" t="str">
        <f t="shared" ref="BI104" si="103">IF(ISBLANK(X$5),"",1)</f>
        <v/>
      </c>
      <c r="BJ104" s="1337"/>
      <c r="BK104" s="1338"/>
      <c r="BL104" s="1338"/>
      <c r="BM104" s="1338"/>
      <c r="BN104" s="1338"/>
      <c r="BO104" s="1339"/>
    </row>
    <row r="105" spans="1:67" ht="15" customHeight="1">
      <c r="A105" s="1308"/>
      <c r="B105" s="1163"/>
      <c r="C105" s="1164"/>
      <c r="D105" s="1164"/>
      <c r="E105" s="1164"/>
      <c r="F105" s="1164"/>
      <c r="G105" s="1201"/>
      <c r="H105" s="1269"/>
      <c r="I105" s="1206"/>
      <c r="J105" s="1206"/>
      <c r="K105" s="1206"/>
      <c r="L105" s="1206"/>
      <c r="M105" s="1206"/>
      <c r="N105" s="1302"/>
      <c r="O105" s="1163"/>
      <c r="P105" s="1164"/>
      <c r="Q105" s="1164"/>
      <c r="R105" s="1164"/>
      <c r="S105" s="1164"/>
      <c r="T105" s="1201"/>
      <c r="U105" s="1269"/>
      <c r="V105" s="1258"/>
      <c r="W105" s="1163"/>
      <c r="X105" s="1164"/>
      <c r="Y105" s="1164"/>
      <c r="Z105" s="1164"/>
      <c r="AA105" s="1164"/>
      <c r="AB105" s="1201"/>
      <c r="AC105" s="1269"/>
      <c r="AD105" s="1258"/>
      <c r="AE105" s="1200"/>
      <c r="AF105" s="1164"/>
      <c r="AG105" s="1164"/>
      <c r="AH105" s="1164"/>
      <c r="AI105" s="1164"/>
      <c r="AJ105" s="1201"/>
      <c r="AK105" s="1342"/>
      <c r="AL105" s="1197"/>
      <c r="AM105" s="1200"/>
      <c r="AN105" s="1164"/>
      <c r="AO105" s="1164"/>
      <c r="AP105" s="1164"/>
      <c r="AQ105" s="1164"/>
      <c r="AR105" s="1201"/>
      <c r="AS105" s="1342"/>
      <c r="AT105" s="1258"/>
      <c r="AU105" s="1200"/>
      <c r="AV105" s="1164"/>
      <c r="AW105" s="1164"/>
      <c r="AX105" s="1164"/>
      <c r="AY105" s="1164"/>
      <c r="AZ105" s="1201"/>
      <c r="BA105" s="1342"/>
      <c r="BB105" s="1258"/>
      <c r="BC105" s="1200"/>
      <c r="BD105" s="1164"/>
      <c r="BE105" s="1164"/>
      <c r="BF105" s="1164"/>
      <c r="BG105" s="1164"/>
      <c r="BH105" s="1201"/>
      <c r="BI105" s="1342"/>
      <c r="BJ105" s="1337"/>
      <c r="BK105" s="1338"/>
      <c r="BL105" s="1338"/>
      <c r="BM105" s="1338"/>
      <c r="BN105" s="1338"/>
      <c r="BO105" s="1339"/>
    </row>
    <row r="106" spans="1:67" ht="15" customHeight="1">
      <c r="A106" s="1309"/>
      <c r="B106" s="1165"/>
      <c r="C106" s="1166"/>
      <c r="D106" s="1166"/>
      <c r="E106" s="1166"/>
      <c r="F106" s="1166"/>
      <c r="G106" s="1292"/>
      <c r="H106" s="1270"/>
      <c r="I106" s="1207"/>
      <c r="J106" s="1207"/>
      <c r="K106" s="1207"/>
      <c r="L106" s="1207"/>
      <c r="M106" s="1207"/>
      <c r="N106" s="1303"/>
      <c r="O106" s="1165"/>
      <c r="P106" s="1166"/>
      <c r="Q106" s="1166"/>
      <c r="R106" s="1166"/>
      <c r="S106" s="1166"/>
      <c r="T106" s="1292"/>
      <c r="U106" s="1270"/>
      <c r="V106" s="1258"/>
      <c r="W106" s="1165"/>
      <c r="X106" s="1166"/>
      <c r="Y106" s="1166"/>
      <c r="Z106" s="1166"/>
      <c r="AA106" s="1166"/>
      <c r="AB106" s="1292"/>
      <c r="AC106" s="1270"/>
      <c r="AD106" s="1258"/>
      <c r="AE106" s="1202"/>
      <c r="AF106" s="1203"/>
      <c r="AG106" s="1203"/>
      <c r="AH106" s="1203"/>
      <c r="AI106" s="1203"/>
      <c r="AJ106" s="1204"/>
      <c r="AK106" s="1342"/>
      <c r="AL106" s="1197"/>
      <c r="AM106" s="1202"/>
      <c r="AN106" s="1203"/>
      <c r="AO106" s="1203"/>
      <c r="AP106" s="1203"/>
      <c r="AQ106" s="1203"/>
      <c r="AR106" s="1204"/>
      <c r="AS106" s="1342"/>
      <c r="AT106" s="1258"/>
      <c r="AU106" s="1202"/>
      <c r="AV106" s="1203"/>
      <c r="AW106" s="1203"/>
      <c r="AX106" s="1203"/>
      <c r="AY106" s="1203"/>
      <c r="AZ106" s="1204"/>
      <c r="BA106" s="1342"/>
      <c r="BB106" s="1258"/>
      <c r="BC106" s="1202"/>
      <c r="BD106" s="1203"/>
      <c r="BE106" s="1203"/>
      <c r="BF106" s="1203"/>
      <c r="BG106" s="1203"/>
      <c r="BH106" s="1204"/>
      <c r="BI106" s="1342"/>
      <c r="BJ106" s="1337"/>
      <c r="BK106" s="1338"/>
      <c r="BL106" s="1338"/>
      <c r="BM106" s="1338"/>
      <c r="BN106" s="1338"/>
      <c r="BO106" s="1339"/>
    </row>
    <row r="107" spans="1:67" ht="15" customHeight="1">
      <c r="A107" s="1304">
        <v>2.1</v>
      </c>
      <c r="B107" s="1161" t="s">
        <v>322</v>
      </c>
      <c r="C107" s="1162"/>
      <c r="D107" s="1162"/>
      <c r="E107" s="1162"/>
      <c r="F107" s="1162"/>
      <c r="G107" s="1199"/>
      <c r="H107" s="1268" t="str">
        <f t="shared" ref="H107" si="104">IF(ISBLANK(D$5),"",1)</f>
        <v/>
      </c>
      <c r="I107" s="1205" t="str">
        <f t="shared" ref="I107" si="105">IF(ISBLANK(H$5),"",1)</f>
        <v/>
      </c>
      <c r="J107" s="1205" t="str">
        <f t="shared" ref="J107" si="106">IF(ISBLANK(L$5),"",1)</f>
        <v/>
      </c>
      <c r="K107" s="1205" t="str">
        <f t="shared" ref="K107" si="107">IF(ISBLANK(P$5),"",1)</f>
        <v/>
      </c>
      <c r="L107" s="1205" t="str">
        <f t="shared" ref="L107" si="108">IF(ISBLANK(T$5),"",1)</f>
        <v/>
      </c>
      <c r="M107" s="1248" t="str">
        <f t="shared" ref="M107" si="109">IF(ISBLANK(X$5),"",1)</f>
        <v/>
      </c>
      <c r="N107" s="1301">
        <v>4.4000000000000004</v>
      </c>
      <c r="O107" s="1161" t="s">
        <v>400</v>
      </c>
      <c r="P107" s="1162"/>
      <c r="Q107" s="1162"/>
      <c r="R107" s="1162"/>
      <c r="S107" s="1162"/>
      <c r="T107" s="1199"/>
      <c r="U107" s="1399" t="str">
        <f t="shared" ref="U107" si="110">IF(ISBLANK(D$5),"",1)</f>
        <v/>
      </c>
      <c r="V107" s="1258">
        <v>4.3</v>
      </c>
      <c r="W107" s="1161" t="s">
        <v>388</v>
      </c>
      <c r="X107" s="1162"/>
      <c r="Y107" s="1162"/>
      <c r="Z107" s="1162"/>
      <c r="AA107" s="1162"/>
      <c r="AB107" s="1199"/>
      <c r="AC107" s="1399" t="str">
        <f t="shared" ref="AC107" si="111">IF(ISBLANK(H$5),"",1)</f>
        <v/>
      </c>
      <c r="AD107" s="1258">
        <v>4.3</v>
      </c>
      <c r="AE107" s="1198" t="s">
        <v>388</v>
      </c>
      <c r="AF107" s="1162"/>
      <c r="AG107" s="1162"/>
      <c r="AH107" s="1162"/>
      <c r="AI107" s="1162"/>
      <c r="AJ107" s="1199"/>
      <c r="AK107" s="1226" t="str">
        <f t="shared" ref="AK107" si="112">IF(ISBLANK(L$5),"",1)</f>
        <v/>
      </c>
      <c r="AL107" s="1196">
        <v>4.3</v>
      </c>
      <c r="AM107" s="1198" t="s">
        <v>388</v>
      </c>
      <c r="AN107" s="1162"/>
      <c r="AO107" s="1162"/>
      <c r="AP107" s="1162"/>
      <c r="AQ107" s="1162"/>
      <c r="AR107" s="1199"/>
      <c r="AS107" s="1226" t="str">
        <f t="shared" ref="AS107" si="113">IF(ISBLANK(P$5),"",1)</f>
        <v/>
      </c>
      <c r="AT107" s="1258">
        <v>4.3</v>
      </c>
      <c r="AU107" s="1198" t="s">
        <v>388</v>
      </c>
      <c r="AV107" s="1162"/>
      <c r="AW107" s="1162"/>
      <c r="AX107" s="1162"/>
      <c r="AY107" s="1162"/>
      <c r="AZ107" s="1199"/>
      <c r="BA107" s="1226" t="str">
        <f t="shared" ref="BA107" si="114">IF(ISBLANK(T$5),"",1)</f>
        <v/>
      </c>
      <c r="BB107" s="1258">
        <v>4.3</v>
      </c>
      <c r="BC107" s="1198" t="s">
        <v>388</v>
      </c>
      <c r="BD107" s="1162"/>
      <c r="BE107" s="1162"/>
      <c r="BF107" s="1162"/>
      <c r="BG107" s="1162"/>
      <c r="BH107" s="1199"/>
      <c r="BI107" s="1226" t="str">
        <f t="shared" ref="BI107" si="115">IF(ISBLANK(X$5),"",1)</f>
        <v/>
      </c>
      <c r="BJ107" s="1337"/>
      <c r="BK107" s="1338"/>
      <c r="BL107" s="1338"/>
      <c r="BM107" s="1338"/>
      <c r="BN107" s="1338"/>
      <c r="BO107" s="1339"/>
    </row>
    <row r="108" spans="1:67" ht="15" customHeight="1">
      <c r="A108" s="1290"/>
      <c r="B108" s="1163"/>
      <c r="C108" s="1164"/>
      <c r="D108" s="1164"/>
      <c r="E108" s="1164"/>
      <c r="F108" s="1164"/>
      <c r="G108" s="1201"/>
      <c r="H108" s="1269"/>
      <c r="I108" s="1206"/>
      <c r="J108" s="1206"/>
      <c r="K108" s="1206"/>
      <c r="L108" s="1206"/>
      <c r="M108" s="1206"/>
      <c r="N108" s="1302"/>
      <c r="O108" s="1163"/>
      <c r="P108" s="1164"/>
      <c r="Q108" s="1164"/>
      <c r="R108" s="1164"/>
      <c r="S108" s="1164"/>
      <c r="T108" s="1201"/>
      <c r="U108" s="1269"/>
      <c r="V108" s="1258"/>
      <c r="W108" s="1163"/>
      <c r="X108" s="1164"/>
      <c r="Y108" s="1164"/>
      <c r="Z108" s="1164"/>
      <c r="AA108" s="1164"/>
      <c r="AB108" s="1201"/>
      <c r="AC108" s="1269"/>
      <c r="AD108" s="1258"/>
      <c r="AE108" s="1200"/>
      <c r="AF108" s="1164"/>
      <c r="AG108" s="1164"/>
      <c r="AH108" s="1164"/>
      <c r="AI108" s="1164"/>
      <c r="AJ108" s="1201"/>
      <c r="AK108" s="1342"/>
      <c r="AL108" s="1197"/>
      <c r="AM108" s="1200"/>
      <c r="AN108" s="1164"/>
      <c r="AO108" s="1164"/>
      <c r="AP108" s="1164"/>
      <c r="AQ108" s="1164"/>
      <c r="AR108" s="1201"/>
      <c r="AS108" s="1342"/>
      <c r="AT108" s="1258"/>
      <c r="AU108" s="1200"/>
      <c r="AV108" s="1164"/>
      <c r="AW108" s="1164"/>
      <c r="AX108" s="1164"/>
      <c r="AY108" s="1164"/>
      <c r="AZ108" s="1201"/>
      <c r="BA108" s="1342"/>
      <c r="BB108" s="1258"/>
      <c r="BC108" s="1200"/>
      <c r="BD108" s="1164"/>
      <c r="BE108" s="1164"/>
      <c r="BF108" s="1164"/>
      <c r="BG108" s="1164"/>
      <c r="BH108" s="1201"/>
      <c r="BI108" s="1342"/>
      <c r="BJ108" s="1337"/>
      <c r="BK108" s="1338"/>
      <c r="BL108" s="1338"/>
      <c r="BM108" s="1338"/>
      <c r="BN108" s="1338"/>
      <c r="BO108" s="1339"/>
    </row>
    <row r="109" spans="1:67" ht="15" customHeight="1">
      <c r="A109" s="1291"/>
      <c r="B109" s="1165"/>
      <c r="C109" s="1166"/>
      <c r="D109" s="1166"/>
      <c r="E109" s="1166"/>
      <c r="F109" s="1166"/>
      <c r="G109" s="1292"/>
      <c r="H109" s="1270"/>
      <c r="I109" s="1207"/>
      <c r="J109" s="1207"/>
      <c r="K109" s="1207"/>
      <c r="L109" s="1207"/>
      <c r="M109" s="1207"/>
      <c r="N109" s="1303"/>
      <c r="O109" s="1165"/>
      <c r="P109" s="1166"/>
      <c r="Q109" s="1166"/>
      <c r="R109" s="1166"/>
      <c r="S109" s="1166"/>
      <c r="T109" s="1292"/>
      <c r="U109" s="1270"/>
      <c r="V109" s="1258"/>
      <c r="W109" s="1165"/>
      <c r="X109" s="1166"/>
      <c r="Y109" s="1166"/>
      <c r="Z109" s="1166"/>
      <c r="AA109" s="1166"/>
      <c r="AB109" s="1292"/>
      <c r="AC109" s="1270"/>
      <c r="AD109" s="1258"/>
      <c r="AE109" s="1202"/>
      <c r="AF109" s="1203"/>
      <c r="AG109" s="1203"/>
      <c r="AH109" s="1203"/>
      <c r="AI109" s="1203"/>
      <c r="AJ109" s="1204"/>
      <c r="AK109" s="1342"/>
      <c r="AL109" s="1197"/>
      <c r="AM109" s="1202"/>
      <c r="AN109" s="1203"/>
      <c r="AO109" s="1203"/>
      <c r="AP109" s="1203"/>
      <c r="AQ109" s="1203"/>
      <c r="AR109" s="1204"/>
      <c r="AS109" s="1342"/>
      <c r="AT109" s="1258"/>
      <c r="AU109" s="1202"/>
      <c r="AV109" s="1203"/>
      <c r="AW109" s="1203"/>
      <c r="AX109" s="1203"/>
      <c r="AY109" s="1203"/>
      <c r="AZ109" s="1204"/>
      <c r="BA109" s="1342"/>
      <c r="BB109" s="1258"/>
      <c r="BC109" s="1202"/>
      <c r="BD109" s="1203"/>
      <c r="BE109" s="1203"/>
      <c r="BF109" s="1203"/>
      <c r="BG109" s="1203"/>
      <c r="BH109" s="1204"/>
      <c r="BI109" s="1342"/>
      <c r="BJ109" s="1337"/>
      <c r="BK109" s="1338"/>
      <c r="BL109" s="1338"/>
      <c r="BM109" s="1338"/>
      <c r="BN109" s="1338"/>
      <c r="BO109" s="1339"/>
    </row>
    <row r="110" spans="1:67" ht="15" customHeight="1">
      <c r="A110" s="1307">
        <v>1.1000000000000001</v>
      </c>
      <c r="B110" s="1161" t="s">
        <v>940</v>
      </c>
      <c r="C110" s="1162"/>
      <c r="D110" s="1162"/>
      <c r="E110" s="1162"/>
      <c r="F110" s="1162"/>
      <c r="G110" s="1199"/>
      <c r="H110" s="1268" t="str">
        <f t="shared" ref="H110" si="116">IF(ISBLANK(D$5),"",1)</f>
        <v/>
      </c>
      <c r="I110" s="1205" t="str">
        <f t="shared" ref="I110" si="117">IF(ISBLANK(H$5),"",1)</f>
        <v/>
      </c>
      <c r="J110" s="1205" t="str">
        <f t="shared" ref="J110" si="118">IF(ISBLANK(L$5),"",1)</f>
        <v/>
      </c>
      <c r="K110" s="1205" t="str">
        <f t="shared" ref="K110" si="119">IF(ISBLANK(P$5),"",1)</f>
        <v/>
      </c>
      <c r="L110" s="1205" t="str">
        <f t="shared" ref="L110" si="120">IF(ISBLANK(T$5),"",1)</f>
        <v/>
      </c>
      <c r="M110" s="1248" t="str">
        <f t="shared" ref="M110" si="121">IF(ISBLANK(X$5),"",1)</f>
        <v/>
      </c>
      <c r="N110" s="1301">
        <v>4.4000000000000004</v>
      </c>
      <c r="O110" s="1161" t="s">
        <v>401</v>
      </c>
      <c r="P110" s="1162"/>
      <c r="Q110" s="1162"/>
      <c r="R110" s="1162"/>
      <c r="S110" s="1162"/>
      <c r="T110" s="1199"/>
      <c r="U110" s="1399" t="str">
        <f t="shared" ref="U110" si="122">IF(ISBLANK(D$5),"",1)</f>
        <v/>
      </c>
      <c r="V110" s="1258">
        <v>4.4000000000000004</v>
      </c>
      <c r="W110" s="1161" t="s">
        <v>407</v>
      </c>
      <c r="X110" s="1162"/>
      <c r="Y110" s="1162"/>
      <c r="Z110" s="1162"/>
      <c r="AA110" s="1162"/>
      <c r="AB110" s="1199"/>
      <c r="AC110" s="1399" t="str">
        <f t="shared" ref="AC110" si="123">IF(ISBLANK(H$5),"",1)</f>
        <v/>
      </c>
      <c r="AD110" s="1258">
        <v>4.3</v>
      </c>
      <c r="AE110" s="1198" t="s">
        <v>390</v>
      </c>
      <c r="AF110" s="1162"/>
      <c r="AG110" s="1162"/>
      <c r="AH110" s="1162"/>
      <c r="AI110" s="1162"/>
      <c r="AJ110" s="1199"/>
      <c r="AK110" s="1226" t="str">
        <f t="shared" ref="AK110" si="124">IF(ISBLANK(L$5),"",1)</f>
        <v/>
      </c>
      <c r="AL110" s="1304">
        <v>4.4000000000000004</v>
      </c>
      <c r="AM110" s="1198" t="s">
        <v>407</v>
      </c>
      <c r="AN110" s="1162"/>
      <c r="AO110" s="1162"/>
      <c r="AP110" s="1162"/>
      <c r="AQ110" s="1162"/>
      <c r="AR110" s="1199"/>
      <c r="AS110" s="1226" t="str">
        <f t="shared" ref="AS110" si="125">IF(ISBLANK(P$5),"",1)</f>
        <v/>
      </c>
      <c r="AT110" s="1258">
        <v>4.3</v>
      </c>
      <c r="AU110" s="1198" t="s">
        <v>390</v>
      </c>
      <c r="AV110" s="1162"/>
      <c r="AW110" s="1162"/>
      <c r="AX110" s="1162"/>
      <c r="AY110" s="1162"/>
      <c r="AZ110" s="1199"/>
      <c r="BA110" s="1226" t="str">
        <f t="shared" ref="BA110" si="126">IF(ISBLANK(T$5),"",1)</f>
        <v/>
      </c>
      <c r="BB110" s="1258">
        <v>4.3</v>
      </c>
      <c r="BC110" s="1198" t="s">
        <v>390</v>
      </c>
      <c r="BD110" s="1162"/>
      <c r="BE110" s="1162"/>
      <c r="BF110" s="1162"/>
      <c r="BG110" s="1162"/>
      <c r="BH110" s="1199"/>
      <c r="BI110" s="1226" t="str">
        <f t="shared" ref="BI110" si="127">IF(ISBLANK(X$5),"",1)</f>
        <v/>
      </c>
      <c r="BJ110" s="1337"/>
      <c r="BK110" s="1338"/>
      <c r="BL110" s="1338"/>
      <c r="BM110" s="1338"/>
      <c r="BN110" s="1338"/>
      <c r="BO110" s="1339"/>
    </row>
    <row r="111" spans="1:67" ht="15" customHeight="1">
      <c r="A111" s="1308"/>
      <c r="B111" s="1163"/>
      <c r="C111" s="1164"/>
      <c r="D111" s="1164"/>
      <c r="E111" s="1164"/>
      <c r="F111" s="1164"/>
      <c r="G111" s="1201"/>
      <c r="H111" s="1269"/>
      <c r="I111" s="1206"/>
      <c r="J111" s="1206"/>
      <c r="K111" s="1206"/>
      <c r="L111" s="1206"/>
      <c r="M111" s="1206"/>
      <c r="N111" s="1302"/>
      <c r="O111" s="1163"/>
      <c r="P111" s="1164"/>
      <c r="Q111" s="1164"/>
      <c r="R111" s="1164"/>
      <c r="S111" s="1164"/>
      <c r="T111" s="1201"/>
      <c r="U111" s="1269"/>
      <c r="V111" s="1258"/>
      <c r="W111" s="1163"/>
      <c r="X111" s="1164"/>
      <c r="Y111" s="1164"/>
      <c r="Z111" s="1164"/>
      <c r="AA111" s="1164"/>
      <c r="AB111" s="1201"/>
      <c r="AC111" s="1269"/>
      <c r="AD111" s="1258"/>
      <c r="AE111" s="1200"/>
      <c r="AF111" s="1164"/>
      <c r="AG111" s="1164"/>
      <c r="AH111" s="1164"/>
      <c r="AI111" s="1164"/>
      <c r="AJ111" s="1201"/>
      <c r="AK111" s="1342"/>
      <c r="AL111" s="1290"/>
      <c r="AM111" s="1200"/>
      <c r="AN111" s="1164"/>
      <c r="AO111" s="1164"/>
      <c r="AP111" s="1164"/>
      <c r="AQ111" s="1164"/>
      <c r="AR111" s="1201"/>
      <c r="AS111" s="1342"/>
      <c r="AT111" s="1258"/>
      <c r="AU111" s="1200"/>
      <c r="AV111" s="1164"/>
      <c r="AW111" s="1164"/>
      <c r="AX111" s="1164"/>
      <c r="AY111" s="1164"/>
      <c r="AZ111" s="1201"/>
      <c r="BA111" s="1342"/>
      <c r="BB111" s="1258"/>
      <c r="BC111" s="1200"/>
      <c r="BD111" s="1164"/>
      <c r="BE111" s="1164"/>
      <c r="BF111" s="1164"/>
      <c r="BG111" s="1164"/>
      <c r="BH111" s="1201"/>
      <c r="BI111" s="1342"/>
      <c r="BJ111" s="1337"/>
      <c r="BK111" s="1338"/>
      <c r="BL111" s="1338"/>
      <c r="BM111" s="1338"/>
      <c r="BN111" s="1338"/>
      <c r="BO111" s="1339"/>
    </row>
    <row r="112" spans="1:67" ht="15" customHeight="1">
      <c r="A112" s="1309"/>
      <c r="B112" s="1165"/>
      <c r="C112" s="1166"/>
      <c r="D112" s="1166"/>
      <c r="E112" s="1166"/>
      <c r="F112" s="1166"/>
      <c r="G112" s="1292"/>
      <c r="H112" s="1270"/>
      <c r="I112" s="1207"/>
      <c r="J112" s="1207"/>
      <c r="K112" s="1207"/>
      <c r="L112" s="1207"/>
      <c r="M112" s="1207"/>
      <c r="N112" s="1303"/>
      <c r="O112" s="1165"/>
      <c r="P112" s="1166"/>
      <c r="Q112" s="1166"/>
      <c r="R112" s="1166"/>
      <c r="S112" s="1166"/>
      <c r="T112" s="1292"/>
      <c r="U112" s="1270"/>
      <c r="V112" s="1258"/>
      <c r="W112" s="1165"/>
      <c r="X112" s="1166"/>
      <c r="Y112" s="1166"/>
      <c r="Z112" s="1166"/>
      <c r="AA112" s="1166"/>
      <c r="AB112" s="1292"/>
      <c r="AC112" s="1270"/>
      <c r="AD112" s="1258"/>
      <c r="AE112" s="1202"/>
      <c r="AF112" s="1203"/>
      <c r="AG112" s="1203"/>
      <c r="AH112" s="1203"/>
      <c r="AI112" s="1203"/>
      <c r="AJ112" s="1204"/>
      <c r="AK112" s="1342"/>
      <c r="AL112" s="1291"/>
      <c r="AM112" s="1202"/>
      <c r="AN112" s="1203"/>
      <c r="AO112" s="1203"/>
      <c r="AP112" s="1203"/>
      <c r="AQ112" s="1203"/>
      <c r="AR112" s="1204"/>
      <c r="AS112" s="1342"/>
      <c r="AT112" s="1258"/>
      <c r="AU112" s="1202"/>
      <c r="AV112" s="1203"/>
      <c r="AW112" s="1203"/>
      <c r="AX112" s="1203"/>
      <c r="AY112" s="1203"/>
      <c r="AZ112" s="1204"/>
      <c r="BA112" s="1342"/>
      <c r="BB112" s="1258"/>
      <c r="BC112" s="1202"/>
      <c r="BD112" s="1203"/>
      <c r="BE112" s="1203"/>
      <c r="BF112" s="1203"/>
      <c r="BG112" s="1203"/>
      <c r="BH112" s="1204"/>
      <c r="BI112" s="1342"/>
      <c r="BJ112" s="1337"/>
      <c r="BK112" s="1338"/>
      <c r="BL112" s="1338"/>
      <c r="BM112" s="1338"/>
      <c r="BN112" s="1338"/>
      <c r="BO112" s="1339"/>
    </row>
    <row r="113" spans="1:67" ht="15" customHeight="1">
      <c r="A113" s="1307">
        <v>1.1000000000000001</v>
      </c>
      <c r="B113" s="1161" t="s">
        <v>330</v>
      </c>
      <c r="C113" s="1162"/>
      <c r="D113" s="1162"/>
      <c r="E113" s="1162"/>
      <c r="F113" s="1162"/>
      <c r="G113" s="1199"/>
      <c r="H113" s="1268" t="str">
        <f t="shared" ref="H113" si="128">IF(ISBLANK(D$5),"",1)</f>
        <v/>
      </c>
      <c r="I113" s="1205" t="str">
        <f t="shared" ref="I113" si="129">IF(ISBLANK(H$5),"",1)</f>
        <v/>
      </c>
      <c r="J113" s="1205" t="str">
        <f t="shared" ref="J113" si="130">IF(ISBLANK(L$5),"",1)</f>
        <v/>
      </c>
      <c r="K113" s="1205" t="str">
        <f t="shared" ref="K113" si="131">IF(ISBLANK(P$5),"",1)</f>
        <v/>
      </c>
      <c r="L113" s="1205" t="str">
        <f t="shared" ref="L113" si="132">IF(ISBLANK(T$5),"",1)</f>
        <v/>
      </c>
      <c r="M113" s="1248" t="str">
        <f t="shared" ref="M113" si="133">IF(ISBLANK(X$5),"",1)</f>
        <v/>
      </c>
      <c r="N113" s="1304">
        <v>4.4000000000000004</v>
      </c>
      <c r="O113" s="1161" t="s">
        <v>402</v>
      </c>
      <c r="P113" s="1162"/>
      <c r="Q113" s="1162"/>
      <c r="R113" s="1162"/>
      <c r="S113" s="1162"/>
      <c r="T113" s="1199"/>
      <c r="U113" s="1399" t="str">
        <f t="shared" ref="U113" si="134">IF(ISBLANK(D$5),"",1)</f>
        <v/>
      </c>
      <c r="V113" s="1258">
        <v>4.4000000000000004</v>
      </c>
      <c r="W113" s="1161" t="s">
        <v>393</v>
      </c>
      <c r="X113" s="1162"/>
      <c r="Y113" s="1162"/>
      <c r="Z113" s="1162"/>
      <c r="AA113" s="1162"/>
      <c r="AB113" s="1199"/>
      <c r="AC113" s="1399" t="str">
        <f t="shared" ref="AC113" si="135">IF(ISBLANK(H$5),"",1)</f>
        <v/>
      </c>
      <c r="AD113" s="1258">
        <v>4.4000000000000004</v>
      </c>
      <c r="AE113" s="1198" t="s">
        <v>415</v>
      </c>
      <c r="AF113" s="1162"/>
      <c r="AG113" s="1162"/>
      <c r="AH113" s="1162"/>
      <c r="AI113" s="1162"/>
      <c r="AJ113" s="1199"/>
      <c r="AK113" s="1226" t="str">
        <f t="shared" ref="AK113" si="136">IF(ISBLANK(L$5),"",1)</f>
        <v/>
      </c>
      <c r="AL113" s="1304">
        <v>4.4000000000000004</v>
      </c>
      <c r="AM113" s="1198" t="s">
        <v>393</v>
      </c>
      <c r="AN113" s="1162"/>
      <c r="AO113" s="1162"/>
      <c r="AP113" s="1162"/>
      <c r="AQ113" s="1162"/>
      <c r="AR113" s="1199"/>
      <c r="AS113" s="1226" t="str">
        <f t="shared" ref="AS113" si="137">IF(ISBLANK(P$5),"",1)</f>
        <v/>
      </c>
      <c r="AT113" s="1258">
        <v>4.4000000000000004</v>
      </c>
      <c r="AU113" s="1198" t="s">
        <v>892</v>
      </c>
      <c r="AV113" s="1162"/>
      <c r="AW113" s="1162"/>
      <c r="AX113" s="1162"/>
      <c r="AY113" s="1162"/>
      <c r="AZ113" s="1199"/>
      <c r="BA113" s="1226" t="str">
        <f t="shared" ref="BA113" si="138">IF(ISBLANK(T$5),"",1)</f>
        <v/>
      </c>
      <c r="BB113" s="1258">
        <v>4.4000000000000004</v>
      </c>
      <c r="BC113" s="1198" t="s">
        <v>892</v>
      </c>
      <c r="BD113" s="1162"/>
      <c r="BE113" s="1162"/>
      <c r="BF113" s="1162"/>
      <c r="BG113" s="1162"/>
      <c r="BH113" s="1199"/>
      <c r="BI113" s="1226" t="str">
        <f t="shared" ref="BI113" si="139">IF(ISBLANK(X$5),"",1)</f>
        <v/>
      </c>
      <c r="BJ113" s="1337"/>
      <c r="BK113" s="1338"/>
      <c r="BL113" s="1338"/>
      <c r="BM113" s="1338"/>
      <c r="BN113" s="1338"/>
      <c r="BO113" s="1339"/>
    </row>
    <row r="114" spans="1:67" ht="15" customHeight="1">
      <c r="A114" s="1308"/>
      <c r="B114" s="1163"/>
      <c r="C114" s="1164"/>
      <c r="D114" s="1164"/>
      <c r="E114" s="1164"/>
      <c r="F114" s="1164"/>
      <c r="G114" s="1201"/>
      <c r="H114" s="1269"/>
      <c r="I114" s="1206"/>
      <c r="J114" s="1206"/>
      <c r="K114" s="1206"/>
      <c r="L114" s="1206"/>
      <c r="M114" s="1206"/>
      <c r="N114" s="1290"/>
      <c r="O114" s="1163"/>
      <c r="P114" s="1164"/>
      <c r="Q114" s="1164"/>
      <c r="R114" s="1164"/>
      <c r="S114" s="1164"/>
      <c r="T114" s="1201"/>
      <c r="U114" s="1269"/>
      <c r="V114" s="1258"/>
      <c r="W114" s="1163"/>
      <c r="X114" s="1164"/>
      <c r="Y114" s="1164"/>
      <c r="Z114" s="1164"/>
      <c r="AA114" s="1164"/>
      <c r="AB114" s="1201"/>
      <c r="AC114" s="1269"/>
      <c r="AD114" s="1258"/>
      <c r="AE114" s="1200"/>
      <c r="AF114" s="1164"/>
      <c r="AG114" s="1164"/>
      <c r="AH114" s="1164"/>
      <c r="AI114" s="1164"/>
      <c r="AJ114" s="1201"/>
      <c r="AK114" s="1342"/>
      <c r="AL114" s="1290"/>
      <c r="AM114" s="1200"/>
      <c r="AN114" s="1164"/>
      <c r="AO114" s="1164"/>
      <c r="AP114" s="1164"/>
      <c r="AQ114" s="1164"/>
      <c r="AR114" s="1201"/>
      <c r="AS114" s="1342"/>
      <c r="AT114" s="1258"/>
      <c r="AU114" s="1200"/>
      <c r="AV114" s="1164"/>
      <c r="AW114" s="1164"/>
      <c r="AX114" s="1164"/>
      <c r="AY114" s="1164"/>
      <c r="AZ114" s="1201"/>
      <c r="BA114" s="1342"/>
      <c r="BB114" s="1258"/>
      <c r="BC114" s="1200"/>
      <c r="BD114" s="1164"/>
      <c r="BE114" s="1164"/>
      <c r="BF114" s="1164"/>
      <c r="BG114" s="1164"/>
      <c r="BH114" s="1201"/>
      <c r="BI114" s="1342"/>
      <c r="BJ114" s="1337"/>
      <c r="BK114" s="1338"/>
      <c r="BL114" s="1338"/>
      <c r="BM114" s="1338"/>
      <c r="BN114" s="1338"/>
      <c r="BO114" s="1339"/>
    </row>
    <row r="115" spans="1:67" ht="15" customHeight="1">
      <c r="A115" s="1309"/>
      <c r="B115" s="1165"/>
      <c r="C115" s="1166"/>
      <c r="D115" s="1166"/>
      <c r="E115" s="1166"/>
      <c r="F115" s="1166"/>
      <c r="G115" s="1292"/>
      <c r="H115" s="1270"/>
      <c r="I115" s="1207"/>
      <c r="J115" s="1207"/>
      <c r="K115" s="1207"/>
      <c r="L115" s="1207"/>
      <c r="M115" s="1207"/>
      <c r="N115" s="1291"/>
      <c r="O115" s="1165"/>
      <c r="P115" s="1166"/>
      <c r="Q115" s="1166"/>
      <c r="R115" s="1166"/>
      <c r="S115" s="1166"/>
      <c r="T115" s="1292"/>
      <c r="U115" s="1270"/>
      <c r="V115" s="1258"/>
      <c r="W115" s="1165"/>
      <c r="X115" s="1166"/>
      <c r="Y115" s="1166"/>
      <c r="Z115" s="1166"/>
      <c r="AA115" s="1166"/>
      <c r="AB115" s="1292"/>
      <c r="AC115" s="1270"/>
      <c r="AD115" s="1258"/>
      <c r="AE115" s="1202"/>
      <c r="AF115" s="1203"/>
      <c r="AG115" s="1203"/>
      <c r="AH115" s="1203"/>
      <c r="AI115" s="1203"/>
      <c r="AJ115" s="1204"/>
      <c r="AK115" s="1342"/>
      <c r="AL115" s="1291"/>
      <c r="AM115" s="1202"/>
      <c r="AN115" s="1203"/>
      <c r="AO115" s="1203"/>
      <c r="AP115" s="1203"/>
      <c r="AQ115" s="1203"/>
      <c r="AR115" s="1204"/>
      <c r="AS115" s="1342"/>
      <c r="AT115" s="1258"/>
      <c r="AU115" s="1202"/>
      <c r="AV115" s="1203"/>
      <c r="AW115" s="1203"/>
      <c r="AX115" s="1203"/>
      <c r="AY115" s="1203"/>
      <c r="AZ115" s="1204"/>
      <c r="BA115" s="1342"/>
      <c r="BB115" s="1258"/>
      <c r="BC115" s="1202"/>
      <c r="BD115" s="1203"/>
      <c r="BE115" s="1203"/>
      <c r="BF115" s="1203"/>
      <c r="BG115" s="1203"/>
      <c r="BH115" s="1204"/>
      <c r="BI115" s="1342"/>
      <c r="BJ115" s="1337"/>
      <c r="BK115" s="1338"/>
      <c r="BL115" s="1338"/>
      <c r="BM115" s="1338"/>
      <c r="BN115" s="1338"/>
      <c r="BO115" s="1339"/>
    </row>
    <row r="116" spans="1:67" ht="15" customHeight="1">
      <c r="A116" s="1304">
        <v>1.5</v>
      </c>
      <c r="B116" s="1161" t="s">
        <v>336</v>
      </c>
      <c r="C116" s="1162"/>
      <c r="D116" s="1162"/>
      <c r="E116" s="1162"/>
      <c r="F116" s="1162"/>
      <c r="G116" s="1199"/>
      <c r="H116" s="1268" t="str">
        <f t="shared" ref="H116" si="140">IF(ISBLANK(D$5),"",1)</f>
        <v/>
      </c>
      <c r="I116" s="1205" t="str">
        <f t="shared" ref="I116" si="141">IF(ISBLANK(H$5),"",1)</f>
        <v/>
      </c>
      <c r="J116" s="1205" t="str">
        <f t="shared" ref="J116" si="142">IF(ISBLANK(L$5),"",1)</f>
        <v/>
      </c>
      <c r="K116" s="1205" t="str">
        <f t="shared" ref="K116" si="143">IF(ISBLANK(P$5),"",1)</f>
        <v/>
      </c>
      <c r="L116" s="1205" t="str">
        <f t="shared" ref="L116" si="144">IF(ISBLANK(T$5),"",1)</f>
        <v/>
      </c>
      <c r="M116" s="1248" t="str">
        <f t="shared" ref="M116" si="145">IF(ISBLANK(X$5),"",1)</f>
        <v/>
      </c>
      <c r="N116" s="1304">
        <v>4.4000000000000004</v>
      </c>
      <c r="O116" s="1161" t="s">
        <v>403</v>
      </c>
      <c r="P116" s="1162"/>
      <c r="Q116" s="1162"/>
      <c r="R116" s="1162"/>
      <c r="S116" s="1162"/>
      <c r="T116" s="1199"/>
      <c r="U116" s="1399" t="str">
        <f t="shared" ref="U116" si="146">IF(ISBLANK(D$5),"",1)</f>
        <v/>
      </c>
      <c r="V116" s="1304">
        <v>4.4000000000000004</v>
      </c>
      <c r="W116" s="1161" t="s">
        <v>359</v>
      </c>
      <c r="X116" s="1162"/>
      <c r="Y116" s="1162"/>
      <c r="Z116" s="1162"/>
      <c r="AA116" s="1162"/>
      <c r="AB116" s="1199"/>
      <c r="AC116" s="1399" t="str">
        <f t="shared" ref="AC116" si="147">IF(ISBLANK(H$5),"",1)</f>
        <v/>
      </c>
      <c r="AD116" s="1304">
        <v>4.3</v>
      </c>
      <c r="AE116" s="1310" t="s">
        <v>879</v>
      </c>
      <c r="AF116" s="1311"/>
      <c r="AG116" s="1311"/>
      <c r="AH116" s="1311"/>
      <c r="AI116" s="1311"/>
      <c r="AJ116" s="1316"/>
      <c r="AK116" s="1226" t="str">
        <f t="shared" ref="AK116" si="148">IF(ISBLANK(L$5),"",1)</f>
        <v/>
      </c>
      <c r="AL116" s="1196">
        <v>4.4000000000000004</v>
      </c>
      <c r="AM116" s="1198" t="s">
        <v>890</v>
      </c>
      <c r="AN116" s="1162"/>
      <c r="AO116" s="1162"/>
      <c r="AP116" s="1162"/>
      <c r="AQ116" s="1162"/>
      <c r="AR116" s="1199"/>
      <c r="AS116" s="1226" t="str">
        <f t="shared" ref="AS116" si="149">IF(ISBLANK(P$5),"",1)</f>
        <v/>
      </c>
      <c r="AT116" s="1258">
        <v>4.3</v>
      </c>
      <c r="AU116" s="1198" t="s">
        <v>879</v>
      </c>
      <c r="AV116" s="1162"/>
      <c r="AW116" s="1162"/>
      <c r="AX116" s="1162"/>
      <c r="AY116" s="1162"/>
      <c r="AZ116" s="1199"/>
      <c r="BA116" s="1226" t="str">
        <f t="shared" ref="BA116" si="150">IF(ISBLANK(T$5),"",1)</f>
        <v/>
      </c>
      <c r="BB116" s="1258">
        <v>4.3</v>
      </c>
      <c r="BC116" s="1198" t="s">
        <v>879</v>
      </c>
      <c r="BD116" s="1162"/>
      <c r="BE116" s="1162"/>
      <c r="BF116" s="1162"/>
      <c r="BG116" s="1162"/>
      <c r="BH116" s="1199"/>
      <c r="BI116" s="1226" t="str">
        <f t="shared" ref="BI116" si="151">IF(ISBLANK(X$5),"",1)</f>
        <v/>
      </c>
      <c r="BJ116" s="1337"/>
      <c r="BK116" s="1338"/>
      <c r="BL116" s="1338"/>
      <c r="BM116" s="1338"/>
      <c r="BN116" s="1338"/>
      <c r="BO116" s="1339"/>
    </row>
    <row r="117" spans="1:67" ht="15" customHeight="1">
      <c r="A117" s="1290"/>
      <c r="B117" s="1163"/>
      <c r="C117" s="1164"/>
      <c r="D117" s="1164"/>
      <c r="E117" s="1164"/>
      <c r="F117" s="1164"/>
      <c r="G117" s="1201"/>
      <c r="H117" s="1269"/>
      <c r="I117" s="1206"/>
      <c r="J117" s="1206"/>
      <c r="K117" s="1206"/>
      <c r="L117" s="1206"/>
      <c r="M117" s="1206"/>
      <c r="N117" s="1290"/>
      <c r="O117" s="1163"/>
      <c r="P117" s="1164"/>
      <c r="Q117" s="1164"/>
      <c r="R117" s="1164"/>
      <c r="S117" s="1164"/>
      <c r="T117" s="1201"/>
      <c r="U117" s="1269"/>
      <c r="V117" s="1290"/>
      <c r="W117" s="1163"/>
      <c r="X117" s="1164"/>
      <c r="Y117" s="1164"/>
      <c r="Z117" s="1164"/>
      <c r="AA117" s="1164"/>
      <c r="AB117" s="1201"/>
      <c r="AC117" s="1269"/>
      <c r="AD117" s="1290"/>
      <c r="AE117" s="1295"/>
      <c r="AF117" s="1296"/>
      <c r="AG117" s="1296"/>
      <c r="AH117" s="1296"/>
      <c r="AI117" s="1296"/>
      <c r="AJ117" s="1318"/>
      <c r="AK117" s="1342"/>
      <c r="AL117" s="1197"/>
      <c r="AM117" s="1200"/>
      <c r="AN117" s="1164"/>
      <c r="AO117" s="1164"/>
      <c r="AP117" s="1164"/>
      <c r="AQ117" s="1164"/>
      <c r="AR117" s="1201"/>
      <c r="AS117" s="1342"/>
      <c r="AT117" s="1258"/>
      <c r="AU117" s="1200"/>
      <c r="AV117" s="1164"/>
      <c r="AW117" s="1164"/>
      <c r="AX117" s="1164"/>
      <c r="AY117" s="1164"/>
      <c r="AZ117" s="1201"/>
      <c r="BA117" s="1342"/>
      <c r="BB117" s="1258"/>
      <c r="BC117" s="1200"/>
      <c r="BD117" s="1164"/>
      <c r="BE117" s="1164"/>
      <c r="BF117" s="1164"/>
      <c r="BG117" s="1164"/>
      <c r="BH117" s="1201"/>
      <c r="BI117" s="1342"/>
      <c r="BJ117" s="1337"/>
      <c r="BK117" s="1338"/>
      <c r="BL117" s="1338"/>
      <c r="BM117" s="1338"/>
      <c r="BN117" s="1338"/>
      <c r="BO117" s="1339"/>
    </row>
    <row r="118" spans="1:67" ht="15" customHeight="1">
      <c r="A118" s="1291"/>
      <c r="B118" s="1165"/>
      <c r="C118" s="1166"/>
      <c r="D118" s="1166"/>
      <c r="E118" s="1166"/>
      <c r="F118" s="1166"/>
      <c r="G118" s="1292"/>
      <c r="H118" s="1270"/>
      <c r="I118" s="1207"/>
      <c r="J118" s="1207"/>
      <c r="K118" s="1207"/>
      <c r="L118" s="1207"/>
      <c r="M118" s="1207"/>
      <c r="N118" s="1291"/>
      <c r="O118" s="1165"/>
      <c r="P118" s="1166"/>
      <c r="Q118" s="1166"/>
      <c r="R118" s="1166"/>
      <c r="S118" s="1166"/>
      <c r="T118" s="1292"/>
      <c r="U118" s="1270"/>
      <c r="V118" s="1291"/>
      <c r="W118" s="1165"/>
      <c r="X118" s="1166"/>
      <c r="Y118" s="1166"/>
      <c r="Z118" s="1166"/>
      <c r="AA118" s="1166"/>
      <c r="AB118" s="1292"/>
      <c r="AC118" s="1270"/>
      <c r="AD118" s="1291"/>
      <c r="AE118" s="1298"/>
      <c r="AF118" s="1299"/>
      <c r="AG118" s="1299"/>
      <c r="AH118" s="1299"/>
      <c r="AI118" s="1299"/>
      <c r="AJ118" s="1335"/>
      <c r="AK118" s="1342"/>
      <c r="AL118" s="1197"/>
      <c r="AM118" s="1202"/>
      <c r="AN118" s="1203"/>
      <c r="AO118" s="1203"/>
      <c r="AP118" s="1203"/>
      <c r="AQ118" s="1203"/>
      <c r="AR118" s="1204"/>
      <c r="AS118" s="1342"/>
      <c r="AT118" s="1258"/>
      <c r="AU118" s="1202"/>
      <c r="AV118" s="1203"/>
      <c r="AW118" s="1203"/>
      <c r="AX118" s="1203"/>
      <c r="AY118" s="1203"/>
      <c r="AZ118" s="1204"/>
      <c r="BA118" s="1342"/>
      <c r="BB118" s="1258"/>
      <c r="BC118" s="1202"/>
      <c r="BD118" s="1203"/>
      <c r="BE118" s="1203"/>
      <c r="BF118" s="1203"/>
      <c r="BG118" s="1203"/>
      <c r="BH118" s="1204"/>
      <c r="BI118" s="1342"/>
      <c r="BJ118" s="1337"/>
      <c r="BK118" s="1338"/>
      <c r="BL118" s="1338"/>
      <c r="BM118" s="1338"/>
      <c r="BN118" s="1338"/>
      <c r="BO118" s="1339"/>
    </row>
    <row r="119" spans="1:67" ht="15" customHeight="1">
      <c r="A119" s="1304">
        <v>2.1</v>
      </c>
      <c r="B119" s="1161" t="s">
        <v>360</v>
      </c>
      <c r="C119" s="1162"/>
      <c r="D119" s="1162"/>
      <c r="E119" s="1162"/>
      <c r="F119" s="1162"/>
      <c r="G119" s="1199"/>
      <c r="H119" s="1268" t="str">
        <f t="shared" ref="H119" si="152">IF(ISBLANK(D$5),"",1)</f>
        <v/>
      </c>
      <c r="I119" s="1205" t="str">
        <f t="shared" ref="I119" si="153">IF(ISBLANK(H$5),"",1)</f>
        <v/>
      </c>
      <c r="J119" s="1205" t="str">
        <f t="shared" ref="J119" si="154">IF(ISBLANK(L$5),"",1)</f>
        <v/>
      </c>
      <c r="K119" s="1205" t="str">
        <f t="shared" ref="K119" si="155">IF(ISBLANK(P$5),"",1)</f>
        <v/>
      </c>
      <c r="L119" s="1205" t="str">
        <f t="shared" ref="L119" si="156">IF(ISBLANK(T$5),"",1)</f>
        <v/>
      </c>
      <c r="M119" s="1248" t="str">
        <f t="shared" ref="M119" si="157">IF(ISBLANK(X$5),"",1)</f>
        <v/>
      </c>
      <c r="N119" s="1304">
        <v>4.4000000000000004</v>
      </c>
      <c r="O119" s="1161" t="s">
        <v>359</v>
      </c>
      <c r="P119" s="1162"/>
      <c r="Q119" s="1162"/>
      <c r="R119" s="1162"/>
      <c r="S119" s="1162"/>
      <c r="T119" s="1199"/>
      <c r="U119" s="1399" t="str">
        <f t="shared" ref="U119" si="158">IF(ISBLANK(D$5),"",1)</f>
        <v/>
      </c>
      <c r="V119" s="1322">
        <v>4.4000000000000004</v>
      </c>
      <c r="W119" s="1161" t="s">
        <v>395</v>
      </c>
      <c r="X119" s="1162"/>
      <c r="Y119" s="1162"/>
      <c r="Z119" s="1162"/>
      <c r="AA119" s="1162"/>
      <c r="AB119" s="1199"/>
      <c r="AC119" s="1399" t="str">
        <f t="shared" ref="AC119" si="159">IF(ISBLANK(H$5),"",1)</f>
        <v/>
      </c>
      <c r="AD119" s="1258">
        <v>4.4000000000000004</v>
      </c>
      <c r="AE119" s="1198" t="s">
        <v>882</v>
      </c>
      <c r="AF119" s="1162"/>
      <c r="AG119" s="1162"/>
      <c r="AH119" s="1162"/>
      <c r="AI119" s="1162"/>
      <c r="AJ119" s="1199"/>
      <c r="AK119" s="1226" t="str">
        <f t="shared" ref="AK119" si="160">IF(ISBLANK(L$5),"",1)</f>
        <v/>
      </c>
      <c r="AL119" s="1196">
        <v>4.4000000000000004</v>
      </c>
      <c r="AM119" s="1198" t="s">
        <v>886</v>
      </c>
      <c r="AN119" s="1162"/>
      <c r="AO119" s="1162"/>
      <c r="AP119" s="1162"/>
      <c r="AQ119" s="1162"/>
      <c r="AR119" s="1199"/>
      <c r="AS119" s="1226" t="str">
        <f t="shared" ref="AS119" si="161">IF(ISBLANK(P$5),"",1)</f>
        <v/>
      </c>
      <c r="AT119" s="1258">
        <v>4.4000000000000004</v>
      </c>
      <c r="AU119" s="1198" t="s">
        <v>888</v>
      </c>
      <c r="AV119" s="1162"/>
      <c r="AW119" s="1162"/>
      <c r="AX119" s="1162"/>
      <c r="AY119" s="1162"/>
      <c r="AZ119" s="1199"/>
      <c r="BA119" s="1226" t="str">
        <f t="shared" ref="BA119" si="162">IF(ISBLANK(T$5),"",1)</f>
        <v/>
      </c>
      <c r="BB119" s="1258">
        <v>4.4000000000000004</v>
      </c>
      <c r="BC119" s="1198" t="s">
        <v>889</v>
      </c>
      <c r="BD119" s="1162"/>
      <c r="BE119" s="1162"/>
      <c r="BF119" s="1162"/>
      <c r="BG119" s="1162"/>
      <c r="BH119" s="1199"/>
      <c r="BI119" s="1226" t="str">
        <f t="shared" ref="BI119" si="163">IF(ISBLANK(X$5),"",1)</f>
        <v/>
      </c>
      <c r="BJ119" s="1337"/>
      <c r="BK119" s="1338"/>
      <c r="BL119" s="1338"/>
      <c r="BM119" s="1338"/>
      <c r="BN119" s="1338"/>
      <c r="BO119" s="1339"/>
    </row>
    <row r="120" spans="1:67" ht="15" customHeight="1">
      <c r="A120" s="1290"/>
      <c r="B120" s="1163"/>
      <c r="C120" s="1164"/>
      <c r="D120" s="1164"/>
      <c r="E120" s="1164"/>
      <c r="F120" s="1164"/>
      <c r="G120" s="1201"/>
      <c r="H120" s="1269"/>
      <c r="I120" s="1206"/>
      <c r="J120" s="1206"/>
      <c r="K120" s="1206"/>
      <c r="L120" s="1206"/>
      <c r="M120" s="1206"/>
      <c r="N120" s="1290"/>
      <c r="O120" s="1163"/>
      <c r="P120" s="1164"/>
      <c r="Q120" s="1164"/>
      <c r="R120" s="1164"/>
      <c r="S120" s="1164"/>
      <c r="T120" s="1201"/>
      <c r="U120" s="1269"/>
      <c r="V120" s="1293"/>
      <c r="W120" s="1163"/>
      <c r="X120" s="1164"/>
      <c r="Y120" s="1164"/>
      <c r="Z120" s="1164"/>
      <c r="AA120" s="1164"/>
      <c r="AB120" s="1201"/>
      <c r="AC120" s="1269"/>
      <c r="AD120" s="1258"/>
      <c r="AE120" s="1200"/>
      <c r="AF120" s="1164"/>
      <c r="AG120" s="1164"/>
      <c r="AH120" s="1164"/>
      <c r="AI120" s="1164"/>
      <c r="AJ120" s="1201"/>
      <c r="AK120" s="1342"/>
      <c r="AL120" s="1197"/>
      <c r="AM120" s="1200"/>
      <c r="AN120" s="1164"/>
      <c r="AO120" s="1164"/>
      <c r="AP120" s="1164"/>
      <c r="AQ120" s="1164"/>
      <c r="AR120" s="1201"/>
      <c r="AS120" s="1342"/>
      <c r="AT120" s="1258"/>
      <c r="AU120" s="1200"/>
      <c r="AV120" s="1164"/>
      <c r="AW120" s="1164"/>
      <c r="AX120" s="1164"/>
      <c r="AY120" s="1164"/>
      <c r="AZ120" s="1201"/>
      <c r="BA120" s="1342"/>
      <c r="BB120" s="1258"/>
      <c r="BC120" s="1200"/>
      <c r="BD120" s="1164"/>
      <c r="BE120" s="1164"/>
      <c r="BF120" s="1164"/>
      <c r="BG120" s="1164"/>
      <c r="BH120" s="1201"/>
      <c r="BI120" s="1342"/>
      <c r="BJ120" s="1337"/>
      <c r="BK120" s="1338"/>
      <c r="BL120" s="1338"/>
      <c r="BM120" s="1338"/>
      <c r="BN120" s="1338"/>
      <c r="BO120" s="1339"/>
    </row>
    <row r="121" spans="1:67" ht="15" customHeight="1">
      <c r="A121" s="1291"/>
      <c r="B121" s="1165"/>
      <c r="C121" s="1166"/>
      <c r="D121" s="1166"/>
      <c r="E121" s="1166"/>
      <c r="F121" s="1166"/>
      <c r="G121" s="1292"/>
      <c r="H121" s="1270"/>
      <c r="I121" s="1207"/>
      <c r="J121" s="1207"/>
      <c r="K121" s="1207"/>
      <c r="L121" s="1207"/>
      <c r="M121" s="1207"/>
      <c r="N121" s="1291"/>
      <c r="O121" s="1165"/>
      <c r="P121" s="1166"/>
      <c r="Q121" s="1166"/>
      <c r="R121" s="1166"/>
      <c r="S121" s="1166"/>
      <c r="T121" s="1292"/>
      <c r="U121" s="1270"/>
      <c r="V121" s="1294"/>
      <c r="W121" s="1165"/>
      <c r="X121" s="1166"/>
      <c r="Y121" s="1166"/>
      <c r="Z121" s="1166"/>
      <c r="AA121" s="1166"/>
      <c r="AB121" s="1292"/>
      <c r="AC121" s="1270"/>
      <c r="AD121" s="1258"/>
      <c r="AE121" s="1202"/>
      <c r="AF121" s="1203"/>
      <c r="AG121" s="1203"/>
      <c r="AH121" s="1203"/>
      <c r="AI121" s="1203"/>
      <c r="AJ121" s="1204"/>
      <c r="AK121" s="1342"/>
      <c r="AL121" s="1197"/>
      <c r="AM121" s="1202"/>
      <c r="AN121" s="1203"/>
      <c r="AO121" s="1203"/>
      <c r="AP121" s="1203"/>
      <c r="AQ121" s="1203"/>
      <c r="AR121" s="1204"/>
      <c r="AS121" s="1342"/>
      <c r="AT121" s="1258"/>
      <c r="AU121" s="1202"/>
      <c r="AV121" s="1203"/>
      <c r="AW121" s="1203"/>
      <c r="AX121" s="1203"/>
      <c r="AY121" s="1203"/>
      <c r="AZ121" s="1204"/>
      <c r="BA121" s="1342"/>
      <c r="BB121" s="1258"/>
      <c r="BC121" s="1202"/>
      <c r="BD121" s="1203"/>
      <c r="BE121" s="1203"/>
      <c r="BF121" s="1203"/>
      <c r="BG121" s="1203"/>
      <c r="BH121" s="1204"/>
      <c r="BI121" s="1342"/>
      <c r="BJ121" s="1337"/>
      <c r="BK121" s="1338"/>
      <c r="BL121" s="1338"/>
      <c r="BM121" s="1338"/>
      <c r="BN121" s="1338"/>
      <c r="BO121" s="1339"/>
    </row>
    <row r="122" spans="1:67" ht="15" customHeight="1">
      <c r="A122" s="1304">
        <v>2.4</v>
      </c>
      <c r="B122" s="1161" t="s">
        <v>942</v>
      </c>
      <c r="C122" s="1162"/>
      <c r="D122" s="1162"/>
      <c r="E122" s="1162"/>
      <c r="F122" s="1162"/>
      <c r="G122" s="1199"/>
      <c r="H122" s="1268" t="str">
        <f t="shared" ref="H122" si="164">IF(ISBLANK(D$5),"",1)</f>
        <v/>
      </c>
      <c r="I122" s="1205" t="str">
        <f t="shared" ref="I122" si="165">IF(ISBLANK(H$5),"",1)</f>
        <v/>
      </c>
      <c r="J122" s="1205" t="str">
        <f t="shared" ref="J122" si="166">IF(ISBLANK(L$5),"",1)</f>
        <v/>
      </c>
      <c r="K122" s="1205" t="str">
        <f t="shared" ref="K122" si="167">IF(ISBLANK(P$5),"",1)</f>
        <v/>
      </c>
      <c r="L122" s="1205" t="str">
        <f t="shared" ref="L122" si="168">IF(ISBLANK(T$5),"",1)</f>
        <v/>
      </c>
      <c r="M122" s="1248" t="str">
        <f t="shared" ref="M122" si="169">IF(ISBLANK(X$5),"",1)</f>
        <v/>
      </c>
      <c r="N122" s="1301">
        <v>4.4000000000000004</v>
      </c>
      <c r="O122" s="1161" t="s">
        <v>395</v>
      </c>
      <c r="P122" s="1162"/>
      <c r="Q122" s="1162"/>
      <c r="R122" s="1162"/>
      <c r="S122" s="1162"/>
      <c r="T122" s="1199"/>
      <c r="U122" s="1399" t="str">
        <f t="shared" ref="U122" si="170">IF(ISBLANK(D$5),"",1)</f>
        <v/>
      </c>
      <c r="V122" s="1304">
        <v>4.4000000000000004</v>
      </c>
      <c r="W122" s="1161" t="s">
        <v>878</v>
      </c>
      <c r="X122" s="1162"/>
      <c r="Y122" s="1162"/>
      <c r="Z122" s="1162"/>
      <c r="AA122" s="1162"/>
      <c r="AB122" s="1199"/>
      <c r="AC122" s="1399" t="str">
        <f t="shared" ref="AC122" si="171">IF(ISBLANK(H$5),"",1)</f>
        <v/>
      </c>
      <c r="AD122" s="1258">
        <v>4.4000000000000004</v>
      </c>
      <c r="AE122" s="1198" t="s">
        <v>417</v>
      </c>
      <c r="AF122" s="1162"/>
      <c r="AG122" s="1162"/>
      <c r="AH122" s="1162"/>
      <c r="AI122" s="1162"/>
      <c r="AJ122" s="1199"/>
      <c r="AK122" s="1226" t="str">
        <f t="shared" ref="AK122" si="172">IF(ISBLANK(L$5),"",1)</f>
        <v/>
      </c>
      <c r="AL122" s="1196">
        <v>4.4000000000000004</v>
      </c>
      <c r="AM122" s="1198" t="s">
        <v>359</v>
      </c>
      <c r="AN122" s="1162"/>
      <c r="AO122" s="1162"/>
      <c r="AP122" s="1162"/>
      <c r="AQ122" s="1162"/>
      <c r="AR122" s="1199"/>
      <c r="AS122" s="1226" t="str">
        <f t="shared" ref="AS122" si="173">IF(ISBLANK(P$5),"",1)</f>
        <v/>
      </c>
      <c r="AT122" s="1258">
        <v>4.4000000000000004</v>
      </c>
      <c r="AU122" s="1198" t="s">
        <v>417</v>
      </c>
      <c r="AV122" s="1162"/>
      <c r="AW122" s="1162"/>
      <c r="AX122" s="1162"/>
      <c r="AY122" s="1162"/>
      <c r="AZ122" s="1199"/>
      <c r="BA122" s="1226" t="str">
        <f t="shared" ref="BA122" si="174">IF(ISBLANK(T$5),"",1)</f>
        <v/>
      </c>
      <c r="BB122" s="1258">
        <v>4.4000000000000004</v>
      </c>
      <c r="BC122" s="1198" t="s">
        <v>417</v>
      </c>
      <c r="BD122" s="1162"/>
      <c r="BE122" s="1162"/>
      <c r="BF122" s="1162"/>
      <c r="BG122" s="1162"/>
      <c r="BH122" s="1199"/>
      <c r="BI122" s="1226" t="str">
        <f t="shared" ref="BI122" si="175">IF(ISBLANK(X$5),"",1)</f>
        <v/>
      </c>
      <c r="BJ122" s="1337"/>
      <c r="BK122" s="1338"/>
      <c r="BL122" s="1338"/>
      <c r="BM122" s="1338"/>
      <c r="BN122" s="1338"/>
      <c r="BO122" s="1339"/>
    </row>
    <row r="123" spans="1:67" ht="15" customHeight="1">
      <c r="A123" s="1290"/>
      <c r="B123" s="1163"/>
      <c r="C123" s="1164"/>
      <c r="D123" s="1164"/>
      <c r="E123" s="1164"/>
      <c r="F123" s="1164"/>
      <c r="G123" s="1201"/>
      <c r="H123" s="1269"/>
      <c r="I123" s="1206"/>
      <c r="J123" s="1206"/>
      <c r="K123" s="1206"/>
      <c r="L123" s="1206"/>
      <c r="M123" s="1206"/>
      <c r="N123" s="1302"/>
      <c r="O123" s="1163"/>
      <c r="P123" s="1164"/>
      <c r="Q123" s="1164"/>
      <c r="R123" s="1164"/>
      <c r="S123" s="1164"/>
      <c r="T123" s="1201"/>
      <c r="U123" s="1269"/>
      <c r="V123" s="1290"/>
      <c r="W123" s="1163"/>
      <c r="X123" s="1164"/>
      <c r="Y123" s="1164"/>
      <c r="Z123" s="1164"/>
      <c r="AA123" s="1164"/>
      <c r="AB123" s="1201"/>
      <c r="AC123" s="1269"/>
      <c r="AD123" s="1258"/>
      <c r="AE123" s="1200"/>
      <c r="AF123" s="1164"/>
      <c r="AG123" s="1164"/>
      <c r="AH123" s="1164"/>
      <c r="AI123" s="1164"/>
      <c r="AJ123" s="1201"/>
      <c r="AK123" s="1342"/>
      <c r="AL123" s="1197"/>
      <c r="AM123" s="1200"/>
      <c r="AN123" s="1164"/>
      <c r="AO123" s="1164"/>
      <c r="AP123" s="1164"/>
      <c r="AQ123" s="1164"/>
      <c r="AR123" s="1201"/>
      <c r="AS123" s="1342"/>
      <c r="AT123" s="1258"/>
      <c r="AU123" s="1200"/>
      <c r="AV123" s="1164"/>
      <c r="AW123" s="1164"/>
      <c r="AX123" s="1164"/>
      <c r="AY123" s="1164"/>
      <c r="AZ123" s="1201"/>
      <c r="BA123" s="1342"/>
      <c r="BB123" s="1258"/>
      <c r="BC123" s="1200"/>
      <c r="BD123" s="1164"/>
      <c r="BE123" s="1164"/>
      <c r="BF123" s="1164"/>
      <c r="BG123" s="1164"/>
      <c r="BH123" s="1201"/>
      <c r="BI123" s="1342"/>
      <c r="BJ123" s="1337"/>
      <c r="BK123" s="1338"/>
      <c r="BL123" s="1338"/>
      <c r="BM123" s="1338"/>
      <c r="BN123" s="1338"/>
      <c r="BO123" s="1339"/>
    </row>
    <row r="124" spans="1:67" ht="15" customHeight="1">
      <c r="A124" s="1291"/>
      <c r="B124" s="1165"/>
      <c r="C124" s="1166"/>
      <c r="D124" s="1166"/>
      <c r="E124" s="1166"/>
      <c r="F124" s="1166"/>
      <c r="G124" s="1292"/>
      <c r="H124" s="1270"/>
      <c r="I124" s="1207"/>
      <c r="J124" s="1207"/>
      <c r="K124" s="1207"/>
      <c r="L124" s="1207"/>
      <c r="M124" s="1207"/>
      <c r="N124" s="1303"/>
      <c r="O124" s="1165"/>
      <c r="P124" s="1166"/>
      <c r="Q124" s="1166"/>
      <c r="R124" s="1166"/>
      <c r="S124" s="1166"/>
      <c r="T124" s="1292"/>
      <c r="U124" s="1270"/>
      <c r="V124" s="1291"/>
      <c r="W124" s="1165"/>
      <c r="X124" s="1166"/>
      <c r="Y124" s="1166"/>
      <c r="Z124" s="1166"/>
      <c r="AA124" s="1166"/>
      <c r="AB124" s="1292"/>
      <c r="AC124" s="1270"/>
      <c r="AD124" s="1258"/>
      <c r="AE124" s="1202"/>
      <c r="AF124" s="1203"/>
      <c r="AG124" s="1203"/>
      <c r="AH124" s="1203"/>
      <c r="AI124" s="1203"/>
      <c r="AJ124" s="1204"/>
      <c r="AK124" s="1342"/>
      <c r="AL124" s="1197"/>
      <c r="AM124" s="1202"/>
      <c r="AN124" s="1203"/>
      <c r="AO124" s="1203"/>
      <c r="AP124" s="1203"/>
      <c r="AQ124" s="1203"/>
      <c r="AR124" s="1204"/>
      <c r="AS124" s="1342"/>
      <c r="AT124" s="1258"/>
      <c r="AU124" s="1202"/>
      <c r="AV124" s="1203"/>
      <c r="AW124" s="1203"/>
      <c r="AX124" s="1203"/>
      <c r="AY124" s="1203"/>
      <c r="AZ124" s="1204"/>
      <c r="BA124" s="1342"/>
      <c r="BB124" s="1258"/>
      <c r="BC124" s="1202"/>
      <c r="BD124" s="1203"/>
      <c r="BE124" s="1203"/>
      <c r="BF124" s="1203"/>
      <c r="BG124" s="1203"/>
      <c r="BH124" s="1204"/>
      <c r="BI124" s="1342"/>
      <c r="BJ124" s="1337"/>
      <c r="BK124" s="1338"/>
      <c r="BL124" s="1338"/>
      <c r="BM124" s="1338"/>
      <c r="BN124" s="1338"/>
      <c r="BO124" s="1339"/>
    </row>
    <row r="125" spans="1:67" ht="15" customHeight="1">
      <c r="A125" s="252"/>
      <c r="B125" s="243"/>
      <c r="C125" s="242"/>
      <c r="D125" s="242"/>
      <c r="F125" s="278">
        <v>1.1000000000000001</v>
      </c>
      <c r="G125" s="311">
        <f>COUNTIF($A$98:$A$124,F125)</f>
        <v>4</v>
      </c>
      <c r="H125" s="240" t="str">
        <f>IF($D$5=1,SUMIF($A$98:$A$124,$F125,$H$98:$H$124),"")</f>
        <v/>
      </c>
      <c r="I125" s="240" t="str">
        <f>IF($H$5=1,SUMIF($A$98:$A$124,$F125,$I$98:$I$124),"")</f>
        <v/>
      </c>
      <c r="J125" s="240" t="str">
        <f>IF($L$5=1,SUMIF($A$98:$A$124,$F125,$J$98:$J$124),"")</f>
        <v/>
      </c>
      <c r="K125" s="240" t="str">
        <f>IF($P$5=1,SUMIF($A$98:$A$124,$F125,$K$98:$K$124),"")</f>
        <v/>
      </c>
      <c r="L125" s="240" t="str">
        <f>IF($T$5=1,SUMIF($A$98:$A$124,$F125,$L$98:$L$124),"")</f>
        <v/>
      </c>
      <c r="M125" s="240" t="str">
        <f>IF($X$5=1,SUMIF($A$98:$A$124,$F125,$M$98:$M$124),"")</f>
        <v/>
      </c>
      <c r="N125" s="1304">
        <v>4.4000000000000004</v>
      </c>
      <c r="O125" s="1161" t="s">
        <v>878</v>
      </c>
      <c r="P125" s="1162"/>
      <c r="Q125" s="1162"/>
      <c r="R125" s="1162"/>
      <c r="S125" s="1162"/>
      <c r="T125" s="1199"/>
      <c r="U125" s="1399" t="str">
        <f t="shared" ref="U125" si="176">IF(ISBLANK(D$5),"",1)</f>
        <v/>
      </c>
      <c r="V125" s="1307">
        <v>1.5</v>
      </c>
      <c r="W125" s="1315" t="s">
        <v>373</v>
      </c>
      <c r="X125" s="1311"/>
      <c r="Y125" s="1311"/>
      <c r="Z125" s="1311"/>
      <c r="AA125" s="1311"/>
      <c r="AB125" s="1316"/>
      <c r="AC125" s="1399" t="str">
        <f t="shared" ref="AC125" si="177">IF(ISBLANK(H$5),"",1)</f>
        <v/>
      </c>
      <c r="AD125" s="1304">
        <v>4.4000000000000004</v>
      </c>
      <c r="AE125" s="1198" t="s">
        <v>359</v>
      </c>
      <c r="AF125" s="1162"/>
      <c r="AG125" s="1162"/>
      <c r="AH125" s="1162"/>
      <c r="AI125" s="1162"/>
      <c r="AJ125" s="1199"/>
      <c r="AK125" s="1226" t="str">
        <f t="shared" ref="AK125" si="178">IF(ISBLANK(L$5),"",1)</f>
        <v/>
      </c>
      <c r="AL125" s="1196">
        <v>4.4000000000000004</v>
      </c>
      <c r="AM125" s="1198" t="s">
        <v>887</v>
      </c>
      <c r="AN125" s="1162"/>
      <c r="AO125" s="1162"/>
      <c r="AP125" s="1162"/>
      <c r="AQ125" s="1162"/>
      <c r="AR125" s="1199"/>
      <c r="AS125" s="1226" t="str">
        <f t="shared" ref="AS125" si="179">IF(ISBLANK(P$5),"",1)</f>
        <v/>
      </c>
      <c r="AT125" s="1304">
        <v>4.4000000000000004</v>
      </c>
      <c r="AU125" s="1198" t="s">
        <v>359</v>
      </c>
      <c r="AV125" s="1162"/>
      <c r="AW125" s="1162"/>
      <c r="AX125" s="1162"/>
      <c r="AY125" s="1162"/>
      <c r="AZ125" s="1199"/>
      <c r="BA125" s="1226" t="str">
        <f t="shared" ref="BA125" si="180">IF(ISBLANK(T$5),"",1)</f>
        <v/>
      </c>
      <c r="BB125" s="1304">
        <v>4.4000000000000004</v>
      </c>
      <c r="BC125" s="1198" t="s">
        <v>359</v>
      </c>
      <c r="BD125" s="1162"/>
      <c r="BE125" s="1162"/>
      <c r="BF125" s="1162"/>
      <c r="BG125" s="1162"/>
      <c r="BH125" s="1199"/>
      <c r="BI125" s="1226" t="str">
        <f t="shared" ref="BI125" si="181">IF(ISBLANK(X$5),"",1)</f>
        <v/>
      </c>
      <c r="BJ125" s="1337"/>
      <c r="BK125" s="1338"/>
      <c r="BL125" s="1338"/>
      <c r="BM125" s="1338"/>
      <c r="BN125" s="1338"/>
      <c r="BO125" s="1339"/>
    </row>
    <row r="126" spans="1:67" ht="15" customHeight="1">
      <c r="A126" s="252"/>
      <c r="B126" s="243"/>
      <c r="C126" s="242"/>
      <c r="D126" s="242"/>
      <c r="F126" s="278">
        <v>1.5</v>
      </c>
      <c r="G126" s="311">
        <f t="shared" ref="G126:G128" si="182">COUNTIF($A$98:$A$124,F126)</f>
        <v>1</v>
      </c>
      <c r="H126" s="240" t="str">
        <f t="shared" ref="H126:H128" si="183">IF($D$5=1,SUMIF($A$98:$A$124,$F126,$H$98:$H$124),"")</f>
        <v/>
      </c>
      <c r="I126" s="240" t="str">
        <f t="shared" ref="I126:I128" si="184">IF($H$5=1,SUMIF($A$98:$A$124,$F126,$I$98:$I$124),"")</f>
        <v/>
      </c>
      <c r="J126" s="240" t="str">
        <f t="shared" ref="J126:J128" si="185">IF($L$5=1,SUMIF($A$98:$A$124,$F126,$J$98:$J$124),"")</f>
        <v/>
      </c>
      <c r="K126" s="240" t="str">
        <f t="shared" ref="K126:K128" si="186">IF($P$5=1,SUMIF($A$98:$A$124,$F126,$K$98:$K$124),"")</f>
        <v/>
      </c>
      <c r="L126" s="240" t="str">
        <f t="shared" ref="L126:L128" si="187">IF($T$5=1,SUMIF($A$98:$A$124,$F126,$L$98:$L$124),"")</f>
        <v/>
      </c>
      <c r="M126" s="240" t="str">
        <f t="shared" ref="M126:M127" si="188">IF($X$5=1,SUMIF($A$98:$A$124,$F126,$M$98:$M$124),"")</f>
        <v/>
      </c>
      <c r="N126" s="1290"/>
      <c r="O126" s="1163"/>
      <c r="P126" s="1164"/>
      <c r="Q126" s="1164"/>
      <c r="R126" s="1164"/>
      <c r="S126" s="1164"/>
      <c r="T126" s="1201"/>
      <c r="U126" s="1269"/>
      <c r="V126" s="1308"/>
      <c r="W126" s="1317"/>
      <c r="X126" s="1296"/>
      <c r="Y126" s="1296"/>
      <c r="Z126" s="1296"/>
      <c r="AA126" s="1296"/>
      <c r="AB126" s="1318"/>
      <c r="AC126" s="1269"/>
      <c r="AD126" s="1290"/>
      <c r="AE126" s="1200"/>
      <c r="AF126" s="1164"/>
      <c r="AG126" s="1164"/>
      <c r="AH126" s="1164"/>
      <c r="AI126" s="1164"/>
      <c r="AJ126" s="1201"/>
      <c r="AK126" s="1342"/>
      <c r="AL126" s="1197"/>
      <c r="AM126" s="1200"/>
      <c r="AN126" s="1164"/>
      <c r="AO126" s="1164"/>
      <c r="AP126" s="1164"/>
      <c r="AQ126" s="1164"/>
      <c r="AR126" s="1201"/>
      <c r="AS126" s="1342"/>
      <c r="AT126" s="1290"/>
      <c r="AU126" s="1200"/>
      <c r="AV126" s="1164"/>
      <c r="AW126" s="1164"/>
      <c r="AX126" s="1164"/>
      <c r="AY126" s="1164"/>
      <c r="AZ126" s="1201"/>
      <c r="BA126" s="1342"/>
      <c r="BB126" s="1290"/>
      <c r="BC126" s="1200"/>
      <c r="BD126" s="1164"/>
      <c r="BE126" s="1164"/>
      <c r="BF126" s="1164"/>
      <c r="BG126" s="1164"/>
      <c r="BH126" s="1201"/>
      <c r="BI126" s="1342"/>
      <c r="BJ126" s="1222"/>
      <c r="BK126" s="1223"/>
      <c r="BL126" s="1223"/>
      <c r="BM126" s="1223"/>
      <c r="BN126" s="1223"/>
      <c r="BO126" s="1224"/>
    </row>
    <row r="127" spans="1:67" ht="15" customHeight="1">
      <c r="A127" s="249"/>
      <c r="B127" s="249"/>
      <c r="C127" s="249"/>
      <c r="D127" s="249"/>
      <c r="F127" s="277">
        <v>2.1</v>
      </c>
      <c r="G127" s="311">
        <f t="shared" si="182"/>
        <v>2</v>
      </c>
      <c r="H127" s="240" t="str">
        <f t="shared" si="183"/>
        <v/>
      </c>
      <c r="I127" s="240" t="str">
        <f t="shared" si="184"/>
        <v/>
      </c>
      <c r="J127" s="240" t="str">
        <f t="shared" si="185"/>
        <v/>
      </c>
      <c r="K127" s="240" t="str">
        <f t="shared" si="186"/>
        <v/>
      </c>
      <c r="L127" s="240" t="str">
        <f t="shared" si="187"/>
        <v/>
      </c>
      <c r="M127" s="240" t="str">
        <f t="shared" si="188"/>
        <v/>
      </c>
      <c r="N127" s="1291"/>
      <c r="O127" s="1165"/>
      <c r="P127" s="1166"/>
      <c r="Q127" s="1166"/>
      <c r="R127" s="1166"/>
      <c r="S127" s="1166"/>
      <c r="T127" s="1292"/>
      <c r="U127" s="1270"/>
      <c r="V127" s="1309"/>
      <c r="W127" s="1319"/>
      <c r="X127" s="1320"/>
      <c r="Y127" s="1320"/>
      <c r="Z127" s="1320"/>
      <c r="AA127" s="1320"/>
      <c r="AB127" s="1321"/>
      <c r="AC127" s="1270"/>
      <c r="AD127" s="1291"/>
      <c r="AE127" s="1202"/>
      <c r="AF127" s="1203"/>
      <c r="AG127" s="1203"/>
      <c r="AH127" s="1203"/>
      <c r="AI127" s="1203"/>
      <c r="AJ127" s="1204"/>
      <c r="AK127" s="1342"/>
      <c r="AL127" s="1197"/>
      <c r="AM127" s="1202"/>
      <c r="AN127" s="1203"/>
      <c r="AO127" s="1203"/>
      <c r="AP127" s="1203"/>
      <c r="AQ127" s="1203"/>
      <c r="AR127" s="1204"/>
      <c r="AS127" s="1342"/>
      <c r="AT127" s="1291"/>
      <c r="AU127" s="1202"/>
      <c r="AV127" s="1203"/>
      <c r="AW127" s="1203"/>
      <c r="AX127" s="1203"/>
      <c r="AY127" s="1203"/>
      <c r="AZ127" s="1204"/>
      <c r="BA127" s="1342"/>
      <c r="BB127" s="1291"/>
      <c r="BC127" s="1202"/>
      <c r="BD127" s="1203"/>
      <c r="BE127" s="1203"/>
      <c r="BF127" s="1203"/>
      <c r="BG127" s="1203"/>
      <c r="BH127" s="1204"/>
      <c r="BI127" s="1342"/>
    </row>
    <row r="128" spans="1:67" ht="15" customHeight="1">
      <c r="F128" s="277">
        <v>2.4</v>
      </c>
      <c r="G128" s="311">
        <f t="shared" si="182"/>
        <v>2</v>
      </c>
      <c r="H128" s="240" t="str">
        <f t="shared" si="183"/>
        <v/>
      </c>
      <c r="I128" s="240" t="str">
        <f t="shared" si="184"/>
        <v/>
      </c>
      <c r="J128" s="240" t="str">
        <f t="shared" si="185"/>
        <v/>
      </c>
      <c r="K128" s="240" t="str">
        <f t="shared" si="186"/>
        <v/>
      </c>
      <c r="L128" s="240" t="str">
        <f t="shared" si="187"/>
        <v/>
      </c>
      <c r="M128" s="240" t="str">
        <f>IF($X$5=1,SUMIF($A$98:$A$124,$F128,$M$98:$M$124),"")</f>
        <v/>
      </c>
      <c r="N128" s="1307">
        <v>1.5</v>
      </c>
      <c r="O128" s="1315" t="s">
        <v>373</v>
      </c>
      <c r="P128" s="1311"/>
      <c r="Q128" s="1311"/>
      <c r="R128" s="1311"/>
      <c r="S128" s="1311"/>
      <c r="T128" s="1316"/>
      <c r="U128" s="1399" t="str">
        <f t="shared" ref="U128" si="189">IF(ISBLANK(D$5),"",1)</f>
        <v/>
      </c>
      <c r="V128" s="1322">
        <v>4.4000000000000004</v>
      </c>
      <c r="W128" s="1161" t="s">
        <v>397</v>
      </c>
      <c r="X128" s="1162"/>
      <c r="Y128" s="1162"/>
      <c r="Z128" s="1162"/>
      <c r="AA128" s="1162"/>
      <c r="AB128" s="1199"/>
      <c r="AC128" s="1399" t="str">
        <f t="shared" ref="AC128" si="190">IF(ISBLANK(H$5),"",1)</f>
        <v/>
      </c>
      <c r="AD128" s="1258">
        <v>4.4000000000000004</v>
      </c>
      <c r="AE128" s="1198" t="s">
        <v>395</v>
      </c>
      <c r="AF128" s="1162"/>
      <c r="AG128" s="1162"/>
      <c r="AH128" s="1162"/>
      <c r="AI128" s="1162"/>
      <c r="AJ128" s="1199"/>
      <c r="AK128" s="1226" t="str">
        <f t="shared" ref="AK128" si="191">IF(ISBLANK(L$5),"",1)</f>
        <v/>
      </c>
      <c r="AL128" s="1304">
        <v>4.4000000000000004</v>
      </c>
      <c r="AM128" s="1198" t="s">
        <v>395</v>
      </c>
      <c r="AN128" s="1162"/>
      <c r="AO128" s="1162"/>
      <c r="AP128" s="1162"/>
      <c r="AQ128" s="1162"/>
      <c r="AR128" s="1199"/>
      <c r="AS128" s="1226" t="str">
        <f t="shared" ref="AS128" si="192">IF(ISBLANK(P$5),"",1)</f>
        <v/>
      </c>
      <c r="AT128" s="1258">
        <v>4.4000000000000004</v>
      </c>
      <c r="AU128" s="1198" t="s">
        <v>395</v>
      </c>
      <c r="AV128" s="1162"/>
      <c r="AW128" s="1162"/>
      <c r="AX128" s="1162"/>
      <c r="AY128" s="1162"/>
      <c r="AZ128" s="1199"/>
      <c r="BA128" s="1226" t="str">
        <f t="shared" ref="BA128" si="193">IF(ISBLANK(T$5),"",1)</f>
        <v/>
      </c>
      <c r="BB128" s="1258">
        <v>4.4000000000000004</v>
      </c>
      <c r="BC128" s="1198" t="s">
        <v>395</v>
      </c>
      <c r="BD128" s="1162"/>
      <c r="BE128" s="1162"/>
      <c r="BF128" s="1162"/>
      <c r="BG128" s="1162"/>
      <c r="BH128" s="1199"/>
      <c r="BI128" s="1226" t="str">
        <f t="shared" ref="BI128" si="194">IF(ISBLANK(X$5),"",1)</f>
        <v/>
      </c>
    </row>
    <row r="129" spans="1:65" ht="15" customHeight="1">
      <c r="N129" s="1308"/>
      <c r="O129" s="1317"/>
      <c r="P129" s="1296"/>
      <c r="Q129" s="1296"/>
      <c r="R129" s="1296"/>
      <c r="S129" s="1296"/>
      <c r="T129" s="1318"/>
      <c r="U129" s="1269"/>
      <c r="V129" s="1293"/>
      <c r="W129" s="1163"/>
      <c r="X129" s="1164"/>
      <c r="Y129" s="1164"/>
      <c r="Z129" s="1164"/>
      <c r="AA129" s="1164"/>
      <c r="AB129" s="1201"/>
      <c r="AC129" s="1269"/>
      <c r="AD129" s="1258"/>
      <c r="AE129" s="1200"/>
      <c r="AF129" s="1164"/>
      <c r="AG129" s="1164"/>
      <c r="AH129" s="1164"/>
      <c r="AI129" s="1164"/>
      <c r="AJ129" s="1201"/>
      <c r="AK129" s="1342"/>
      <c r="AL129" s="1290"/>
      <c r="AM129" s="1200"/>
      <c r="AN129" s="1164"/>
      <c r="AO129" s="1164"/>
      <c r="AP129" s="1164"/>
      <c r="AQ129" s="1164"/>
      <c r="AR129" s="1201"/>
      <c r="AS129" s="1342"/>
      <c r="AT129" s="1258"/>
      <c r="AU129" s="1200"/>
      <c r="AV129" s="1164"/>
      <c r="AW129" s="1164"/>
      <c r="AX129" s="1164"/>
      <c r="AY129" s="1164"/>
      <c r="AZ129" s="1201"/>
      <c r="BA129" s="1342"/>
      <c r="BB129" s="1258"/>
      <c r="BC129" s="1200"/>
      <c r="BD129" s="1164"/>
      <c r="BE129" s="1164"/>
      <c r="BF129" s="1164"/>
      <c r="BG129" s="1164"/>
      <c r="BH129" s="1201"/>
      <c r="BI129" s="1342"/>
    </row>
    <row r="130" spans="1:65" ht="15" customHeight="1">
      <c r="A130" s="1209"/>
      <c r="B130" s="1210" t="s">
        <v>609</v>
      </c>
      <c r="C130" s="1211"/>
      <c r="D130" s="1211"/>
      <c r="E130" s="1211"/>
      <c r="F130" s="1211"/>
      <c r="G130" s="1211"/>
      <c r="H130" s="1174">
        <v>1</v>
      </c>
      <c r="I130" s="1174">
        <v>2</v>
      </c>
      <c r="J130" s="1174">
        <v>3</v>
      </c>
      <c r="K130" s="1174">
        <v>4</v>
      </c>
      <c r="L130" s="1174">
        <v>5</v>
      </c>
      <c r="M130" s="1174">
        <v>6</v>
      </c>
      <c r="N130" s="1309"/>
      <c r="O130" s="1319"/>
      <c r="P130" s="1320"/>
      <c r="Q130" s="1320"/>
      <c r="R130" s="1320"/>
      <c r="S130" s="1320"/>
      <c r="T130" s="1321"/>
      <c r="U130" s="1270"/>
      <c r="V130" s="1306"/>
      <c r="W130" s="1165"/>
      <c r="X130" s="1166"/>
      <c r="Y130" s="1166"/>
      <c r="Z130" s="1166"/>
      <c r="AA130" s="1166"/>
      <c r="AB130" s="1292"/>
      <c r="AC130" s="1270"/>
      <c r="AD130" s="1258"/>
      <c r="AE130" s="1202"/>
      <c r="AF130" s="1203"/>
      <c r="AG130" s="1203"/>
      <c r="AH130" s="1203"/>
      <c r="AI130" s="1203"/>
      <c r="AJ130" s="1204"/>
      <c r="AK130" s="1342"/>
      <c r="AL130" s="1291"/>
      <c r="AM130" s="1202"/>
      <c r="AN130" s="1203"/>
      <c r="AO130" s="1203"/>
      <c r="AP130" s="1203"/>
      <c r="AQ130" s="1203"/>
      <c r="AR130" s="1204"/>
      <c r="AS130" s="1342"/>
      <c r="AT130" s="1258"/>
      <c r="AU130" s="1202"/>
      <c r="AV130" s="1203"/>
      <c r="AW130" s="1203"/>
      <c r="AX130" s="1203"/>
      <c r="AY130" s="1203"/>
      <c r="AZ130" s="1204"/>
      <c r="BA130" s="1342"/>
      <c r="BB130" s="1258"/>
      <c r="BC130" s="1202"/>
      <c r="BD130" s="1203"/>
      <c r="BE130" s="1203"/>
      <c r="BF130" s="1203"/>
      <c r="BG130" s="1203"/>
      <c r="BH130" s="1204"/>
      <c r="BI130" s="1342"/>
    </row>
    <row r="131" spans="1:65" ht="15" customHeight="1">
      <c r="A131" s="1209"/>
      <c r="B131" s="1212"/>
      <c r="C131" s="1213"/>
      <c r="D131" s="1213"/>
      <c r="E131" s="1213"/>
      <c r="F131" s="1213"/>
      <c r="G131" s="1213"/>
      <c r="H131" s="1174"/>
      <c r="I131" s="1174"/>
      <c r="J131" s="1174"/>
      <c r="K131" s="1174"/>
      <c r="L131" s="1174"/>
      <c r="M131" s="1174"/>
      <c r="N131" s="1301">
        <v>4.4000000000000004</v>
      </c>
      <c r="O131" s="1161" t="s">
        <v>397</v>
      </c>
      <c r="P131" s="1162"/>
      <c r="Q131" s="1162"/>
      <c r="R131" s="1162"/>
      <c r="S131" s="1162"/>
      <c r="T131" s="1199"/>
      <c r="U131" s="1399" t="str">
        <f t="shared" ref="U131" si="195">IF(ISBLANK(D$5),"",1)</f>
        <v/>
      </c>
      <c r="V131" s="247"/>
      <c r="W131" s="52"/>
      <c r="AA131" s="273">
        <v>1.5</v>
      </c>
      <c r="AB131" s="240">
        <f>COUNTIF(V98:V130,AA131)</f>
        <v>1</v>
      </c>
      <c r="AC131" s="240" t="str">
        <f>IF($H$5=1,SUMIF($V$98:$V$130,AA131,$AC$98:$AC$130),"")</f>
        <v/>
      </c>
      <c r="AD131" s="1304">
        <v>4.4000000000000004</v>
      </c>
      <c r="AE131" s="1198" t="s">
        <v>878</v>
      </c>
      <c r="AF131" s="1162"/>
      <c r="AG131" s="1162"/>
      <c r="AH131" s="1162"/>
      <c r="AI131" s="1162"/>
      <c r="AJ131" s="1199"/>
      <c r="AK131" s="1226" t="str">
        <f t="shared" ref="AK131" si="196">IF(ISBLANK(L$5),"",1)</f>
        <v/>
      </c>
      <c r="AL131" s="1196">
        <v>4.4000000000000004</v>
      </c>
      <c r="AM131" s="1198" t="s">
        <v>878</v>
      </c>
      <c r="AN131" s="1162"/>
      <c r="AO131" s="1162"/>
      <c r="AP131" s="1162"/>
      <c r="AQ131" s="1162"/>
      <c r="AR131" s="1199"/>
      <c r="AS131" s="1226" t="str">
        <f t="shared" ref="AS131" si="197">IF(ISBLANK(P$5),"",1)</f>
        <v/>
      </c>
      <c r="AT131" s="1304">
        <v>4.4000000000000004</v>
      </c>
      <c r="AU131" s="1198" t="s">
        <v>878</v>
      </c>
      <c r="AV131" s="1162"/>
      <c r="AW131" s="1162"/>
      <c r="AX131" s="1162"/>
      <c r="AY131" s="1162"/>
      <c r="AZ131" s="1199"/>
      <c r="BA131" s="1226" t="str">
        <f t="shared" ref="BA131" si="198">IF(ISBLANK(T$5),"",1)</f>
        <v/>
      </c>
      <c r="BB131" s="1304">
        <v>4.4000000000000004</v>
      </c>
      <c r="BC131" s="1198" t="s">
        <v>878</v>
      </c>
      <c r="BD131" s="1162"/>
      <c r="BE131" s="1162"/>
      <c r="BF131" s="1162"/>
      <c r="BG131" s="1162"/>
      <c r="BH131" s="1199"/>
      <c r="BI131" s="1226" t="str">
        <f t="shared" ref="BI131" si="199">IF(ISBLANK(X$5),"",1)</f>
        <v/>
      </c>
    </row>
    <row r="132" spans="1:65" ht="15" customHeight="1">
      <c r="A132" s="1336">
        <v>3.1</v>
      </c>
      <c r="B132" s="1198" t="s">
        <v>366</v>
      </c>
      <c r="C132" s="1162"/>
      <c r="D132" s="1162"/>
      <c r="E132" s="1162"/>
      <c r="F132" s="1162"/>
      <c r="G132" s="1265"/>
      <c r="H132" s="1268" t="str">
        <f t="shared" ref="H132" si="200">IF(ISBLANK(D$5),"",1)</f>
        <v/>
      </c>
      <c r="I132" s="1205" t="str">
        <f t="shared" ref="I132" si="201">IF(ISBLANK(H$5),"",1)</f>
        <v/>
      </c>
      <c r="J132" s="1205" t="str">
        <f t="shared" ref="J132" si="202">IF(ISBLANK(L$5),"",1)</f>
        <v/>
      </c>
      <c r="K132" s="1205" t="str">
        <f t="shared" ref="K132" si="203">IF(ISBLANK(P$5),"",1)</f>
        <v/>
      </c>
      <c r="L132" s="1205" t="str">
        <f t="shared" ref="L132" si="204">IF(ISBLANK(T$5),"",1)</f>
        <v/>
      </c>
      <c r="M132" s="1248" t="str">
        <f t="shared" ref="M132" si="205">IF(ISBLANK(X$5),"",1)</f>
        <v/>
      </c>
      <c r="N132" s="1302"/>
      <c r="O132" s="1163"/>
      <c r="P132" s="1164"/>
      <c r="Q132" s="1164"/>
      <c r="R132" s="1164"/>
      <c r="S132" s="1164"/>
      <c r="T132" s="1201"/>
      <c r="U132" s="1269"/>
      <c r="V132" s="248"/>
      <c r="W132" s="52"/>
      <c r="AA132" s="275">
        <v>4.3</v>
      </c>
      <c r="AB132" s="240">
        <f>COUNTIF(V98:V130,AA132)</f>
        <v>4</v>
      </c>
      <c r="AC132" s="240" t="str">
        <f>IF($H$5=1,SUMIF($V$98:$V$130,AA132,$AC$98:$AC$130),"")</f>
        <v/>
      </c>
      <c r="AD132" s="1290"/>
      <c r="AE132" s="1200"/>
      <c r="AF132" s="1164"/>
      <c r="AG132" s="1164"/>
      <c r="AH132" s="1164"/>
      <c r="AI132" s="1164"/>
      <c r="AJ132" s="1201"/>
      <c r="AK132" s="1342"/>
      <c r="AL132" s="1197"/>
      <c r="AM132" s="1200"/>
      <c r="AN132" s="1164"/>
      <c r="AO132" s="1164"/>
      <c r="AP132" s="1164"/>
      <c r="AQ132" s="1164"/>
      <c r="AR132" s="1201"/>
      <c r="AS132" s="1342"/>
      <c r="AT132" s="1290"/>
      <c r="AU132" s="1200"/>
      <c r="AV132" s="1164"/>
      <c r="AW132" s="1164"/>
      <c r="AX132" s="1164"/>
      <c r="AY132" s="1164"/>
      <c r="AZ132" s="1201"/>
      <c r="BA132" s="1342"/>
      <c r="BB132" s="1290"/>
      <c r="BC132" s="1200"/>
      <c r="BD132" s="1164"/>
      <c r="BE132" s="1164"/>
      <c r="BF132" s="1164"/>
      <c r="BG132" s="1164"/>
      <c r="BH132" s="1201"/>
      <c r="BI132" s="1342"/>
    </row>
    <row r="133" spans="1:65" ht="15" customHeight="1">
      <c r="A133" s="1159"/>
      <c r="B133" s="1200"/>
      <c r="C133" s="1164"/>
      <c r="D133" s="1164"/>
      <c r="E133" s="1164"/>
      <c r="F133" s="1164"/>
      <c r="G133" s="1266"/>
      <c r="H133" s="1269"/>
      <c r="I133" s="1206"/>
      <c r="J133" s="1206"/>
      <c r="K133" s="1206"/>
      <c r="L133" s="1206"/>
      <c r="M133" s="1206"/>
      <c r="N133" s="1303"/>
      <c r="O133" s="1165"/>
      <c r="P133" s="1166"/>
      <c r="Q133" s="1166"/>
      <c r="R133" s="1166"/>
      <c r="S133" s="1166"/>
      <c r="T133" s="1292"/>
      <c r="U133" s="1270"/>
      <c r="V133" s="248"/>
      <c r="W133" s="52"/>
      <c r="AA133" s="276">
        <v>4.4000000000000004</v>
      </c>
      <c r="AB133" s="240">
        <f>COUNTIF(V98:V130,AA133)</f>
        <v>6</v>
      </c>
      <c r="AC133" s="240" t="str">
        <f>IF($H$5=1,SUMIF($V$98:$V$130,AA133,$AC$98:$AC$130),"")</f>
        <v/>
      </c>
      <c r="AD133" s="1291"/>
      <c r="AE133" s="1202"/>
      <c r="AF133" s="1203"/>
      <c r="AG133" s="1203"/>
      <c r="AH133" s="1203"/>
      <c r="AI133" s="1203"/>
      <c r="AJ133" s="1204"/>
      <c r="AK133" s="1342"/>
      <c r="AL133" s="1197"/>
      <c r="AM133" s="1202"/>
      <c r="AN133" s="1203"/>
      <c r="AO133" s="1203"/>
      <c r="AP133" s="1203"/>
      <c r="AQ133" s="1203"/>
      <c r="AR133" s="1204"/>
      <c r="AS133" s="1342"/>
      <c r="AT133" s="1291"/>
      <c r="AU133" s="1202"/>
      <c r="AV133" s="1203"/>
      <c r="AW133" s="1203"/>
      <c r="AX133" s="1203"/>
      <c r="AY133" s="1203"/>
      <c r="AZ133" s="1204"/>
      <c r="BA133" s="1342"/>
      <c r="BB133" s="1291"/>
      <c r="BC133" s="1202"/>
      <c r="BD133" s="1203"/>
      <c r="BE133" s="1203"/>
      <c r="BF133" s="1203"/>
      <c r="BG133" s="1203"/>
      <c r="BH133" s="1204"/>
      <c r="BI133" s="1342"/>
    </row>
    <row r="134" spans="1:65" ht="15" customHeight="1">
      <c r="A134" s="1160"/>
      <c r="B134" s="1200"/>
      <c r="C134" s="1164"/>
      <c r="D134" s="1164"/>
      <c r="E134" s="1164"/>
      <c r="F134" s="1164"/>
      <c r="G134" s="1266"/>
      <c r="H134" s="1270"/>
      <c r="I134" s="1207"/>
      <c r="J134" s="1207"/>
      <c r="K134" s="1207"/>
      <c r="L134" s="1207"/>
      <c r="M134" s="1207"/>
      <c r="N134" s="242"/>
      <c r="O134" s="52"/>
      <c r="Q134" s="247"/>
      <c r="S134" s="273">
        <v>1.5</v>
      </c>
      <c r="T134" s="240">
        <f>COUNTIF(N98:N133,S134)</f>
        <v>1</v>
      </c>
      <c r="U134" s="240" t="str">
        <f>IF($D$5=1,SUMIF($N$98:$N$133,S134,$U$98:$U$133),"")</f>
        <v/>
      </c>
      <c r="V134" s="242"/>
      <c r="W134" s="52"/>
      <c r="AD134" s="1307">
        <v>1.5</v>
      </c>
      <c r="AE134" s="1198" t="s">
        <v>373</v>
      </c>
      <c r="AF134" s="1162"/>
      <c r="AG134" s="1162"/>
      <c r="AH134" s="1162"/>
      <c r="AI134" s="1162"/>
      <c r="AJ134" s="1199"/>
      <c r="AK134" s="1226" t="str">
        <f t="shared" ref="AK134" si="206">IF(ISBLANK(L$5),"",1)</f>
        <v/>
      </c>
      <c r="AL134" s="1304">
        <v>1.5</v>
      </c>
      <c r="AM134" s="1198" t="s">
        <v>373</v>
      </c>
      <c r="AN134" s="1162"/>
      <c r="AO134" s="1162"/>
      <c r="AP134" s="1162"/>
      <c r="AQ134" s="1162"/>
      <c r="AR134" s="1199"/>
      <c r="AS134" s="1226" t="str">
        <f t="shared" ref="AS134" si="207">IF(ISBLANK(P$5),"",1)</f>
        <v/>
      </c>
      <c r="AT134" s="1307">
        <v>1.5</v>
      </c>
      <c r="AU134" s="1198" t="s">
        <v>373</v>
      </c>
      <c r="AV134" s="1162"/>
      <c r="AW134" s="1162"/>
      <c r="AX134" s="1162"/>
      <c r="AY134" s="1162"/>
      <c r="AZ134" s="1199"/>
      <c r="BA134" s="1226" t="str">
        <f t="shared" ref="BA134" si="208">IF(ISBLANK(T$5),"",1)</f>
        <v/>
      </c>
      <c r="BB134" s="1307">
        <v>1.5</v>
      </c>
      <c r="BC134" s="1198" t="s">
        <v>373</v>
      </c>
      <c r="BD134" s="1162"/>
      <c r="BE134" s="1162"/>
      <c r="BF134" s="1162"/>
      <c r="BG134" s="1162"/>
      <c r="BH134" s="1199"/>
      <c r="BI134" s="1226" t="str">
        <f t="shared" ref="BI134" si="209">IF(ISBLANK(X$5),"",1)</f>
        <v/>
      </c>
    </row>
    <row r="135" spans="1:65" ht="15" customHeight="1">
      <c r="A135" s="1336">
        <v>1.4</v>
      </c>
      <c r="B135" s="1198" t="s">
        <v>943</v>
      </c>
      <c r="C135" s="1162"/>
      <c r="D135" s="1162"/>
      <c r="E135" s="1162"/>
      <c r="F135" s="1162"/>
      <c r="G135" s="1265"/>
      <c r="H135" s="1268" t="str">
        <f t="shared" ref="H135" si="210">IF(ISBLANK(D$5),"",1)</f>
        <v/>
      </c>
      <c r="I135" s="1205" t="str">
        <f t="shared" ref="I135" si="211">IF(ISBLANK(H$5),"",1)</f>
        <v/>
      </c>
      <c r="J135" s="1205" t="str">
        <f t="shared" ref="J135" si="212">IF(ISBLANK(L$5),"",1)</f>
        <v/>
      </c>
      <c r="K135" s="1205" t="str">
        <f t="shared" ref="K135" si="213">IF(ISBLANK(P$5),"",1)</f>
        <v/>
      </c>
      <c r="L135" s="1205" t="str">
        <f t="shared" ref="L135" si="214">IF(ISBLANK(T$5),"",1)</f>
        <v/>
      </c>
      <c r="M135" s="1248" t="str">
        <f t="shared" ref="M135" si="215">IF(ISBLANK(X$5),"",1)</f>
        <v/>
      </c>
      <c r="N135" s="242"/>
      <c r="O135" s="52"/>
      <c r="Q135" s="248"/>
      <c r="S135" s="275">
        <v>4.3</v>
      </c>
      <c r="T135" s="240">
        <f>COUNTIF(N98:N133,S135)</f>
        <v>3</v>
      </c>
      <c r="U135" s="240" t="str">
        <f>IF($D$5=1,SUMIF($N$98:$N$133,S135,$U$98:$U$133),"")</f>
        <v/>
      </c>
      <c r="V135" s="242"/>
      <c r="W135" s="52"/>
      <c r="AD135" s="1308"/>
      <c r="AE135" s="1200"/>
      <c r="AF135" s="1164"/>
      <c r="AG135" s="1164"/>
      <c r="AH135" s="1164"/>
      <c r="AI135" s="1164"/>
      <c r="AJ135" s="1201"/>
      <c r="AK135" s="1342"/>
      <c r="AL135" s="1290"/>
      <c r="AM135" s="1200"/>
      <c r="AN135" s="1164"/>
      <c r="AO135" s="1164"/>
      <c r="AP135" s="1164"/>
      <c r="AQ135" s="1164"/>
      <c r="AR135" s="1201"/>
      <c r="AS135" s="1342"/>
      <c r="AT135" s="1308"/>
      <c r="AU135" s="1200"/>
      <c r="AV135" s="1164"/>
      <c r="AW135" s="1164"/>
      <c r="AX135" s="1164"/>
      <c r="AY135" s="1164"/>
      <c r="AZ135" s="1201"/>
      <c r="BA135" s="1342"/>
      <c r="BB135" s="1308"/>
      <c r="BC135" s="1200"/>
      <c r="BD135" s="1164"/>
      <c r="BE135" s="1164"/>
      <c r="BF135" s="1164"/>
      <c r="BG135" s="1164"/>
      <c r="BH135" s="1201"/>
      <c r="BI135" s="1342"/>
    </row>
    <row r="136" spans="1:65" ht="15" customHeight="1">
      <c r="A136" s="1159"/>
      <c r="B136" s="1200"/>
      <c r="C136" s="1164"/>
      <c r="D136" s="1164"/>
      <c r="E136" s="1164"/>
      <c r="F136" s="1164"/>
      <c r="G136" s="1266"/>
      <c r="H136" s="1269"/>
      <c r="I136" s="1206"/>
      <c r="J136" s="1206"/>
      <c r="K136" s="1206"/>
      <c r="L136" s="1206"/>
      <c r="M136" s="1206"/>
      <c r="N136" s="242"/>
      <c r="O136" s="52"/>
      <c r="Q136" s="248"/>
      <c r="S136" s="276">
        <v>4.4000000000000004</v>
      </c>
      <c r="T136" s="240">
        <f>COUNTIF(N98:N133,S136)</f>
        <v>8</v>
      </c>
      <c r="U136" s="240" t="str">
        <f>IF($D$5=1,SUMIF($N$98:$N$133,S136,$U$98:$U$133),"")</f>
        <v/>
      </c>
      <c r="W136" s="52"/>
      <c r="AD136" s="1309"/>
      <c r="AE136" s="1202"/>
      <c r="AF136" s="1203"/>
      <c r="AG136" s="1203"/>
      <c r="AH136" s="1203"/>
      <c r="AI136" s="1203"/>
      <c r="AJ136" s="1204"/>
      <c r="AK136" s="1342"/>
      <c r="AL136" s="1291"/>
      <c r="AM136" s="1202"/>
      <c r="AN136" s="1203"/>
      <c r="AO136" s="1203"/>
      <c r="AP136" s="1203"/>
      <c r="AQ136" s="1203"/>
      <c r="AR136" s="1204"/>
      <c r="AS136" s="1342"/>
      <c r="AT136" s="1309"/>
      <c r="AU136" s="1202"/>
      <c r="AV136" s="1203"/>
      <c r="AW136" s="1203"/>
      <c r="AX136" s="1203"/>
      <c r="AY136" s="1203"/>
      <c r="AZ136" s="1204"/>
      <c r="BA136" s="1342"/>
      <c r="BB136" s="1309"/>
      <c r="BC136" s="1202"/>
      <c r="BD136" s="1203"/>
      <c r="BE136" s="1203"/>
      <c r="BF136" s="1203"/>
      <c r="BG136" s="1203"/>
      <c r="BH136" s="1204"/>
      <c r="BI136" s="1342"/>
    </row>
    <row r="137" spans="1:65" ht="15" customHeight="1">
      <c r="A137" s="1160"/>
      <c r="B137" s="1200"/>
      <c r="C137" s="1164"/>
      <c r="D137" s="1164"/>
      <c r="E137" s="1164"/>
      <c r="F137" s="1164"/>
      <c r="G137" s="1266"/>
      <c r="H137" s="1270"/>
      <c r="I137" s="1207"/>
      <c r="J137" s="1207"/>
      <c r="K137" s="1207"/>
      <c r="L137" s="1207"/>
      <c r="M137" s="1207"/>
      <c r="N137" s="242"/>
      <c r="O137" s="52"/>
      <c r="Q137" s="248"/>
      <c r="S137" s="332"/>
      <c r="T137" s="332"/>
      <c r="U137" s="332"/>
      <c r="W137" s="52"/>
      <c r="AD137" s="1307">
        <v>4.4000000000000004</v>
      </c>
      <c r="AE137" s="1198" t="s">
        <v>397</v>
      </c>
      <c r="AF137" s="1162"/>
      <c r="AG137" s="1162"/>
      <c r="AH137" s="1162"/>
      <c r="AI137" s="1162"/>
      <c r="AJ137" s="1199"/>
      <c r="AK137" s="1226" t="str">
        <f t="shared" ref="AK137" si="216">IF(ISBLANK(L$5),"",1)</f>
        <v/>
      </c>
      <c r="AM137" s="242"/>
      <c r="AO137" s="52"/>
      <c r="AQ137" s="273">
        <v>1.5</v>
      </c>
      <c r="AR137" s="240">
        <f>COUNTIF($AL$98:$AL$136,AQ137)</f>
        <v>1</v>
      </c>
      <c r="AS137" s="240" t="str">
        <f>IF($P$5=1,SUMIF($AL$98:$AL$136,AQ137,$AS$98:$AS$136),"")</f>
        <v/>
      </c>
      <c r="AT137" s="1307">
        <v>4.4000000000000004</v>
      </c>
      <c r="AU137" s="1198" t="s">
        <v>397</v>
      </c>
      <c r="AV137" s="1162"/>
      <c r="AW137" s="1162"/>
      <c r="AX137" s="1162"/>
      <c r="AY137" s="1162"/>
      <c r="AZ137" s="1199"/>
      <c r="BA137" s="1226" t="str">
        <f t="shared" ref="BA137" si="217">IF(ISBLANK(T$5),"",1)</f>
        <v/>
      </c>
      <c r="BB137" s="1307">
        <v>4.4000000000000004</v>
      </c>
      <c r="BC137" s="1198" t="s">
        <v>397</v>
      </c>
      <c r="BD137" s="1162"/>
      <c r="BE137" s="1162"/>
      <c r="BF137" s="1162"/>
      <c r="BG137" s="1162"/>
      <c r="BH137" s="1199"/>
      <c r="BI137" s="1226" t="str">
        <f t="shared" ref="BI137" si="218">IF(ISBLANK(X$5),"",1)</f>
        <v/>
      </c>
    </row>
    <row r="138" spans="1:65" ht="15" customHeight="1">
      <c r="A138" s="1168" t="s">
        <v>637</v>
      </c>
      <c r="B138" s="1168"/>
      <c r="C138" s="1168"/>
      <c r="D138" s="1168"/>
      <c r="E138" s="1169"/>
      <c r="F138" s="614">
        <v>3.1</v>
      </c>
      <c r="G138" s="620">
        <f>COUNTIF($A$132:$A$137,F138)</f>
        <v>1</v>
      </c>
      <c r="H138" s="240" t="str">
        <f>IF($D$5=1,SUMIF($A$132:$A$137,$F138,H132:H137),"")</f>
        <v/>
      </c>
      <c r="I138" s="240" t="str">
        <f>IF($H$5=1,SUMIF($A$132:$A$137,$F138,$I$132:$I$137),"")</f>
        <v/>
      </c>
      <c r="J138" s="240" t="str">
        <f>IF($L$5=1,SUMIF($A$132:$A$137,$F138,$J$132:$J$137),"")</f>
        <v/>
      </c>
      <c r="K138" s="240" t="str">
        <f>IF($P$5=1,SUMIF($A$132:$A$137,$F138,$K$132:$K$137),"")</f>
        <v/>
      </c>
      <c r="L138" s="240" t="str">
        <f>IF($T$5=1,SUMIF($A$132:$A$137,$F138,$L$132:$L$137),"")</f>
        <v/>
      </c>
      <c r="M138" s="240" t="str">
        <f>IF($X$5=1,SUMIF($A$132:$A$137,$F138,$M$132:$M$137),"")</f>
        <v/>
      </c>
      <c r="N138" s="332"/>
      <c r="O138" s="332"/>
      <c r="P138" s="332"/>
      <c r="Q138" s="332"/>
      <c r="R138" s="332"/>
      <c r="S138" s="332"/>
      <c r="T138" s="332"/>
      <c r="U138" s="332"/>
      <c r="W138" s="52"/>
      <c r="AD138" s="1308"/>
      <c r="AE138" s="1200"/>
      <c r="AF138" s="1164"/>
      <c r="AG138" s="1164"/>
      <c r="AH138" s="1164"/>
      <c r="AI138" s="1164"/>
      <c r="AJ138" s="1201"/>
      <c r="AK138" s="1342"/>
      <c r="AM138" s="242"/>
      <c r="AO138" s="52"/>
      <c r="AQ138" s="274">
        <v>4.3</v>
      </c>
      <c r="AR138" s="240">
        <f t="shared" ref="AR138:AR139" si="219">COUNTIF($AL$98:$AL$136,AQ138)</f>
        <v>4</v>
      </c>
      <c r="AS138" s="240" t="str">
        <f>IF($P$5=1,SUMIF($AL$98:$AL$136,AQ138,$AS$98:$AS$136),"")</f>
        <v/>
      </c>
      <c r="AT138" s="1308"/>
      <c r="AU138" s="1200"/>
      <c r="AV138" s="1164"/>
      <c r="AW138" s="1164"/>
      <c r="AX138" s="1164"/>
      <c r="AY138" s="1164"/>
      <c r="AZ138" s="1201"/>
      <c r="BA138" s="1342"/>
      <c r="BB138" s="1308"/>
      <c r="BC138" s="1200"/>
      <c r="BD138" s="1164"/>
      <c r="BE138" s="1164"/>
      <c r="BF138" s="1164"/>
      <c r="BG138" s="1164"/>
      <c r="BH138" s="1201"/>
      <c r="BI138" s="1342"/>
    </row>
    <row r="139" spans="1:65" ht="15" customHeight="1">
      <c r="F139" s="614">
        <v>1.4</v>
      </c>
      <c r="G139" s="620">
        <f>COUNTIF($A$132:$A$137,F139)</f>
        <v>1</v>
      </c>
      <c r="H139" s="240" t="str">
        <f>IF($D$5=1,SUMIF($A$132:$A$137,$F139,H133:H138),"")</f>
        <v/>
      </c>
      <c r="I139" s="240" t="str">
        <f>IF($H$5=1,SUMIF($A$132:$A$137,$F139,$I$132:$I$137),"")</f>
        <v/>
      </c>
      <c r="J139" s="240" t="str">
        <f>IF($L$5=1,SUMIF($A$132:$A$137,$F139,$J$132:$J$137),"")</f>
        <v/>
      </c>
      <c r="K139" s="240" t="str">
        <f>IF($P$5=1,SUMIF($A$132:$A$137,$F139,$K$132:$K$137),"")</f>
        <v/>
      </c>
      <c r="L139" s="240" t="str">
        <f>IF($T$5=1,SUMIF($A$132:$A$137,$F139,$L$132:$L$137),"")</f>
        <v/>
      </c>
      <c r="M139" s="240" t="str">
        <f>IF($X$5=1,SUMIF($A$132:$A$137,$F139,$M$132:$M$137),"")</f>
        <v/>
      </c>
      <c r="N139" s="332"/>
      <c r="O139" s="332"/>
      <c r="P139" s="332"/>
      <c r="Q139" s="332"/>
      <c r="R139" s="332"/>
      <c r="S139" s="332"/>
      <c r="T139" s="332"/>
      <c r="U139" s="332"/>
      <c r="W139" s="52"/>
      <c r="AD139" s="1309"/>
      <c r="AE139" s="1202"/>
      <c r="AF139" s="1203"/>
      <c r="AG139" s="1203"/>
      <c r="AH139" s="1203"/>
      <c r="AI139" s="1203"/>
      <c r="AJ139" s="1204"/>
      <c r="AK139" s="1342"/>
      <c r="AM139" s="242"/>
      <c r="AO139" s="52"/>
      <c r="AQ139" s="274">
        <v>4.4000000000000004</v>
      </c>
      <c r="AR139" s="240">
        <f t="shared" si="219"/>
        <v>8</v>
      </c>
      <c r="AS139" s="240" t="str">
        <f>IF($P$5=1,SUMIF($AL$98:$AL$136,AQ139,$AS$98:$AS$136),"")</f>
        <v/>
      </c>
      <c r="AT139" s="1309"/>
      <c r="AU139" s="1202"/>
      <c r="AV139" s="1203"/>
      <c r="AW139" s="1203"/>
      <c r="AX139" s="1203"/>
      <c r="AY139" s="1203"/>
      <c r="AZ139" s="1204"/>
      <c r="BA139" s="1342"/>
      <c r="BB139" s="1309"/>
      <c r="BC139" s="1202"/>
      <c r="BD139" s="1203"/>
      <c r="BE139" s="1203"/>
      <c r="BF139" s="1203"/>
      <c r="BG139" s="1203"/>
      <c r="BH139" s="1204"/>
      <c r="BI139" s="1342"/>
    </row>
    <row r="140" spans="1:65" ht="15" customHeight="1">
      <c r="N140" s="332"/>
      <c r="O140" s="332"/>
      <c r="P140" s="332"/>
      <c r="Q140" s="332"/>
      <c r="R140" s="332"/>
      <c r="S140" s="332"/>
      <c r="T140" s="332"/>
      <c r="U140" s="332"/>
      <c r="W140" s="52"/>
      <c r="AD140" s="242"/>
      <c r="AF140" s="52"/>
      <c r="AG140" s="247"/>
      <c r="AI140" s="273">
        <v>1.5</v>
      </c>
      <c r="AJ140" s="240">
        <f>COUNTIF(AD98:AD139,AI140)</f>
        <v>1</v>
      </c>
      <c r="AK140" s="240" t="str">
        <f>IF($L$5=1,SUMIF($AD$98:$AD$139,AI140,$AK$98:$AK$139),"")</f>
        <v/>
      </c>
      <c r="AM140" s="242"/>
      <c r="AO140" s="52"/>
      <c r="AV140" s="242"/>
      <c r="AY140" s="273">
        <v>1.5</v>
      </c>
      <c r="AZ140" s="240">
        <f>COUNTIF($AT$98:$AT$139,AY140)</f>
        <v>1</v>
      </c>
      <c r="BA140" s="240" t="str">
        <f>IF($T$5=1,SUMIF($AT$98:$AT$139,AY140,$BA$98:$BA$139),"")</f>
        <v/>
      </c>
      <c r="BE140" s="242"/>
      <c r="BG140" s="273">
        <v>1.5</v>
      </c>
      <c r="BH140" s="240">
        <f>COUNTIF($BB$98:$BB$139,BG140)</f>
        <v>1</v>
      </c>
      <c r="BI140" s="240" t="str">
        <f>IF($X$5=1,SUMIF($BB$98:$BB$139,BG140,$BI$98:$BI$139),"")</f>
        <v/>
      </c>
    </row>
    <row r="141" spans="1:65" ht="15" customHeight="1">
      <c r="N141" s="332"/>
      <c r="O141" s="332"/>
      <c r="P141" s="332"/>
      <c r="Q141" s="332"/>
      <c r="R141" s="332"/>
      <c r="S141" s="332"/>
      <c r="T141" s="332"/>
      <c r="U141" s="332"/>
      <c r="W141" s="52"/>
      <c r="AD141" s="242"/>
      <c r="AF141" s="52"/>
      <c r="AG141" s="248"/>
      <c r="AI141" s="274">
        <v>4.3</v>
      </c>
      <c r="AJ141" s="240">
        <f>COUNTIF(AD98:AD139,AI141)</f>
        <v>6</v>
      </c>
      <c r="AK141" s="240" t="str">
        <f>IF($L$5=1,SUMIF($AD$98:$AD$139,AI141,$AK$98:$AK$139),"")</f>
        <v/>
      </c>
      <c r="AM141" s="242"/>
      <c r="AO141" s="52"/>
      <c r="AV141" s="242"/>
      <c r="AY141" s="274">
        <v>4.3</v>
      </c>
      <c r="AZ141" s="240">
        <f t="shared" ref="AZ141:AZ142" si="220">COUNTIF($AT$98:$AT$139,AY141)</f>
        <v>6</v>
      </c>
      <c r="BA141" s="240" t="str">
        <f>IF($T$5=1,SUMIF($AT$98:$AT$139,AY141,$BA$98:$BA$139),"")</f>
        <v/>
      </c>
      <c r="BE141" s="242"/>
      <c r="BG141" s="274">
        <v>4.3</v>
      </c>
      <c r="BH141" s="240">
        <f t="shared" ref="BH141:BH142" si="221">COUNTIF($BB$98:$BB$139,BG141)</f>
        <v>6</v>
      </c>
      <c r="BI141" s="240" t="str">
        <f>IF($X$5=1,SUMIF($BB$98:$BB$139,BG141,$BI$98:$BI$139),"")</f>
        <v/>
      </c>
    </row>
    <row r="142" spans="1:65" ht="15" customHeight="1">
      <c r="N142" s="332"/>
      <c r="O142" s="332"/>
      <c r="P142" s="332"/>
      <c r="Q142" s="332"/>
      <c r="R142" s="332"/>
      <c r="S142" s="332"/>
      <c r="T142" s="332"/>
      <c r="U142" s="332"/>
      <c r="W142" s="52"/>
      <c r="AD142" s="242"/>
      <c r="AF142" s="52"/>
      <c r="AG142" s="248"/>
      <c r="AI142" s="274">
        <v>4.4000000000000004</v>
      </c>
      <c r="AJ142" s="240">
        <f>COUNTIF(AD98:AD139,AI142)</f>
        <v>7</v>
      </c>
      <c r="AK142" s="240" t="str">
        <f>IF($L$5=1,SUMIF($AD$98:$AD$139,AI142,$AK$98:$AK$139),"")</f>
        <v/>
      </c>
      <c r="AM142" s="242"/>
      <c r="AO142" s="52"/>
      <c r="AV142" s="242"/>
      <c r="AY142" s="274">
        <v>4.4000000000000004</v>
      </c>
      <c r="AZ142" s="240">
        <f t="shared" si="220"/>
        <v>7</v>
      </c>
      <c r="BA142" s="240" t="str">
        <f>IF($T$5=1,SUMIF($AT$98:$AT$139,AY142,$BA$98:$BA$139),"")</f>
        <v/>
      </c>
      <c r="BE142" s="242"/>
      <c r="BG142" s="274">
        <v>4.4000000000000004</v>
      </c>
      <c r="BH142" s="240">
        <f t="shared" si="221"/>
        <v>7</v>
      </c>
      <c r="BI142" s="240" t="str">
        <f>IF($X$5=1,SUMIF($BB$98:$BB$139,BG142,$BI$98:$BI$139),"")</f>
        <v/>
      </c>
    </row>
    <row r="143" spans="1:65" ht="15" customHeight="1">
      <c r="A143" s="1171" t="s">
        <v>17</v>
      </c>
      <c r="B143" s="1171"/>
      <c r="C143" s="1171"/>
      <c r="D143" s="1171"/>
      <c r="E143" s="1171"/>
      <c r="F143" s="1171"/>
      <c r="G143" s="1171"/>
      <c r="H143" s="1171"/>
      <c r="I143" s="1171"/>
      <c r="J143" s="1171"/>
      <c r="K143" s="1171"/>
      <c r="L143" s="1171"/>
      <c r="M143" s="1171"/>
      <c r="N143" s="1171"/>
      <c r="O143" s="1171"/>
      <c r="P143" s="1171"/>
      <c r="Q143" s="1171"/>
      <c r="R143" s="1171"/>
      <c r="S143" s="1171"/>
      <c r="T143" s="1171"/>
      <c r="U143" s="1171"/>
      <c r="V143" s="1171"/>
      <c r="W143" s="1171"/>
      <c r="X143" s="1171"/>
      <c r="Y143" s="1171"/>
      <c r="Z143" s="1171"/>
      <c r="AA143" s="1171"/>
      <c r="AB143" s="1171"/>
      <c r="AC143" s="1171"/>
      <c r="AD143" s="117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row>
    <row r="144" spans="1:65" ht="15" customHeight="1">
      <c r="A144" s="1275"/>
      <c r="B144" s="1275"/>
      <c r="C144" s="1275"/>
      <c r="D144" s="1275"/>
      <c r="E144" s="1275"/>
      <c r="F144" s="1275"/>
      <c r="G144" s="1275"/>
      <c r="H144" s="1275"/>
      <c r="I144" s="1275"/>
      <c r="J144" s="1275"/>
      <c r="K144" s="1275"/>
      <c r="L144" s="1275"/>
      <c r="M144" s="1275"/>
      <c r="N144" s="1275"/>
      <c r="O144" s="1275"/>
      <c r="P144" s="1275"/>
      <c r="Q144" s="1275"/>
      <c r="R144" s="1275"/>
      <c r="S144" s="1275"/>
      <c r="T144" s="1275"/>
      <c r="U144" s="1275"/>
      <c r="V144" s="1275"/>
      <c r="W144" s="1275"/>
      <c r="X144" s="1275"/>
      <c r="Y144" s="1275"/>
      <c r="Z144" s="1275"/>
      <c r="AA144" s="1275"/>
      <c r="AB144" s="1275"/>
      <c r="AC144" s="1275"/>
      <c r="AD144" s="1275"/>
      <c r="AE144" s="1275"/>
      <c r="AF144" s="1275"/>
      <c r="AG144" s="1275"/>
      <c r="AH144" s="1275"/>
      <c r="AI144" s="1275"/>
      <c r="AJ144" s="1275"/>
      <c r="AK144" s="1275"/>
      <c r="AL144" s="1275"/>
      <c r="AM144" s="1275"/>
      <c r="AN144" s="1275"/>
      <c r="AO144" s="1275"/>
      <c r="AP144" s="1275"/>
      <c r="AQ144" s="1275"/>
      <c r="AR144" s="1275"/>
      <c r="AS144" s="1275"/>
      <c r="AT144" s="1275"/>
      <c r="AU144" s="1275"/>
      <c r="AV144" s="1275"/>
      <c r="AW144" s="1275"/>
      <c r="AX144" s="1275"/>
      <c r="AY144" s="1275"/>
      <c r="AZ144" s="1275"/>
      <c r="BA144" s="1275"/>
      <c r="BB144" s="1275"/>
      <c r="BC144" s="1275"/>
      <c r="BD144" s="1275"/>
      <c r="BE144" s="1275"/>
      <c r="BF144" s="1275"/>
      <c r="BG144" s="1275"/>
      <c r="BH144" s="1275"/>
      <c r="BI144" s="1275"/>
      <c r="BJ144" s="1275"/>
      <c r="BK144" s="1275"/>
      <c r="BL144" s="1275"/>
      <c r="BM144" s="1275"/>
    </row>
    <row r="145" spans="1:67" ht="15" customHeight="1">
      <c r="A145" s="1172"/>
      <c r="B145" s="1173" t="s">
        <v>608</v>
      </c>
      <c r="C145" s="1173"/>
      <c r="D145" s="1173"/>
      <c r="E145" s="1173"/>
      <c r="F145" s="1173"/>
      <c r="G145" s="1173"/>
      <c r="H145" s="1343">
        <v>7</v>
      </c>
      <c r="I145" s="1174">
        <v>8</v>
      </c>
      <c r="J145" s="1343">
        <v>9</v>
      </c>
      <c r="K145" s="1174">
        <v>10</v>
      </c>
      <c r="L145" s="1343">
        <v>11</v>
      </c>
      <c r="M145" s="1174">
        <v>12</v>
      </c>
      <c r="N145" s="1283"/>
      <c r="O145" s="1773" t="s">
        <v>915</v>
      </c>
      <c r="P145" s="1774"/>
      <c r="Q145" s="1774"/>
      <c r="R145" s="1774"/>
      <c r="S145" s="1774"/>
      <c r="T145" s="1774"/>
      <c r="U145" s="1775"/>
      <c r="V145" s="1285"/>
      <c r="W145" s="1437" t="s">
        <v>916</v>
      </c>
      <c r="X145" s="1438"/>
      <c r="Y145" s="1438"/>
      <c r="Z145" s="1438"/>
      <c r="AA145" s="1438"/>
      <c r="AB145" s="1438"/>
      <c r="AC145" s="1439"/>
      <c r="AD145" s="1287"/>
      <c r="AE145" s="1400" t="s">
        <v>917</v>
      </c>
      <c r="AF145" s="1401"/>
      <c r="AG145" s="1401"/>
      <c r="AH145" s="1401"/>
      <c r="AI145" s="1401"/>
      <c r="AJ145" s="1401"/>
      <c r="AK145" s="1402"/>
      <c r="AL145" s="1278"/>
      <c r="AM145" s="1409" t="s">
        <v>918</v>
      </c>
      <c r="AN145" s="1410"/>
      <c r="AO145" s="1410"/>
      <c r="AP145" s="1410"/>
      <c r="AQ145" s="1410"/>
      <c r="AR145" s="1410"/>
      <c r="AS145" s="1411"/>
      <c r="AT145" s="1418"/>
      <c r="AU145" s="1611" t="s">
        <v>919</v>
      </c>
      <c r="AV145" s="1612"/>
      <c r="AW145" s="1612"/>
      <c r="AX145" s="1612"/>
      <c r="AY145" s="1612"/>
      <c r="AZ145" s="1612"/>
      <c r="BA145" s="1613"/>
      <c r="BB145" s="1421"/>
      <c r="BC145" s="1424" t="s">
        <v>920</v>
      </c>
      <c r="BD145" s="1425"/>
      <c r="BE145" s="1425"/>
      <c r="BF145" s="1425"/>
      <c r="BG145" s="1425"/>
      <c r="BH145" s="1425"/>
      <c r="BI145" s="1426"/>
      <c r="BJ145" s="1182" t="s">
        <v>263</v>
      </c>
      <c r="BK145" s="1183"/>
      <c r="BL145" s="1183"/>
      <c r="BM145" s="1183"/>
      <c r="BN145" s="1183"/>
      <c r="BO145" s="1184"/>
    </row>
    <row r="146" spans="1:67" ht="15" customHeight="1">
      <c r="A146" s="1172"/>
      <c r="B146" s="1173"/>
      <c r="C146" s="1173"/>
      <c r="D146" s="1173"/>
      <c r="E146" s="1173"/>
      <c r="F146" s="1173"/>
      <c r="G146" s="1173"/>
      <c r="H146" s="1344"/>
      <c r="I146" s="1174"/>
      <c r="J146" s="1344"/>
      <c r="K146" s="1174"/>
      <c r="L146" s="1344"/>
      <c r="M146" s="1174"/>
      <c r="N146" s="1283"/>
      <c r="O146" s="1776"/>
      <c r="P146" s="1777"/>
      <c r="Q146" s="1777"/>
      <c r="R146" s="1777"/>
      <c r="S146" s="1777"/>
      <c r="T146" s="1777"/>
      <c r="U146" s="1778"/>
      <c r="V146" s="1285"/>
      <c r="W146" s="1440"/>
      <c r="X146" s="1441"/>
      <c r="Y146" s="1441"/>
      <c r="Z146" s="1441"/>
      <c r="AA146" s="1441"/>
      <c r="AB146" s="1441"/>
      <c r="AC146" s="1442"/>
      <c r="AD146" s="1287"/>
      <c r="AE146" s="1403"/>
      <c r="AF146" s="1404"/>
      <c r="AG146" s="1404"/>
      <c r="AH146" s="1404"/>
      <c r="AI146" s="1404"/>
      <c r="AJ146" s="1404"/>
      <c r="AK146" s="1405"/>
      <c r="AL146" s="1278"/>
      <c r="AM146" s="1412"/>
      <c r="AN146" s="1413"/>
      <c r="AO146" s="1413"/>
      <c r="AP146" s="1413"/>
      <c r="AQ146" s="1413"/>
      <c r="AR146" s="1413"/>
      <c r="AS146" s="1414"/>
      <c r="AT146" s="1419"/>
      <c r="AU146" s="1614"/>
      <c r="AV146" s="1615"/>
      <c r="AW146" s="1615"/>
      <c r="AX146" s="1615"/>
      <c r="AY146" s="1615"/>
      <c r="AZ146" s="1615"/>
      <c r="BA146" s="1616"/>
      <c r="BB146" s="1422"/>
      <c r="BC146" s="1427"/>
      <c r="BD146" s="1428"/>
      <c r="BE146" s="1428"/>
      <c r="BF146" s="1428"/>
      <c r="BG146" s="1428"/>
      <c r="BH146" s="1428"/>
      <c r="BI146" s="1429"/>
      <c r="BJ146" s="1219"/>
      <c r="BK146" s="1220"/>
      <c r="BL146" s="1220"/>
      <c r="BM146" s="1220"/>
      <c r="BN146" s="1220"/>
      <c r="BO146" s="1221"/>
    </row>
    <row r="147" spans="1:67" ht="15" customHeight="1">
      <c r="A147" s="1172"/>
      <c r="B147" s="1173"/>
      <c r="C147" s="1173"/>
      <c r="D147" s="1173"/>
      <c r="E147" s="1173"/>
      <c r="F147" s="1173"/>
      <c r="G147" s="1173"/>
      <c r="H147" s="1345"/>
      <c r="I147" s="1174"/>
      <c r="J147" s="1345"/>
      <c r="K147" s="1174"/>
      <c r="L147" s="1345"/>
      <c r="M147" s="1174"/>
      <c r="N147" s="1283"/>
      <c r="O147" s="1779"/>
      <c r="P147" s="1780"/>
      <c r="Q147" s="1780"/>
      <c r="R147" s="1780"/>
      <c r="S147" s="1780"/>
      <c r="T147" s="1780"/>
      <c r="U147" s="1781"/>
      <c r="V147" s="1285"/>
      <c r="W147" s="1443"/>
      <c r="X147" s="1444"/>
      <c r="Y147" s="1444"/>
      <c r="Z147" s="1444"/>
      <c r="AA147" s="1444"/>
      <c r="AB147" s="1444"/>
      <c r="AC147" s="1445"/>
      <c r="AD147" s="1287"/>
      <c r="AE147" s="1406"/>
      <c r="AF147" s="1407"/>
      <c r="AG147" s="1407"/>
      <c r="AH147" s="1407"/>
      <c r="AI147" s="1407"/>
      <c r="AJ147" s="1407"/>
      <c r="AK147" s="1408"/>
      <c r="AL147" s="1278"/>
      <c r="AM147" s="1415"/>
      <c r="AN147" s="1416"/>
      <c r="AO147" s="1416"/>
      <c r="AP147" s="1416"/>
      <c r="AQ147" s="1416"/>
      <c r="AR147" s="1416"/>
      <c r="AS147" s="1417"/>
      <c r="AT147" s="1420"/>
      <c r="AU147" s="1617"/>
      <c r="AV147" s="1618"/>
      <c r="AW147" s="1618"/>
      <c r="AX147" s="1618"/>
      <c r="AY147" s="1618"/>
      <c r="AZ147" s="1618"/>
      <c r="BA147" s="1619"/>
      <c r="BB147" s="1423"/>
      <c r="BC147" s="1430"/>
      <c r="BD147" s="1431"/>
      <c r="BE147" s="1431"/>
      <c r="BF147" s="1431"/>
      <c r="BG147" s="1431"/>
      <c r="BH147" s="1431"/>
      <c r="BI147" s="1432"/>
      <c r="BJ147" s="1337"/>
      <c r="BK147" s="1338"/>
      <c r="BL147" s="1338"/>
      <c r="BM147" s="1338"/>
      <c r="BN147" s="1338"/>
      <c r="BO147" s="1339"/>
    </row>
    <row r="148" spans="1:67" ht="15" customHeight="1">
      <c r="A148" s="1307">
        <v>1.1000000000000001</v>
      </c>
      <c r="B148" s="1161" t="s">
        <v>941</v>
      </c>
      <c r="C148" s="1162"/>
      <c r="D148" s="1162"/>
      <c r="E148" s="1162"/>
      <c r="F148" s="1162"/>
      <c r="G148" s="1199"/>
      <c r="H148" s="1205" t="str">
        <f>IF(ISBLANK(AB$5),"",1)</f>
        <v/>
      </c>
      <c r="I148" s="1205" t="str">
        <f>IF(ISBLANK(AF$5),"",1)</f>
        <v/>
      </c>
      <c r="J148" s="1205" t="str">
        <f>IF(ISBLANK(AJ$5),"",1)</f>
        <v/>
      </c>
      <c r="K148" s="1205" t="str">
        <f>IF(ISBLANK(AN$5),"",1)</f>
        <v/>
      </c>
      <c r="L148" s="1205" t="str">
        <f>IF(ISBLANK(AR$5),"",1)</f>
        <v/>
      </c>
      <c r="M148" s="1205" t="str">
        <f>IF(ISBLANK(AV$5),"",1)</f>
        <v/>
      </c>
      <c r="N148" s="1322">
        <v>4.3</v>
      </c>
      <c r="O148" s="1198" t="s">
        <v>387</v>
      </c>
      <c r="P148" s="1162"/>
      <c r="Q148" s="1162"/>
      <c r="R148" s="1162"/>
      <c r="S148" s="1162"/>
      <c r="T148" s="1265"/>
      <c r="U148" s="1205" t="str">
        <f>IF(ISBLANK(AB$5),"",1)</f>
        <v/>
      </c>
      <c r="V148" s="1322">
        <v>4.3</v>
      </c>
      <c r="W148" s="1198" t="s">
        <v>387</v>
      </c>
      <c r="X148" s="1162"/>
      <c r="Y148" s="1162"/>
      <c r="Z148" s="1162"/>
      <c r="AA148" s="1162"/>
      <c r="AB148" s="1265"/>
      <c r="AC148" s="1205" t="str">
        <f>IF(ISBLANK(AF$5),"",1)</f>
        <v/>
      </c>
      <c r="AD148" s="1258">
        <v>4.3</v>
      </c>
      <c r="AE148" s="1198" t="s">
        <v>409</v>
      </c>
      <c r="AF148" s="1162"/>
      <c r="AG148" s="1162"/>
      <c r="AH148" s="1162"/>
      <c r="AI148" s="1162"/>
      <c r="AJ148" s="1265"/>
      <c r="AK148" s="1205" t="str">
        <f>IF(ISBLANK(AJ$5),"",1)</f>
        <v/>
      </c>
      <c r="AL148" s="1258">
        <v>4.3</v>
      </c>
      <c r="AM148" s="1198" t="s">
        <v>387</v>
      </c>
      <c r="AN148" s="1162"/>
      <c r="AO148" s="1162"/>
      <c r="AP148" s="1162"/>
      <c r="AQ148" s="1162"/>
      <c r="AR148" s="1265"/>
      <c r="AS148" s="1205" t="str">
        <f>IF(ISBLANK(AN$5),"",1)</f>
        <v/>
      </c>
      <c r="AT148" s="1258">
        <v>4.3</v>
      </c>
      <c r="AU148" s="1198" t="s">
        <v>398</v>
      </c>
      <c r="AV148" s="1162"/>
      <c r="AW148" s="1162"/>
      <c r="AX148" s="1162"/>
      <c r="AY148" s="1162"/>
      <c r="AZ148" s="1199"/>
      <c r="BA148" s="1226" t="str">
        <f>IF(ISBLANK(AR$5),"",1)</f>
        <v/>
      </c>
      <c r="BB148" s="1258">
        <v>4.3</v>
      </c>
      <c r="BC148" s="1198" t="s">
        <v>398</v>
      </c>
      <c r="BD148" s="1162"/>
      <c r="BE148" s="1162"/>
      <c r="BF148" s="1162"/>
      <c r="BG148" s="1162"/>
      <c r="BH148" s="1199"/>
      <c r="BI148" s="1226" t="str">
        <f>IF(ISBLANK(AV$5),"",1)</f>
        <v/>
      </c>
      <c r="BJ148" s="1337"/>
      <c r="BK148" s="1338"/>
      <c r="BL148" s="1338"/>
      <c r="BM148" s="1338"/>
      <c r="BN148" s="1338"/>
      <c r="BO148" s="1339"/>
    </row>
    <row r="149" spans="1:67" ht="15" customHeight="1">
      <c r="A149" s="1308"/>
      <c r="B149" s="1163"/>
      <c r="C149" s="1164"/>
      <c r="D149" s="1164"/>
      <c r="E149" s="1164"/>
      <c r="F149" s="1164"/>
      <c r="G149" s="1201"/>
      <c r="H149" s="1206"/>
      <c r="I149" s="1206"/>
      <c r="J149" s="1206"/>
      <c r="K149" s="1206"/>
      <c r="L149" s="1206"/>
      <c r="M149" s="1206"/>
      <c r="N149" s="1293"/>
      <c r="O149" s="1200"/>
      <c r="P149" s="1164"/>
      <c r="Q149" s="1164"/>
      <c r="R149" s="1164"/>
      <c r="S149" s="1164"/>
      <c r="T149" s="1266"/>
      <c r="U149" s="1206"/>
      <c r="V149" s="1293"/>
      <c r="W149" s="1200"/>
      <c r="X149" s="1164"/>
      <c r="Y149" s="1164"/>
      <c r="Z149" s="1164"/>
      <c r="AA149" s="1164"/>
      <c r="AB149" s="1266"/>
      <c r="AC149" s="1206"/>
      <c r="AD149" s="1258"/>
      <c r="AE149" s="1200"/>
      <c r="AF149" s="1164"/>
      <c r="AG149" s="1164"/>
      <c r="AH149" s="1164"/>
      <c r="AI149" s="1164"/>
      <c r="AJ149" s="1266"/>
      <c r="AK149" s="1206"/>
      <c r="AL149" s="1258"/>
      <c r="AM149" s="1200"/>
      <c r="AN149" s="1164"/>
      <c r="AO149" s="1164"/>
      <c r="AP149" s="1164"/>
      <c r="AQ149" s="1164"/>
      <c r="AR149" s="1266"/>
      <c r="AS149" s="1206"/>
      <c r="AT149" s="1258"/>
      <c r="AU149" s="1200"/>
      <c r="AV149" s="1164"/>
      <c r="AW149" s="1164"/>
      <c r="AX149" s="1164"/>
      <c r="AY149" s="1164"/>
      <c r="AZ149" s="1201"/>
      <c r="BA149" s="1342"/>
      <c r="BB149" s="1258"/>
      <c r="BC149" s="1200"/>
      <c r="BD149" s="1164"/>
      <c r="BE149" s="1164"/>
      <c r="BF149" s="1164"/>
      <c r="BG149" s="1164"/>
      <c r="BH149" s="1201"/>
      <c r="BI149" s="1342"/>
      <c r="BJ149" s="1337"/>
      <c r="BK149" s="1338"/>
      <c r="BL149" s="1338"/>
      <c r="BM149" s="1338"/>
      <c r="BN149" s="1338"/>
      <c r="BO149" s="1339"/>
    </row>
    <row r="150" spans="1:67" ht="15" customHeight="1">
      <c r="A150" s="1309"/>
      <c r="B150" s="1165"/>
      <c r="C150" s="1166"/>
      <c r="D150" s="1166"/>
      <c r="E150" s="1166"/>
      <c r="F150" s="1166"/>
      <c r="G150" s="1292"/>
      <c r="H150" s="1207"/>
      <c r="I150" s="1207"/>
      <c r="J150" s="1207"/>
      <c r="K150" s="1207"/>
      <c r="L150" s="1207"/>
      <c r="M150" s="1207"/>
      <c r="N150" s="1294"/>
      <c r="O150" s="1202"/>
      <c r="P150" s="1203"/>
      <c r="Q150" s="1203"/>
      <c r="R150" s="1203"/>
      <c r="S150" s="1203"/>
      <c r="T150" s="1305"/>
      <c r="U150" s="1207"/>
      <c r="V150" s="1294"/>
      <c r="W150" s="1202"/>
      <c r="X150" s="1203"/>
      <c r="Y150" s="1203"/>
      <c r="Z150" s="1203"/>
      <c r="AA150" s="1203"/>
      <c r="AB150" s="1305"/>
      <c r="AC150" s="1207"/>
      <c r="AD150" s="1258"/>
      <c r="AE150" s="1202"/>
      <c r="AF150" s="1203"/>
      <c r="AG150" s="1203"/>
      <c r="AH150" s="1203"/>
      <c r="AI150" s="1203"/>
      <c r="AJ150" s="1305"/>
      <c r="AK150" s="1207"/>
      <c r="AL150" s="1258"/>
      <c r="AM150" s="1202"/>
      <c r="AN150" s="1203"/>
      <c r="AO150" s="1203"/>
      <c r="AP150" s="1203"/>
      <c r="AQ150" s="1203"/>
      <c r="AR150" s="1305"/>
      <c r="AS150" s="1207"/>
      <c r="AT150" s="1258"/>
      <c r="AU150" s="1202"/>
      <c r="AV150" s="1203"/>
      <c r="AW150" s="1203"/>
      <c r="AX150" s="1203"/>
      <c r="AY150" s="1203"/>
      <c r="AZ150" s="1204"/>
      <c r="BA150" s="1342"/>
      <c r="BB150" s="1258"/>
      <c r="BC150" s="1202"/>
      <c r="BD150" s="1203"/>
      <c r="BE150" s="1203"/>
      <c r="BF150" s="1203"/>
      <c r="BG150" s="1203"/>
      <c r="BH150" s="1204"/>
      <c r="BI150" s="1342"/>
      <c r="BJ150" s="1337"/>
      <c r="BK150" s="1338"/>
      <c r="BL150" s="1338"/>
      <c r="BM150" s="1338"/>
      <c r="BN150" s="1338"/>
      <c r="BO150" s="1339"/>
    </row>
    <row r="151" spans="1:67" ht="15" customHeight="1">
      <c r="A151" s="1304">
        <v>2.4</v>
      </c>
      <c r="B151" s="1161" t="s">
        <v>316</v>
      </c>
      <c r="C151" s="1162"/>
      <c r="D151" s="1162"/>
      <c r="E151" s="1162"/>
      <c r="F151" s="1162"/>
      <c r="G151" s="1199"/>
      <c r="H151" s="1205" t="str">
        <f t="shared" ref="H151" si="222">IF(ISBLANK(AB$5),"",1)</f>
        <v/>
      </c>
      <c r="I151" s="1205" t="str">
        <f t="shared" ref="I151" si="223">IF(ISBLANK(AF$5),"",1)</f>
        <v/>
      </c>
      <c r="J151" s="1205" t="str">
        <f t="shared" ref="J151" si="224">IF(ISBLANK(AJ$5),"",1)</f>
        <v/>
      </c>
      <c r="K151" s="1205" t="str">
        <f t="shared" ref="K151" si="225">IF(ISBLANK(AN$5),"",1)</f>
        <v/>
      </c>
      <c r="L151" s="1205" t="str">
        <f t="shared" ref="L151" si="226">IF(ISBLANK(AR$5),"",1)</f>
        <v/>
      </c>
      <c r="M151" s="1205" t="str">
        <f t="shared" ref="M151" si="227">IF(ISBLANK(AV$5),"",1)</f>
        <v/>
      </c>
      <c r="N151" s="1322">
        <v>4.3</v>
      </c>
      <c r="O151" s="1198" t="s">
        <v>388</v>
      </c>
      <c r="P151" s="1162"/>
      <c r="Q151" s="1162"/>
      <c r="R151" s="1162"/>
      <c r="S151" s="1162"/>
      <c r="T151" s="1265"/>
      <c r="U151" s="1205" t="str">
        <f t="shared" ref="U151" si="228">IF(ISBLANK(AB$5),"",1)</f>
        <v/>
      </c>
      <c r="V151" s="1322">
        <v>4.3</v>
      </c>
      <c r="W151" s="1198" t="s">
        <v>388</v>
      </c>
      <c r="X151" s="1162"/>
      <c r="Y151" s="1162"/>
      <c r="Z151" s="1162"/>
      <c r="AA151" s="1162"/>
      <c r="AB151" s="1265"/>
      <c r="AC151" s="1205" t="str">
        <f t="shared" ref="AC151" si="229">IF(ISBLANK(AF$5),"",1)</f>
        <v/>
      </c>
      <c r="AD151" s="1304">
        <v>4.3</v>
      </c>
      <c r="AE151" s="1455" t="s">
        <v>639</v>
      </c>
      <c r="AF151" s="1456"/>
      <c r="AG151" s="1456"/>
      <c r="AH151" s="1456"/>
      <c r="AI151" s="1456"/>
      <c r="AJ151" s="1457"/>
      <c r="AK151" s="1205" t="str">
        <f t="shared" ref="AK151" si="230">IF(ISBLANK(AJ$5),"",1)</f>
        <v/>
      </c>
      <c r="AL151" s="1258">
        <v>4.4000000000000004</v>
      </c>
      <c r="AM151" s="1198" t="s">
        <v>388</v>
      </c>
      <c r="AN151" s="1162"/>
      <c r="AO151" s="1162"/>
      <c r="AP151" s="1162"/>
      <c r="AQ151" s="1162"/>
      <c r="AR151" s="1265"/>
      <c r="AS151" s="1205" t="str">
        <f t="shared" ref="AS151" si="231">IF(ISBLANK(AN$5),"",1)</f>
        <v/>
      </c>
      <c r="AT151" s="1258">
        <v>4.3</v>
      </c>
      <c r="AU151" s="1198" t="s">
        <v>388</v>
      </c>
      <c r="AV151" s="1162"/>
      <c r="AW151" s="1162"/>
      <c r="AX151" s="1162"/>
      <c r="AY151" s="1162"/>
      <c r="AZ151" s="1199"/>
      <c r="BA151" s="1226" t="str">
        <f t="shared" ref="BA151" si="232">IF(ISBLANK(AR$5),"",1)</f>
        <v/>
      </c>
      <c r="BB151" s="1258">
        <v>4.3</v>
      </c>
      <c r="BC151" s="1198" t="s">
        <v>388</v>
      </c>
      <c r="BD151" s="1162"/>
      <c r="BE151" s="1162"/>
      <c r="BF151" s="1162"/>
      <c r="BG151" s="1162"/>
      <c r="BH151" s="1199"/>
      <c r="BI151" s="1226" t="str">
        <f t="shared" ref="BI151" si="233">IF(ISBLANK(AV$5),"",1)</f>
        <v/>
      </c>
      <c r="BJ151" s="1337"/>
      <c r="BK151" s="1338"/>
      <c r="BL151" s="1338"/>
      <c r="BM151" s="1338"/>
      <c r="BN151" s="1338"/>
      <c r="BO151" s="1339"/>
    </row>
    <row r="152" spans="1:67" ht="15" customHeight="1">
      <c r="A152" s="1290"/>
      <c r="B152" s="1163"/>
      <c r="C152" s="1164"/>
      <c r="D152" s="1164"/>
      <c r="E152" s="1164"/>
      <c r="F152" s="1164"/>
      <c r="G152" s="1201"/>
      <c r="H152" s="1206"/>
      <c r="I152" s="1206"/>
      <c r="J152" s="1206"/>
      <c r="K152" s="1206"/>
      <c r="L152" s="1206"/>
      <c r="M152" s="1206"/>
      <c r="N152" s="1293"/>
      <c r="O152" s="1200" t="s">
        <v>389</v>
      </c>
      <c r="P152" s="1164"/>
      <c r="Q152" s="1164"/>
      <c r="R152" s="1164"/>
      <c r="S152" s="1164"/>
      <c r="T152" s="1266"/>
      <c r="U152" s="1206"/>
      <c r="V152" s="1293"/>
      <c r="W152" s="1200"/>
      <c r="X152" s="1164"/>
      <c r="Y152" s="1164"/>
      <c r="Z152" s="1164"/>
      <c r="AA152" s="1164"/>
      <c r="AB152" s="1266"/>
      <c r="AC152" s="1206"/>
      <c r="AD152" s="1290"/>
      <c r="AE152" s="1458"/>
      <c r="AF152" s="1459"/>
      <c r="AG152" s="1459"/>
      <c r="AH152" s="1459"/>
      <c r="AI152" s="1459"/>
      <c r="AJ152" s="1460"/>
      <c r="AK152" s="1206"/>
      <c r="AL152" s="1258"/>
      <c r="AM152" s="1200"/>
      <c r="AN152" s="1164"/>
      <c r="AO152" s="1164"/>
      <c r="AP152" s="1164"/>
      <c r="AQ152" s="1164"/>
      <c r="AR152" s="1266"/>
      <c r="AS152" s="1206"/>
      <c r="AT152" s="1258"/>
      <c r="AU152" s="1200"/>
      <c r="AV152" s="1164"/>
      <c r="AW152" s="1164"/>
      <c r="AX152" s="1164"/>
      <c r="AY152" s="1164"/>
      <c r="AZ152" s="1201"/>
      <c r="BA152" s="1342"/>
      <c r="BB152" s="1258"/>
      <c r="BC152" s="1200"/>
      <c r="BD152" s="1164"/>
      <c r="BE152" s="1164"/>
      <c r="BF152" s="1164"/>
      <c r="BG152" s="1164"/>
      <c r="BH152" s="1201"/>
      <c r="BI152" s="1342"/>
      <c r="BJ152" s="1337"/>
      <c r="BK152" s="1338"/>
      <c r="BL152" s="1338"/>
      <c r="BM152" s="1338"/>
      <c r="BN152" s="1338"/>
      <c r="BO152" s="1339"/>
    </row>
    <row r="153" spans="1:67" ht="15" customHeight="1">
      <c r="A153" s="1291"/>
      <c r="B153" s="1165"/>
      <c r="C153" s="1166"/>
      <c r="D153" s="1166"/>
      <c r="E153" s="1166"/>
      <c r="F153" s="1166"/>
      <c r="G153" s="1292"/>
      <c r="H153" s="1207"/>
      <c r="I153" s="1207"/>
      <c r="J153" s="1207"/>
      <c r="K153" s="1207"/>
      <c r="L153" s="1207"/>
      <c r="M153" s="1207"/>
      <c r="N153" s="1294"/>
      <c r="O153" s="1202"/>
      <c r="P153" s="1203"/>
      <c r="Q153" s="1203"/>
      <c r="R153" s="1203"/>
      <c r="S153" s="1203"/>
      <c r="T153" s="1305"/>
      <c r="U153" s="1207"/>
      <c r="V153" s="1294"/>
      <c r="W153" s="1202"/>
      <c r="X153" s="1203"/>
      <c r="Y153" s="1203"/>
      <c r="Z153" s="1203"/>
      <c r="AA153" s="1203"/>
      <c r="AB153" s="1305"/>
      <c r="AC153" s="1207"/>
      <c r="AD153" s="1291"/>
      <c r="AE153" s="1461"/>
      <c r="AF153" s="1462"/>
      <c r="AG153" s="1462"/>
      <c r="AH153" s="1462"/>
      <c r="AI153" s="1462"/>
      <c r="AJ153" s="1463"/>
      <c r="AK153" s="1207"/>
      <c r="AL153" s="1258"/>
      <c r="AM153" s="1202"/>
      <c r="AN153" s="1203"/>
      <c r="AO153" s="1203"/>
      <c r="AP153" s="1203"/>
      <c r="AQ153" s="1203"/>
      <c r="AR153" s="1305"/>
      <c r="AS153" s="1207"/>
      <c r="AT153" s="1258"/>
      <c r="AU153" s="1202"/>
      <c r="AV153" s="1203"/>
      <c r="AW153" s="1203"/>
      <c r="AX153" s="1203"/>
      <c r="AY153" s="1203"/>
      <c r="AZ153" s="1204"/>
      <c r="BA153" s="1342"/>
      <c r="BB153" s="1258"/>
      <c r="BC153" s="1202"/>
      <c r="BD153" s="1203"/>
      <c r="BE153" s="1203"/>
      <c r="BF153" s="1203"/>
      <c r="BG153" s="1203"/>
      <c r="BH153" s="1204"/>
      <c r="BI153" s="1342"/>
      <c r="BJ153" s="1337"/>
      <c r="BK153" s="1338"/>
      <c r="BL153" s="1338"/>
      <c r="BM153" s="1338"/>
      <c r="BN153" s="1338"/>
      <c r="BO153" s="1339"/>
    </row>
    <row r="154" spans="1:67" ht="15" customHeight="1">
      <c r="A154" s="1307">
        <v>1.1000000000000001</v>
      </c>
      <c r="B154" s="1161" t="s">
        <v>320</v>
      </c>
      <c r="C154" s="1162"/>
      <c r="D154" s="1162"/>
      <c r="E154" s="1162"/>
      <c r="F154" s="1162"/>
      <c r="G154" s="1199"/>
      <c r="H154" s="1205" t="str">
        <f t="shared" ref="H154" si="234">IF(ISBLANK(AB$5),"",1)</f>
        <v/>
      </c>
      <c r="I154" s="1205" t="str">
        <f t="shared" ref="I154" si="235">IF(ISBLANK(AF$5),"",1)</f>
        <v/>
      </c>
      <c r="J154" s="1205" t="str">
        <f t="shared" ref="J154" si="236">IF(ISBLANK(AJ$5),"",1)</f>
        <v/>
      </c>
      <c r="K154" s="1205" t="str">
        <f t="shared" ref="K154" si="237">IF(ISBLANK(AN$5),"",1)</f>
        <v/>
      </c>
      <c r="L154" s="1205" t="str">
        <f t="shared" ref="L154" si="238">IF(ISBLANK(AR$5),"",1)</f>
        <v/>
      </c>
      <c r="M154" s="1205" t="str">
        <f t="shared" ref="M154" si="239">IF(ISBLANK(AV$5),"",1)</f>
        <v/>
      </c>
      <c r="N154" s="1322">
        <v>4.3</v>
      </c>
      <c r="O154" s="1198" t="s">
        <v>423</v>
      </c>
      <c r="P154" s="1162"/>
      <c r="Q154" s="1162"/>
      <c r="R154" s="1162"/>
      <c r="S154" s="1162"/>
      <c r="T154" s="1265"/>
      <c r="U154" s="1205" t="str">
        <f t="shared" ref="U154" si="240">IF(ISBLANK(AB$5),"",1)</f>
        <v/>
      </c>
      <c r="V154" s="1322">
        <v>4.3</v>
      </c>
      <c r="W154" s="1198" t="s">
        <v>390</v>
      </c>
      <c r="X154" s="1162"/>
      <c r="Y154" s="1162"/>
      <c r="Z154" s="1162"/>
      <c r="AA154" s="1162"/>
      <c r="AB154" s="1265"/>
      <c r="AC154" s="1205" t="str">
        <f t="shared" ref="AC154" si="241">IF(ISBLANK(AF$5),"",1)</f>
        <v/>
      </c>
      <c r="AD154" s="1398">
        <v>4.4000000000000004</v>
      </c>
      <c r="AE154" s="1198" t="s">
        <v>410</v>
      </c>
      <c r="AF154" s="1162"/>
      <c r="AG154" s="1162"/>
      <c r="AH154" s="1162"/>
      <c r="AI154" s="1162"/>
      <c r="AJ154" s="1265"/>
      <c r="AK154" s="1205" t="str">
        <f t="shared" ref="AK154" si="242">IF(ISBLANK(AJ$5),"",1)</f>
        <v/>
      </c>
      <c r="AL154" s="1322">
        <v>4.4000000000000004</v>
      </c>
      <c r="AM154" s="1198" t="s">
        <v>408</v>
      </c>
      <c r="AN154" s="1162"/>
      <c r="AO154" s="1162"/>
      <c r="AP154" s="1162"/>
      <c r="AQ154" s="1162"/>
      <c r="AR154" s="1265"/>
      <c r="AS154" s="1205" t="str">
        <f t="shared" ref="AS154" si="243">IF(ISBLANK(AN$5),"",1)</f>
        <v/>
      </c>
      <c r="AT154" s="1258">
        <v>4.3</v>
      </c>
      <c r="AU154" s="1198" t="s">
        <v>390</v>
      </c>
      <c r="AV154" s="1162"/>
      <c r="AW154" s="1162"/>
      <c r="AX154" s="1162"/>
      <c r="AY154" s="1162"/>
      <c r="AZ154" s="1199"/>
      <c r="BA154" s="1226" t="str">
        <f t="shared" ref="BA154" si="244">IF(ISBLANK(AR$5),"",1)</f>
        <v/>
      </c>
      <c r="BB154" s="1258">
        <v>4.3</v>
      </c>
      <c r="BC154" s="1198" t="s">
        <v>390</v>
      </c>
      <c r="BD154" s="1162"/>
      <c r="BE154" s="1162"/>
      <c r="BF154" s="1162"/>
      <c r="BG154" s="1162"/>
      <c r="BH154" s="1199"/>
      <c r="BI154" s="1226" t="str">
        <f t="shared" ref="BI154" si="245">IF(ISBLANK(AV$5),"",1)</f>
        <v/>
      </c>
      <c r="BJ154" s="1337"/>
      <c r="BK154" s="1338"/>
      <c r="BL154" s="1338"/>
      <c r="BM154" s="1338"/>
      <c r="BN154" s="1338"/>
      <c r="BO154" s="1339"/>
    </row>
    <row r="155" spans="1:67" ht="15" customHeight="1">
      <c r="A155" s="1308"/>
      <c r="B155" s="1163"/>
      <c r="C155" s="1164"/>
      <c r="D155" s="1164"/>
      <c r="E155" s="1164"/>
      <c r="F155" s="1164"/>
      <c r="G155" s="1201"/>
      <c r="H155" s="1206"/>
      <c r="I155" s="1206"/>
      <c r="J155" s="1206"/>
      <c r="K155" s="1206"/>
      <c r="L155" s="1206"/>
      <c r="M155" s="1206"/>
      <c r="N155" s="1293"/>
      <c r="O155" s="1200" t="s">
        <v>389</v>
      </c>
      <c r="P155" s="1164"/>
      <c r="Q155" s="1164"/>
      <c r="R155" s="1164"/>
      <c r="S155" s="1164"/>
      <c r="T155" s="1266"/>
      <c r="U155" s="1206"/>
      <c r="V155" s="1293"/>
      <c r="W155" s="1200"/>
      <c r="X155" s="1164"/>
      <c r="Y155" s="1164"/>
      <c r="Z155" s="1164"/>
      <c r="AA155" s="1164"/>
      <c r="AB155" s="1266"/>
      <c r="AC155" s="1206"/>
      <c r="AD155" s="1293"/>
      <c r="AE155" s="1200"/>
      <c r="AF155" s="1164"/>
      <c r="AG155" s="1164"/>
      <c r="AH155" s="1164"/>
      <c r="AI155" s="1164"/>
      <c r="AJ155" s="1266"/>
      <c r="AK155" s="1206"/>
      <c r="AL155" s="1293"/>
      <c r="AM155" s="1200"/>
      <c r="AN155" s="1164"/>
      <c r="AO155" s="1164"/>
      <c r="AP155" s="1164"/>
      <c r="AQ155" s="1164"/>
      <c r="AR155" s="1266"/>
      <c r="AS155" s="1206"/>
      <c r="AT155" s="1258"/>
      <c r="AU155" s="1200"/>
      <c r="AV155" s="1164"/>
      <c r="AW155" s="1164"/>
      <c r="AX155" s="1164"/>
      <c r="AY155" s="1164"/>
      <c r="AZ155" s="1201"/>
      <c r="BA155" s="1342"/>
      <c r="BB155" s="1258"/>
      <c r="BC155" s="1200"/>
      <c r="BD155" s="1164"/>
      <c r="BE155" s="1164"/>
      <c r="BF155" s="1164"/>
      <c r="BG155" s="1164"/>
      <c r="BH155" s="1201"/>
      <c r="BI155" s="1342"/>
      <c r="BJ155" s="1337"/>
      <c r="BK155" s="1338"/>
      <c r="BL155" s="1338"/>
      <c r="BM155" s="1338"/>
      <c r="BN155" s="1338"/>
      <c r="BO155" s="1339"/>
    </row>
    <row r="156" spans="1:67" ht="15" customHeight="1">
      <c r="A156" s="1309"/>
      <c r="B156" s="1165"/>
      <c r="C156" s="1166"/>
      <c r="D156" s="1166"/>
      <c r="E156" s="1166"/>
      <c r="F156" s="1166"/>
      <c r="G156" s="1292"/>
      <c r="H156" s="1207"/>
      <c r="I156" s="1207"/>
      <c r="J156" s="1207"/>
      <c r="K156" s="1207"/>
      <c r="L156" s="1207"/>
      <c r="M156" s="1207"/>
      <c r="N156" s="1294"/>
      <c r="O156" s="1202"/>
      <c r="P156" s="1203"/>
      <c r="Q156" s="1203"/>
      <c r="R156" s="1203"/>
      <c r="S156" s="1203"/>
      <c r="T156" s="1305"/>
      <c r="U156" s="1207"/>
      <c r="V156" s="1294"/>
      <c r="W156" s="1202"/>
      <c r="X156" s="1203"/>
      <c r="Y156" s="1203"/>
      <c r="Z156" s="1203"/>
      <c r="AA156" s="1203"/>
      <c r="AB156" s="1305"/>
      <c r="AC156" s="1207"/>
      <c r="AD156" s="1294"/>
      <c r="AE156" s="1202"/>
      <c r="AF156" s="1203"/>
      <c r="AG156" s="1203"/>
      <c r="AH156" s="1203"/>
      <c r="AI156" s="1203"/>
      <c r="AJ156" s="1305"/>
      <c r="AK156" s="1207"/>
      <c r="AL156" s="1306"/>
      <c r="AM156" s="1202"/>
      <c r="AN156" s="1203"/>
      <c r="AO156" s="1203"/>
      <c r="AP156" s="1203"/>
      <c r="AQ156" s="1203"/>
      <c r="AR156" s="1305"/>
      <c r="AS156" s="1207"/>
      <c r="AT156" s="1258"/>
      <c r="AU156" s="1202"/>
      <c r="AV156" s="1203"/>
      <c r="AW156" s="1203"/>
      <c r="AX156" s="1203"/>
      <c r="AY156" s="1203"/>
      <c r="AZ156" s="1204"/>
      <c r="BA156" s="1342"/>
      <c r="BB156" s="1258"/>
      <c r="BC156" s="1202"/>
      <c r="BD156" s="1203"/>
      <c r="BE156" s="1203"/>
      <c r="BF156" s="1203"/>
      <c r="BG156" s="1203"/>
      <c r="BH156" s="1204"/>
      <c r="BI156" s="1342"/>
      <c r="BJ156" s="1337"/>
      <c r="BK156" s="1338"/>
      <c r="BL156" s="1338"/>
      <c r="BM156" s="1338"/>
      <c r="BN156" s="1338"/>
      <c r="BO156" s="1339"/>
    </row>
    <row r="157" spans="1:67" ht="15" customHeight="1">
      <c r="A157" s="1304">
        <v>2.1</v>
      </c>
      <c r="B157" s="1161" t="s">
        <v>322</v>
      </c>
      <c r="C157" s="1162"/>
      <c r="D157" s="1162"/>
      <c r="E157" s="1162"/>
      <c r="F157" s="1162"/>
      <c r="G157" s="1199"/>
      <c r="H157" s="1205" t="str">
        <f t="shared" ref="H157" si="246">IF(ISBLANK(AB$5),"",1)</f>
        <v/>
      </c>
      <c r="I157" s="1205" t="str">
        <f t="shared" ref="I157" si="247">IF(ISBLANK(AF$5),"",1)</f>
        <v/>
      </c>
      <c r="J157" s="1205" t="str">
        <f t="shared" ref="J157" si="248">IF(ISBLANK(AJ$5),"",1)</f>
        <v/>
      </c>
      <c r="K157" s="1205" t="str">
        <f t="shared" ref="K157" si="249">IF(ISBLANK(AN$5),"",1)</f>
        <v/>
      </c>
      <c r="L157" s="1205" t="str">
        <f t="shared" ref="L157" si="250">IF(ISBLANK(AR$5),"",1)</f>
        <v/>
      </c>
      <c r="M157" s="1205" t="str">
        <f t="shared" ref="M157" si="251">IF(ISBLANK(AV$5),"",1)</f>
        <v/>
      </c>
      <c r="N157" s="1322">
        <v>4.4000000000000004</v>
      </c>
      <c r="O157" s="1198" t="s">
        <v>407</v>
      </c>
      <c r="P157" s="1162"/>
      <c r="Q157" s="1162"/>
      <c r="R157" s="1162"/>
      <c r="S157" s="1162"/>
      <c r="T157" s="1265"/>
      <c r="U157" s="1205" t="str">
        <f t="shared" ref="U157" si="252">IF(ISBLANK(AB$5),"",1)</f>
        <v/>
      </c>
      <c r="V157" s="1322">
        <v>4.4000000000000004</v>
      </c>
      <c r="W157" s="1198" t="s">
        <v>391</v>
      </c>
      <c r="X157" s="1162"/>
      <c r="Y157" s="1162"/>
      <c r="Z157" s="1162"/>
      <c r="AA157" s="1162"/>
      <c r="AB157" s="1265"/>
      <c r="AC157" s="1205" t="str">
        <f t="shared" ref="AC157" si="253">IF(ISBLANK(AF$5),"",1)</f>
        <v/>
      </c>
      <c r="AD157" s="1322">
        <v>4.4000000000000004</v>
      </c>
      <c r="AE157" s="1198" t="s">
        <v>411</v>
      </c>
      <c r="AF157" s="1162"/>
      <c r="AG157" s="1162"/>
      <c r="AH157" s="1162"/>
      <c r="AI157" s="1162"/>
      <c r="AJ157" s="1265"/>
      <c r="AK157" s="1205" t="str">
        <f t="shared" ref="AK157" si="254">IF(ISBLANK(AJ$5),"",1)</f>
        <v/>
      </c>
      <c r="AL157" s="1322">
        <v>4.4000000000000004</v>
      </c>
      <c r="AM157" s="1198" t="s">
        <v>393</v>
      </c>
      <c r="AN157" s="1162"/>
      <c r="AO157" s="1162"/>
      <c r="AP157" s="1162"/>
      <c r="AQ157" s="1162"/>
      <c r="AR157" s="1265"/>
      <c r="AS157" s="1205" t="str">
        <f t="shared" ref="AS157" si="255">IF(ISBLANK(AN$5),"",1)</f>
        <v/>
      </c>
      <c r="AT157" s="1258">
        <v>4.4000000000000004</v>
      </c>
      <c r="AU157" s="1198" t="s">
        <v>407</v>
      </c>
      <c r="AV157" s="1162"/>
      <c r="AW157" s="1162"/>
      <c r="AX157" s="1162"/>
      <c r="AY157" s="1162"/>
      <c r="AZ157" s="1199"/>
      <c r="BA157" s="1226" t="str">
        <f t="shared" ref="BA157" si="256">IF(ISBLANK(AR$5),"",1)</f>
        <v/>
      </c>
      <c r="BB157" s="1258">
        <v>4.4000000000000004</v>
      </c>
      <c r="BC157" s="1198" t="s">
        <v>407</v>
      </c>
      <c r="BD157" s="1162"/>
      <c r="BE157" s="1162"/>
      <c r="BF157" s="1162"/>
      <c r="BG157" s="1162"/>
      <c r="BH157" s="1199"/>
      <c r="BI157" s="1226" t="str">
        <f t="shared" ref="BI157" si="257">IF(ISBLANK(AV$5),"",1)</f>
        <v/>
      </c>
      <c r="BJ157" s="1337"/>
      <c r="BK157" s="1338"/>
      <c r="BL157" s="1338"/>
      <c r="BM157" s="1338"/>
      <c r="BN157" s="1338"/>
      <c r="BO157" s="1339"/>
    </row>
    <row r="158" spans="1:67" ht="15" customHeight="1">
      <c r="A158" s="1290"/>
      <c r="B158" s="1163"/>
      <c r="C158" s="1164"/>
      <c r="D158" s="1164"/>
      <c r="E158" s="1164"/>
      <c r="F158" s="1164"/>
      <c r="G158" s="1201"/>
      <c r="H158" s="1206"/>
      <c r="I158" s="1206"/>
      <c r="J158" s="1206"/>
      <c r="K158" s="1206"/>
      <c r="L158" s="1206"/>
      <c r="M158" s="1206"/>
      <c r="N158" s="1293"/>
      <c r="O158" s="1200" t="s">
        <v>368</v>
      </c>
      <c r="P158" s="1164"/>
      <c r="Q158" s="1164"/>
      <c r="R158" s="1164"/>
      <c r="S158" s="1164"/>
      <c r="T158" s="1266"/>
      <c r="U158" s="1206"/>
      <c r="V158" s="1293"/>
      <c r="W158" s="1200"/>
      <c r="X158" s="1164"/>
      <c r="Y158" s="1164"/>
      <c r="Z158" s="1164"/>
      <c r="AA158" s="1164"/>
      <c r="AB158" s="1266"/>
      <c r="AC158" s="1206"/>
      <c r="AD158" s="1293"/>
      <c r="AE158" s="1200"/>
      <c r="AF158" s="1164"/>
      <c r="AG158" s="1164"/>
      <c r="AH158" s="1164"/>
      <c r="AI158" s="1164"/>
      <c r="AJ158" s="1266"/>
      <c r="AK158" s="1206"/>
      <c r="AL158" s="1293"/>
      <c r="AM158" s="1200"/>
      <c r="AN158" s="1164"/>
      <c r="AO158" s="1164"/>
      <c r="AP158" s="1164"/>
      <c r="AQ158" s="1164"/>
      <c r="AR158" s="1266"/>
      <c r="AS158" s="1206"/>
      <c r="AT158" s="1258"/>
      <c r="AU158" s="1200"/>
      <c r="AV158" s="1164"/>
      <c r="AW158" s="1164"/>
      <c r="AX158" s="1164"/>
      <c r="AY158" s="1164"/>
      <c r="AZ158" s="1201"/>
      <c r="BA158" s="1342"/>
      <c r="BB158" s="1258"/>
      <c r="BC158" s="1200"/>
      <c r="BD158" s="1164"/>
      <c r="BE158" s="1164"/>
      <c r="BF158" s="1164"/>
      <c r="BG158" s="1164"/>
      <c r="BH158" s="1201"/>
      <c r="BI158" s="1342"/>
      <c r="BJ158" s="1337"/>
      <c r="BK158" s="1338"/>
      <c r="BL158" s="1338"/>
      <c r="BM158" s="1338"/>
      <c r="BN158" s="1338"/>
      <c r="BO158" s="1339"/>
    </row>
    <row r="159" spans="1:67" ht="15" customHeight="1">
      <c r="A159" s="1291"/>
      <c r="B159" s="1165"/>
      <c r="C159" s="1166"/>
      <c r="D159" s="1166"/>
      <c r="E159" s="1166"/>
      <c r="F159" s="1166"/>
      <c r="G159" s="1292"/>
      <c r="H159" s="1207"/>
      <c r="I159" s="1207"/>
      <c r="J159" s="1207"/>
      <c r="K159" s="1207"/>
      <c r="L159" s="1207"/>
      <c r="M159" s="1207"/>
      <c r="N159" s="1294"/>
      <c r="O159" s="1202" t="s">
        <v>392</v>
      </c>
      <c r="P159" s="1203"/>
      <c r="Q159" s="1203"/>
      <c r="R159" s="1203"/>
      <c r="S159" s="1203"/>
      <c r="T159" s="1305"/>
      <c r="U159" s="1207"/>
      <c r="V159" s="1294"/>
      <c r="W159" s="1202"/>
      <c r="X159" s="1203"/>
      <c r="Y159" s="1203"/>
      <c r="Z159" s="1203"/>
      <c r="AA159" s="1203"/>
      <c r="AB159" s="1305"/>
      <c r="AC159" s="1207"/>
      <c r="AD159" s="1294"/>
      <c r="AE159" s="1202"/>
      <c r="AF159" s="1203"/>
      <c r="AG159" s="1203"/>
      <c r="AH159" s="1203"/>
      <c r="AI159" s="1203"/>
      <c r="AJ159" s="1305"/>
      <c r="AK159" s="1207"/>
      <c r="AL159" s="1306"/>
      <c r="AM159" s="1202"/>
      <c r="AN159" s="1203"/>
      <c r="AO159" s="1203"/>
      <c r="AP159" s="1203"/>
      <c r="AQ159" s="1203"/>
      <c r="AR159" s="1305"/>
      <c r="AS159" s="1207"/>
      <c r="AT159" s="1258"/>
      <c r="AU159" s="1202"/>
      <c r="AV159" s="1203"/>
      <c r="AW159" s="1203"/>
      <c r="AX159" s="1203"/>
      <c r="AY159" s="1203"/>
      <c r="AZ159" s="1204"/>
      <c r="BA159" s="1342"/>
      <c r="BB159" s="1258"/>
      <c r="BC159" s="1202"/>
      <c r="BD159" s="1203"/>
      <c r="BE159" s="1203"/>
      <c r="BF159" s="1203"/>
      <c r="BG159" s="1203"/>
      <c r="BH159" s="1204"/>
      <c r="BI159" s="1342"/>
      <c r="BJ159" s="1337"/>
      <c r="BK159" s="1338"/>
      <c r="BL159" s="1338"/>
      <c r="BM159" s="1338"/>
      <c r="BN159" s="1338"/>
      <c r="BO159" s="1339"/>
    </row>
    <row r="160" spans="1:67" ht="15" customHeight="1">
      <c r="A160" s="1307">
        <v>1.1000000000000001</v>
      </c>
      <c r="B160" s="1161" t="s">
        <v>940</v>
      </c>
      <c r="C160" s="1162"/>
      <c r="D160" s="1162"/>
      <c r="E160" s="1162"/>
      <c r="F160" s="1162"/>
      <c r="G160" s="1199"/>
      <c r="H160" s="1205" t="str">
        <f t="shared" ref="H160" si="258">IF(ISBLANK(AB$5),"",1)</f>
        <v/>
      </c>
      <c r="I160" s="1205" t="str">
        <f t="shared" ref="I160" si="259">IF(ISBLANK(AF$5),"",1)</f>
        <v/>
      </c>
      <c r="J160" s="1205" t="str">
        <f t="shared" ref="J160" si="260">IF(ISBLANK(AJ$5),"",1)</f>
        <v/>
      </c>
      <c r="K160" s="1205" t="str">
        <f t="shared" ref="K160" si="261">IF(ISBLANK(AN$5),"",1)</f>
        <v/>
      </c>
      <c r="L160" s="1205" t="str">
        <f t="shared" ref="L160" si="262">IF(ISBLANK(AR$5),"",1)</f>
        <v/>
      </c>
      <c r="M160" s="1205" t="str">
        <f t="shared" ref="M160" si="263">IF(ISBLANK(AV$5),"",1)</f>
        <v/>
      </c>
      <c r="N160" s="1391">
        <v>4.3</v>
      </c>
      <c r="O160" s="1310" t="s">
        <v>879</v>
      </c>
      <c r="P160" s="1311"/>
      <c r="Q160" s="1311"/>
      <c r="R160" s="1311"/>
      <c r="S160" s="1311"/>
      <c r="T160" s="1312"/>
      <c r="U160" s="1205" t="str">
        <f t="shared" ref="U160" si="264">IF(ISBLANK(AB$5),"",1)</f>
        <v/>
      </c>
      <c r="V160" s="1322">
        <v>4.4000000000000004</v>
      </c>
      <c r="W160" s="1198" t="s">
        <v>880</v>
      </c>
      <c r="X160" s="1162"/>
      <c r="Y160" s="1162"/>
      <c r="Z160" s="1162"/>
      <c r="AA160" s="1162"/>
      <c r="AB160" s="1265"/>
      <c r="AC160" s="1205" t="str">
        <f t="shared" ref="AC160" si="265">IF(ISBLANK(AF$5),"",1)</f>
        <v/>
      </c>
      <c r="AD160" s="1322">
        <v>4.4000000000000004</v>
      </c>
      <c r="AE160" s="1198" t="s">
        <v>412</v>
      </c>
      <c r="AF160" s="1162"/>
      <c r="AG160" s="1162"/>
      <c r="AH160" s="1162"/>
      <c r="AI160" s="1162"/>
      <c r="AJ160" s="1265"/>
      <c r="AK160" s="1205" t="str">
        <f t="shared" ref="AK160" si="266">IF(ISBLANK(AJ$5),"",1)</f>
        <v/>
      </c>
      <c r="AL160" s="1304">
        <v>4.4000000000000004</v>
      </c>
      <c r="AM160" s="1198" t="s">
        <v>359</v>
      </c>
      <c r="AN160" s="1162"/>
      <c r="AO160" s="1162"/>
      <c r="AP160" s="1162"/>
      <c r="AQ160" s="1162"/>
      <c r="AR160" s="1265"/>
      <c r="AS160" s="1205" t="str">
        <f t="shared" ref="AS160" si="267">IF(ISBLANK(AN$5),"",1)</f>
        <v/>
      </c>
      <c r="AT160" s="1304">
        <v>4.3</v>
      </c>
      <c r="AU160" s="1310" t="s">
        <v>879</v>
      </c>
      <c r="AV160" s="1311"/>
      <c r="AW160" s="1311"/>
      <c r="AX160" s="1311"/>
      <c r="AY160" s="1311"/>
      <c r="AZ160" s="1316"/>
      <c r="BA160" s="1226" t="str">
        <f t="shared" ref="BA160" si="268">IF(ISBLANK(AR$5),"",1)</f>
        <v/>
      </c>
      <c r="BB160" s="1304">
        <v>4.3</v>
      </c>
      <c r="BC160" s="1310" t="s">
        <v>879</v>
      </c>
      <c r="BD160" s="1311"/>
      <c r="BE160" s="1311"/>
      <c r="BF160" s="1311"/>
      <c r="BG160" s="1311"/>
      <c r="BH160" s="1316"/>
      <c r="BI160" s="1226" t="str">
        <f t="shared" ref="BI160" si="269">IF(ISBLANK(AV$5),"",1)</f>
        <v/>
      </c>
      <c r="BJ160" s="1337"/>
      <c r="BK160" s="1338"/>
      <c r="BL160" s="1338"/>
      <c r="BM160" s="1338"/>
      <c r="BN160" s="1338"/>
      <c r="BO160" s="1339"/>
    </row>
    <row r="161" spans="1:67" ht="15" customHeight="1">
      <c r="A161" s="1308"/>
      <c r="B161" s="1163"/>
      <c r="C161" s="1164"/>
      <c r="D161" s="1164"/>
      <c r="E161" s="1164"/>
      <c r="F161" s="1164"/>
      <c r="G161" s="1201"/>
      <c r="H161" s="1206"/>
      <c r="I161" s="1206"/>
      <c r="J161" s="1206"/>
      <c r="K161" s="1206"/>
      <c r="L161" s="1206"/>
      <c r="M161" s="1206"/>
      <c r="N161" s="1392"/>
      <c r="O161" s="1295" t="s">
        <v>368</v>
      </c>
      <c r="P161" s="1296"/>
      <c r="Q161" s="1296"/>
      <c r="R161" s="1296"/>
      <c r="S161" s="1296"/>
      <c r="T161" s="1297"/>
      <c r="U161" s="1206"/>
      <c r="V161" s="1293"/>
      <c r="W161" s="1200"/>
      <c r="X161" s="1164"/>
      <c r="Y161" s="1164"/>
      <c r="Z161" s="1164"/>
      <c r="AA161" s="1164"/>
      <c r="AB161" s="1266"/>
      <c r="AC161" s="1206"/>
      <c r="AD161" s="1293"/>
      <c r="AE161" s="1200"/>
      <c r="AF161" s="1164"/>
      <c r="AG161" s="1164"/>
      <c r="AH161" s="1164"/>
      <c r="AI161" s="1164"/>
      <c r="AJ161" s="1266"/>
      <c r="AK161" s="1206"/>
      <c r="AL161" s="1290"/>
      <c r="AM161" s="1200"/>
      <c r="AN161" s="1164"/>
      <c r="AO161" s="1164"/>
      <c r="AP161" s="1164"/>
      <c r="AQ161" s="1164"/>
      <c r="AR161" s="1266"/>
      <c r="AS161" s="1206"/>
      <c r="AT161" s="1290"/>
      <c r="AU161" s="1295"/>
      <c r="AV161" s="1296"/>
      <c r="AW161" s="1296"/>
      <c r="AX161" s="1296"/>
      <c r="AY161" s="1296"/>
      <c r="AZ161" s="1318"/>
      <c r="BA161" s="1342"/>
      <c r="BB161" s="1290"/>
      <c r="BC161" s="1295"/>
      <c r="BD161" s="1296"/>
      <c r="BE161" s="1296"/>
      <c r="BF161" s="1296"/>
      <c r="BG161" s="1296"/>
      <c r="BH161" s="1318"/>
      <c r="BI161" s="1342"/>
      <c r="BJ161" s="1337"/>
      <c r="BK161" s="1338"/>
      <c r="BL161" s="1338"/>
      <c r="BM161" s="1338"/>
      <c r="BN161" s="1338"/>
      <c r="BO161" s="1339"/>
    </row>
    <row r="162" spans="1:67" ht="15" customHeight="1">
      <c r="A162" s="1309"/>
      <c r="B162" s="1165"/>
      <c r="C162" s="1166"/>
      <c r="D162" s="1166"/>
      <c r="E162" s="1166"/>
      <c r="F162" s="1166"/>
      <c r="G162" s="1292"/>
      <c r="H162" s="1207"/>
      <c r="I162" s="1207"/>
      <c r="J162" s="1207"/>
      <c r="K162" s="1207"/>
      <c r="L162" s="1207"/>
      <c r="M162" s="1207"/>
      <c r="N162" s="1393"/>
      <c r="O162" s="1298" t="s">
        <v>416</v>
      </c>
      <c r="P162" s="1299"/>
      <c r="Q162" s="1299"/>
      <c r="R162" s="1299"/>
      <c r="S162" s="1299"/>
      <c r="T162" s="1300"/>
      <c r="U162" s="1207"/>
      <c r="V162" s="1294"/>
      <c r="W162" s="1202"/>
      <c r="X162" s="1203"/>
      <c r="Y162" s="1203"/>
      <c r="Z162" s="1203"/>
      <c r="AA162" s="1203"/>
      <c r="AB162" s="1305"/>
      <c r="AC162" s="1207"/>
      <c r="AD162" s="1294"/>
      <c r="AE162" s="1202"/>
      <c r="AF162" s="1203"/>
      <c r="AG162" s="1203"/>
      <c r="AH162" s="1203"/>
      <c r="AI162" s="1203"/>
      <c r="AJ162" s="1305"/>
      <c r="AK162" s="1207"/>
      <c r="AL162" s="1291"/>
      <c r="AM162" s="1202"/>
      <c r="AN162" s="1203"/>
      <c r="AO162" s="1203"/>
      <c r="AP162" s="1203"/>
      <c r="AQ162" s="1203"/>
      <c r="AR162" s="1305"/>
      <c r="AS162" s="1207"/>
      <c r="AT162" s="1291"/>
      <c r="AU162" s="1298"/>
      <c r="AV162" s="1299"/>
      <c r="AW162" s="1299"/>
      <c r="AX162" s="1299"/>
      <c r="AY162" s="1299"/>
      <c r="AZ162" s="1335"/>
      <c r="BA162" s="1342"/>
      <c r="BB162" s="1291"/>
      <c r="BC162" s="1298"/>
      <c r="BD162" s="1299"/>
      <c r="BE162" s="1299"/>
      <c r="BF162" s="1299"/>
      <c r="BG162" s="1299"/>
      <c r="BH162" s="1335"/>
      <c r="BI162" s="1342"/>
      <c r="BJ162" s="1337"/>
      <c r="BK162" s="1338"/>
      <c r="BL162" s="1338"/>
      <c r="BM162" s="1338"/>
      <c r="BN162" s="1338"/>
      <c r="BO162" s="1339"/>
    </row>
    <row r="163" spans="1:67" ht="15" customHeight="1">
      <c r="A163" s="1307">
        <v>1.1000000000000001</v>
      </c>
      <c r="B163" s="1161" t="s">
        <v>330</v>
      </c>
      <c r="C163" s="1162"/>
      <c r="D163" s="1162"/>
      <c r="E163" s="1162"/>
      <c r="F163" s="1162"/>
      <c r="G163" s="1199"/>
      <c r="H163" s="1205" t="str">
        <f t="shared" ref="H163" si="270">IF(ISBLANK(AB$5),"",1)</f>
        <v/>
      </c>
      <c r="I163" s="1205" t="str">
        <f t="shared" ref="I163" si="271">IF(ISBLANK(AF$5),"",1)</f>
        <v/>
      </c>
      <c r="J163" s="1205" t="str">
        <f t="shared" ref="J163" si="272">IF(ISBLANK(AJ$5),"",1)</f>
        <v/>
      </c>
      <c r="K163" s="1205" t="str">
        <f t="shared" ref="K163" si="273">IF(ISBLANK(AN$5),"",1)</f>
        <v/>
      </c>
      <c r="L163" s="1205" t="str">
        <f t="shared" ref="L163" si="274">IF(ISBLANK(AR$5),"",1)</f>
        <v/>
      </c>
      <c r="M163" s="1205" t="str">
        <f t="shared" ref="M163" si="275">IF(ISBLANK(AV$5),"",1)</f>
        <v/>
      </c>
      <c r="N163" s="1322">
        <v>4.4000000000000004</v>
      </c>
      <c r="O163" s="1198" t="s">
        <v>393</v>
      </c>
      <c r="P163" s="1162"/>
      <c r="Q163" s="1162"/>
      <c r="R163" s="1162"/>
      <c r="S163" s="1162"/>
      <c r="T163" s="1265"/>
      <c r="U163" s="1205" t="str">
        <f t="shared" ref="U163" si="276">IF(ISBLANK(AB$5),"",1)</f>
        <v/>
      </c>
      <c r="V163" s="1304">
        <v>4.4000000000000004</v>
      </c>
      <c r="W163" s="1395" t="s">
        <v>359</v>
      </c>
      <c r="X163" s="1396"/>
      <c r="Y163" s="1396"/>
      <c r="Z163" s="1396"/>
      <c r="AA163" s="1396"/>
      <c r="AB163" s="1397"/>
      <c r="AC163" s="1205" t="str">
        <f t="shared" ref="AC163" si="277">IF(ISBLANK(AF$5),"",1)</f>
        <v/>
      </c>
      <c r="AD163" s="1322">
        <v>4.4000000000000004</v>
      </c>
      <c r="AE163" s="1198" t="s">
        <v>413</v>
      </c>
      <c r="AF163" s="1162"/>
      <c r="AG163" s="1162"/>
      <c r="AH163" s="1162"/>
      <c r="AI163" s="1162"/>
      <c r="AJ163" s="1265"/>
      <c r="AK163" s="1205" t="str">
        <f t="shared" ref="AK163" si="278">IF(ISBLANK(AJ$5),"",1)</f>
        <v/>
      </c>
      <c r="AL163" s="1322">
        <v>4.3</v>
      </c>
      <c r="AM163" s="1198" t="s">
        <v>395</v>
      </c>
      <c r="AN163" s="1162"/>
      <c r="AO163" s="1162"/>
      <c r="AP163" s="1162"/>
      <c r="AQ163" s="1162"/>
      <c r="AR163" s="1265"/>
      <c r="AS163" s="1205" t="str">
        <f t="shared" ref="AS163" si="279">IF(ISBLANK(AN$5),"",1)</f>
        <v/>
      </c>
      <c r="AT163" s="1258">
        <v>4.4000000000000004</v>
      </c>
      <c r="AU163" s="1198" t="s">
        <v>418</v>
      </c>
      <c r="AV163" s="1162"/>
      <c r="AW163" s="1162"/>
      <c r="AX163" s="1162"/>
      <c r="AY163" s="1162"/>
      <c r="AZ163" s="1199"/>
      <c r="BA163" s="1226" t="str">
        <f t="shared" ref="BA163" si="280">IF(ISBLANK(AR$5),"",1)</f>
        <v/>
      </c>
      <c r="BB163" s="1258">
        <v>4.3</v>
      </c>
      <c r="BC163" s="1198" t="s">
        <v>418</v>
      </c>
      <c r="BD163" s="1162"/>
      <c r="BE163" s="1162"/>
      <c r="BF163" s="1162"/>
      <c r="BG163" s="1162"/>
      <c r="BH163" s="1199"/>
      <c r="BI163" s="1226" t="str">
        <f t="shared" ref="BI163" si="281">IF(ISBLANK(AV$5),"",1)</f>
        <v/>
      </c>
      <c r="BJ163" s="1337"/>
      <c r="BK163" s="1338"/>
      <c r="BL163" s="1338"/>
      <c r="BM163" s="1338"/>
      <c r="BN163" s="1338"/>
      <c r="BO163" s="1339"/>
    </row>
    <row r="164" spans="1:67" ht="15" customHeight="1">
      <c r="A164" s="1308"/>
      <c r="B164" s="1163"/>
      <c r="C164" s="1164"/>
      <c r="D164" s="1164"/>
      <c r="E164" s="1164"/>
      <c r="F164" s="1164"/>
      <c r="G164" s="1201"/>
      <c r="H164" s="1206"/>
      <c r="I164" s="1206"/>
      <c r="J164" s="1206"/>
      <c r="K164" s="1206"/>
      <c r="L164" s="1206"/>
      <c r="M164" s="1206"/>
      <c r="N164" s="1293"/>
      <c r="O164" s="1200"/>
      <c r="P164" s="1164"/>
      <c r="Q164" s="1164"/>
      <c r="R164" s="1164"/>
      <c r="S164" s="1164"/>
      <c r="T164" s="1266"/>
      <c r="U164" s="1206"/>
      <c r="V164" s="1290"/>
      <c r="W164" s="1163"/>
      <c r="X164" s="1164"/>
      <c r="Y164" s="1164"/>
      <c r="Z164" s="1164"/>
      <c r="AA164" s="1164"/>
      <c r="AB164" s="1201"/>
      <c r="AC164" s="1206"/>
      <c r="AD164" s="1293"/>
      <c r="AE164" s="1200"/>
      <c r="AF164" s="1164"/>
      <c r="AG164" s="1164"/>
      <c r="AH164" s="1164"/>
      <c r="AI164" s="1164"/>
      <c r="AJ164" s="1266"/>
      <c r="AK164" s="1206"/>
      <c r="AL164" s="1293"/>
      <c r="AM164" s="1200"/>
      <c r="AN164" s="1164"/>
      <c r="AO164" s="1164"/>
      <c r="AP164" s="1164"/>
      <c r="AQ164" s="1164"/>
      <c r="AR164" s="1266"/>
      <c r="AS164" s="1206"/>
      <c r="AT164" s="1258"/>
      <c r="AU164" s="1200"/>
      <c r="AV164" s="1164"/>
      <c r="AW164" s="1164"/>
      <c r="AX164" s="1164"/>
      <c r="AY164" s="1164"/>
      <c r="AZ164" s="1201"/>
      <c r="BA164" s="1342"/>
      <c r="BB164" s="1258"/>
      <c r="BC164" s="1200"/>
      <c r="BD164" s="1164"/>
      <c r="BE164" s="1164"/>
      <c r="BF164" s="1164"/>
      <c r="BG164" s="1164"/>
      <c r="BH164" s="1201"/>
      <c r="BI164" s="1342"/>
      <c r="BJ164" s="1337"/>
      <c r="BK164" s="1338"/>
      <c r="BL164" s="1338"/>
      <c r="BM164" s="1338"/>
      <c r="BN164" s="1338"/>
      <c r="BO164" s="1339"/>
    </row>
    <row r="165" spans="1:67" ht="15" customHeight="1">
      <c r="A165" s="1309"/>
      <c r="B165" s="1165"/>
      <c r="C165" s="1166"/>
      <c r="D165" s="1166"/>
      <c r="E165" s="1166"/>
      <c r="F165" s="1166"/>
      <c r="G165" s="1292"/>
      <c r="H165" s="1207"/>
      <c r="I165" s="1207"/>
      <c r="J165" s="1207"/>
      <c r="K165" s="1207"/>
      <c r="L165" s="1207"/>
      <c r="M165" s="1207"/>
      <c r="N165" s="1294"/>
      <c r="O165" s="1202" t="s">
        <v>394</v>
      </c>
      <c r="P165" s="1203"/>
      <c r="Q165" s="1203"/>
      <c r="R165" s="1203"/>
      <c r="S165" s="1203"/>
      <c r="T165" s="1305"/>
      <c r="U165" s="1207"/>
      <c r="V165" s="1291"/>
      <c r="W165" s="1165"/>
      <c r="X165" s="1166"/>
      <c r="Y165" s="1166"/>
      <c r="Z165" s="1166"/>
      <c r="AA165" s="1166"/>
      <c r="AB165" s="1292"/>
      <c r="AC165" s="1207"/>
      <c r="AD165" s="1294"/>
      <c r="AE165" s="1202"/>
      <c r="AF165" s="1203"/>
      <c r="AG165" s="1203"/>
      <c r="AH165" s="1203"/>
      <c r="AI165" s="1203"/>
      <c r="AJ165" s="1305"/>
      <c r="AK165" s="1207"/>
      <c r="AL165" s="1306"/>
      <c r="AM165" s="1202"/>
      <c r="AN165" s="1203"/>
      <c r="AO165" s="1203"/>
      <c r="AP165" s="1203"/>
      <c r="AQ165" s="1203"/>
      <c r="AR165" s="1305"/>
      <c r="AS165" s="1207"/>
      <c r="AT165" s="1258"/>
      <c r="AU165" s="1202"/>
      <c r="AV165" s="1203"/>
      <c r="AW165" s="1203"/>
      <c r="AX165" s="1203"/>
      <c r="AY165" s="1203"/>
      <c r="AZ165" s="1204"/>
      <c r="BA165" s="1342"/>
      <c r="BB165" s="1258"/>
      <c r="BC165" s="1202"/>
      <c r="BD165" s="1203"/>
      <c r="BE165" s="1203"/>
      <c r="BF165" s="1203"/>
      <c r="BG165" s="1203"/>
      <c r="BH165" s="1204"/>
      <c r="BI165" s="1342"/>
      <c r="BJ165" s="1337"/>
      <c r="BK165" s="1338"/>
      <c r="BL165" s="1338"/>
      <c r="BM165" s="1338"/>
      <c r="BN165" s="1338"/>
      <c r="BO165" s="1339"/>
    </row>
    <row r="166" spans="1:67" ht="15" customHeight="1">
      <c r="A166" s="1304">
        <v>1.5</v>
      </c>
      <c r="B166" s="1161" t="s">
        <v>336</v>
      </c>
      <c r="C166" s="1162"/>
      <c r="D166" s="1162"/>
      <c r="E166" s="1162"/>
      <c r="F166" s="1162"/>
      <c r="G166" s="1199"/>
      <c r="H166" s="1205" t="str">
        <f t="shared" ref="H166" si="282">IF(ISBLANK(AB$5),"",1)</f>
        <v/>
      </c>
      <c r="I166" s="1205" t="str">
        <f t="shared" ref="I166" si="283">IF(ISBLANK(AF$5),"",1)</f>
        <v/>
      </c>
      <c r="J166" s="1205" t="str">
        <f t="shared" ref="J166" si="284">IF(ISBLANK(AJ$5),"",1)</f>
        <v/>
      </c>
      <c r="K166" s="1205" t="str">
        <f t="shared" ref="K166" si="285">IF(ISBLANK(AN$5),"",1)</f>
        <v/>
      </c>
      <c r="L166" s="1205" t="str">
        <f t="shared" ref="L166" si="286">IF(ISBLANK(AR$5),"",1)</f>
        <v/>
      </c>
      <c r="M166" s="1205" t="str">
        <f t="shared" ref="M166" si="287">IF(ISBLANK(AV$5),"",1)</f>
        <v/>
      </c>
      <c r="N166" s="1391">
        <v>4.4000000000000004</v>
      </c>
      <c r="O166" s="1198" t="s">
        <v>359</v>
      </c>
      <c r="P166" s="1162"/>
      <c r="Q166" s="1162"/>
      <c r="R166" s="1162"/>
      <c r="S166" s="1162"/>
      <c r="T166" s="1265"/>
      <c r="U166" s="1205" t="str">
        <f t="shared" ref="U166" si="288">IF(ISBLANK(AB$5),"",1)</f>
        <v/>
      </c>
      <c r="V166" s="1322">
        <v>4.4000000000000004</v>
      </c>
      <c r="W166" s="1198" t="s">
        <v>395</v>
      </c>
      <c r="X166" s="1162"/>
      <c r="Y166" s="1162"/>
      <c r="Z166" s="1162"/>
      <c r="AA166" s="1162"/>
      <c r="AB166" s="1265"/>
      <c r="AC166" s="1205" t="str">
        <f t="shared" ref="AC166" si="289">IF(ISBLANK(AF$5),"",1)</f>
        <v/>
      </c>
      <c r="AD166" s="1322">
        <v>4.4000000000000004</v>
      </c>
      <c r="AE166" s="1198" t="s">
        <v>414</v>
      </c>
      <c r="AF166" s="1162"/>
      <c r="AG166" s="1162"/>
      <c r="AH166" s="1162"/>
      <c r="AI166" s="1162"/>
      <c r="AJ166" s="1265"/>
      <c r="AK166" s="1205" t="str">
        <f t="shared" ref="AK166" si="290">IF(ISBLANK(AJ$5),"",1)</f>
        <v/>
      </c>
      <c r="AL166" s="1304">
        <v>4.4000000000000004</v>
      </c>
      <c r="AM166" s="1161" t="s">
        <v>878</v>
      </c>
      <c r="AN166" s="1162"/>
      <c r="AO166" s="1162"/>
      <c r="AP166" s="1162"/>
      <c r="AQ166" s="1162"/>
      <c r="AR166" s="1199"/>
      <c r="AS166" s="1205" t="str">
        <f t="shared" ref="AS166" si="291">IF(ISBLANK(AN$5),"",1)</f>
        <v/>
      </c>
      <c r="AT166" s="1258">
        <v>4.4000000000000004</v>
      </c>
      <c r="AU166" s="1198" t="s">
        <v>417</v>
      </c>
      <c r="AV166" s="1162"/>
      <c r="AW166" s="1162"/>
      <c r="AX166" s="1162"/>
      <c r="AY166" s="1162"/>
      <c r="AZ166" s="1199"/>
      <c r="BA166" s="1226" t="str">
        <f t="shared" ref="BA166" si="292">IF(ISBLANK(AR$5),"",1)</f>
        <v/>
      </c>
      <c r="BB166" s="1258">
        <v>4.4000000000000004</v>
      </c>
      <c r="BC166" s="1198" t="s">
        <v>417</v>
      </c>
      <c r="BD166" s="1162"/>
      <c r="BE166" s="1162"/>
      <c r="BF166" s="1162"/>
      <c r="BG166" s="1162"/>
      <c r="BH166" s="1199"/>
      <c r="BI166" s="1226" t="str">
        <f t="shared" ref="BI166" si="293">IF(ISBLANK(AV$5),"",1)</f>
        <v/>
      </c>
      <c r="BJ166" s="1337"/>
      <c r="BK166" s="1338"/>
      <c r="BL166" s="1338"/>
      <c r="BM166" s="1338"/>
      <c r="BN166" s="1338"/>
      <c r="BO166" s="1339"/>
    </row>
    <row r="167" spans="1:67" ht="15" customHeight="1">
      <c r="A167" s="1290"/>
      <c r="B167" s="1163"/>
      <c r="C167" s="1164"/>
      <c r="D167" s="1164"/>
      <c r="E167" s="1164"/>
      <c r="F167" s="1164"/>
      <c r="G167" s="1201"/>
      <c r="H167" s="1206"/>
      <c r="I167" s="1206"/>
      <c r="J167" s="1206"/>
      <c r="K167" s="1206"/>
      <c r="L167" s="1206"/>
      <c r="M167" s="1206"/>
      <c r="N167" s="1392"/>
      <c r="O167" s="1200" t="s">
        <v>370</v>
      </c>
      <c r="P167" s="1164"/>
      <c r="Q167" s="1164"/>
      <c r="R167" s="1164"/>
      <c r="S167" s="1164"/>
      <c r="T167" s="1266"/>
      <c r="U167" s="1206"/>
      <c r="V167" s="1293"/>
      <c r="W167" s="1200"/>
      <c r="X167" s="1164"/>
      <c r="Y167" s="1164"/>
      <c r="Z167" s="1164"/>
      <c r="AA167" s="1164"/>
      <c r="AB167" s="1266"/>
      <c r="AC167" s="1206"/>
      <c r="AD167" s="1293"/>
      <c r="AE167" s="1200"/>
      <c r="AF167" s="1164"/>
      <c r="AG167" s="1164"/>
      <c r="AH167" s="1164"/>
      <c r="AI167" s="1164"/>
      <c r="AJ167" s="1266"/>
      <c r="AK167" s="1206"/>
      <c r="AL167" s="1290"/>
      <c r="AM167" s="1163"/>
      <c r="AN167" s="1164"/>
      <c r="AO167" s="1164"/>
      <c r="AP167" s="1164"/>
      <c r="AQ167" s="1164"/>
      <c r="AR167" s="1201"/>
      <c r="AS167" s="1206"/>
      <c r="AT167" s="1258"/>
      <c r="AU167" s="1200"/>
      <c r="AV167" s="1164"/>
      <c r="AW167" s="1164"/>
      <c r="AX167" s="1164"/>
      <c r="AY167" s="1164"/>
      <c r="AZ167" s="1201"/>
      <c r="BA167" s="1342"/>
      <c r="BB167" s="1258"/>
      <c r="BC167" s="1200"/>
      <c r="BD167" s="1164"/>
      <c r="BE167" s="1164"/>
      <c r="BF167" s="1164"/>
      <c r="BG167" s="1164"/>
      <c r="BH167" s="1201"/>
      <c r="BI167" s="1342"/>
      <c r="BJ167" s="1337"/>
      <c r="BK167" s="1338"/>
      <c r="BL167" s="1338"/>
      <c r="BM167" s="1338"/>
      <c r="BN167" s="1338"/>
      <c r="BO167" s="1339"/>
    </row>
    <row r="168" spans="1:67" ht="15" customHeight="1">
      <c r="A168" s="1291"/>
      <c r="B168" s="1165"/>
      <c r="C168" s="1166"/>
      <c r="D168" s="1166"/>
      <c r="E168" s="1166"/>
      <c r="F168" s="1166"/>
      <c r="G168" s="1292"/>
      <c r="H168" s="1207"/>
      <c r="I168" s="1207"/>
      <c r="J168" s="1207"/>
      <c r="K168" s="1207"/>
      <c r="L168" s="1207"/>
      <c r="M168" s="1207"/>
      <c r="N168" s="1393"/>
      <c r="O168" s="1202" t="s">
        <v>384</v>
      </c>
      <c r="P168" s="1203"/>
      <c r="Q168" s="1203"/>
      <c r="R168" s="1203"/>
      <c r="S168" s="1203"/>
      <c r="T168" s="1305"/>
      <c r="U168" s="1207"/>
      <c r="V168" s="1294"/>
      <c r="W168" s="1202"/>
      <c r="X168" s="1203"/>
      <c r="Y168" s="1203"/>
      <c r="Z168" s="1203"/>
      <c r="AA168" s="1203"/>
      <c r="AB168" s="1305"/>
      <c r="AC168" s="1207"/>
      <c r="AD168" s="1306"/>
      <c r="AE168" s="1202"/>
      <c r="AF168" s="1203"/>
      <c r="AG168" s="1203"/>
      <c r="AH168" s="1203"/>
      <c r="AI168" s="1203"/>
      <c r="AJ168" s="1305"/>
      <c r="AK168" s="1207"/>
      <c r="AL168" s="1291"/>
      <c r="AM168" s="1165"/>
      <c r="AN168" s="1166"/>
      <c r="AO168" s="1166"/>
      <c r="AP168" s="1166"/>
      <c r="AQ168" s="1166"/>
      <c r="AR168" s="1292"/>
      <c r="AS168" s="1207"/>
      <c r="AT168" s="1258"/>
      <c r="AU168" s="1202"/>
      <c r="AV168" s="1203"/>
      <c r="AW168" s="1203"/>
      <c r="AX168" s="1203"/>
      <c r="AY168" s="1203"/>
      <c r="AZ168" s="1204"/>
      <c r="BA168" s="1342"/>
      <c r="BB168" s="1258"/>
      <c r="BC168" s="1202"/>
      <c r="BD168" s="1203"/>
      <c r="BE168" s="1203"/>
      <c r="BF168" s="1203"/>
      <c r="BG168" s="1203"/>
      <c r="BH168" s="1204"/>
      <c r="BI168" s="1342"/>
      <c r="BJ168" s="1337"/>
      <c r="BK168" s="1338"/>
      <c r="BL168" s="1338"/>
      <c r="BM168" s="1338"/>
      <c r="BN168" s="1338"/>
      <c r="BO168" s="1339"/>
    </row>
    <row r="169" spans="1:67" ht="15" customHeight="1">
      <c r="A169" s="1304">
        <v>2.1</v>
      </c>
      <c r="B169" s="1161" t="s">
        <v>360</v>
      </c>
      <c r="C169" s="1162"/>
      <c r="D169" s="1162"/>
      <c r="E169" s="1162"/>
      <c r="F169" s="1162"/>
      <c r="G169" s="1199"/>
      <c r="H169" s="1205" t="str">
        <f t="shared" ref="H169" si="294">IF(ISBLANK(AB$5),"",1)</f>
        <v/>
      </c>
      <c r="I169" s="1205" t="str">
        <f t="shared" ref="I169" si="295">IF(ISBLANK(AF$5),"",1)</f>
        <v/>
      </c>
      <c r="J169" s="1205" t="str">
        <f t="shared" ref="J169" si="296">IF(ISBLANK(AJ$5),"",1)</f>
        <v/>
      </c>
      <c r="K169" s="1205" t="str">
        <f t="shared" ref="K169" si="297">IF(ISBLANK(AN$5),"",1)</f>
        <v/>
      </c>
      <c r="L169" s="1205" t="str">
        <f t="shared" ref="L169" si="298">IF(ISBLANK(AR$5),"",1)</f>
        <v/>
      </c>
      <c r="M169" s="1205" t="str">
        <f t="shared" ref="M169" si="299">IF(ISBLANK(AV$5),"",1)</f>
        <v/>
      </c>
      <c r="N169" s="1322">
        <v>4.4000000000000004</v>
      </c>
      <c r="O169" s="1198" t="s">
        <v>395</v>
      </c>
      <c r="P169" s="1162"/>
      <c r="Q169" s="1162"/>
      <c r="R169" s="1162"/>
      <c r="S169" s="1162"/>
      <c r="T169" s="1265"/>
      <c r="U169" s="1205" t="str">
        <f t="shared" ref="U169" si="300">IF(ISBLANK(AB$5),"",1)</f>
        <v/>
      </c>
      <c r="V169" s="1391">
        <v>4.4000000000000004</v>
      </c>
      <c r="W169" s="1161" t="s">
        <v>878</v>
      </c>
      <c r="X169" s="1162"/>
      <c r="Y169" s="1162"/>
      <c r="Z169" s="1162"/>
      <c r="AA169" s="1162"/>
      <c r="AB169" s="1199"/>
      <c r="AC169" s="1205" t="str">
        <f t="shared" ref="AC169" si="301">IF(ISBLANK(AF$5),"",1)</f>
        <v/>
      </c>
      <c r="AD169" s="1322">
        <v>4.4000000000000004</v>
      </c>
      <c r="AE169" s="1198" t="s">
        <v>383</v>
      </c>
      <c r="AF169" s="1162"/>
      <c r="AG169" s="1162"/>
      <c r="AH169" s="1162"/>
      <c r="AI169" s="1162"/>
      <c r="AJ169" s="1265"/>
      <c r="AK169" s="1205" t="str">
        <f t="shared" ref="AK169" si="302">IF(ISBLANK(AJ$5),"",1)</f>
        <v/>
      </c>
      <c r="AL169" s="1307">
        <v>1.5</v>
      </c>
      <c r="AM169" s="1310" t="s">
        <v>373</v>
      </c>
      <c r="AN169" s="1311"/>
      <c r="AO169" s="1311"/>
      <c r="AP169" s="1311"/>
      <c r="AQ169" s="1311"/>
      <c r="AR169" s="1312"/>
      <c r="AS169" s="1205" t="str">
        <f t="shared" ref="AS169" si="303">IF(ISBLANK(AN$5),"",1)</f>
        <v/>
      </c>
      <c r="AT169" s="1258">
        <v>4.4000000000000004</v>
      </c>
      <c r="AU169" s="1198" t="s">
        <v>419</v>
      </c>
      <c r="AV169" s="1162"/>
      <c r="AW169" s="1162"/>
      <c r="AX169" s="1162"/>
      <c r="AY169" s="1162"/>
      <c r="AZ169" s="1199"/>
      <c r="BA169" s="1226" t="str">
        <f t="shared" ref="BA169" si="304">IF(ISBLANK(AR$5),"",1)</f>
        <v/>
      </c>
      <c r="BB169" s="1258">
        <v>4.4000000000000004</v>
      </c>
      <c r="BC169" s="1198" t="s">
        <v>419</v>
      </c>
      <c r="BD169" s="1162"/>
      <c r="BE169" s="1162"/>
      <c r="BF169" s="1162"/>
      <c r="BG169" s="1162"/>
      <c r="BH169" s="1199"/>
      <c r="BI169" s="1226" t="str">
        <f t="shared" ref="BI169" si="305">IF(ISBLANK(AV$5),"",1)</f>
        <v/>
      </c>
      <c r="BJ169" s="1337"/>
      <c r="BK169" s="1338"/>
      <c r="BL169" s="1338"/>
      <c r="BM169" s="1338"/>
      <c r="BN169" s="1338"/>
      <c r="BO169" s="1339"/>
    </row>
    <row r="170" spans="1:67" ht="15" customHeight="1">
      <c r="A170" s="1290"/>
      <c r="B170" s="1163"/>
      <c r="C170" s="1164"/>
      <c r="D170" s="1164"/>
      <c r="E170" s="1164"/>
      <c r="F170" s="1164"/>
      <c r="G170" s="1201"/>
      <c r="H170" s="1206"/>
      <c r="I170" s="1206"/>
      <c r="J170" s="1206"/>
      <c r="K170" s="1206"/>
      <c r="L170" s="1206"/>
      <c r="M170" s="1206"/>
      <c r="N170" s="1293"/>
      <c r="O170" s="1200" t="s">
        <v>370</v>
      </c>
      <c r="P170" s="1164"/>
      <c r="Q170" s="1164"/>
      <c r="R170" s="1164"/>
      <c r="S170" s="1164"/>
      <c r="T170" s="1266"/>
      <c r="U170" s="1206"/>
      <c r="V170" s="1392"/>
      <c r="W170" s="1163"/>
      <c r="X170" s="1164"/>
      <c r="Y170" s="1164"/>
      <c r="Z170" s="1164"/>
      <c r="AA170" s="1164"/>
      <c r="AB170" s="1201"/>
      <c r="AC170" s="1206"/>
      <c r="AD170" s="1293"/>
      <c r="AE170" s="1200"/>
      <c r="AF170" s="1164"/>
      <c r="AG170" s="1164"/>
      <c r="AH170" s="1164"/>
      <c r="AI170" s="1164"/>
      <c r="AJ170" s="1266"/>
      <c r="AK170" s="1206"/>
      <c r="AL170" s="1308"/>
      <c r="AM170" s="1295"/>
      <c r="AN170" s="1296"/>
      <c r="AO170" s="1296"/>
      <c r="AP170" s="1296"/>
      <c r="AQ170" s="1296"/>
      <c r="AR170" s="1297"/>
      <c r="AS170" s="1206"/>
      <c r="AT170" s="1258"/>
      <c r="AU170" s="1200"/>
      <c r="AV170" s="1164"/>
      <c r="AW170" s="1164"/>
      <c r="AX170" s="1164"/>
      <c r="AY170" s="1164"/>
      <c r="AZ170" s="1201"/>
      <c r="BA170" s="1342"/>
      <c r="BB170" s="1258"/>
      <c r="BC170" s="1200"/>
      <c r="BD170" s="1164"/>
      <c r="BE170" s="1164"/>
      <c r="BF170" s="1164"/>
      <c r="BG170" s="1164"/>
      <c r="BH170" s="1201"/>
      <c r="BI170" s="1342"/>
      <c r="BJ170" s="1337"/>
      <c r="BK170" s="1338"/>
      <c r="BL170" s="1338"/>
      <c r="BM170" s="1338"/>
      <c r="BN170" s="1338"/>
      <c r="BO170" s="1339"/>
    </row>
    <row r="171" spans="1:67" ht="15" customHeight="1">
      <c r="A171" s="1291"/>
      <c r="B171" s="1165"/>
      <c r="C171" s="1166"/>
      <c r="D171" s="1166"/>
      <c r="E171" s="1166"/>
      <c r="F171" s="1166"/>
      <c r="G171" s="1292"/>
      <c r="H171" s="1207"/>
      <c r="I171" s="1207"/>
      <c r="J171" s="1207"/>
      <c r="K171" s="1207"/>
      <c r="L171" s="1207"/>
      <c r="M171" s="1207"/>
      <c r="N171" s="1294"/>
      <c r="O171" s="1202" t="s">
        <v>396</v>
      </c>
      <c r="P171" s="1203"/>
      <c r="Q171" s="1203"/>
      <c r="R171" s="1203"/>
      <c r="S171" s="1203"/>
      <c r="T171" s="1305"/>
      <c r="U171" s="1207"/>
      <c r="V171" s="1393"/>
      <c r="W171" s="1165"/>
      <c r="X171" s="1166"/>
      <c r="Y171" s="1166"/>
      <c r="Z171" s="1166"/>
      <c r="AA171" s="1166"/>
      <c r="AB171" s="1292"/>
      <c r="AC171" s="1207"/>
      <c r="AD171" s="1306"/>
      <c r="AE171" s="1202"/>
      <c r="AF171" s="1203"/>
      <c r="AG171" s="1203"/>
      <c r="AH171" s="1203"/>
      <c r="AI171" s="1203"/>
      <c r="AJ171" s="1305"/>
      <c r="AK171" s="1207"/>
      <c r="AL171" s="1309"/>
      <c r="AM171" s="1298"/>
      <c r="AN171" s="1299"/>
      <c r="AO171" s="1299"/>
      <c r="AP171" s="1299"/>
      <c r="AQ171" s="1299"/>
      <c r="AR171" s="1300"/>
      <c r="AS171" s="1207"/>
      <c r="AT171" s="1258"/>
      <c r="AU171" s="1202"/>
      <c r="AV171" s="1203"/>
      <c r="AW171" s="1203"/>
      <c r="AX171" s="1203"/>
      <c r="AY171" s="1203"/>
      <c r="AZ171" s="1204"/>
      <c r="BA171" s="1342"/>
      <c r="BB171" s="1258"/>
      <c r="BC171" s="1202"/>
      <c r="BD171" s="1203"/>
      <c r="BE171" s="1203"/>
      <c r="BF171" s="1203"/>
      <c r="BG171" s="1203"/>
      <c r="BH171" s="1204"/>
      <c r="BI171" s="1342"/>
      <c r="BJ171" s="1337"/>
      <c r="BK171" s="1338"/>
      <c r="BL171" s="1338"/>
      <c r="BM171" s="1338"/>
      <c r="BN171" s="1338"/>
      <c r="BO171" s="1339"/>
    </row>
    <row r="172" spans="1:67" ht="15" customHeight="1">
      <c r="A172" s="1304">
        <v>2.4</v>
      </c>
      <c r="B172" s="1161" t="s">
        <v>942</v>
      </c>
      <c r="C172" s="1162"/>
      <c r="D172" s="1162"/>
      <c r="E172" s="1162"/>
      <c r="F172" s="1162"/>
      <c r="G172" s="1199"/>
      <c r="H172" s="1205" t="str">
        <f t="shared" ref="H172" si="306">IF(ISBLANK(AB$5),"",1)</f>
        <v/>
      </c>
      <c r="I172" s="1205" t="str">
        <f t="shared" ref="I172" si="307">IF(ISBLANK(AF$5),"",1)</f>
        <v/>
      </c>
      <c r="J172" s="1205" t="str">
        <f t="shared" ref="J172" si="308">IF(ISBLANK(AJ$5),"",1)</f>
        <v/>
      </c>
      <c r="K172" s="1205" t="str">
        <f t="shared" ref="K172" si="309">IF(ISBLANK(AN$5),"",1)</f>
        <v/>
      </c>
      <c r="L172" s="1205" t="str">
        <f t="shared" ref="L172" si="310">IF(ISBLANK(AR$5),"",1)</f>
        <v/>
      </c>
      <c r="M172" s="1205" t="str">
        <f t="shared" ref="M172" si="311">IF(ISBLANK(AV$5),"",1)</f>
        <v/>
      </c>
      <c r="N172" s="1391">
        <v>4.4000000000000004</v>
      </c>
      <c r="O172" s="1161" t="s">
        <v>878</v>
      </c>
      <c r="P172" s="1162"/>
      <c r="Q172" s="1162"/>
      <c r="R172" s="1162"/>
      <c r="S172" s="1162"/>
      <c r="T172" s="1199"/>
      <c r="U172" s="1205" t="str">
        <f t="shared" ref="U172" si="312">IF(ISBLANK(AB$5),"",1)</f>
        <v/>
      </c>
      <c r="V172" s="1394">
        <v>1.5</v>
      </c>
      <c r="W172" s="1310" t="s">
        <v>373</v>
      </c>
      <c r="X172" s="1311"/>
      <c r="Y172" s="1311"/>
      <c r="Z172" s="1311"/>
      <c r="AA172" s="1311"/>
      <c r="AB172" s="1312"/>
      <c r="AC172" s="1205" t="str">
        <f t="shared" ref="AC172" si="313">IF(ISBLANK(AF$5),"",1)</f>
        <v/>
      </c>
      <c r="AD172" s="1307">
        <v>1.5</v>
      </c>
      <c r="AE172" s="1310" t="s">
        <v>373</v>
      </c>
      <c r="AF172" s="1311"/>
      <c r="AG172" s="1311"/>
      <c r="AH172" s="1311"/>
      <c r="AI172" s="1311"/>
      <c r="AJ172" s="1312"/>
      <c r="AK172" s="1205" t="str">
        <f t="shared" ref="AK172" si="314">IF(ISBLANK(AJ$5),"",1)</f>
        <v/>
      </c>
      <c r="AL172" s="1322">
        <v>4.4000000000000004</v>
      </c>
      <c r="AM172" s="1198" t="s">
        <v>397</v>
      </c>
      <c r="AN172" s="1162"/>
      <c r="AO172" s="1162"/>
      <c r="AP172" s="1162"/>
      <c r="AQ172" s="1162"/>
      <c r="AR172" s="1265"/>
      <c r="AS172" s="1205" t="str">
        <f t="shared" ref="AS172" si="315">IF(ISBLANK(AN$5),"",1)</f>
        <v/>
      </c>
      <c r="AT172" s="1258">
        <v>4.4000000000000004</v>
      </c>
      <c r="AU172" s="1198" t="s">
        <v>420</v>
      </c>
      <c r="AV172" s="1162"/>
      <c r="AW172" s="1162"/>
      <c r="AX172" s="1162"/>
      <c r="AY172" s="1162"/>
      <c r="AZ172" s="1199"/>
      <c r="BA172" s="1226" t="str">
        <f t="shared" ref="BA172" si="316">IF(ISBLANK(AR$5),"",1)</f>
        <v/>
      </c>
      <c r="BB172" s="1258">
        <v>4.4000000000000004</v>
      </c>
      <c r="BC172" s="1198" t="s">
        <v>420</v>
      </c>
      <c r="BD172" s="1162"/>
      <c r="BE172" s="1162"/>
      <c r="BF172" s="1162"/>
      <c r="BG172" s="1162"/>
      <c r="BH172" s="1199"/>
      <c r="BI172" s="1226" t="str">
        <f t="shared" ref="BI172" si="317">IF(ISBLANK(AV$5),"",1)</f>
        <v/>
      </c>
      <c r="BJ172" s="1337"/>
      <c r="BK172" s="1338"/>
      <c r="BL172" s="1338"/>
      <c r="BM172" s="1338"/>
      <c r="BN172" s="1338"/>
      <c r="BO172" s="1339"/>
    </row>
    <row r="173" spans="1:67" ht="15" customHeight="1">
      <c r="A173" s="1290"/>
      <c r="B173" s="1163"/>
      <c r="C173" s="1164"/>
      <c r="D173" s="1164"/>
      <c r="E173" s="1164"/>
      <c r="F173" s="1164"/>
      <c r="G173" s="1201"/>
      <c r="H173" s="1206"/>
      <c r="I173" s="1206"/>
      <c r="J173" s="1206"/>
      <c r="K173" s="1206"/>
      <c r="L173" s="1206"/>
      <c r="M173" s="1206"/>
      <c r="N173" s="1392"/>
      <c r="O173" s="1163"/>
      <c r="P173" s="1164"/>
      <c r="Q173" s="1164"/>
      <c r="R173" s="1164"/>
      <c r="S173" s="1164"/>
      <c r="T173" s="1201"/>
      <c r="U173" s="1206"/>
      <c r="V173" s="1313"/>
      <c r="W173" s="1295"/>
      <c r="X173" s="1296"/>
      <c r="Y173" s="1296"/>
      <c r="Z173" s="1296"/>
      <c r="AA173" s="1296"/>
      <c r="AB173" s="1297"/>
      <c r="AC173" s="1206"/>
      <c r="AD173" s="1308"/>
      <c r="AE173" s="1295"/>
      <c r="AF173" s="1296"/>
      <c r="AG173" s="1296"/>
      <c r="AH173" s="1296"/>
      <c r="AI173" s="1296"/>
      <c r="AJ173" s="1297"/>
      <c r="AK173" s="1206"/>
      <c r="AL173" s="1293"/>
      <c r="AM173" s="1200"/>
      <c r="AN173" s="1164"/>
      <c r="AO173" s="1164"/>
      <c r="AP173" s="1164"/>
      <c r="AQ173" s="1164"/>
      <c r="AR173" s="1266"/>
      <c r="AS173" s="1206"/>
      <c r="AT173" s="1258"/>
      <c r="AU173" s="1200"/>
      <c r="AV173" s="1164"/>
      <c r="AW173" s="1164"/>
      <c r="AX173" s="1164"/>
      <c r="AY173" s="1164"/>
      <c r="AZ173" s="1201"/>
      <c r="BA173" s="1342"/>
      <c r="BB173" s="1258"/>
      <c r="BC173" s="1200"/>
      <c r="BD173" s="1164"/>
      <c r="BE173" s="1164"/>
      <c r="BF173" s="1164"/>
      <c r="BG173" s="1164"/>
      <c r="BH173" s="1201"/>
      <c r="BI173" s="1342"/>
      <c r="BJ173" s="1337"/>
      <c r="BK173" s="1338"/>
      <c r="BL173" s="1338"/>
      <c r="BM173" s="1338"/>
      <c r="BN173" s="1338"/>
      <c r="BO173" s="1339"/>
    </row>
    <row r="174" spans="1:67" ht="15" customHeight="1">
      <c r="A174" s="1291"/>
      <c r="B174" s="1165"/>
      <c r="C174" s="1166"/>
      <c r="D174" s="1166"/>
      <c r="E174" s="1166"/>
      <c r="F174" s="1166"/>
      <c r="G174" s="1292"/>
      <c r="H174" s="1207"/>
      <c r="I174" s="1207"/>
      <c r="J174" s="1207"/>
      <c r="K174" s="1207"/>
      <c r="L174" s="1207"/>
      <c r="M174" s="1207"/>
      <c r="N174" s="1393"/>
      <c r="O174" s="1165"/>
      <c r="P174" s="1166"/>
      <c r="Q174" s="1166"/>
      <c r="R174" s="1166"/>
      <c r="S174" s="1166"/>
      <c r="T174" s="1292"/>
      <c r="U174" s="1207"/>
      <c r="V174" s="1314"/>
      <c r="W174" s="1298"/>
      <c r="X174" s="1299"/>
      <c r="Y174" s="1299"/>
      <c r="Z174" s="1299"/>
      <c r="AA174" s="1299"/>
      <c r="AB174" s="1300"/>
      <c r="AC174" s="1207"/>
      <c r="AD174" s="1309"/>
      <c r="AE174" s="1298"/>
      <c r="AF174" s="1299"/>
      <c r="AG174" s="1299"/>
      <c r="AH174" s="1299"/>
      <c r="AI174" s="1299"/>
      <c r="AJ174" s="1300"/>
      <c r="AK174" s="1207"/>
      <c r="AL174" s="1306"/>
      <c r="AM174" s="1202"/>
      <c r="AN174" s="1203"/>
      <c r="AO174" s="1203"/>
      <c r="AP174" s="1203"/>
      <c r="AQ174" s="1203"/>
      <c r="AR174" s="1305"/>
      <c r="AS174" s="1207"/>
      <c r="AT174" s="1258"/>
      <c r="AU174" s="1202"/>
      <c r="AV174" s="1203"/>
      <c r="AW174" s="1203"/>
      <c r="AX174" s="1203"/>
      <c r="AY174" s="1203"/>
      <c r="AZ174" s="1204"/>
      <c r="BA174" s="1342"/>
      <c r="BB174" s="1258"/>
      <c r="BC174" s="1202"/>
      <c r="BD174" s="1203"/>
      <c r="BE174" s="1203"/>
      <c r="BF174" s="1203"/>
      <c r="BG174" s="1203"/>
      <c r="BH174" s="1204"/>
      <c r="BI174" s="1342"/>
      <c r="BJ174" s="1337"/>
      <c r="BK174" s="1338"/>
      <c r="BL174" s="1338"/>
      <c r="BM174" s="1338"/>
      <c r="BN174" s="1338"/>
      <c r="BO174" s="1339"/>
    </row>
    <row r="175" spans="1:67" ht="15" customHeight="1">
      <c r="A175" s="252"/>
      <c r="B175" s="243"/>
      <c r="C175" s="242"/>
      <c r="D175" s="242"/>
      <c r="F175" s="278">
        <v>1.1000000000000001</v>
      </c>
      <c r="G175" s="311">
        <f>COUNTIF($A$148:$A$174,F175)</f>
        <v>4</v>
      </c>
      <c r="H175" s="240" t="str">
        <f>IF($AB$5=1,SUMIF($A$148:$A$174,$F175,$H$148:$H$174),"")</f>
        <v/>
      </c>
      <c r="I175" s="240" t="str">
        <f>IF($AF$5=1,SUMIF($A$148:$A$174,$F175,$I$148:$I$174),"")</f>
        <v/>
      </c>
      <c r="J175" s="240" t="str">
        <f>IF($AJ$5=1,SUMIF($A$148:$A$174,$F175,$J$148:$J$174),"")</f>
        <v/>
      </c>
      <c r="K175" s="240" t="str">
        <f>IF($AN$5=1,SUMIF($A$148:$A$174,$F175,$K$148:$K$174),"")</f>
        <v/>
      </c>
      <c r="L175" s="240" t="str">
        <f>IF($AR$5=1,SUMIF($A$148:$A$174,$F175,$L$148:$L$174),"")</f>
        <v/>
      </c>
      <c r="M175" s="240" t="str">
        <f>IF($AV$5=1,SUMIF($A$148:$A$174,$F175,$M$148:$M$174),"")</f>
        <v/>
      </c>
      <c r="N175" s="1394">
        <v>1.5</v>
      </c>
      <c r="O175" s="1310" t="s">
        <v>373</v>
      </c>
      <c r="P175" s="1311"/>
      <c r="Q175" s="1311"/>
      <c r="R175" s="1311"/>
      <c r="S175" s="1311"/>
      <c r="T175" s="1312"/>
      <c r="U175" s="1205" t="str">
        <f t="shared" ref="U175" si="318">IF(ISBLANK(AB$5),"",1)</f>
        <v/>
      </c>
      <c r="V175" s="1322">
        <v>4.4000000000000004</v>
      </c>
      <c r="W175" s="1198" t="s">
        <v>397</v>
      </c>
      <c r="X175" s="1162"/>
      <c r="Y175" s="1162"/>
      <c r="Z175" s="1162"/>
      <c r="AA175" s="1162"/>
      <c r="AB175" s="1265"/>
      <c r="AC175" s="1205" t="str">
        <f t="shared" ref="AC175" si="319">IF(ISBLANK(AF$5),"",1)</f>
        <v/>
      </c>
      <c r="AD175" s="1322">
        <v>4.4000000000000004</v>
      </c>
      <c r="AE175" s="1198" t="s">
        <v>425</v>
      </c>
      <c r="AF175" s="1162"/>
      <c r="AG175" s="1162"/>
      <c r="AH175" s="1162"/>
      <c r="AI175" s="1162"/>
      <c r="AJ175" s="1265"/>
      <c r="AK175" s="1205" t="str">
        <f t="shared" ref="AK175" si="320">IF(ISBLANK(AJ$5),"",1)</f>
        <v/>
      </c>
      <c r="AL175" s="248"/>
      <c r="AO175" s="52"/>
      <c r="AQ175" s="273">
        <v>1.5</v>
      </c>
      <c r="AR175" s="240">
        <f>COUNTIF($AL$148:$AL$174,AQ175)</f>
        <v>1</v>
      </c>
      <c r="AS175" s="240" t="str">
        <f>IF($AN$5=1,SUMIF($AL$148:$AL$174,AQ175,$AS$148:$AS$174),"")</f>
        <v/>
      </c>
      <c r="AT175" s="1304">
        <v>4.4000000000000004</v>
      </c>
      <c r="AU175" s="1198" t="s">
        <v>359</v>
      </c>
      <c r="AV175" s="1162"/>
      <c r="AW175" s="1162"/>
      <c r="AX175" s="1162"/>
      <c r="AY175" s="1162"/>
      <c r="AZ175" s="1199"/>
      <c r="BA175" s="1226" t="str">
        <f t="shared" ref="BA175" si="321">IF(ISBLANK(AR$5),"",1)</f>
        <v/>
      </c>
      <c r="BB175" s="1304">
        <v>4.4000000000000004</v>
      </c>
      <c r="BC175" s="1198" t="s">
        <v>359</v>
      </c>
      <c r="BD175" s="1162"/>
      <c r="BE175" s="1162"/>
      <c r="BF175" s="1162"/>
      <c r="BG175" s="1162"/>
      <c r="BH175" s="1199"/>
      <c r="BI175" s="1226" t="str">
        <f t="shared" ref="BI175" si="322">IF(ISBLANK(AV$5),"",1)</f>
        <v/>
      </c>
      <c r="BJ175" s="1337"/>
      <c r="BK175" s="1338"/>
      <c r="BL175" s="1338"/>
      <c r="BM175" s="1338"/>
      <c r="BN175" s="1338"/>
      <c r="BO175" s="1339"/>
    </row>
    <row r="176" spans="1:67" ht="15" customHeight="1">
      <c r="A176" s="252"/>
      <c r="B176" s="243"/>
      <c r="C176" s="242"/>
      <c r="D176" s="242"/>
      <c r="F176" s="278">
        <v>1.5</v>
      </c>
      <c r="G176" s="311">
        <f t="shared" ref="G176:G178" si="323">COUNTIF($A$148:$A$174,F176)</f>
        <v>1</v>
      </c>
      <c r="H176" s="240" t="str">
        <f t="shared" ref="H176:H178" si="324">IF($AB$5=1,SUMIF($A$148:$A$174,$F176,$H$148:$H$174),"")</f>
        <v/>
      </c>
      <c r="I176" s="240" t="str">
        <f t="shared" ref="I176:I178" si="325">IF($AF$5=1,SUMIF($A$148:$A$174,$F176,$I$148:$I$174),"")</f>
        <v/>
      </c>
      <c r="J176" s="240" t="str">
        <f t="shared" ref="J176:J178" si="326">IF($AJ$5=1,SUMIF($A$148:$A$174,$F176,$J$148:$J$174),"")</f>
        <v/>
      </c>
      <c r="K176" s="240" t="str">
        <f t="shared" ref="K176:K178" si="327">IF($AN$5=1,SUMIF($A$148:$A$174,$F176,$K$148:$K$174),"")</f>
        <v/>
      </c>
      <c r="L176" s="240" t="str">
        <f t="shared" ref="L176:L178" si="328">IF($AR$5=1,SUMIF($A$148:$A$174,$F176,$L$148:$L$174),"")</f>
        <v/>
      </c>
      <c r="M176" s="240" t="str">
        <f t="shared" ref="M176:M178" si="329">IF($AV$5=1,SUMIF($A$148:$A$174,$F176,$M$148:$M$174),"")</f>
        <v/>
      </c>
      <c r="N176" s="1313"/>
      <c r="O176" s="1295"/>
      <c r="P176" s="1296"/>
      <c r="Q176" s="1296"/>
      <c r="R176" s="1296"/>
      <c r="S176" s="1296"/>
      <c r="T176" s="1297"/>
      <c r="U176" s="1206"/>
      <c r="V176" s="1293"/>
      <c r="W176" s="1200"/>
      <c r="X176" s="1164"/>
      <c r="Y176" s="1164"/>
      <c r="Z176" s="1164"/>
      <c r="AA176" s="1164"/>
      <c r="AB176" s="1266"/>
      <c r="AC176" s="1206"/>
      <c r="AD176" s="1293"/>
      <c r="AE176" s="1200"/>
      <c r="AF176" s="1164"/>
      <c r="AG176" s="1164"/>
      <c r="AH176" s="1164"/>
      <c r="AI176" s="1164"/>
      <c r="AJ176" s="1266"/>
      <c r="AK176" s="1206"/>
      <c r="AL176" s="248"/>
      <c r="AO176" s="52"/>
      <c r="AQ176" s="275">
        <v>4.3</v>
      </c>
      <c r="AR176" s="240">
        <f t="shared" ref="AR176:AR177" si="330">COUNTIF($AL$148:$AL$174,AQ176)</f>
        <v>2</v>
      </c>
      <c r="AS176" s="240" t="str">
        <f>IF($AN$5=1,SUMIF($AL$148:$AL$174,AQ176,$AS$148:$AS$174),"")</f>
        <v/>
      </c>
      <c r="AT176" s="1290"/>
      <c r="AU176" s="1200"/>
      <c r="AV176" s="1164"/>
      <c r="AW176" s="1164"/>
      <c r="AX176" s="1164"/>
      <c r="AY176" s="1164"/>
      <c r="AZ176" s="1201"/>
      <c r="BA176" s="1342"/>
      <c r="BB176" s="1290"/>
      <c r="BC176" s="1200"/>
      <c r="BD176" s="1164"/>
      <c r="BE176" s="1164"/>
      <c r="BF176" s="1164"/>
      <c r="BG176" s="1164"/>
      <c r="BH176" s="1201"/>
      <c r="BI176" s="1342"/>
      <c r="BJ176" s="1222"/>
      <c r="BK176" s="1223"/>
      <c r="BL176" s="1223"/>
      <c r="BM176" s="1223"/>
      <c r="BN176" s="1223"/>
      <c r="BO176" s="1224"/>
    </row>
    <row r="177" spans="1:61" ht="15" customHeight="1">
      <c r="A177" s="249"/>
      <c r="B177" s="249"/>
      <c r="C177" s="249"/>
      <c r="D177" s="249"/>
      <c r="F177" s="277">
        <v>2.1</v>
      </c>
      <c r="G177" s="311">
        <f t="shared" si="323"/>
        <v>2</v>
      </c>
      <c r="H177" s="240" t="str">
        <f t="shared" si="324"/>
        <v/>
      </c>
      <c r="I177" s="240" t="str">
        <f t="shared" si="325"/>
        <v/>
      </c>
      <c r="J177" s="240" t="str">
        <f t="shared" si="326"/>
        <v/>
      </c>
      <c r="K177" s="240" t="str">
        <f t="shared" si="327"/>
        <v/>
      </c>
      <c r="L177" s="240" t="str">
        <f t="shared" si="328"/>
        <v/>
      </c>
      <c r="M177" s="240" t="str">
        <f t="shared" si="329"/>
        <v/>
      </c>
      <c r="N177" s="1314"/>
      <c r="O177" s="1298"/>
      <c r="P177" s="1299"/>
      <c r="Q177" s="1299"/>
      <c r="R177" s="1299"/>
      <c r="S177" s="1299"/>
      <c r="T177" s="1300"/>
      <c r="U177" s="1207"/>
      <c r="V177" s="1306"/>
      <c r="W177" s="1202"/>
      <c r="X177" s="1203"/>
      <c r="Y177" s="1203"/>
      <c r="Z177" s="1203"/>
      <c r="AA177" s="1203"/>
      <c r="AB177" s="1305"/>
      <c r="AC177" s="1207"/>
      <c r="AD177" s="1306"/>
      <c r="AE177" s="1202"/>
      <c r="AF177" s="1203"/>
      <c r="AG177" s="1203"/>
      <c r="AH177" s="1203"/>
      <c r="AI177" s="1203"/>
      <c r="AJ177" s="1305"/>
      <c r="AK177" s="1207"/>
      <c r="AL177" s="248"/>
      <c r="AO177" s="52"/>
      <c r="AQ177" s="276">
        <v>4.4000000000000004</v>
      </c>
      <c r="AR177" s="240">
        <f t="shared" si="330"/>
        <v>6</v>
      </c>
      <c r="AS177" s="240" t="str">
        <f>IF($AN$5=1,SUMIF($AL$148:$AL$174,AQ177,$AS$148:$AS$174),"")</f>
        <v/>
      </c>
      <c r="AT177" s="1291"/>
      <c r="AU177" s="1202"/>
      <c r="AV177" s="1203"/>
      <c r="AW177" s="1203"/>
      <c r="AX177" s="1203"/>
      <c r="AY177" s="1203"/>
      <c r="AZ177" s="1204"/>
      <c r="BA177" s="1342"/>
      <c r="BB177" s="1291"/>
      <c r="BC177" s="1202"/>
      <c r="BD177" s="1203"/>
      <c r="BE177" s="1203"/>
      <c r="BF177" s="1203"/>
      <c r="BG177" s="1203"/>
      <c r="BH177" s="1204"/>
      <c r="BI177" s="1342"/>
    </row>
    <row r="178" spans="1:61" ht="15" customHeight="1">
      <c r="F178" s="277">
        <v>2.4</v>
      </c>
      <c r="G178" s="311">
        <f t="shared" si="323"/>
        <v>2</v>
      </c>
      <c r="H178" s="240" t="str">
        <f t="shared" si="324"/>
        <v/>
      </c>
      <c r="I178" s="240" t="str">
        <f t="shared" si="325"/>
        <v/>
      </c>
      <c r="J178" s="240" t="str">
        <f t="shared" si="326"/>
        <v/>
      </c>
      <c r="K178" s="240" t="str">
        <f t="shared" si="327"/>
        <v/>
      </c>
      <c r="L178" s="240" t="str">
        <f t="shared" si="328"/>
        <v/>
      </c>
      <c r="M178" s="240" t="str">
        <f t="shared" si="329"/>
        <v/>
      </c>
      <c r="N178" s="1322">
        <v>4.4000000000000004</v>
      </c>
      <c r="O178" s="1198" t="s">
        <v>397</v>
      </c>
      <c r="P178" s="1162"/>
      <c r="Q178" s="1162"/>
      <c r="R178" s="1162"/>
      <c r="S178" s="1162"/>
      <c r="T178" s="1265"/>
      <c r="U178" s="1205" t="str">
        <f t="shared" ref="U178" si="331">IF(ISBLANK(AB$5),"",1)</f>
        <v/>
      </c>
      <c r="W178" s="52"/>
      <c r="Y178" s="247"/>
      <c r="AA178" s="273">
        <v>1.5</v>
      </c>
      <c r="AB178" s="240">
        <f>COUNTIF($V$148:$V$177,AA178)</f>
        <v>1</v>
      </c>
      <c r="AC178" s="240" t="str">
        <f>IF($AF$5=1,SUMIF($V$148:$V$177,AA178,$AC$148:$AC$177),"")</f>
        <v/>
      </c>
      <c r="AF178" s="52"/>
      <c r="AG178" s="247"/>
      <c r="AI178" s="273">
        <v>1.5</v>
      </c>
      <c r="AJ178" s="240">
        <f>COUNTIF($AD$148:$AD$177,AI178)</f>
        <v>1</v>
      </c>
      <c r="AK178" s="240" t="str">
        <f>IF($AJ$5=1,SUMIF($AD$148:$AD$177,AI178,$AK$148:$AK$177),"")</f>
        <v/>
      </c>
      <c r="AO178" s="52"/>
      <c r="AT178" s="1258">
        <v>4.4000000000000004</v>
      </c>
      <c r="AU178" s="1198" t="s">
        <v>395</v>
      </c>
      <c r="AV178" s="1162"/>
      <c r="AW178" s="1162"/>
      <c r="AX178" s="1162"/>
      <c r="AY178" s="1162"/>
      <c r="AZ178" s="1199"/>
      <c r="BA178" s="1226" t="str">
        <f t="shared" ref="BA178" si="332">IF(ISBLANK(AR$5),"",1)</f>
        <v/>
      </c>
      <c r="BB178" s="1258">
        <v>4.4000000000000004</v>
      </c>
      <c r="BC178" s="1198" t="s">
        <v>395</v>
      </c>
      <c r="BD178" s="1162"/>
      <c r="BE178" s="1162"/>
      <c r="BF178" s="1162"/>
      <c r="BG178" s="1162"/>
      <c r="BH178" s="1199"/>
      <c r="BI178" s="1226" t="str">
        <f t="shared" ref="BI178" si="333">IF(ISBLANK(AV$5),"",1)</f>
        <v/>
      </c>
    </row>
    <row r="179" spans="1:61" ht="15" customHeight="1">
      <c r="N179" s="1293"/>
      <c r="O179" s="1200"/>
      <c r="P179" s="1164"/>
      <c r="Q179" s="1164"/>
      <c r="R179" s="1164"/>
      <c r="S179" s="1164"/>
      <c r="T179" s="1266"/>
      <c r="U179" s="1206"/>
      <c r="W179" s="52"/>
      <c r="Y179" s="248"/>
      <c r="AA179" s="275">
        <v>4.3</v>
      </c>
      <c r="AB179" s="240">
        <f t="shared" ref="AB179:AB180" si="334">COUNTIF($V$148:$V$177,AA179)</f>
        <v>3</v>
      </c>
      <c r="AC179" s="240" t="str">
        <f>IF($AF$5=1,SUMIF($V$148:$V$177,AA179,$AC$148:$AC$177),"")</f>
        <v/>
      </c>
      <c r="AF179" s="52"/>
      <c r="AI179" s="275">
        <v>4.3</v>
      </c>
      <c r="AJ179" s="240">
        <f t="shared" ref="AJ179:AJ180" si="335">COUNTIF($AD$148:$AD$177,AI179)</f>
        <v>2</v>
      </c>
      <c r="AK179" s="240" t="str">
        <f>IF($AJ$5=1,SUMIF($AD$148:$AD$177,AI179,$AK$148:$AK$177),"")</f>
        <v/>
      </c>
      <c r="AO179" s="52"/>
      <c r="AT179" s="1258"/>
      <c r="AU179" s="1200"/>
      <c r="AV179" s="1164"/>
      <c r="AW179" s="1164"/>
      <c r="AX179" s="1164"/>
      <c r="AY179" s="1164"/>
      <c r="AZ179" s="1201"/>
      <c r="BA179" s="1342"/>
      <c r="BB179" s="1258"/>
      <c r="BC179" s="1200"/>
      <c r="BD179" s="1164"/>
      <c r="BE179" s="1164"/>
      <c r="BF179" s="1164"/>
      <c r="BG179" s="1164"/>
      <c r="BH179" s="1201"/>
      <c r="BI179" s="1342"/>
    </row>
    <row r="180" spans="1:61" ht="15" customHeight="1">
      <c r="A180" s="1209"/>
      <c r="B180" s="1210" t="s">
        <v>609</v>
      </c>
      <c r="C180" s="1211"/>
      <c r="D180" s="1211"/>
      <c r="E180" s="1211"/>
      <c r="F180" s="1211"/>
      <c r="G180" s="1211"/>
      <c r="H180" s="1174">
        <v>7</v>
      </c>
      <c r="I180" s="1174">
        <v>8</v>
      </c>
      <c r="J180" s="1174">
        <v>9</v>
      </c>
      <c r="K180" s="1174">
        <v>10</v>
      </c>
      <c r="L180" s="1174">
        <v>11</v>
      </c>
      <c r="M180" s="1174">
        <v>12</v>
      </c>
      <c r="N180" s="1306"/>
      <c r="O180" s="1202"/>
      <c r="P180" s="1203"/>
      <c r="Q180" s="1203"/>
      <c r="R180" s="1203"/>
      <c r="S180" s="1203"/>
      <c r="T180" s="1305"/>
      <c r="U180" s="1207"/>
      <c r="W180" s="52"/>
      <c r="Y180" s="248"/>
      <c r="AA180" s="276">
        <v>4.4000000000000004</v>
      </c>
      <c r="AB180" s="240">
        <f t="shared" si="334"/>
        <v>6</v>
      </c>
      <c r="AC180" s="240" t="str">
        <f>IF($AF$5=1,SUMIF($V$148:$V$177,AA180,$AC$148:$AC$177),"")</f>
        <v/>
      </c>
      <c r="AF180" s="52"/>
      <c r="AI180" s="276">
        <v>4.4000000000000004</v>
      </c>
      <c r="AJ180" s="240">
        <f t="shared" si="335"/>
        <v>7</v>
      </c>
      <c r="AK180" s="240" t="str">
        <f>IF($AJ$5=1,SUMIF($AD$148:$AD$177,AI180,$AK$148:$AK$177),"")</f>
        <v/>
      </c>
      <c r="AO180" s="52"/>
      <c r="AT180" s="1258"/>
      <c r="AU180" s="1202"/>
      <c r="AV180" s="1203"/>
      <c r="AW180" s="1203"/>
      <c r="AX180" s="1203"/>
      <c r="AY180" s="1203"/>
      <c r="AZ180" s="1204"/>
      <c r="BA180" s="1342"/>
      <c r="BB180" s="1258"/>
      <c r="BC180" s="1202"/>
      <c r="BD180" s="1203"/>
      <c r="BE180" s="1203"/>
      <c r="BF180" s="1203"/>
      <c r="BG180" s="1203"/>
      <c r="BH180" s="1204"/>
      <c r="BI180" s="1342"/>
    </row>
    <row r="181" spans="1:61" ht="15" customHeight="1">
      <c r="A181" s="1209"/>
      <c r="B181" s="1212"/>
      <c r="C181" s="1213"/>
      <c r="D181" s="1213"/>
      <c r="E181" s="1213"/>
      <c r="F181" s="1213"/>
      <c r="G181" s="1213"/>
      <c r="H181" s="1174"/>
      <c r="I181" s="1174"/>
      <c r="J181" s="1174"/>
      <c r="K181" s="1174"/>
      <c r="L181" s="1174"/>
      <c r="M181" s="1174"/>
      <c r="N181" s="247"/>
      <c r="O181" s="52"/>
      <c r="S181" s="273">
        <v>1.5</v>
      </c>
      <c r="T181" s="240">
        <f>COUNTIF($N$148:$N$180,S181)</f>
        <v>1</v>
      </c>
      <c r="U181" s="240" t="str">
        <f>IF($AB$5=1,SUMIF($N$148:$N$180,S181,$U$148:$U$180),"")</f>
        <v/>
      </c>
      <c r="W181" s="52"/>
      <c r="AF181" s="52"/>
      <c r="AO181" s="52"/>
      <c r="AT181" s="1304">
        <v>4.4000000000000004</v>
      </c>
      <c r="AU181" s="1198" t="s">
        <v>878</v>
      </c>
      <c r="AV181" s="1162"/>
      <c r="AW181" s="1162"/>
      <c r="AX181" s="1162"/>
      <c r="AY181" s="1162"/>
      <c r="AZ181" s="1199"/>
      <c r="BA181" s="1226" t="str">
        <f t="shared" ref="BA181" si="336">IF(ISBLANK(AR$5),"",1)</f>
        <v/>
      </c>
      <c r="BB181" s="1304">
        <v>4.4000000000000004</v>
      </c>
      <c r="BC181" s="1198" t="s">
        <v>878</v>
      </c>
      <c r="BD181" s="1162"/>
      <c r="BE181" s="1162"/>
      <c r="BF181" s="1162"/>
      <c r="BG181" s="1162"/>
      <c r="BH181" s="1199"/>
      <c r="BI181" s="1226" t="str">
        <f t="shared" ref="BI181" si="337">IF(ISBLANK(AV$5),"",1)</f>
        <v/>
      </c>
    </row>
    <row r="182" spans="1:61" ht="15" customHeight="1">
      <c r="A182" s="1336">
        <v>3.1</v>
      </c>
      <c r="B182" s="1198" t="s">
        <v>366</v>
      </c>
      <c r="C182" s="1162"/>
      <c r="D182" s="1162"/>
      <c r="E182" s="1162"/>
      <c r="F182" s="1162"/>
      <c r="G182" s="1265"/>
      <c r="H182" s="1205" t="str">
        <f t="shared" ref="H182" si="338">IF(ISBLANK(AB$5),"",1)</f>
        <v/>
      </c>
      <c r="I182" s="1205" t="str">
        <f t="shared" ref="I182" si="339">IF(ISBLANK(AF$5),"",1)</f>
        <v/>
      </c>
      <c r="J182" s="1205" t="str">
        <f t="shared" ref="J182" si="340">IF(ISBLANK(AJ$5),"",1)</f>
        <v/>
      </c>
      <c r="K182" s="1205" t="str">
        <f t="shared" ref="K182" si="341">IF(ISBLANK(AN$5),"",1)</f>
        <v/>
      </c>
      <c r="L182" s="1205" t="str">
        <f t="shared" ref="L182" si="342">IF(ISBLANK(AR$5),"",1)</f>
        <v/>
      </c>
      <c r="M182" s="1205" t="str">
        <f t="shared" ref="M182" si="343">IF(ISBLANK(AV$5),"",1)</f>
        <v/>
      </c>
      <c r="N182" s="248"/>
      <c r="O182" s="52"/>
      <c r="S182" s="275">
        <v>4.3</v>
      </c>
      <c r="T182" s="240">
        <f t="shared" ref="T182:T183" si="344">COUNTIF($N$148:$N$180,S182)</f>
        <v>4</v>
      </c>
      <c r="U182" s="240" t="str">
        <f>IF($AB$5=1,SUMIF($N$148:$N$180,S182,$U$148:$U$180),"")</f>
        <v/>
      </c>
      <c r="W182" s="52"/>
      <c r="AF182" s="52"/>
      <c r="AO182" s="52"/>
      <c r="AT182" s="1290"/>
      <c r="AU182" s="1200"/>
      <c r="AV182" s="1164"/>
      <c r="AW182" s="1164"/>
      <c r="AX182" s="1164"/>
      <c r="AY182" s="1164"/>
      <c r="AZ182" s="1201"/>
      <c r="BA182" s="1342"/>
      <c r="BB182" s="1290"/>
      <c r="BC182" s="1200"/>
      <c r="BD182" s="1164"/>
      <c r="BE182" s="1164"/>
      <c r="BF182" s="1164"/>
      <c r="BG182" s="1164"/>
      <c r="BH182" s="1201"/>
      <c r="BI182" s="1342"/>
    </row>
    <row r="183" spans="1:61" ht="15" customHeight="1">
      <c r="A183" s="1159"/>
      <c r="B183" s="1200"/>
      <c r="C183" s="1164"/>
      <c r="D183" s="1164"/>
      <c r="E183" s="1164"/>
      <c r="F183" s="1164"/>
      <c r="G183" s="1266"/>
      <c r="H183" s="1206"/>
      <c r="I183" s="1206"/>
      <c r="J183" s="1206"/>
      <c r="K183" s="1206"/>
      <c r="L183" s="1206"/>
      <c r="M183" s="1206"/>
      <c r="N183" s="248"/>
      <c r="O183" s="52"/>
      <c r="S183" s="276">
        <v>4.4000000000000004</v>
      </c>
      <c r="T183" s="240">
        <f t="shared" si="344"/>
        <v>6</v>
      </c>
      <c r="U183" s="240" t="str">
        <f>IF($AB$5=1,SUMIF($N$148:$N$180,S183,$U$148:$U$180),"")</f>
        <v/>
      </c>
      <c r="W183" s="52"/>
      <c r="AF183" s="52"/>
      <c r="AO183" s="52"/>
      <c r="AT183" s="1291"/>
      <c r="AU183" s="1202"/>
      <c r="AV183" s="1203"/>
      <c r="AW183" s="1203"/>
      <c r="AX183" s="1203"/>
      <c r="AY183" s="1203"/>
      <c r="AZ183" s="1204"/>
      <c r="BA183" s="1342"/>
      <c r="BB183" s="1291"/>
      <c r="BC183" s="1202"/>
      <c r="BD183" s="1203"/>
      <c r="BE183" s="1203"/>
      <c r="BF183" s="1203"/>
      <c r="BG183" s="1203"/>
      <c r="BH183" s="1204"/>
      <c r="BI183" s="1342"/>
    </row>
    <row r="184" spans="1:61" ht="15" customHeight="1">
      <c r="A184" s="1160"/>
      <c r="B184" s="1200"/>
      <c r="C184" s="1164"/>
      <c r="D184" s="1164"/>
      <c r="E184" s="1164"/>
      <c r="F184" s="1164"/>
      <c r="G184" s="1266"/>
      <c r="H184" s="1207"/>
      <c r="I184" s="1207"/>
      <c r="J184" s="1207"/>
      <c r="K184" s="1207"/>
      <c r="L184" s="1207"/>
      <c r="M184" s="1207"/>
      <c r="W184" s="52"/>
      <c r="AF184" s="52"/>
      <c r="AO184" s="52"/>
      <c r="AT184" s="1307">
        <v>1.5</v>
      </c>
      <c r="AU184" s="1310" t="s">
        <v>373</v>
      </c>
      <c r="AV184" s="1311"/>
      <c r="AW184" s="1311"/>
      <c r="AX184" s="1311"/>
      <c r="AY184" s="1311"/>
      <c r="AZ184" s="1316"/>
      <c r="BA184" s="1226" t="str">
        <f t="shared" ref="BA184" si="345">IF(ISBLANK(AR$5),"",1)</f>
        <v/>
      </c>
      <c r="BB184" s="1307">
        <v>1.5</v>
      </c>
      <c r="BC184" s="1198" t="s">
        <v>373</v>
      </c>
      <c r="BD184" s="1162"/>
      <c r="BE184" s="1162"/>
      <c r="BF184" s="1162"/>
      <c r="BG184" s="1162"/>
      <c r="BH184" s="1199"/>
      <c r="BI184" s="1226" t="str">
        <f t="shared" ref="BI184" si="346">IF(ISBLANK(AV$5),"",1)</f>
        <v/>
      </c>
    </row>
    <row r="185" spans="1:61" ht="15" customHeight="1">
      <c r="A185" s="1336">
        <v>1.4</v>
      </c>
      <c r="B185" s="1198" t="s">
        <v>943</v>
      </c>
      <c r="C185" s="1162"/>
      <c r="D185" s="1162"/>
      <c r="E185" s="1162"/>
      <c r="F185" s="1162"/>
      <c r="G185" s="1265"/>
      <c r="H185" s="1205" t="str">
        <f t="shared" ref="H185" si="347">IF(ISBLANK(AB$5),"",1)</f>
        <v/>
      </c>
      <c r="I185" s="1205" t="str">
        <f t="shared" ref="I185" si="348">IF(ISBLANK(AF$5),"",1)</f>
        <v/>
      </c>
      <c r="J185" s="1205" t="str">
        <f t="shared" ref="J185" si="349">IF(ISBLANK(AJ$5),"",1)</f>
        <v/>
      </c>
      <c r="K185" s="1205" t="str">
        <f t="shared" ref="K185" si="350">IF(ISBLANK(AN$5),"",1)</f>
        <v/>
      </c>
      <c r="L185" s="1205" t="str">
        <f t="shared" ref="L185" si="351">IF(ISBLANK(AR$5),"",1)</f>
        <v/>
      </c>
      <c r="M185" s="1205" t="str">
        <f t="shared" ref="M185" si="352">IF(ISBLANK(AV$5),"",1)</f>
        <v/>
      </c>
      <c r="W185" s="52"/>
      <c r="AF185" s="52"/>
      <c r="AO185" s="52"/>
      <c r="AT185" s="1308"/>
      <c r="AU185" s="1295"/>
      <c r="AV185" s="1296"/>
      <c r="AW185" s="1296"/>
      <c r="AX185" s="1296"/>
      <c r="AY185" s="1296"/>
      <c r="AZ185" s="1318"/>
      <c r="BA185" s="1342"/>
      <c r="BB185" s="1308"/>
      <c r="BC185" s="1200"/>
      <c r="BD185" s="1164"/>
      <c r="BE185" s="1164"/>
      <c r="BF185" s="1164"/>
      <c r="BG185" s="1164"/>
      <c r="BH185" s="1201"/>
      <c r="BI185" s="1342"/>
    </row>
    <row r="186" spans="1:61" ht="15" customHeight="1">
      <c r="A186" s="1159"/>
      <c r="B186" s="1200"/>
      <c r="C186" s="1164"/>
      <c r="D186" s="1164"/>
      <c r="E186" s="1164"/>
      <c r="F186" s="1164"/>
      <c r="G186" s="1266"/>
      <c r="H186" s="1206"/>
      <c r="I186" s="1206"/>
      <c r="J186" s="1206"/>
      <c r="K186" s="1206"/>
      <c r="L186" s="1206"/>
      <c r="M186" s="1206"/>
      <c r="O186" s="52"/>
      <c r="W186" s="52"/>
      <c r="AF186" s="52"/>
      <c r="AO186" s="52"/>
      <c r="AT186" s="1309"/>
      <c r="AU186" s="1298"/>
      <c r="AV186" s="1299"/>
      <c r="AW186" s="1299"/>
      <c r="AX186" s="1299"/>
      <c r="AY186" s="1299"/>
      <c r="AZ186" s="1335"/>
      <c r="BA186" s="1342"/>
      <c r="BB186" s="1309"/>
      <c r="BC186" s="1202"/>
      <c r="BD186" s="1203"/>
      <c r="BE186" s="1203"/>
      <c r="BF186" s="1203"/>
      <c r="BG186" s="1203"/>
      <c r="BH186" s="1204"/>
      <c r="BI186" s="1342"/>
    </row>
    <row r="187" spans="1:61" ht="15" customHeight="1">
      <c r="A187" s="1160"/>
      <c r="B187" s="1200"/>
      <c r="C187" s="1164"/>
      <c r="D187" s="1164"/>
      <c r="E187" s="1164"/>
      <c r="F187" s="1164"/>
      <c r="G187" s="1266"/>
      <c r="H187" s="1207"/>
      <c r="I187" s="1207"/>
      <c r="J187" s="1207"/>
      <c r="K187" s="1207"/>
      <c r="L187" s="1207"/>
      <c r="M187" s="1207"/>
      <c r="O187" s="52"/>
      <c r="W187" s="52"/>
      <c r="AF187" s="52"/>
      <c r="AO187" s="52"/>
      <c r="AT187" s="1307">
        <v>4.4000000000000004</v>
      </c>
      <c r="AU187" s="1310" t="s">
        <v>397</v>
      </c>
      <c r="AV187" s="1311"/>
      <c r="AW187" s="1311"/>
      <c r="AX187" s="1311"/>
      <c r="AY187" s="1311"/>
      <c r="AZ187" s="1316"/>
      <c r="BA187" s="1226" t="str">
        <f t="shared" ref="BA187" si="353">IF(ISBLANK(AR$5),"",1)</f>
        <v/>
      </c>
      <c r="BB187" s="1307">
        <v>4.4000000000000004</v>
      </c>
      <c r="BC187" s="1310" t="s">
        <v>397</v>
      </c>
      <c r="BD187" s="1311"/>
      <c r="BE187" s="1311"/>
      <c r="BF187" s="1311"/>
      <c r="BG187" s="1311"/>
      <c r="BH187" s="1316"/>
      <c r="BI187" s="1226" t="str">
        <f t="shared" ref="BI187" si="354">IF(ISBLANK(AV$5),"",1)</f>
        <v/>
      </c>
    </row>
    <row r="188" spans="1:61" ht="15" customHeight="1">
      <c r="A188" s="1168" t="s">
        <v>637</v>
      </c>
      <c r="B188" s="1168"/>
      <c r="C188" s="1168"/>
      <c r="D188" s="1168"/>
      <c r="E188" s="1169"/>
      <c r="F188" s="614">
        <v>3.1</v>
      </c>
      <c r="G188" s="620">
        <f>COUNTIF($A$182:$A$187,F188)</f>
        <v>1</v>
      </c>
      <c r="H188" s="240" t="str">
        <f>IF($AB$5=1,SUMIF($A$182:$A$187,$F188,$H$182:$H$187),"")</f>
        <v/>
      </c>
      <c r="I188" s="240" t="str">
        <f>IF($AF$5=1,SUMIF($A$182:$A$187,$F188,$I$182:$I$187),"")</f>
        <v/>
      </c>
      <c r="J188" s="240" t="str">
        <f>IF($AJ$5=1,SUMIF($A$182:$A$187,$F188,$J$182:$J$187),"")</f>
        <v/>
      </c>
      <c r="K188" s="240" t="str">
        <f>IF($AN$5=1,SUMIF($A$182:$A$187,$F188,$K$182:$K$187),"")</f>
        <v/>
      </c>
      <c r="L188" s="240" t="str">
        <f>IF($AR$5=1,SUMIF($A$182:$A$187,$F188,$L$182:$L$187),"")</f>
        <v/>
      </c>
      <c r="M188" s="240" t="str">
        <f>IF($AV$5=1,SUMIF($A$182:$A$187,$F188,$M$182:$M$187),"")</f>
        <v/>
      </c>
      <c r="O188" s="52"/>
      <c r="W188" s="52"/>
      <c r="AF188" s="52"/>
      <c r="AO188" s="52"/>
      <c r="AT188" s="1308"/>
      <c r="AU188" s="1295"/>
      <c r="AV188" s="1296"/>
      <c r="AW188" s="1296"/>
      <c r="AX188" s="1296"/>
      <c r="AY188" s="1296"/>
      <c r="AZ188" s="1318"/>
      <c r="BA188" s="1342"/>
      <c r="BB188" s="1308"/>
      <c r="BC188" s="1295"/>
      <c r="BD188" s="1296"/>
      <c r="BE188" s="1296"/>
      <c r="BF188" s="1296"/>
      <c r="BG188" s="1296"/>
      <c r="BH188" s="1318"/>
      <c r="BI188" s="1342"/>
    </row>
    <row r="189" spans="1:61" ht="15" customHeight="1">
      <c r="F189" s="614">
        <v>1.4</v>
      </c>
      <c r="G189" s="620">
        <f>COUNTIF($A$182:$A$187,F189)</f>
        <v>1</v>
      </c>
      <c r="H189" s="240" t="str">
        <f>IF($AB$5=1,SUMIF($A$182:$A$187,$F189,$H$182:$H$187),"")</f>
        <v/>
      </c>
      <c r="I189" s="240" t="str">
        <f>IF($AF$5=1,SUMIF($A$182:$A$187,$F189,$I$182:$I$187),"")</f>
        <v/>
      </c>
      <c r="J189" s="240" t="str">
        <f>IF($AJ$5=1,SUMIF($A$182:$A$187,$F189,$J$182:$J$187),"")</f>
        <v/>
      </c>
      <c r="K189" s="240" t="str">
        <f>IF($AN$5=1,SUMIF($A$182:$A$187,$F189,$K$182:$K$187),"")</f>
        <v/>
      </c>
      <c r="L189" s="240" t="str">
        <f>IF($AR$5=1,SUMIF($A$182:$A$187,$F189,$L$182:$L$187),"")</f>
        <v/>
      </c>
      <c r="M189" s="240" t="str">
        <f>IF($AV$5=1,SUMIF($A$182:$A$187,$F189,$M$182:$M$187),"")</f>
        <v/>
      </c>
      <c r="O189" s="52"/>
      <c r="W189" s="52"/>
      <c r="AF189" s="52"/>
      <c r="AO189" s="52"/>
      <c r="AT189" s="1309"/>
      <c r="AU189" s="1298"/>
      <c r="AV189" s="1299"/>
      <c r="AW189" s="1299"/>
      <c r="AX189" s="1299"/>
      <c r="AY189" s="1299"/>
      <c r="AZ189" s="1335"/>
      <c r="BA189" s="1342"/>
      <c r="BB189" s="1309"/>
      <c r="BC189" s="1298"/>
      <c r="BD189" s="1299"/>
      <c r="BE189" s="1299"/>
      <c r="BF189" s="1299"/>
      <c r="BG189" s="1299"/>
      <c r="BH189" s="1335"/>
      <c r="BI189" s="1342"/>
    </row>
    <row r="190" spans="1:61" ht="15" customHeight="1">
      <c r="O190" s="52"/>
      <c r="W190" s="52"/>
      <c r="AF190" s="52"/>
      <c r="AO190" s="52"/>
      <c r="AT190" s="247"/>
      <c r="AY190" s="273">
        <v>1.5</v>
      </c>
      <c r="AZ190" s="240">
        <f>COUNTIF($AT$148:$AT$189,AY190)</f>
        <v>1</v>
      </c>
      <c r="BA190" s="240" t="str">
        <f>IF($AR$5=1,SUMIF($AT$148:$AT$189,AY190,$BA$148:$BA$189),"")</f>
        <v/>
      </c>
      <c r="BB190" s="247"/>
      <c r="BC190" s="247"/>
      <c r="BG190" s="273">
        <v>1.5</v>
      </c>
      <c r="BH190" s="240">
        <f>COUNTIF($BB$148:$BB$189,BG190)</f>
        <v>1</v>
      </c>
      <c r="BI190" s="240" t="str">
        <f>IF($AV$5=1,SUMIF($BB$148:$BB$189,BG190,$BI$148:$BI$189),"")</f>
        <v/>
      </c>
    </row>
    <row r="191" spans="1:61" ht="15" customHeight="1">
      <c r="O191" s="52"/>
      <c r="W191" s="52"/>
      <c r="AF191" s="52"/>
      <c r="AO191" s="52"/>
      <c r="AT191" s="248"/>
      <c r="AY191" s="274">
        <v>4.3</v>
      </c>
      <c r="AZ191" s="240">
        <f t="shared" ref="AZ191:AZ192" si="355">COUNTIF($AT$148:$AT$189,AY191)</f>
        <v>4</v>
      </c>
      <c r="BA191" s="240" t="str">
        <f>IF($AR$5=1,SUMIF($AT$148:$AT$189,AY191,$BA$148:$BA$189),"")</f>
        <v/>
      </c>
      <c r="BB191" s="248"/>
      <c r="BC191" s="248"/>
      <c r="BG191" s="274">
        <v>4.3</v>
      </c>
      <c r="BH191" s="240">
        <f t="shared" ref="BH191:BH192" si="356">COUNTIF($BB$148:$BB$189,BG191)</f>
        <v>5</v>
      </c>
      <c r="BI191" s="240" t="str">
        <f>IF($AV$5=1,SUMIF($BB$148:$BB$189,BG191,$BI$148:$BI$189),"")</f>
        <v/>
      </c>
    </row>
    <row r="192" spans="1:61" ht="15" customHeight="1">
      <c r="O192" s="52"/>
      <c r="W192" s="52"/>
      <c r="AF192" s="52"/>
      <c r="AO192" s="52"/>
      <c r="AT192" s="248"/>
      <c r="AY192" s="274">
        <v>4.4000000000000004</v>
      </c>
      <c r="AZ192" s="240">
        <f t="shared" si="355"/>
        <v>9</v>
      </c>
      <c r="BA192" s="240" t="str">
        <f>IF($AR$5=1,SUMIF($AT$148:$AT$189,AY192,$BA$148:$BA$189),"")</f>
        <v/>
      </c>
      <c r="BB192" s="248"/>
      <c r="BC192" s="248"/>
      <c r="BG192" s="274">
        <v>4.4000000000000004</v>
      </c>
      <c r="BH192" s="240">
        <f t="shared" si="356"/>
        <v>8</v>
      </c>
      <c r="BI192" s="240" t="str">
        <f>IF($AV$5=1,SUMIF($BB$148:$BB$189,BG192,$BI$148:$BI$189),"")</f>
        <v/>
      </c>
    </row>
    <row r="193" spans="1:67" ht="15" customHeight="1">
      <c r="A193" s="1171" t="s">
        <v>17</v>
      </c>
      <c r="B193" s="1171"/>
      <c r="C193" s="1171"/>
      <c r="D193" s="1171"/>
      <c r="E193" s="1171"/>
      <c r="F193" s="1171"/>
      <c r="G193" s="1171"/>
      <c r="H193" s="1171"/>
      <c r="I193" s="1171"/>
      <c r="J193" s="1171"/>
      <c r="K193" s="1171"/>
      <c r="L193" s="1171"/>
      <c r="M193" s="1171"/>
      <c r="N193" s="1171"/>
      <c r="O193" s="1171"/>
      <c r="P193" s="1171"/>
      <c r="Q193" s="1171"/>
      <c r="R193" s="1171"/>
      <c r="S193" s="1171"/>
      <c r="T193" s="1171"/>
      <c r="U193" s="1171"/>
      <c r="V193" s="1171"/>
      <c r="W193" s="1171"/>
      <c r="X193" s="1171"/>
      <c r="Y193" s="1171"/>
      <c r="Z193" s="1171"/>
      <c r="AA193" s="1171"/>
      <c r="AB193" s="1171"/>
      <c r="AC193" s="1171"/>
      <c r="AD193" s="1171"/>
      <c r="AE193" s="1171"/>
      <c r="AF193" s="1171"/>
      <c r="AG193" s="1171"/>
      <c r="AH193" s="1171"/>
      <c r="AI193" s="117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row>
    <row r="194" spans="1:67" ht="15" customHeight="1">
      <c r="A194" s="1171"/>
      <c r="B194" s="1171"/>
      <c r="C194" s="1171"/>
      <c r="D194" s="1171"/>
      <c r="E194" s="1171"/>
      <c r="F194" s="1171"/>
      <c r="G194" s="1171"/>
      <c r="H194" s="1171"/>
      <c r="I194" s="1171"/>
      <c r="J194" s="1171"/>
      <c r="K194" s="1171"/>
      <c r="L194" s="1171"/>
      <c r="M194" s="1171"/>
      <c r="N194" s="1171"/>
      <c r="O194" s="1171"/>
      <c r="P194" s="1171"/>
      <c r="Q194" s="1171"/>
      <c r="R194" s="1171"/>
      <c r="S194" s="1171"/>
      <c r="T194" s="1171"/>
      <c r="U194" s="1171"/>
      <c r="V194" s="1171"/>
      <c r="W194" s="1171"/>
      <c r="X194" s="1171"/>
      <c r="Y194" s="1171"/>
      <c r="Z194" s="1171"/>
      <c r="AA194" s="1171"/>
      <c r="AB194" s="1171"/>
      <c r="AC194" s="1171"/>
      <c r="AD194" s="1171"/>
      <c r="AE194" s="1171"/>
      <c r="AF194" s="1171"/>
      <c r="AG194" s="1171"/>
      <c r="AH194" s="1171"/>
      <c r="AI194" s="117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row>
    <row r="195" spans="1:67" ht="15" customHeight="1">
      <c r="A195" s="1172"/>
      <c r="B195" s="1173" t="s">
        <v>608</v>
      </c>
      <c r="C195" s="1173"/>
      <c r="D195" s="1173"/>
      <c r="E195" s="1173"/>
      <c r="F195" s="1173"/>
      <c r="G195" s="1173"/>
      <c r="H195" s="1343">
        <v>13</v>
      </c>
      <c r="I195" s="1174">
        <v>14</v>
      </c>
      <c r="J195" s="1343">
        <v>15</v>
      </c>
      <c r="K195" s="1343">
        <v>16</v>
      </c>
      <c r="N195" s="1346"/>
      <c r="O195" s="1349" t="s">
        <v>921</v>
      </c>
      <c r="P195" s="1350"/>
      <c r="Q195" s="1350"/>
      <c r="R195" s="1350"/>
      <c r="S195" s="1350"/>
      <c r="T195" s="1350"/>
      <c r="U195" s="1351"/>
      <c r="V195" s="1358"/>
      <c r="W195" s="1361" t="s">
        <v>922</v>
      </c>
      <c r="X195" s="1362"/>
      <c r="Y195" s="1362"/>
      <c r="Z195" s="1362"/>
      <c r="AA195" s="1362"/>
      <c r="AB195" s="1362"/>
      <c r="AC195" s="1363"/>
      <c r="AD195" s="1370"/>
      <c r="AE195" s="1373" t="s">
        <v>923</v>
      </c>
      <c r="AF195" s="1374"/>
      <c r="AG195" s="1374"/>
      <c r="AH195" s="1374"/>
      <c r="AI195" s="1374"/>
      <c r="AJ195" s="1374"/>
      <c r="AK195" s="1375"/>
      <c r="AL195" s="1175"/>
      <c r="AM195" s="1382" t="s">
        <v>924</v>
      </c>
      <c r="AN195" s="1383"/>
      <c r="AO195" s="1383"/>
      <c r="AP195" s="1383"/>
      <c r="AQ195" s="1383"/>
      <c r="AR195" s="1383"/>
      <c r="AS195" s="1384"/>
      <c r="BJ195" s="1182" t="s">
        <v>263</v>
      </c>
      <c r="BK195" s="1183"/>
      <c r="BL195" s="1183"/>
      <c r="BM195" s="1183"/>
      <c r="BN195" s="1183"/>
      <c r="BO195" s="1184"/>
    </row>
    <row r="196" spans="1:67" ht="15" customHeight="1">
      <c r="A196" s="1172"/>
      <c r="B196" s="1173"/>
      <c r="C196" s="1173"/>
      <c r="D196" s="1173"/>
      <c r="E196" s="1173"/>
      <c r="F196" s="1173"/>
      <c r="G196" s="1173"/>
      <c r="H196" s="1344"/>
      <c r="I196" s="1174"/>
      <c r="J196" s="1344"/>
      <c r="K196" s="1344"/>
      <c r="N196" s="1347"/>
      <c r="O196" s="1352"/>
      <c r="P196" s="1353"/>
      <c r="Q196" s="1353"/>
      <c r="R196" s="1353"/>
      <c r="S196" s="1353"/>
      <c r="T196" s="1353"/>
      <c r="U196" s="1354"/>
      <c r="V196" s="1359"/>
      <c r="W196" s="1364"/>
      <c r="X196" s="1365"/>
      <c r="Y196" s="1365"/>
      <c r="Z196" s="1365"/>
      <c r="AA196" s="1365"/>
      <c r="AB196" s="1365"/>
      <c r="AC196" s="1366"/>
      <c r="AD196" s="1371"/>
      <c r="AE196" s="1376"/>
      <c r="AF196" s="1377"/>
      <c r="AG196" s="1377"/>
      <c r="AH196" s="1377"/>
      <c r="AI196" s="1377"/>
      <c r="AJ196" s="1377"/>
      <c r="AK196" s="1378"/>
      <c r="AL196" s="1175"/>
      <c r="AM196" s="1385"/>
      <c r="AN196" s="1386"/>
      <c r="AO196" s="1386"/>
      <c r="AP196" s="1386"/>
      <c r="AQ196" s="1386"/>
      <c r="AR196" s="1386"/>
      <c r="AS196" s="1387"/>
      <c r="BJ196" s="1219"/>
      <c r="BK196" s="1220"/>
      <c r="BL196" s="1220"/>
      <c r="BM196" s="1220"/>
      <c r="BN196" s="1220"/>
      <c r="BO196" s="1221"/>
    </row>
    <row r="197" spans="1:67" ht="15" customHeight="1">
      <c r="A197" s="1172"/>
      <c r="B197" s="1173"/>
      <c r="C197" s="1173"/>
      <c r="D197" s="1173"/>
      <c r="E197" s="1173"/>
      <c r="F197" s="1173"/>
      <c r="G197" s="1173"/>
      <c r="H197" s="1345"/>
      <c r="I197" s="1174"/>
      <c r="J197" s="1345"/>
      <c r="K197" s="1345"/>
      <c r="N197" s="1348"/>
      <c r="O197" s="1355"/>
      <c r="P197" s="1356"/>
      <c r="Q197" s="1356"/>
      <c r="R197" s="1356"/>
      <c r="S197" s="1356"/>
      <c r="T197" s="1356"/>
      <c r="U197" s="1357"/>
      <c r="V197" s="1360"/>
      <c r="W197" s="1367"/>
      <c r="X197" s="1368"/>
      <c r="Y197" s="1368"/>
      <c r="Z197" s="1368"/>
      <c r="AA197" s="1368"/>
      <c r="AB197" s="1368"/>
      <c r="AC197" s="1369"/>
      <c r="AD197" s="1372"/>
      <c r="AE197" s="1379"/>
      <c r="AF197" s="1380"/>
      <c r="AG197" s="1380"/>
      <c r="AH197" s="1380"/>
      <c r="AI197" s="1380"/>
      <c r="AJ197" s="1380"/>
      <c r="AK197" s="1381"/>
      <c r="AL197" s="1175"/>
      <c r="AM197" s="1388"/>
      <c r="AN197" s="1389"/>
      <c r="AO197" s="1389"/>
      <c r="AP197" s="1389"/>
      <c r="AQ197" s="1389"/>
      <c r="AR197" s="1389"/>
      <c r="AS197" s="1390"/>
      <c r="BJ197" s="1337"/>
      <c r="BK197" s="1338"/>
      <c r="BL197" s="1338"/>
      <c r="BM197" s="1338"/>
      <c r="BN197" s="1338"/>
      <c r="BO197" s="1339"/>
    </row>
    <row r="198" spans="1:67" ht="15" customHeight="1">
      <c r="A198" s="1307">
        <v>1.1000000000000001</v>
      </c>
      <c r="B198" s="1161" t="s">
        <v>941</v>
      </c>
      <c r="C198" s="1162"/>
      <c r="D198" s="1162"/>
      <c r="E198" s="1162"/>
      <c r="F198" s="1162"/>
      <c r="G198" s="1199"/>
      <c r="H198" s="1268" t="str">
        <f>IF(ISBLANK(AZ$5),"",1)</f>
        <v/>
      </c>
      <c r="I198" s="1205" t="str">
        <f>IF(ISBLANK(BD$5),"",1)</f>
        <v/>
      </c>
      <c r="J198" s="1205" t="str">
        <f>IF(ISBLANK(BH$5),"",1)</f>
        <v/>
      </c>
      <c r="K198" s="1205" t="str">
        <f>IF(ISBLANK(BL$5),"",1)</f>
        <v/>
      </c>
      <c r="N198" s="1258">
        <v>4.3</v>
      </c>
      <c r="O198" s="1198" t="s">
        <v>398</v>
      </c>
      <c r="P198" s="1162"/>
      <c r="Q198" s="1162"/>
      <c r="R198" s="1162"/>
      <c r="S198" s="1162"/>
      <c r="T198" s="1199"/>
      <c r="U198" s="1226" t="str">
        <f>IF(ISBLANK(AZ$5),"",1)</f>
        <v/>
      </c>
      <c r="V198" s="1258">
        <v>4.3</v>
      </c>
      <c r="W198" s="1198" t="s">
        <v>398</v>
      </c>
      <c r="X198" s="1162"/>
      <c r="Y198" s="1162"/>
      <c r="Z198" s="1162"/>
      <c r="AA198" s="1162"/>
      <c r="AB198" s="1199"/>
      <c r="AC198" s="1226" t="str">
        <f>IF(ISBLANK(BD$5),"",1)</f>
        <v/>
      </c>
      <c r="AD198" s="1258">
        <v>4.3</v>
      </c>
      <c r="AE198" s="1198" t="s">
        <v>387</v>
      </c>
      <c r="AF198" s="1162"/>
      <c r="AG198" s="1162"/>
      <c r="AH198" s="1162"/>
      <c r="AI198" s="1162"/>
      <c r="AJ198" s="1199"/>
      <c r="AK198" s="1226" t="str">
        <f>IF(ISBLANK(BH$5),"",1)</f>
        <v/>
      </c>
      <c r="AL198" s="1196">
        <v>4.3</v>
      </c>
      <c r="AM198" s="1198" t="s">
        <v>398</v>
      </c>
      <c r="AN198" s="1162"/>
      <c r="AO198" s="1162"/>
      <c r="AP198" s="1162"/>
      <c r="AQ198" s="1162"/>
      <c r="AR198" s="1199"/>
      <c r="AS198" s="1226" t="str">
        <f>IF(ISBLANK(BL$5),"",1)</f>
        <v/>
      </c>
      <c r="BJ198" s="1337"/>
      <c r="BK198" s="1338"/>
      <c r="BL198" s="1338"/>
      <c r="BM198" s="1338"/>
      <c r="BN198" s="1338"/>
      <c r="BO198" s="1339"/>
    </row>
    <row r="199" spans="1:67" ht="15" customHeight="1">
      <c r="A199" s="1308"/>
      <c r="B199" s="1163"/>
      <c r="C199" s="1164"/>
      <c r="D199" s="1164"/>
      <c r="E199" s="1164"/>
      <c r="F199" s="1164"/>
      <c r="G199" s="1201"/>
      <c r="H199" s="1269"/>
      <c r="I199" s="1206"/>
      <c r="J199" s="1206"/>
      <c r="K199" s="1206"/>
      <c r="N199" s="1258"/>
      <c r="O199" s="1200"/>
      <c r="P199" s="1164"/>
      <c r="Q199" s="1164"/>
      <c r="R199" s="1164"/>
      <c r="S199" s="1164"/>
      <c r="T199" s="1201"/>
      <c r="U199" s="1342"/>
      <c r="V199" s="1258"/>
      <c r="W199" s="1200"/>
      <c r="X199" s="1164"/>
      <c r="Y199" s="1164"/>
      <c r="Z199" s="1164"/>
      <c r="AA199" s="1164"/>
      <c r="AB199" s="1201"/>
      <c r="AC199" s="1342"/>
      <c r="AD199" s="1258"/>
      <c r="AE199" s="1200"/>
      <c r="AF199" s="1164"/>
      <c r="AG199" s="1164"/>
      <c r="AH199" s="1164"/>
      <c r="AI199" s="1164"/>
      <c r="AJ199" s="1201"/>
      <c r="AK199" s="1342"/>
      <c r="AL199" s="1197"/>
      <c r="AM199" s="1200"/>
      <c r="AN199" s="1164"/>
      <c r="AO199" s="1164"/>
      <c r="AP199" s="1164"/>
      <c r="AQ199" s="1164"/>
      <c r="AR199" s="1201"/>
      <c r="AS199" s="1342"/>
      <c r="BJ199" s="1337"/>
      <c r="BK199" s="1338"/>
      <c r="BL199" s="1338"/>
      <c r="BM199" s="1338"/>
      <c r="BN199" s="1338"/>
      <c r="BO199" s="1339"/>
    </row>
    <row r="200" spans="1:67" ht="15" customHeight="1">
      <c r="A200" s="1309"/>
      <c r="B200" s="1165"/>
      <c r="C200" s="1166"/>
      <c r="D200" s="1166"/>
      <c r="E200" s="1166"/>
      <c r="F200" s="1166"/>
      <c r="G200" s="1292"/>
      <c r="H200" s="1270"/>
      <c r="I200" s="1207"/>
      <c r="J200" s="1207"/>
      <c r="K200" s="1207"/>
      <c r="N200" s="1258"/>
      <c r="O200" s="1202"/>
      <c r="P200" s="1203"/>
      <c r="Q200" s="1203"/>
      <c r="R200" s="1203"/>
      <c r="S200" s="1203"/>
      <c r="T200" s="1204"/>
      <c r="U200" s="1342"/>
      <c r="V200" s="1258"/>
      <c r="W200" s="1202"/>
      <c r="X200" s="1203"/>
      <c r="Y200" s="1203"/>
      <c r="Z200" s="1203"/>
      <c r="AA200" s="1203"/>
      <c r="AB200" s="1204"/>
      <c r="AC200" s="1342"/>
      <c r="AD200" s="1258"/>
      <c r="AE200" s="1202"/>
      <c r="AF200" s="1203"/>
      <c r="AG200" s="1203"/>
      <c r="AH200" s="1203"/>
      <c r="AI200" s="1203"/>
      <c r="AJ200" s="1204"/>
      <c r="AK200" s="1342"/>
      <c r="AL200" s="1197"/>
      <c r="AM200" s="1202"/>
      <c r="AN200" s="1203"/>
      <c r="AO200" s="1203"/>
      <c r="AP200" s="1203"/>
      <c r="AQ200" s="1203"/>
      <c r="AR200" s="1204"/>
      <c r="AS200" s="1342"/>
      <c r="BJ200" s="1337"/>
      <c r="BK200" s="1338"/>
      <c r="BL200" s="1338"/>
      <c r="BM200" s="1338"/>
      <c r="BN200" s="1338"/>
      <c r="BO200" s="1339"/>
    </row>
    <row r="201" spans="1:67" ht="15" customHeight="1">
      <c r="A201" s="1304">
        <v>2.4</v>
      </c>
      <c r="B201" s="1161" t="s">
        <v>316</v>
      </c>
      <c r="C201" s="1162"/>
      <c r="D201" s="1162"/>
      <c r="E201" s="1162"/>
      <c r="F201" s="1162"/>
      <c r="G201" s="1199"/>
      <c r="H201" s="1268" t="str">
        <f t="shared" ref="H201" si="357">IF(ISBLANK(AZ$5),"",1)</f>
        <v/>
      </c>
      <c r="I201" s="1205" t="str">
        <f t="shared" ref="I201" si="358">IF(ISBLANK(BD$5),"",1)</f>
        <v/>
      </c>
      <c r="J201" s="1205" t="str">
        <f t="shared" ref="J201" si="359">IF(ISBLANK(BH$5),"",1)</f>
        <v/>
      </c>
      <c r="K201" s="1205" t="str">
        <f t="shared" ref="K201" si="360">IF(ISBLANK(BL$5),"",1)</f>
        <v/>
      </c>
      <c r="N201" s="1258">
        <v>4.3</v>
      </c>
      <c r="O201" s="1198" t="s">
        <v>388</v>
      </c>
      <c r="P201" s="1162"/>
      <c r="Q201" s="1162"/>
      <c r="R201" s="1162"/>
      <c r="S201" s="1162"/>
      <c r="T201" s="1199"/>
      <c r="U201" s="1226" t="str">
        <f t="shared" ref="U201" si="361">IF(ISBLANK(AZ$5),"",1)</f>
        <v/>
      </c>
      <c r="V201" s="1258">
        <v>4.3</v>
      </c>
      <c r="W201" s="1198" t="s">
        <v>388</v>
      </c>
      <c r="X201" s="1162"/>
      <c r="Y201" s="1162"/>
      <c r="Z201" s="1162"/>
      <c r="AA201" s="1162"/>
      <c r="AB201" s="1199"/>
      <c r="AC201" s="1226" t="str">
        <f t="shared" ref="AC201" si="362">IF(ISBLANK(BD$5),"",1)</f>
        <v/>
      </c>
      <c r="AD201" s="1258">
        <v>4.3</v>
      </c>
      <c r="AE201" s="1198" t="s">
        <v>388</v>
      </c>
      <c r="AF201" s="1162"/>
      <c r="AG201" s="1162"/>
      <c r="AH201" s="1162"/>
      <c r="AI201" s="1162"/>
      <c r="AJ201" s="1199"/>
      <c r="AK201" s="1226" t="str">
        <f t="shared" ref="AK201" si="363">IF(ISBLANK(BH$5),"",1)</f>
        <v/>
      </c>
      <c r="AL201" s="1196">
        <v>4.3</v>
      </c>
      <c r="AM201" s="1198" t="s">
        <v>388</v>
      </c>
      <c r="AN201" s="1162"/>
      <c r="AO201" s="1162"/>
      <c r="AP201" s="1162"/>
      <c r="AQ201" s="1162"/>
      <c r="AR201" s="1199"/>
      <c r="AS201" s="1226" t="str">
        <f t="shared" ref="AS201" si="364">IF(ISBLANK(BL$5),"",1)</f>
        <v/>
      </c>
      <c r="BJ201" s="1337"/>
      <c r="BK201" s="1338"/>
      <c r="BL201" s="1338"/>
      <c r="BM201" s="1338"/>
      <c r="BN201" s="1338"/>
      <c r="BO201" s="1339"/>
    </row>
    <row r="202" spans="1:67" ht="15" customHeight="1">
      <c r="A202" s="1290"/>
      <c r="B202" s="1163"/>
      <c r="C202" s="1164"/>
      <c r="D202" s="1164"/>
      <c r="E202" s="1164"/>
      <c r="F202" s="1164"/>
      <c r="G202" s="1201"/>
      <c r="H202" s="1269"/>
      <c r="I202" s="1206"/>
      <c r="J202" s="1206"/>
      <c r="K202" s="1206"/>
      <c r="N202" s="1258"/>
      <c r="O202" s="1200"/>
      <c r="P202" s="1164"/>
      <c r="Q202" s="1164"/>
      <c r="R202" s="1164"/>
      <c r="S202" s="1164"/>
      <c r="T202" s="1201"/>
      <c r="U202" s="1342"/>
      <c r="V202" s="1258"/>
      <c r="W202" s="1200"/>
      <c r="X202" s="1164"/>
      <c r="Y202" s="1164"/>
      <c r="Z202" s="1164"/>
      <c r="AA202" s="1164"/>
      <c r="AB202" s="1201"/>
      <c r="AC202" s="1342"/>
      <c r="AD202" s="1258"/>
      <c r="AE202" s="1200"/>
      <c r="AF202" s="1164"/>
      <c r="AG202" s="1164"/>
      <c r="AH202" s="1164"/>
      <c r="AI202" s="1164"/>
      <c r="AJ202" s="1201"/>
      <c r="AK202" s="1342"/>
      <c r="AL202" s="1197"/>
      <c r="AM202" s="1200"/>
      <c r="AN202" s="1164"/>
      <c r="AO202" s="1164"/>
      <c r="AP202" s="1164"/>
      <c r="AQ202" s="1164"/>
      <c r="AR202" s="1201"/>
      <c r="AS202" s="1342"/>
      <c r="BJ202" s="1337"/>
      <c r="BK202" s="1338"/>
      <c r="BL202" s="1338"/>
      <c r="BM202" s="1338"/>
      <c r="BN202" s="1338"/>
      <c r="BO202" s="1339"/>
    </row>
    <row r="203" spans="1:67" ht="15" customHeight="1">
      <c r="A203" s="1291"/>
      <c r="B203" s="1165"/>
      <c r="C203" s="1166"/>
      <c r="D203" s="1166"/>
      <c r="E203" s="1166"/>
      <c r="F203" s="1166"/>
      <c r="G203" s="1292"/>
      <c r="H203" s="1270"/>
      <c r="I203" s="1207"/>
      <c r="J203" s="1207"/>
      <c r="K203" s="1207"/>
      <c r="N203" s="1258"/>
      <c r="O203" s="1202"/>
      <c r="P203" s="1203"/>
      <c r="Q203" s="1203"/>
      <c r="R203" s="1203"/>
      <c r="S203" s="1203"/>
      <c r="T203" s="1204"/>
      <c r="U203" s="1342"/>
      <c r="V203" s="1258"/>
      <c r="W203" s="1202"/>
      <c r="X203" s="1203"/>
      <c r="Y203" s="1203"/>
      <c r="Z203" s="1203"/>
      <c r="AA203" s="1203"/>
      <c r="AB203" s="1204"/>
      <c r="AC203" s="1342"/>
      <c r="AD203" s="1258"/>
      <c r="AE203" s="1202"/>
      <c r="AF203" s="1203"/>
      <c r="AG203" s="1203"/>
      <c r="AH203" s="1203"/>
      <c r="AI203" s="1203"/>
      <c r="AJ203" s="1204"/>
      <c r="AK203" s="1342"/>
      <c r="AL203" s="1197"/>
      <c r="AM203" s="1202"/>
      <c r="AN203" s="1203"/>
      <c r="AO203" s="1203"/>
      <c r="AP203" s="1203"/>
      <c r="AQ203" s="1203"/>
      <c r="AR203" s="1204"/>
      <c r="AS203" s="1342"/>
      <c r="BJ203" s="1337"/>
      <c r="BK203" s="1338"/>
      <c r="BL203" s="1338"/>
      <c r="BM203" s="1338"/>
      <c r="BN203" s="1338"/>
      <c r="BO203" s="1339"/>
    </row>
    <row r="204" spans="1:67" ht="15" customHeight="1">
      <c r="A204" s="1307">
        <v>1.1000000000000001</v>
      </c>
      <c r="B204" s="1161" t="s">
        <v>320</v>
      </c>
      <c r="C204" s="1162"/>
      <c r="D204" s="1162"/>
      <c r="E204" s="1162"/>
      <c r="F204" s="1162"/>
      <c r="G204" s="1199"/>
      <c r="H204" s="1268" t="str">
        <f t="shared" ref="H204" si="365">IF(ISBLANK(AZ$5),"",1)</f>
        <v/>
      </c>
      <c r="I204" s="1205" t="str">
        <f t="shared" ref="I204" si="366">IF(ISBLANK(BD$5),"",1)</f>
        <v/>
      </c>
      <c r="J204" s="1205" t="str">
        <f t="shared" ref="J204" si="367">IF(ISBLANK(BH$5),"",1)</f>
        <v/>
      </c>
      <c r="K204" s="1205" t="str">
        <f t="shared" ref="K204" si="368">IF(ISBLANK(BL$5),"",1)</f>
        <v/>
      </c>
      <c r="N204" s="1258">
        <v>4.3</v>
      </c>
      <c r="O204" s="1198" t="s">
        <v>390</v>
      </c>
      <c r="P204" s="1162"/>
      <c r="Q204" s="1162"/>
      <c r="R204" s="1162"/>
      <c r="S204" s="1162"/>
      <c r="T204" s="1199"/>
      <c r="U204" s="1226" t="str">
        <f t="shared" ref="U204" si="369">IF(ISBLANK(AZ$5),"",1)</f>
        <v/>
      </c>
      <c r="V204" s="1258">
        <v>4.3</v>
      </c>
      <c r="W204" s="1198" t="s">
        <v>390</v>
      </c>
      <c r="X204" s="1162"/>
      <c r="Y204" s="1162"/>
      <c r="Z204" s="1162"/>
      <c r="AA204" s="1162"/>
      <c r="AB204" s="1199"/>
      <c r="AC204" s="1226" t="str">
        <f t="shared" ref="AC204" si="370">IF(ISBLANK(BD$5),"",1)</f>
        <v/>
      </c>
      <c r="AD204" s="1258">
        <v>4.3</v>
      </c>
      <c r="AE204" s="1198" t="s">
        <v>390</v>
      </c>
      <c r="AF204" s="1162"/>
      <c r="AG204" s="1162"/>
      <c r="AH204" s="1162"/>
      <c r="AI204" s="1162"/>
      <c r="AJ204" s="1199"/>
      <c r="AK204" s="1226" t="str">
        <f t="shared" ref="AK204" si="371">IF(ISBLANK(BH$5),"",1)</f>
        <v/>
      </c>
      <c r="AL204" s="1196">
        <v>4.3</v>
      </c>
      <c r="AM204" s="1198" t="s">
        <v>390</v>
      </c>
      <c r="AN204" s="1162"/>
      <c r="AO204" s="1162"/>
      <c r="AP204" s="1162"/>
      <c r="AQ204" s="1162"/>
      <c r="AR204" s="1199"/>
      <c r="AS204" s="1226" t="str">
        <f t="shared" ref="AS204" si="372">IF(ISBLANK(BL$5),"",1)</f>
        <v/>
      </c>
      <c r="BJ204" s="1337"/>
      <c r="BK204" s="1338"/>
      <c r="BL204" s="1338"/>
      <c r="BM204" s="1338"/>
      <c r="BN204" s="1338"/>
      <c r="BO204" s="1339"/>
    </row>
    <row r="205" spans="1:67" ht="15" customHeight="1">
      <c r="A205" s="1308"/>
      <c r="B205" s="1163"/>
      <c r="C205" s="1164"/>
      <c r="D205" s="1164"/>
      <c r="E205" s="1164"/>
      <c r="F205" s="1164"/>
      <c r="G205" s="1201"/>
      <c r="H205" s="1269"/>
      <c r="I205" s="1206"/>
      <c r="J205" s="1206"/>
      <c r="K205" s="1206"/>
      <c r="N205" s="1258"/>
      <c r="O205" s="1200"/>
      <c r="P205" s="1164"/>
      <c r="Q205" s="1164"/>
      <c r="R205" s="1164"/>
      <c r="S205" s="1164"/>
      <c r="T205" s="1201"/>
      <c r="U205" s="1342"/>
      <c r="V205" s="1258"/>
      <c r="W205" s="1200"/>
      <c r="X205" s="1164"/>
      <c r="Y205" s="1164"/>
      <c r="Z205" s="1164"/>
      <c r="AA205" s="1164"/>
      <c r="AB205" s="1201"/>
      <c r="AC205" s="1342"/>
      <c r="AD205" s="1258"/>
      <c r="AE205" s="1200"/>
      <c r="AF205" s="1164"/>
      <c r="AG205" s="1164"/>
      <c r="AH205" s="1164"/>
      <c r="AI205" s="1164"/>
      <c r="AJ205" s="1201"/>
      <c r="AK205" s="1342"/>
      <c r="AL205" s="1196"/>
      <c r="AM205" s="1200"/>
      <c r="AN205" s="1164"/>
      <c r="AO205" s="1164"/>
      <c r="AP205" s="1164"/>
      <c r="AQ205" s="1164"/>
      <c r="AR205" s="1201"/>
      <c r="AS205" s="1342"/>
      <c r="BJ205" s="1337"/>
      <c r="BK205" s="1338"/>
      <c r="BL205" s="1338"/>
      <c r="BM205" s="1338"/>
      <c r="BN205" s="1338"/>
      <c r="BO205" s="1339"/>
    </row>
    <row r="206" spans="1:67" ht="15" customHeight="1">
      <c r="A206" s="1309"/>
      <c r="B206" s="1165"/>
      <c r="C206" s="1166"/>
      <c r="D206" s="1166"/>
      <c r="E206" s="1166"/>
      <c r="F206" s="1166"/>
      <c r="G206" s="1292"/>
      <c r="H206" s="1270"/>
      <c r="I206" s="1207"/>
      <c r="J206" s="1207"/>
      <c r="K206" s="1207"/>
      <c r="N206" s="1258"/>
      <c r="O206" s="1202"/>
      <c r="P206" s="1203"/>
      <c r="Q206" s="1203"/>
      <c r="R206" s="1203"/>
      <c r="S206" s="1203"/>
      <c r="T206" s="1204"/>
      <c r="U206" s="1342"/>
      <c r="V206" s="1258"/>
      <c r="W206" s="1202"/>
      <c r="X206" s="1203"/>
      <c r="Y206" s="1203"/>
      <c r="Z206" s="1203"/>
      <c r="AA206" s="1203"/>
      <c r="AB206" s="1204"/>
      <c r="AC206" s="1342"/>
      <c r="AD206" s="1258"/>
      <c r="AE206" s="1202"/>
      <c r="AF206" s="1203"/>
      <c r="AG206" s="1203"/>
      <c r="AH206" s="1203"/>
      <c r="AI206" s="1203"/>
      <c r="AJ206" s="1204"/>
      <c r="AK206" s="1342"/>
      <c r="AL206" s="1197"/>
      <c r="AM206" s="1202"/>
      <c r="AN206" s="1203"/>
      <c r="AO206" s="1203"/>
      <c r="AP206" s="1203"/>
      <c r="AQ206" s="1203"/>
      <c r="AR206" s="1204"/>
      <c r="AS206" s="1342"/>
      <c r="BJ206" s="1337"/>
      <c r="BK206" s="1338"/>
      <c r="BL206" s="1338"/>
      <c r="BM206" s="1338"/>
      <c r="BN206" s="1338"/>
      <c r="BO206" s="1339"/>
    </row>
    <row r="207" spans="1:67" ht="15" customHeight="1">
      <c r="A207" s="1304">
        <v>2.1</v>
      </c>
      <c r="B207" s="1161" t="s">
        <v>322</v>
      </c>
      <c r="C207" s="1162"/>
      <c r="D207" s="1162"/>
      <c r="E207" s="1162"/>
      <c r="F207" s="1162"/>
      <c r="G207" s="1199"/>
      <c r="H207" s="1268" t="str">
        <f t="shared" ref="H207" si="373">IF(ISBLANK(AZ$5),"",1)</f>
        <v/>
      </c>
      <c r="I207" s="1205" t="str">
        <f t="shared" ref="I207" si="374">IF(ISBLANK(BD$5),"",1)</f>
        <v/>
      </c>
      <c r="J207" s="1205" t="str">
        <f t="shared" ref="J207" si="375">IF(ISBLANK(BH$5),"",1)</f>
        <v/>
      </c>
      <c r="K207" s="1205" t="str">
        <f t="shared" ref="K207" si="376">IF(ISBLANK(BL$5),"",1)</f>
        <v/>
      </c>
      <c r="N207" s="1258">
        <v>4.4000000000000004</v>
      </c>
      <c r="O207" s="1198" t="s">
        <v>415</v>
      </c>
      <c r="P207" s="1162"/>
      <c r="Q207" s="1162"/>
      <c r="R207" s="1162"/>
      <c r="S207" s="1162"/>
      <c r="T207" s="1199"/>
      <c r="U207" s="1226" t="str">
        <f t="shared" ref="U207" si="377">IF(ISBLANK(AZ$5),"",1)</f>
        <v/>
      </c>
      <c r="V207" s="1258">
        <v>4.4000000000000004</v>
      </c>
      <c r="W207" s="1198" t="s">
        <v>415</v>
      </c>
      <c r="X207" s="1162"/>
      <c r="Y207" s="1162"/>
      <c r="Z207" s="1162"/>
      <c r="AA207" s="1162"/>
      <c r="AB207" s="1199"/>
      <c r="AC207" s="1226" t="str">
        <f t="shared" ref="AC207" si="378">IF(ISBLANK(BD$5),"",1)</f>
        <v/>
      </c>
      <c r="AD207" s="1258">
        <v>4.4000000000000004</v>
      </c>
      <c r="AE207" s="1198" t="s">
        <v>415</v>
      </c>
      <c r="AF207" s="1162"/>
      <c r="AG207" s="1162"/>
      <c r="AH207" s="1162"/>
      <c r="AI207" s="1162"/>
      <c r="AJ207" s="1199"/>
      <c r="AK207" s="1226" t="str">
        <f t="shared" ref="AK207" si="379">IF(ISBLANK(BH$5),"",1)</f>
        <v/>
      </c>
      <c r="AL207" s="1196">
        <v>4.4000000000000004</v>
      </c>
      <c r="AM207" s="1198" t="s">
        <v>407</v>
      </c>
      <c r="AN207" s="1162"/>
      <c r="AO207" s="1162"/>
      <c r="AP207" s="1162"/>
      <c r="AQ207" s="1162"/>
      <c r="AR207" s="1199"/>
      <c r="AS207" s="1226" t="str">
        <f t="shared" ref="AS207" si="380">IF(ISBLANK(BL$5),"",1)</f>
        <v/>
      </c>
      <c r="BJ207" s="1337"/>
      <c r="BK207" s="1338"/>
      <c r="BL207" s="1338"/>
      <c r="BM207" s="1338"/>
      <c r="BN207" s="1338"/>
      <c r="BO207" s="1339"/>
    </row>
    <row r="208" spans="1:67" ht="15" customHeight="1">
      <c r="A208" s="1290"/>
      <c r="B208" s="1163"/>
      <c r="C208" s="1164"/>
      <c r="D208" s="1164"/>
      <c r="E208" s="1164"/>
      <c r="F208" s="1164"/>
      <c r="G208" s="1201"/>
      <c r="H208" s="1269"/>
      <c r="I208" s="1206"/>
      <c r="J208" s="1206"/>
      <c r="K208" s="1206"/>
      <c r="N208" s="1258"/>
      <c r="O208" s="1200"/>
      <c r="P208" s="1164"/>
      <c r="Q208" s="1164"/>
      <c r="R208" s="1164"/>
      <c r="S208" s="1164"/>
      <c r="T208" s="1201"/>
      <c r="U208" s="1342"/>
      <c r="V208" s="1258"/>
      <c r="W208" s="1200"/>
      <c r="X208" s="1164"/>
      <c r="Y208" s="1164"/>
      <c r="Z208" s="1164"/>
      <c r="AA208" s="1164"/>
      <c r="AB208" s="1201"/>
      <c r="AC208" s="1342"/>
      <c r="AD208" s="1258"/>
      <c r="AE208" s="1200"/>
      <c r="AF208" s="1164"/>
      <c r="AG208" s="1164"/>
      <c r="AH208" s="1164"/>
      <c r="AI208" s="1164"/>
      <c r="AJ208" s="1201"/>
      <c r="AK208" s="1342"/>
      <c r="AL208" s="1197"/>
      <c r="AM208" s="1200"/>
      <c r="AN208" s="1164"/>
      <c r="AO208" s="1164"/>
      <c r="AP208" s="1164"/>
      <c r="AQ208" s="1164"/>
      <c r="AR208" s="1201"/>
      <c r="AS208" s="1342"/>
      <c r="BJ208" s="1337"/>
      <c r="BK208" s="1338"/>
      <c r="BL208" s="1338"/>
      <c r="BM208" s="1338"/>
      <c r="BN208" s="1338"/>
      <c r="BO208" s="1339"/>
    </row>
    <row r="209" spans="1:67" ht="15" customHeight="1">
      <c r="A209" s="1291"/>
      <c r="B209" s="1165"/>
      <c r="C209" s="1166"/>
      <c r="D209" s="1166"/>
      <c r="E209" s="1166"/>
      <c r="F209" s="1166"/>
      <c r="G209" s="1292"/>
      <c r="H209" s="1270"/>
      <c r="I209" s="1207"/>
      <c r="J209" s="1207"/>
      <c r="K209" s="1207"/>
      <c r="N209" s="1258"/>
      <c r="O209" s="1202"/>
      <c r="P209" s="1203"/>
      <c r="Q209" s="1203"/>
      <c r="R209" s="1203"/>
      <c r="S209" s="1203"/>
      <c r="T209" s="1204"/>
      <c r="U209" s="1342"/>
      <c r="V209" s="1258"/>
      <c r="W209" s="1202"/>
      <c r="X209" s="1203"/>
      <c r="Y209" s="1203"/>
      <c r="Z209" s="1203"/>
      <c r="AA209" s="1203"/>
      <c r="AB209" s="1204"/>
      <c r="AC209" s="1342"/>
      <c r="AD209" s="1258"/>
      <c r="AE209" s="1202"/>
      <c r="AF209" s="1203"/>
      <c r="AG209" s="1203"/>
      <c r="AH209" s="1203"/>
      <c r="AI209" s="1203"/>
      <c r="AJ209" s="1204"/>
      <c r="AK209" s="1342"/>
      <c r="AL209" s="1197"/>
      <c r="AM209" s="1202"/>
      <c r="AN209" s="1203"/>
      <c r="AO209" s="1203"/>
      <c r="AP209" s="1203"/>
      <c r="AQ209" s="1203"/>
      <c r="AR209" s="1204"/>
      <c r="AS209" s="1342"/>
      <c r="BJ209" s="1337"/>
      <c r="BK209" s="1338"/>
      <c r="BL209" s="1338"/>
      <c r="BM209" s="1338"/>
      <c r="BN209" s="1338"/>
      <c r="BO209" s="1339"/>
    </row>
    <row r="210" spans="1:67" ht="15" customHeight="1">
      <c r="A210" s="1307">
        <v>1.1000000000000001</v>
      </c>
      <c r="B210" s="1161" t="s">
        <v>940</v>
      </c>
      <c r="C210" s="1162"/>
      <c r="D210" s="1162"/>
      <c r="E210" s="1162"/>
      <c r="F210" s="1162"/>
      <c r="G210" s="1199"/>
      <c r="H210" s="1268" t="str">
        <f t="shared" ref="H210" si="381">IF(ISBLANK(AZ$5),"",1)</f>
        <v/>
      </c>
      <c r="I210" s="1205" t="str">
        <f t="shared" ref="I210" si="382">IF(ISBLANK(BD$5),"",1)</f>
        <v/>
      </c>
      <c r="J210" s="1205" t="str">
        <f t="shared" ref="J210" si="383">IF(ISBLANK(BH$5),"",1)</f>
        <v/>
      </c>
      <c r="K210" s="1205" t="str">
        <f t="shared" ref="K210" si="384">IF(ISBLANK(BL$5),"",1)</f>
        <v/>
      </c>
      <c r="N210" s="1304">
        <v>4.3</v>
      </c>
      <c r="O210" s="1310" t="s">
        <v>879</v>
      </c>
      <c r="P210" s="1311"/>
      <c r="Q210" s="1311"/>
      <c r="R210" s="1311"/>
      <c r="S210" s="1311"/>
      <c r="T210" s="1316"/>
      <c r="U210" s="1226" t="str">
        <f t="shared" ref="U210" si="385">IF(ISBLANK(AZ$5),"",1)</f>
        <v/>
      </c>
      <c r="V210" s="1304">
        <v>4.3</v>
      </c>
      <c r="W210" s="1310" t="s">
        <v>879</v>
      </c>
      <c r="X210" s="1311"/>
      <c r="Y210" s="1311"/>
      <c r="Z210" s="1311"/>
      <c r="AA210" s="1311"/>
      <c r="AB210" s="1316"/>
      <c r="AC210" s="1226" t="str">
        <f t="shared" ref="AC210" si="386">IF(ISBLANK(BD$5),"",1)</f>
        <v/>
      </c>
      <c r="AD210" s="1304">
        <v>4.3</v>
      </c>
      <c r="AE210" s="1310" t="s">
        <v>879</v>
      </c>
      <c r="AF210" s="1311"/>
      <c r="AG210" s="1311"/>
      <c r="AH210" s="1311"/>
      <c r="AI210" s="1311"/>
      <c r="AJ210" s="1316"/>
      <c r="AK210" s="1226" t="str">
        <f t="shared" ref="AK210" si="387">IF(ISBLANK(BH$5),"",1)</f>
        <v/>
      </c>
      <c r="AL210" s="1304">
        <v>4.3</v>
      </c>
      <c r="AM210" s="1310" t="s">
        <v>879</v>
      </c>
      <c r="AN210" s="1311"/>
      <c r="AO210" s="1311"/>
      <c r="AP210" s="1311"/>
      <c r="AQ210" s="1311"/>
      <c r="AR210" s="1316"/>
      <c r="AS210" s="1226" t="str">
        <f t="shared" ref="AS210" si="388">IF(ISBLANK(BL$5),"",1)</f>
        <v/>
      </c>
      <c r="BJ210" s="1337"/>
      <c r="BK210" s="1338"/>
      <c r="BL210" s="1338"/>
      <c r="BM210" s="1338"/>
      <c r="BN210" s="1338"/>
      <c r="BO210" s="1339"/>
    </row>
    <row r="211" spans="1:67" ht="15" customHeight="1">
      <c r="A211" s="1308"/>
      <c r="B211" s="1163"/>
      <c r="C211" s="1164"/>
      <c r="D211" s="1164"/>
      <c r="E211" s="1164"/>
      <c r="F211" s="1164"/>
      <c r="G211" s="1201"/>
      <c r="H211" s="1269"/>
      <c r="I211" s="1206"/>
      <c r="J211" s="1206"/>
      <c r="K211" s="1206"/>
      <c r="N211" s="1290"/>
      <c r="O211" s="1295"/>
      <c r="P211" s="1296"/>
      <c r="Q211" s="1296"/>
      <c r="R211" s="1296"/>
      <c r="S211" s="1296"/>
      <c r="T211" s="1318"/>
      <c r="U211" s="1342"/>
      <c r="V211" s="1290"/>
      <c r="W211" s="1295"/>
      <c r="X211" s="1296"/>
      <c r="Y211" s="1296"/>
      <c r="Z211" s="1296"/>
      <c r="AA211" s="1296"/>
      <c r="AB211" s="1318"/>
      <c r="AC211" s="1342"/>
      <c r="AD211" s="1290"/>
      <c r="AE211" s="1295"/>
      <c r="AF211" s="1296"/>
      <c r="AG211" s="1296"/>
      <c r="AH211" s="1296"/>
      <c r="AI211" s="1296"/>
      <c r="AJ211" s="1318"/>
      <c r="AK211" s="1342"/>
      <c r="AL211" s="1290"/>
      <c r="AM211" s="1295"/>
      <c r="AN211" s="1296"/>
      <c r="AO211" s="1296"/>
      <c r="AP211" s="1296"/>
      <c r="AQ211" s="1296"/>
      <c r="AR211" s="1318"/>
      <c r="AS211" s="1342"/>
      <c r="BJ211" s="1337"/>
      <c r="BK211" s="1338"/>
      <c r="BL211" s="1338"/>
      <c r="BM211" s="1338"/>
      <c r="BN211" s="1338"/>
      <c r="BO211" s="1339"/>
    </row>
    <row r="212" spans="1:67" ht="15" customHeight="1">
      <c r="A212" s="1309"/>
      <c r="B212" s="1165"/>
      <c r="C212" s="1166"/>
      <c r="D212" s="1166"/>
      <c r="E212" s="1166"/>
      <c r="F212" s="1166"/>
      <c r="G212" s="1292"/>
      <c r="H212" s="1270"/>
      <c r="I212" s="1207"/>
      <c r="J212" s="1207"/>
      <c r="K212" s="1207"/>
      <c r="N212" s="1291"/>
      <c r="O212" s="1298"/>
      <c r="P212" s="1299"/>
      <c r="Q212" s="1299"/>
      <c r="R212" s="1299"/>
      <c r="S212" s="1299"/>
      <c r="T212" s="1335"/>
      <c r="U212" s="1342"/>
      <c r="V212" s="1291"/>
      <c r="W212" s="1298"/>
      <c r="X212" s="1299"/>
      <c r="Y212" s="1299"/>
      <c r="Z212" s="1299"/>
      <c r="AA212" s="1299"/>
      <c r="AB212" s="1335"/>
      <c r="AC212" s="1342"/>
      <c r="AD212" s="1291"/>
      <c r="AE212" s="1298"/>
      <c r="AF212" s="1299"/>
      <c r="AG212" s="1299"/>
      <c r="AH212" s="1299"/>
      <c r="AI212" s="1299"/>
      <c r="AJ212" s="1335"/>
      <c r="AK212" s="1342"/>
      <c r="AL212" s="1291"/>
      <c r="AM212" s="1298"/>
      <c r="AN212" s="1299"/>
      <c r="AO212" s="1299"/>
      <c r="AP212" s="1299"/>
      <c r="AQ212" s="1299"/>
      <c r="AR212" s="1335"/>
      <c r="AS212" s="1342"/>
      <c r="BJ212" s="1337"/>
      <c r="BK212" s="1338"/>
      <c r="BL212" s="1338"/>
      <c r="BM212" s="1338"/>
      <c r="BN212" s="1338"/>
      <c r="BO212" s="1339"/>
    </row>
    <row r="213" spans="1:67" ht="15" customHeight="1">
      <c r="A213" s="1307">
        <v>1.1000000000000001</v>
      </c>
      <c r="B213" s="1161" t="s">
        <v>330</v>
      </c>
      <c r="C213" s="1162"/>
      <c r="D213" s="1162"/>
      <c r="E213" s="1162"/>
      <c r="F213" s="1162"/>
      <c r="G213" s="1199"/>
      <c r="H213" s="1268" t="str">
        <f t="shared" ref="H213" si="389">IF(ISBLANK(AZ$5),"",1)</f>
        <v/>
      </c>
      <c r="I213" s="1205" t="str">
        <f t="shared" ref="I213" si="390">IF(ISBLANK(BD$5),"",1)</f>
        <v/>
      </c>
      <c r="J213" s="1205" t="str">
        <f t="shared" ref="J213" si="391">IF(ISBLANK(BH$5),"",1)</f>
        <v/>
      </c>
      <c r="K213" s="1205" t="str">
        <f t="shared" ref="K213" si="392">IF(ISBLANK(BL$5),"",1)</f>
        <v/>
      </c>
      <c r="N213" s="1304">
        <v>4.3</v>
      </c>
      <c r="O213" s="1198" t="s">
        <v>883</v>
      </c>
      <c r="P213" s="1162"/>
      <c r="Q213" s="1162"/>
      <c r="R213" s="1162"/>
      <c r="S213" s="1162"/>
      <c r="T213" s="1199"/>
      <c r="U213" s="1226" t="str">
        <f t="shared" ref="U213" si="393">IF(ISBLANK(AZ$5),"",1)</f>
        <v/>
      </c>
      <c r="V213" s="1304">
        <v>4.3</v>
      </c>
      <c r="W213" s="1198" t="s">
        <v>883</v>
      </c>
      <c r="X213" s="1162"/>
      <c r="Y213" s="1162"/>
      <c r="Z213" s="1162"/>
      <c r="AA213" s="1162"/>
      <c r="AB213" s="1199"/>
      <c r="AC213" s="1226" t="str">
        <f t="shared" ref="AC213" si="394">IF(ISBLANK(BD$5),"",1)</f>
        <v/>
      </c>
      <c r="AD213" s="1258">
        <v>4.4000000000000004</v>
      </c>
      <c r="AE213" s="1198" t="s">
        <v>393</v>
      </c>
      <c r="AF213" s="1162"/>
      <c r="AG213" s="1162"/>
      <c r="AH213" s="1162"/>
      <c r="AI213" s="1162"/>
      <c r="AJ213" s="1199"/>
      <c r="AK213" s="1226" t="str">
        <f t="shared" ref="AK213" si="395">IF(ISBLANK(BH$5),"",1)</f>
        <v/>
      </c>
      <c r="AL213" s="1304">
        <v>4.3</v>
      </c>
      <c r="AM213" s="1198" t="s">
        <v>883</v>
      </c>
      <c r="AN213" s="1162"/>
      <c r="AO213" s="1162"/>
      <c r="AP213" s="1162"/>
      <c r="AQ213" s="1162"/>
      <c r="AR213" s="1199"/>
      <c r="AS213" s="1226" t="str">
        <f t="shared" ref="AS213" si="396">IF(ISBLANK(BL$5),"",1)</f>
        <v/>
      </c>
      <c r="BJ213" s="1337"/>
      <c r="BK213" s="1338"/>
      <c r="BL213" s="1338"/>
      <c r="BM213" s="1338"/>
      <c r="BN213" s="1338"/>
      <c r="BO213" s="1339"/>
    </row>
    <row r="214" spans="1:67" ht="15" customHeight="1">
      <c r="A214" s="1308"/>
      <c r="B214" s="1163"/>
      <c r="C214" s="1164"/>
      <c r="D214" s="1164"/>
      <c r="E214" s="1164"/>
      <c r="F214" s="1164"/>
      <c r="G214" s="1201"/>
      <c r="H214" s="1269"/>
      <c r="I214" s="1206"/>
      <c r="J214" s="1206"/>
      <c r="K214" s="1206"/>
      <c r="N214" s="1290"/>
      <c r="O214" s="1200"/>
      <c r="P214" s="1164"/>
      <c r="Q214" s="1164"/>
      <c r="R214" s="1164"/>
      <c r="S214" s="1164"/>
      <c r="T214" s="1201"/>
      <c r="U214" s="1342"/>
      <c r="V214" s="1290"/>
      <c r="W214" s="1200"/>
      <c r="X214" s="1164"/>
      <c r="Y214" s="1164"/>
      <c r="Z214" s="1164"/>
      <c r="AA214" s="1164"/>
      <c r="AB214" s="1201"/>
      <c r="AC214" s="1342"/>
      <c r="AD214" s="1258"/>
      <c r="AE214" s="1200"/>
      <c r="AF214" s="1164"/>
      <c r="AG214" s="1164"/>
      <c r="AH214" s="1164"/>
      <c r="AI214" s="1164"/>
      <c r="AJ214" s="1201"/>
      <c r="AK214" s="1342"/>
      <c r="AL214" s="1290"/>
      <c r="AM214" s="1200"/>
      <c r="AN214" s="1164"/>
      <c r="AO214" s="1164"/>
      <c r="AP214" s="1164"/>
      <c r="AQ214" s="1164"/>
      <c r="AR214" s="1201"/>
      <c r="AS214" s="1342"/>
      <c r="BJ214" s="1337"/>
      <c r="BK214" s="1338"/>
      <c r="BL214" s="1338"/>
      <c r="BM214" s="1338"/>
      <c r="BN214" s="1338"/>
      <c r="BO214" s="1339"/>
    </row>
    <row r="215" spans="1:67" ht="15" customHeight="1">
      <c r="A215" s="1309"/>
      <c r="B215" s="1165"/>
      <c r="C215" s="1166"/>
      <c r="D215" s="1166"/>
      <c r="E215" s="1166"/>
      <c r="F215" s="1166"/>
      <c r="G215" s="1292"/>
      <c r="H215" s="1270"/>
      <c r="I215" s="1207"/>
      <c r="J215" s="1207"/>
      <c r="K215" s="1207"/>
      <c r="N215" s="1291"/>
      <c r="O215" s="1202"/>
      <c r="P215" s="1203"/>
      <c r="Q215" s="1203"/>
      <c r="R215" s="1203"/>
      <c r="S215" s="1203"/>
      <c r="T215" s="1204"/>
      <c r="U215" s="1342"/>
      <c r="V215" s="1291"/>
      <c r="W215" s="1202"/>
      <c r="X215" s="1203"/>
      <c r="Y215" s="1203"/>
      <c r="Z215" s="1203"/>
      <c r="AA215" s="1203"/>
      <c r="AB215" s="1204"/>
      <c r="AC215" s="1342"/>
      <c r="AD215" s="1258"/>
      <c r="AE215" s="1202"/>
      <c r="AF215" s="1203"/>
      <c r="AG215" s="1203"/>
      <c r="AH215" s="1203"/>
      <c r="AI215" s="1203"/>
      <c r="AJ215" s="1204"/>
      <c r="AK215" s="1342"/>
      <c r="AL215" s="1291"/>
      <c r="AM215" s="1202"/>
      <c r="AN215" s="1203"/>
      <c r="AO215" s="1203"/>
      <c r="AP215" s="1203"/>
      <c r="AQ215" s="1203"/>
      <c r="AR215" s="1204"/>
      <c r="AS215" s="1342"/>
      <c r="BJ215" s="1337"/>
      <c r="BK215" s="1338"/>
      <c r="BL215" s="1338"/>
      <c r="BM215" s="1338"/>
      <c r="BN215" s="1338"/>
      <c r="BO215" s="1339"/>
    </row>
    <row r="216" spans="1:67" ht="15" customHeight="1">
      <c r="A216" s="1304">
        <v>1.5</v>
      </c>
      <c r="B216" s="1161" t="s">
        <v>336</v>
      </c>
      <c r="C216" s="1162"/>
      <c r="D216" s="1162"/>
      <c r="E216" s="1162"/>
      <c r="F216" s="1162"/>
      <c r="G216" s="1199"/>
      <c r="H216" s="1268" t="str">
        <f t="shared" ref="H216" si="397">IF(ISBLANK(AZ$5),"",1)</f>
        <v/>
      </c>
      <c r="I216" s="1205" t="str">
        <f t="shared" ref="I216" si="398">IF(ISBLANK(BD$5),"",1)</f>
        <v/>
      </c>
      <c r="J216" s="1205" t="str">
        <f t="shared" ref="J216" si="399">IF(ISBLANK(BH$5),"",1)</f>
        <v/>
      </c>
      <c r="K216" s="1205" t="str">
        <f t="shared" ref="K216" si="400">IF(ISBLANK(BL$5),"",1)</f>
        <v/>
      </c>
      <c r="N216" s="1322">
        <v>4.4000000000000004</v>
      </c>
      <c r="O216" s="1198" t="s">
        <v>884</v>
      </c>
      <c r="P216" s="1162"/>
      <c r="Q216" s="1162"/>
      <c r="R216" s="1162"/>
      <c r="S216" s="1162"/>
      <c r="T216" s="1199"/>
      <c r="U216" s="1226" t="str">
        <f t="shared" ref="U216" si="401">IF(ISBLANK(AZ$5),"",1)</f>
        <v/>
      </c>
      <c r="V216" s="1322">
        <v>4.3</v>
      </c>
      <c r="W216" s="1198" t="s">
        <v>393</v>
      </c>
      <c r="X216" s="1162"/>
      <c r="Y216" s="1162"/>
      <c r="Z216" s="1162"/>
      <c r="AA216" s="1162"/>
      <c r="AB216" s="1199"/>
      <c r="AC216" s="1226" t="str">
        <f t="shared" ref="AC216" si="402">IF(ISBLANK(BD$5),"",1)</f>
        <v/>
      </c>
      <c r="AD216" s="1322">
        <v>4.4000000000000004</v>
      </c>
      <c r="AE216" s="1198" t="s">
        <v>417</v>
      </c>
      <c r="AF216" s="1162"/>
      <c r="AG216" s="1162"/>
      <c r="AH216" s="1162"/>
      <c r="AI216" s="1162"/>
      <c r="AJ216" s="1199"/>
      <c r="AK216" s="1226" t="str">
        <f t="shared" ref="AK216" si="403">IF(ISBLANK(BH$5),"",1)</f>
        <v/>
      </c>
      <c r="AL216" s="1196">
        <v>4.3</v>
      </c>
      <c r="AM216" s="1198" t="s">
        <v>421</v>
      </c>
      <c r="AN216" s="1162"/>
      <c r="AO216" s="1162"/>
      <c r="AP216" s="1162"/>
      <c r="AQ216" s="1162"/>
      <c r="AR216" s="1199"/>
      <c r="AS216" s="1226" t="str">
        <f t="shared" ref="AS216" si="404">IF(ISBLANK(BL$5),"",1)</f>
        <v/>
      </c>
      <c r="BJ216" s="1337"/>
      <c r="BK216" s="1338"/>
      <c r="BL216" s="1338"/>
      <c r="BM216" s="1338"/>
      <c r="BN216" s="1338"/>
      <c r="BO216" s="1339"/>
    </row>
    <row r="217" spans="1:67" ht="15" customHeight="1">
      <c r="A217" s="1290"/>
      <c r="B217" s="1163"/>
      <c r="C217" s="1164"/>
      <c r="D217" s="1164"/>
      <c r="E217" s="1164"/>
      <c r="F217" s="1164"/>
      <c r="G217" s="1201"/>
      <c r="H217" s="1269"/>
      <c r="I217" s="1206"/>
      <c r="J217" s="1206"/>
      <c r="K217" s="1206"/>
      <c r="N217" s="1293"/>
      <c r="O217" s="1200"/>
      <c r="P217" s="1164"/>
      <c r="Q217" s="1164"/>
      <c r="R217" s="1164"/>
      <c r="S217" s="1164"/>
      <c r="T217" s="1201"/>
      <c r="U217" s="1342"/>
      <c r="V217" s="1293"/>
      <c r="W217" s="1200"/>
      <c r="X217" s="1164"/>
      <c r="Y217" s="1164"/>
      <c r="Z217" s="1164"/>
      <c r="AA217" s="1164"/>
      <c r="AB217" s="1201"/>
      <c r="AC217" s="1342"/>
      <c r="AD217" s="1293"/>
      <c r="AE217" s="1200"/>
      <c r="AF217" s="1164"/>
      <c r="AG217" s="1164"/>
      <c r="AH217" s="1164"/>
      <c r="AI217" s="1164"/>
      <c r="AJ217" s="1201"/>
      <c r="AK217" s="1342"/>
      <c r="AL217" s="1197"/>
      <c r="AM217" s="1200"/>
      <c r="AN217" s="1164"/>
      <c r="AO217" s="1164"/>
      <c r="AP217" s="1164"/>
      <c r="AQ217" s="1164"/>
      <c r="AR217" s="1201"/>
      <c r="AS217" s="1342"/>
      <c r="BJ217" s="1337"/>
      <c r="BK217" s="1338"/>
      <c r="BL217" s="1338"/>
      <c r="BM217" s="1338"/>
      <c r="BN217" s="1338"/>
      <c r="BO217" s="1339"/>
    </row>
    <row r="218" spans="1:67" ht="15" customHeight="1">
      <c r="A218" s="1291"/>
      <c r="B218" s="1165"/>
      <c r="C218" s="1166"/>
      <c r="D218" s="1166"/>
      <c r="E218" s="1166"/>
      <c r="F218" s="1166"/>
      <c r="G218" s="1292"/>
      <c r="H218" s="1270"/>
      <c r="I218" s="1207"/>
      <c r="J218" s="1207"/>
      <c r="K218" s="1207"/>
      <c r="N218" s="1294"/>
      <c r="O218" s="1202"/>
      <c r="P218" s="1203"/>
      <c r="Q218" s="1203"/>
      <c r="R218" s="1203"/>
      <c r="S218" s="1203"/>
      <c r="T218" s="1204"/>
      <c r="U218" s="1342"/>
      <c r="V218" s="1294"/>
      <c r="W218" s="1202"/>
      <c r="X218" s="1203"/>
      <c r="Y218" s="1203"/>
      <c r="Z218" s="1203"/>
      <c r="AA218" s="1203"/>
      <c r="AB218" s="1204"/>
      <c r="AC218" s="1342"/>
      <c r="AD218" s="1294"/>
      <c r="AE218" s="1202"/>
      <c r="AF218" s="1203"/>
      <c r="AG218" s="1203"/>
      <c r="AH218" s="1203"/>
      <c r="AI218" s="1203"/>
      <c r="AJ218" s="1204"/>
      <c r="AK218" s="1342"/>
      <c r="AL218" s="1197"/>
      <c r="AM218" s="1202"/>
      <c r="AN218" s="1203"/>
      <c r="AO218" s="1203"/>
      <c r="AP218" s="1203"/>
      <c r="AQ218" s="1203"/>
      <c r="AR218" s="1204"/>
      <c r="AS218" s="1342"/>
      <c r="BJ218" s="1337"/>
      <c r="BK218" s="1338"/>
      <c r="BL218" s="1338"/>
      <c r="BM218" s="1338"/>
      <c r="BN218" s="1338"/>
      <c r="BO218" s="1339"/>
    </row>
    <row r="219" spans="1:67" ht="15" customHeight="1">
      <c r="A219" s="1304">
        <v>2.1</v>
      </c>
      <c r="B219" s="1161" t="s">
        <v>360</v>
      </c>
      <c r="C219" s="1162"/>
      <c r="D219" s="1162"/>
      <c r="E219" s="1162"/>
      <c r="F219" s="1162"/>
      <c r="G219" s="1199"/>
      <c r="H219" s="1268" t="str">
        <f t="shared" ref="H219" si="405">IF(ISBLANK(AZ$5),"",1)</f>
        <v/>
      </c>
      <c r="I219" s="1205" t="str">
        <f t="shared" ref="I219" si="406">IF(ISBLANK(BD$5),"",1)</f>
        <v/>
      </c>
      <c r="J219" s="1205" t="str">
        <f t="shared" ref="J219" si="407">IF(ISBLANK(BH$5),"",1)</f>
        <v/>
      </c>
      <c r="K219" s="1205" t="str">
        <f t="shared" ref="K219" si="408">IF(ISBLANK(BL$5),"",1)</f>
        <v/>
      </c>
      <c r="N219" s="1258">
        <v>4.4000000000000004</v>
      </c>
      <c r="O219" s="1198" t="s">
        <v>417</v>
      </c>
      <c r="P219" s="1162"/>
      <c r="Q219" s="1162"/>
      <c r="R219" s="1162"/>
      <c r="S219" s="1162"/>
      <c r="T219" s="1199"/>
      <c r="U219" s="1226" t="str">
        <f t="shared" ref="U219" si="409">IF(ISBLANK(AZ$5),"",1)</f>
        <v/>
      </c>
      <c r="V219" s="1322">
        <v>4.4000000000000004</v>
      </c>
      <c r="W219" s="1198" t="s">
        <v>417</v>
      </c>
      <c r="X219" s="1162"/>
      <c r="Y219" s="1162"/>
      <c r="Z219" s="1162"/>
      <c r="AA219" s="1162"/>
      <c r="AB219" s="1199"/>
      <c r="AC219" s="1226" t="str">
        <f t="shared" ref="AC219" si="410">IF(ISBLANK(BD$5),"",1)</f>
        <v/>
      </c>
      <c r="AD219" s="1304">
        <v>4.4000000000000004</v>
      </c>
      <c r="AE219" s="1198" t="s">
        <v>359</v>
      </c>
      <c r="AF219" s="1162"/>
      <c r="AG219" s="1162"/>
      <c r="AH219" s="1162"/>
      <c r="AI219" s="1162"/>
      <c r="AJ219" s="1199"/>
      <c r="AK219" s="1226" t="str">
        <f t="shared" ref="AK219" si="411">IF(ISBLANK(BH$5),"",1)</f>
        <v/>
      </c>
      <c r="AL219" s="1196">
        <v>4.4000000000000004</v>
      </c>
      <c r="AM219" s="1198" t="s">
        <v>418</v>
      </c>
      <c r="AN219" s="1162"/>
      <c r="AO219" s="1162"/>
      <c r="AP219" s="1162"/>
      <c r="AQ219" s="1162"/>
      <c r="AR219" s="1199"/>
      <c r="AS219" s="1226" t="str">
        <f t="shared" ref="AS219" si="412">IF(ISBLANK(BL$5),"",1)</f>
        <v/>
      </c>
      <c r="BJ219" s="1337"/>
      <c r="BK219" s="1338"/>
      <c r="BL219" s="1338"/>
      <c r="BM219" s="1338"/>
      <c r="BN219" s="1338"/>
      <c r="BO219" s="1339"/>
    </row>
    <row r="220" spans="1:67" ht="15" customHeight="1">
      <c r="A220" s="1290"/>
      <c r="B220" s="1163"/>
      <c r="C220" s="1164"/>
      <c r="D220" s="1164"/>
      <c r="E220" s="1164"/>
      <c r="F220" s="1164"/>
      <c r="G220" s="1201"/>
      <c r="H220" s="1269"/>
      <c r="I220" s="1206"/>
      <c r="J220" s="1206"/>
      <c r="K220" s="1206"/>
      <c r="N220" s="1258"/>
      <c r="O220" s="1200"/>
      <c r="P220" s="1164"/>
      <c r="Q220" s="1164"/>
      <c r="R220" s="1164"/>
      <c r="S220" s="1164"/>
      <c r="T220" s="1201"/>
      <c r="U220" s="1342"/>
      <c r="V220" s="1293"/>
      <c r="W220" s="1200"/>
      <c r="X220" s="1164"/>
      <c r="Y220" s="1164"/>
      <c r="Z220" s="1164"/>
      <c r="AA220" s="1164"/>
      <c r="AB220" s="1201"/>
      <c r="AC220" s="1342"/>
      <c r="AD220" s="1290"/>
      <c r="AE220" s="1200"/>
      <c r="AF220" s="1164"/>
      <c r="AG220" s="1164"/>
      <c r="AH220" s="1164"/>
      <c r="AI220" s="1164"/>
      <c r="AJ220" s="1201"/>
      <c r="AK220" s="1342"/>
      <c r="AL220" s="1197"/>
      <c r="AM220" s="1200"/>
      <c r="AN220" s="1164"/>
      <c r="AO220" s="1164"/>
      <c r="AP220" s="1164"/>
      <c r="AQ220" s="1164"/>
      <c r="AR220" s="1201"/>
      <c r="AS220" s="1342"/>
      <c r="BJ220" s="1337"/>
      <c r="BK220" s="1338"/>
      <c r="BL220" s="1338"/>
      <c r="BM220" s="1338"/>
      <c r="BN220" s="1338"/>
      <c r="BO220" s="1339"/>
    </row>
    <row r="221" spans="1:67" ht="15" customHeight="1">
      <c r="A221" s="1291"/>
      <c r="B221" s="1165"/>
      <c r="C221" s="1166"/>
      <c r="D221" s="1166"/>
      <c r="E221" s="1166"/>
      <c r="F221" s="1166"/>
      <c r="G221" s="1292"/>
      <c r="H221" s="1270"/>
      <c r="I221" s="1207"/>
      <c r="J221" s="1207"/>
      <c r="K221" s="1207"/>
      <c r="N221" s="1258"/>
      <c r="O221" s="1202"/>
      <c r="P221" s="1203"/>
      <c r="Q221" s="1203"/>
      <c r="R221" s="1203"/>
      <c r="S221" s="1203"/>
      <c r="T221" s="1204"/>
      <c r="U221" s="1342"/>
      <c r="V221" s="1294"/>
      <c r="W221" s="1202"/>
      <c r="X221" s="1203"/>
      <c r="Y221" s="1203"/>
      <c r="Z221" s="1203"/>
      <c r="AA221" s="1203"/>
      <c r="AB221" s="1204"/>
      <c r="AC221" s="1342"/>
      <c r="AD221" s="1291"/>
      <c r="AE221" s="1202"/>
      <c r="AF221" s="1203"/>
      <c r="AG221" s="1203"/>
      <c r="AH221" s="1203"/>
      <c r="AI221" s="1203"/>
      <c r="AJ221" s="1204"/>
      <c r="AK221" s="1342"/>
      <c r="AL221" s="1197"/>
      <c r="AM221" s="1202"/>
      <c r="AN221" s="1203"/>
      <c r="AO221" s="1203"/>
      <c r="AP221" s="1203"/>
      <c r="AQ221" s="1203"/>
      <c r="AR221" s="1204"/>
      <c r="AS221" s="1342"/>
      <c r="BJ221" s="1337"/>
      <c r="BK221" s="1338"/>
      <c r="BL221" s="1338"/>
      <c r="BM221" s="1338"/>
      <c r="BN221" s="1338"/>
      <c r="BO221" s="1339"/>
    </row>
    <row r="222" spans="1:67" ht="15" customHeight="1">
      <c r="A222" s="1304">
        <v>2.4</v>
      </c>
      <c r="B222" s="1161" t="s">
        <v>942</v>
      </c>
      <c r="C222" s="1162"/>
      <c r="D222" s="1162"/>
      <c r="E222" s="1162"/>
      <c r="F222" s="1162"/>
      <c r="G222" s="1199"/>
      <c r="H222" s="1268" t="str">
        <f t="shared" ref="H222" si="413">IF(ISBLANK(AZ$5),"",1)</f>
        <v/>
      </c>
      <c r="I222" s="1205" t="str">
        <f t="shared" ref="I222" si="414">IF(ISBLANK(BD$5),"",1)</f>
        <v/>
      </c>
      <c r="J222" s="1205" t="str">
        <f t="shared" ref="J222" si="415">IF(ISBLANK(BH$5),"",1)</f>
        <v/>
      </c>
      <c r="K222" s="1205" t="str">
        <f t="shared" ref="K222" si="416">IF(ISBLANK(BL$5),"",1)</f>
        <v/>
      </c>
      <c r="N222" s="1304">
        <v>4.4000000000000004</v>
      </c>
      <c r="O222" s="1198" t="s">
        <v>885</v>
      </c>
      <c r="P222" s="1162"/>
      <c r="Q222" s="1162"/>
      <c r="R222" s="1162"/>
      <c r="S222" s="1162"/>
      <c r="T222" s="1199"/>
      <c r="U222" s="1226" t="str">
        <f t="shared" ref="U222" si="417">IF(ISBLANK(AZ$5),"",1)</f>
        <v/>
      </c>
      <c r="V222" s="1304">
        <v>4.4000000000000004</v>
      </c>
      <c r="W222" s="1198" t="s">
        <v>359</v>
      </c>
      <c r="X222" s="1162"/>
      <c r="Y222" s="1162"/>
      <c r="Z222" s="1162"/>
      <c r="AA222" s="1162"/>
      <c r="AB222" s="1199"/>
      <c r="AC222" s="1226" t="str">
        <f t="shared" ref="AC222" si="418">IF(ISBLANK(BD$5),"",1)</f>
        <v/>
      </c>
      <c r="AD222" s="1258">
        <v>4.4000000000000004</v>
      </c>
      <c r="AE222" s="1198" t="s">
        <v>395</v>
      </c>
      <c r="AF222" s="1162"/>
      <c r="AG222" s="1162"/>
      <c r="AH222" s="1162"/>
      <c r="AI222" s="1162"/>
      <c r="AJ222" s="1199"/>
      <c r="AK222" s="1226" t="str">
        <f t="shared" ref="AK222" si="419">IF(ISBLANK(BH$5),"",1)</f>
        <v/>
      </c>
      <c r="AL222" s="1196">
        <v>4.4000000000000004</v>
      </c>
      <c r="AM222" s="1198" t="s">
        <v>417</v>
      </c>
      <c r="AN222" s="1162"/>
      <c r="AO222" s="1162"/>
      <c r="AP222" s="1162"/>
      <c r="AQ222" s="1162"/>
      <c r="AR222" s="1199"/>
      <c r="AS222" s="1226" t="str">
        <f t="shared" ref="AS222" si="420">IF(ISBLANK(BL$5),"",1)</f>
        <v/>
      </c>
      <c r="BJ222" s="1337"/>
      <c r="BK222" s="1338"/>
      <c r="BL222" s="1338"/>
      <c r="BM222" s="1338"/>
      <c r="BN222" s="1338"/>
      <c r="BO222" s="1339"/>
    </row>
    <row r="223" spans="1:67" ht="15" customHeight="1">
      <c r="A223" s="1290"/>
      <c r="B223" s="1163"/>
      <c r="C223" s="1164"/>
      <c r="D223" s="1164"/>
      <c r="E223" s="1164"/>
      <c r="F223" s="1164"/>
      <c r="G223" s="1201"/>
      <c r="H223" s="1269"/>
      <c r="I223" s="1206"/>
      <c r="J223" s="1206"/>
      <c r="K223" s="1206"/>
      <c r="N223" s="1290"/>
      <c r="O223" s="1200"/>
      <c r="P223" s="1164"/>
      <c r="Q223" s="1164"/>
      <c r="R223" s="1164"/>
      <c r="S223" s="1164"/>
      <c r="T223" s="1201"/>
      <c r="U223" s="1342"/>
      <c r="V223" s="1290"/>
      <c r="W223" s="1200"/>
      <c r="X223" s="1164"/>
      <c r="Y223" s="1164"/>
      <c r="Z223" s="1164"/>
      <c r="AA223" s="1164"/>
      <c r="AB223" s="1201"/>
      <c r="AC223" s="1342"/>
      <c r="AD223" s="1258"/>
      <c r="AE223" s="1200"/>
      <c r="AF223" s="1164"/>
      <c r="AG223" s="1164"/>
      <c r="AH223" s="1164"/>
      <c r="AI223" s="1164"/>
      <c r="AJ223" s="1201"/>
      <c r="AK223" s="1342"/>
      <c r="AL223" s="1197"/>
      <c r="AM223" s="1200"/>
      <c r="AN223" s="1164"/>
      <c r="AO223" s="1164"/>
      <c r="AP223" s="1164"/>
      <c r="AQ223" s="1164"/>
      <c r="AR223" s="1201"/>
      <c r="AS223" s="1342"/>
      <c r="BJ223" s="1337"/>
      <c r="BK223" s="1338"/>
      <c r="BL223" s="1338"/>
      <c r="BM223" s="1338"/>
      <c r="BN223" s="1338"/>
      <c r="BO223" s="1339"/>
    </row>
    <row r="224" spans="1:67" ht="15" customHeight="1">
      <c r="A224" s="1291"/>
      <c r="B224" s="1165"/>
      <c r="C224" s="1166"/>
      <c r="D224" s="1166"/>
      <c r="E224" s="1166"/>
      <c r="F224" s="1166"/>
      <c r="G224" s="1292"/>
      <c r="H224" s="1270"/>
      <c r="I224" s="1207"/>
      <c r="J224" s="1207"/>
      <c r="K224" s="1207"/>
      <c r="N224" s="1291"/>
      <c r="O224" s="1202"/>
      <c r="P224" s="1203"/>
      <c r="Q224" s="1203"/>
      <c r="R224" s="1203"/>
      <c r="S224" s="1203"/>
      <c r="T224" s="1204"/>
      <c r="U224" s="1342"/>
      <c r="V224" s="1291"/>
      <c r="W224" s="1202"/>
      <c r="X224" s="1203"/>
      <c r="Y224" s="1203"/>
      <c r="Z224" s="1203"/>
      <c r="AA224" s="1203"/>
      <c r="AB224" s="1204"/>
      <c r="AC224" s="1342"/>
      <c r="AD224" s="1258"/>
      <c r="AE224" s="1202"/>
      <c r="AF224" s="1203"/>
      <c r="AG224" s="1203"/>
      <c r="AH224" s="1203"/>
      <c r="AI224" s="1203"/>
      <c r="AJ224" s="1204"/>
      <c r="AK224" s="1342"/>
      <c r="AL224" s="1197"/>
      <c r="AM224" s="1202"/>
      <c r="AN224" s="1203"/>
      <c r="AO224" s="1203"/>
      <c r="AP224" s="1203"/>
      <c r="AQ224" s="1203"/>
      <c r="AR224" s="1204"/>
      <c r="AS224" s="1342"/>
      <c r="BJ224" s="1337"/>
      <c r="BK224" s="1338"/>
      <c r="BL224" s="1338"/>
      <c r="BM224" s="1338"/>
      <c r="BN224" s="1338"/>
      <c r="BO224" s="1339"/>
    </row>
    <row r="225" spans="1:67" ht="15" customHeight="1">
      <c r="A225" s="252"/>
      <c r="B225" s="243"/>
      <c r="C225" s="242"/>
      <c r="D225" s="242"/>
      <c r="F225" s="278">
        <v>1.1000000000000001</v>
      </c>
      <c r="G225" s="311">
        <f>COUNTIF($A$198:$A$224,F225)</f>
        <v>4</v>
      </c>
      <c r="H225" s="240" t="str">
        <f>IF($AZ$5=1,SUMIF($A$198:$A$224,$F225,$H$198:$H$224),"")</f>
        <v/>
      </c>
      <c r="I225" s="240" t="str">
        <f>IF($BD$5=1,SUMIF($A$198:$A$224,$F225,$I$198:$I$224),"")</f>
        <v/>
      </c>
      <c r="J225" s="240" t="str">
        <f>IF($BH$5=1,SUMIF($A$198:$A$224,$F225,$J$198:$J$224),"")</f>
        <v/>
      </c>
      <c r="K225" s="240" t="str">
        <f>IF($BL$5=1,SUMIF($A$198:$A$224,$F225,$K$198:$K$224),"")</f>
        <v/>
      </c>
      <c r="N225" s="1258">
        <v>4.4000000000000004</v>
      </c>
      <c r="O225" s="1198" t="s">
        <v>395</v>
      </c>
      <c r="P225" s="1162"/>
      <c r="Q225" s="1162"/>
      <c r="R225" s="1162"/>
      <c r="S225" s="1162"/>
      <c r="T225" s="1199"/>
      <c r="U225" s="1226" t="str">
        <f t="shared" ref="U225" si="421">IF(ISBLANK(AZ$5),"",1)</f>
        <v/>
      </c>
      <c r="V225" s="1258">
        <v>4.4000000000000004</v>
      </c>
      <c r="W225" s="1198" t="s">
        <v>395</v>
      </c>
      <c r="X225" s="1162"/>
      <c r="Y225" s="1162"/>
      <c r="Z225" s="1162"/>
      <c r="AA225" s="1162"/>
      <c r="AB225" s="1199"/>
      <c r="AC225" s="1226" t="str">
        <f t="shared" ref="AC225" si="422">IF(ISBLANK(BD$5),"",1)</f>
        <v/>
      </c>
      <c r="AD225" s="1304">
        <v>4.4000000000000004</v>
      </c>
      <c r="AE225" s="1198" t="s">
        <v>878</v>
      </c>
      <c r="AF225" s="1162"/>
      <c r="AG225" s="1162"/>
      <c r="AH225" s="1162"/>
      <c r="AI225" s="1162"/>
      <c r="AJ225" s="1199"/>
      <c r="AK225" s="1226" t="str">
        <f t="shared" ref="AK225" si="423">IF(ISBLANK(BH$5),"",1)</f>
        <v/>
      </c>
      <c r="AL225" s="1196">
        <v>4.4000000000000004</v>
      </c>
      <c r="AM225" s="1198" t="s">
        <v>422</v>
      </c>
      <c r="AN225" s="1162"/>
      <c r="AO225" s="1162"/>
      <c r="AP225" s="1162"/>
      <c r="AQ225" s="1162"/>
      <c r="AR225" s="1199"/>
      <c r="AS225" s="1226" t="str">
        <f t="shared" ref="AS225" si="424">IF(ISBLANK(BL$5),"",1)</f>
        <v/>
      </c>
      <c r="BJ225" s="1337"/>
      <c r="BK225" s="1338"/>
      <c r="BL225" s="1338"/>
      <c r="BM225" s="1338"/>
      <c r="BN225" s="1338"/>
      <c r="BO225" s="1339"/>
    </row>
    <row r="226" spans="1:67" ht="15" customHeight="1">
      <c r="A226" s="252"/>
      <c r="B226" s="243"/>
      <c r="C226" s="242"/>
      <c r="D226" s="242"/>
      <c r="F226" s="278">
        <v>1.5</v>
      </c>
      <c r="G226" s="311">
        <f t="shared" ref="G226:G228" si="425">COUNTIF($A$198:$A$224,F226)</f>
        <v>1</v>
      </c>
      <c r="H226" s="240" t="str">
        <f t="shared" ref="H226:H228" si="426">IF($AZ$5=1,SUMIF($A$198:$A$224,$F226,$H$198:$H$224),"")</f>
        <v/>
      </c>
      <c r="I226" s="240" t="str">
        <f t="shared" ref="I226:I228" si="427">IF($BD$5=1,SUMIF($A$198:$A$224,$F226,$I$198:$I$224),"")</f>
        <v/>
      </c>
      <c r="J226" s="240" t="str">
        <f t="shared" ref="J226:J228" si="428">IF($BH$5=1,SUMIF($A$198:$A$224,$F226,$J$198:$J$224),"")</f>
        <v/>
      </c>
      <c r="K226" s="240" t="str">
        <f t="shared" ref="K226:K228" si="429">IF($BL$5=1,SUMIF($A$198:$A$224,$F226,$K$198:$K$224),"")</f>
        <v/>
      </c>
      <c r="N226" s="1258"/>
      <c r="O226" s="1200"/>
      <c r="P226" s="1164"/>
      <c r="Q226" s="1164"/>
      <c r="R226" s="1164"/>
      <c r="S226" s="1164"/>
      <c r="T226" s="1201"/>
      <c r="U226" s="1342"/>
      <c r="V226" s="1258"/>
      <c r="W226" s="1200"/>
      <c r="X226" s="1164"/>
      <c r="Y226" s="1164"/>
      <c r="Z226" s="1164"/>
      <c r="AA226" s="1164"/>
      <c r="AB226" s="1201"/>
      <c r="AC226" s="1342"/>
      <c r="AD226" s="1290"/>
      <c r="AE226" s="1200"/>
      <c r="AF226" s="1164"/>
      <c r="AG226" s="1164"/>
      <c r="AH226" s="1164"/>
      <c r="AI226" s="1164"/>
      <c r="AJ226" s="1201"/>
      <c r="AK226" s="1342"/>
      <c r="AL226" s="1197"/>
      <c r="AM226" s="1200"/>
      <c r="AN226" s="1164"/>
      <c r="AO226" s="1164"/>
      <c r="AP226" s="1164"/>
      <c r="AQ226" s="1164"/>
      <c r="AR226" s="1201"/>
      <c r="AS226" s="1342"/>
      <c r="BJ226" s="1222"/>
      <c r="BK226" s="1223"/>
      <c r="BL226" s="1223"/>
      <c r="BM226" s="1223"/>
      <c r="BN226" s="1223"/>
      <c r="BO226" s="1224"/>
    </row>
    <row r="227" spans="1:67" ht="15" customHeight="1">
      <c r="A227" s="249"/>
      <c r="B227" s="249"/>
      <c r="C227" s="249"/>
      <c r="D227" s="249"/>
      <c r="F227" s="277">
        <v>2.1</v>
      </c>
      <c r="G227" s="311">
        <f t="shared" si="425"/>
        <v>2</v>
      </c>
      <c r="H227" s="240" t="str">
        <f t="shared" si="426"/>
        <v/>
      </c>
      <c r="I227" s="240" t="str">
        <f t="shared" si="427"/>
        <v/>
      </c>
      <c r="J227" s="240" t="str">
        <f t="shared" si="428"/>
        <v/>
      </c>
      <c r="K227" s="240" t="str">
        <f t="shared" si="429"/>
        <v/>
      </c>
      <c r="N227" s="1258"/>
      <c r="O227" s="1202"/>
      <c r="P227" s="1203"/>
      <c r="Q227" s="1203"/>
      <c r="R227" s="1203"/>
      <c r="S227" s="1203"/>
      <c r="T227" s="1204"/>
      <c r="U227" s="1342"/>
      <c r="V227" s="1258"/>
      <c r="W227" s="1202"/>
      <c r="X227" s="1203"/>
      <c r="Y227" s="1203"/>
      <c r="Z227" s="1203"/>
      <c r="AA227" s="1203"/>
      <c r="AB227" s="1204"/>
      <c r="AC227" s="1342"/>
      <c r="AD227" s="1291"/>
      <c r="AE227" s="1202"/>
      <c r="AF227" s="1203"/>
      <c r="AG227" s="1203"/>
      <c r="AH227" s="1203"/>
      <c r="AI227" s="1203"/>
      <c r="AJ227" s="1204"/>
      <c r="AK227" s="1342"/>
      <c r="AL227" s="1197"/>
      <c r="AM227" s="1202"/>
      <c r="AN227" s="1203"/>
      <c r="AO227" s="1203"/>
      <c r="AP227" s="1203"/>
      <c r="AQ227" s="1203"/>
      <c r="AR227" s="1204"/>
      <c r="AS227" s="1342"/>
    </row>
    <row r="228" spans="1:67" ht="15" customHeight="1">
      <c r="F228" s="277">
        <v>2.4</v>
      </c>
      <c r="G228" s="311">
        <f t="shared" si="425"/>
        <v>2</v>
      </c>
      <c r="H228" s="240" t="str">
        <f t="shared" si="426"/>
        <v/>
      </c>
      <c r="I228" s="240" t="str">
        <f t="shared" si="427"/>
        <v/>
      </c>
      <c r="J228" s="240" t="str">
        <f t="shared" si="428"/>
        <v/>
      </c>
      <c r="K228" s="240" t="str">
        <f t="shared" si="429"/>
        <v/>
      </c>
      <c r="N228" s="1304">
        <v>4.4000000000000004</v>
      </c>
      <c r="O228" s="1198" t="s">
        <v>878</v>
      </c>
      <c r="P228" s="1162"/>
      <c r="Q228" s="1162"/>
      <c r="R228" s="1162"/>
      <c r="S228" s="1162"/>
      <c r="T228" s="1199"/>
      <c r="U228" s="1226" t="str">
        <f t="shared" ref="U228" si="430">IF(ISBLANK(AZ$5),"",1)</f>
        <v/>
      </c>
      <c r="V228" s="1304">
        <v>4.4000000000000004</v>
      </c>
      <c r="W228" s="1198" t="s">
        <v>878</v>
      </c>
      <c r="X228" s="1162"/>
      <c r="Y228" s="1162"/>
      <c r="Z228" s="1162"/>
      <c r="AA228" s="1162"/>
      <c r="AB228" s="1199"/>
      <c r="AC228" s="1226" t="str">
        <f t="shared" ref="AC228" si="431">IF(ISBLANK(BD$5),"",1)</f>
        <v/>
      </c>
      <c r="AD228" s="1307">
        <v>1.5</v>
      </c>
      <c r="AE228" s="1198" t="s">
        <v>373</v>
      </c>
      <c r="AF228" s="1162"/>
      <c r="AG228" s="1162"/>
      <c r="AH228" s="1162"/>
      <c r="AI228" s="1162"/>
      <c r="AJ228" s="1199"/>
      <c r="AK228" s="1226" t="str">
        <f t="shared" ref="AK228" si="432">IF(ISBLANK(BH$5),"",1)</f>
        <v/>
      </c>
      <c r="AL228" s="1196">
        <v>4.4000000000000004</v>
      </c>
      <c r="AM228" s="1198" t="s">
        <v>420</v>
      </c>
      <c r="AN228" s="1162"/>
      <c r="AO228" s="1162"/>
      <c r="AP228" s="1162"/>
      <c r="AQ228" s="1162"/>
      <c r="AR228" s="1199"/>
      <c r="AS228" s="1226" t="str">
        <f t="shared" ref="AS228" si="433">IF(ISBLANK(BL$5),"",1)</f>
        <v/>
      </c>
    </row>
    <row r="229" spans="1:67" ht="15" customHeight="1">
      <c r="N229" s="1290"/>
      <c r="O229" s="1200"/>
      <c r="P229" s="1164"/>
      <c r="Q229" s="1164"/>
      <c r="R229" s="1164"/>
      <c r="S229" s="1164"/>
      <c r="T229" s="1201"/>
      <c r="U229" s="1342"/>
      <c r="V229" s="1290"/>
      <c r="W229" s="1200"/>
      <c r="X229" s="1164"/>
      <c r="Y229" s="1164"/>
      <c r="Z229" s="1164"/>
      <c r="AA229" s="1164"/>
      <c r="AB229" s="1201"/>
      <c r="AC229" s="1342"/>
      <c r="AD229" s="1308"/>
      <c r="AE229" s="1200"/>
      <c r="AF229" s="1164"/>
      <c r="AG229" s="1164"/>
      <c r="AH229" s="1164"/>
      <c r="AI229" s="1164"/>
      <c r="AJ229" s="1201"/>
      <c r="AK229" s="1342"/>
      <c r="AL229" s="1197"/>
      <c r="AM229" s="1200"/>
      <c r="AN229" s="1164"/>
      <c r="AO229" s="1164"/>
      <c r="AP229" s="1164"/>
      <c r="AQ229" s="1164"/>
      <c r="AR229" s="1201"/>
      <c r="AS229" s="1342"/>
    </row>
    <row r="230" spans="1:67" ht="15" customHeight="1">
      <c r="A230" s="1209"/>
      <c r="B230" s="1210" t="s">
        <v>609</v>
      </c>
      <c r="C230" s="1211"/>
      <c r="D230" s="1211"/>
      <c r="E230" s="1211"/>
      <c r="F230" s="1211"/>
      <c r="G230" s="1211"/>
      <c r="H230" s="1174">
        <v>13</v>
      </c>
      <c r="I230" s="1174">
        <v>14</v>
      </c>
      <c r="J230" s="1174">
        <v>15</v>
      </c>
      <c r="K230" s="1174">
        <v>16</v>
      </c>
      <c r="N230" s="1291"/>
      <c r="O230" s="1202"/>
      <c r="P230" s="1203"/>
      <c r="Q230" s="1203"/>
      <c r="R230" s="1203"/>
      <c r="S230" s="1203"/>
      <c r="T230" s="1204"/>
      <c r="U230" s="1342"/>
      <c r="V230" s="1291"/>
      <c r="W230" s="1202"/>
      <c r="X230" s="1203"/>
      <c r="Y230" s="1203"/>
      <c r="Z230" s="1203"/>
      <c r="AA230" s="1203"/>
      <c r="AB230" s="1204"/>
      <c r="AC230" s="1342"/>
      <c r="AD230" s="1309"/>
      <c r="AE230" s="1202"/>
      <c r="AF230" s="1203"/>
      <c r="AG230" s="1203"/>
      <c r="AH230" s="1203"/>
      <c r="AI230" s="1203"/>
      <c r="AJ230" s="1204"/>
      <c r="AK230" s="1342"/>
      <c r="AL230" s="1197"/>
      <c r="AM230" s="1202"/>
      <c r="AN230" s="1203"/>
      <c r="AO230" s="1203"/>
      <c r="AP230" s="1203"/>
      <c r="AQ230" s="1203"/>
      <c r="AR230" s="1204"/>
      <c r="AS230" s="1342"/>
    </row>
    <row r="231" spans="1:67" ht="15" customHeight="1">
      <c r="A231" s="1209"/>
      <c r="B231" s="1212"/>
      <c r="C231" s="1213"/>
      <c r="D231" s="1213"/>
      <c r="E231" s="1213"/>
      <c r="F231" s="1213"/>
      <c r="G231" s="1213"/>
      <c r="H231" s="1174"/>
      <c r="I231" s="1174"/>
      <c r="J231" s="1174"/>
      <c r="K231" s="1174"/>
      <c r="N231" s="1307">
        <v>1.5</v>
      </c>
      <c r="O231" s="1198" t="s">
        <v>373</v>
      </c>
      <c r="P231" s="1162"/>
      <c r="Q231" s="1162"/>
      <c r="R231" s="1162"/>
      <c r="S231" s="1162"/>
      <c r="T231" s="1199"/>
      <c r="U231" s="1226" t="str">
        <f t="shared" ref="U231" si="434">IF(ISBLANK(AZ$5),"",1)</f>
        <v/>
      </c>
      <c r="V231" s="1307">
        <v>1.5</v>
      </c>
      <c r="W231" s="1198" t="s">
        <v>373</v>
      </c>
      <c r="X231" s="1162"/>
      <c r="Y231" s="1162"/>
      <c r="Z231" s="1162"/>
      <c r="AA231" s="1162"/>
      <c r="AB231" s="1199"/>
      <c r="AC231" s="1226" t="str">
        <f t="shared" ref="AC231" si="435">IF(ISBLANK(BD$5),"",1)</f>
        <v/>
      </c>
      <c r="AD231" s="1258">
        <v>4.4000000000000004</v>
      </c>
      <c r="AE231" s="1198" t="s">
        <v>397</v>
      </c>
      <c r="AF231" s="1162"/>
      <c r="AG231" s="1162"/>
      <c r="AH231" s="1162"/>
      <c r="AI231" s="1162"/>
      <c r="AJ231" s="1199"/>
      <c r="AK231" s="1226" t="str">
        <f t="shared" ref="AK231" si="436">IF(ISBLANK(BH$5),"",1)</f>
        <v/>
      </c>
      <c r="AL231" s="1304">
        <v>4.4000000000000004</v>
      </c>
      <c r="AM231" s="1198" t="s">
        <v>359</v>
      </c>
      <c r="AN231" s="1162"/>
      <c r="AO231" s="1162"/>
      <c r="AP231" s="1162"/>
      <c r="AQ231" s="1162"/>
      <c r="AR231" s="1199"/>
      <c r="AS231" s="1226" t="str">
        <f t="shared" ref="AS231" si="437">IF(ISBLANK(BL$5),"",1)</f>
        <v/>
      </c>
    </row>
    <row r="232" spans="1:67" ht="15" customHeight="1">
      <c r="A232" s="1336">
        <v>3.1</v>
      </c>
      <c r="B232" s="1198" t="s">
        <v>366</v>
      </c>
      <c r="C232" s="1162"/>
      <c r="D232" s="1162"/>
      <c r="E232" s="1162"/>
      <c r="F232" s="1162"/>
      <c r="G232" s="1265"/>
      <c r="H232" s="1268" t="str">
        <f t="shared" ref="H232" si="438">IF(ISBLANK(AZ$5),"",1)</f>
        <v/>
      </c>
      <c r="I232" s="1205" t="str">
        <f t="shared" ref="I232" si="439">IF(ISBLANK(BD$5),"",1)</f>
        <v/>
      </c>
      <c r="J232" s="1205" t="str">
        <f t="shared" ref="J232" si="440">IF(ISBLANK(BH$5),"",1)</f>
        <v/>
      </c>
      <c r="K232" s="1205" t="str">
        <f t="shared" ref="K232" si="441">IF(ISBLANK(BL$5),"",1)</f>
        <v/>
      </c>
      <c r="N232" s="1308"/>
      <c r="O232" s="1200"/>
      <c r="P232" s="1164"/>
      <c r="Q232" s="1164"/>
      <c r="R232" s="1164"/>
      <c r="S232" s="1164"/>
      <c r="T232" s="1201"/>
      <c r="U232" s="1342"/>
      <c r="V232" s="1308"/>
      <c r="W232" s="1200"/>
      <c r="X232" s="1164"/>
      <c r="Y232" s="1164"/>
      <c r="Z232" s="1164"/>
      <c r="AA232" s="1164"/>
      <c r="AB232" s="1201"/>
      <c r="AC232" s="1342"/>
      <c r="AD232" s="1258"/>
      <c r="AE232" s="1200"/>
      <c r="AF232" s="1164"/>
      <c r="AG232" s="1164"/>
      <c r="AH232" s="1164"/>
      <c r="AI232" s="1164"/>
      <c r="AJ232" s="1201"/>
      <c r="AK232" s="1342"/>
      <c r="AL232" s="1290"/>
      <c r="AM232" s="1200"/>
      <c r="AN232" s="1164"/>
      <c r="AO232" s="1164"/>
      <c r="AP232" s="1164"/>
      <c r="AQ232" s="1164"/>
      <c r="AR232" s="1201"/>
      <c r="AS232" s="1342"/>
    </row>
    <row r="233" spans="1:67" ht="15" customHeight="1">
      <c r="A233" s="1159"/>
      <c r="B233" s="1200"/>
      <c r="C233" s="1164"/>
      <c r="D233" s="1164"/>
      <c r="E233" s="1164"/>
      <c r="F233" s="1164"/>
      <c r="G233" s="1266"/>
      <c r="H233" s="1269"/>
      <c r="I233" s="1206"/>
      <c r="J233" s="1206"/>
      <c r="K233" s="1206"/>
      <c r="N233" s="1309"/>
      <c r="O233" s="1202"/>
      <c r="P233" s="1203"/>
      <c r="Q233" s="1203"/>
      <c r="R233" s="1203"/>
      <c r="S233" s="1203"/>
      <c r="T233" s="1204"/>
      <c r="U233" s="1342"/>
      <c r="V233" s="1309"/>
      <c r="W233" s="1202"/>
      <c r="X233" s="1203"/>
      <c r="Y233" s="1203"/>
      <c r="Z233" s="1203"/>
      <c r="AA233" s="1203"/>
      <c r="AB233" s="1204"/>
      <c r="AC233" s="1342"/>
      <c r="AD233" s="1258"/>
      <c r="AE233" s="1202"/>
      <c r="AF233" s="1203"/>
      <c r="AG233" s="1203"/>
      <c r="AH233" s="1203"/>
      <c r="AI233" s="1203"/>
      <c r="AJ233" s="1204"/>
      <c r="AK233" s="1342"/>
      <c r="AL233" s="1291"/>
      <c r="AM233" s="1202"/>
      <c r="AN233" s="1203"/>
      <c r="AO233" s="1203"/>
      <c r="AP233" s="1203"/>
      <c r="AQ233" s="1203"/>
      <c r="AR233" s="1204"/>
      <c r="AS233" s="1342"/>
    </row>
    <row r="234" spans="1:67" ht="15" customHeight="1">
      <c r="A234" s="1160"/>
      <c r="B234" s="1200"/>
      <c r="C234" s="1164"/>
      <c r="D234" s="1164"/>
      <c r="E234" s="1164"/>
      <c r="F234" s="1164"/>
      <c r="G234" s="1266"/>
      <c r="H234" s="1270"/>
      <c r="I234" s="1207"/>
      <c r="J234" s="1207"/>
      <c r="K234" s="1207"/>
      <c r="N234" s="1258">
        <v>4.4000000000000004</v>
      </c>
      <c r="O234" s="1198" t="s">
        <v>397</v>
      </c>
      <c r="P234" s="1162"/>
      <c r="Q234" s="1162"/>
      <c r="R234" s="1162"/>
      <c r="S234" s="1162"/>
      <c r="T234" s="1199"/>
      <c r="U234" s="1226" t="str">
        <f t="shared" ref="U234" si="442">IF(ISBLANK(AZ$5),"",1)</f>
        <v/>
      </c>
      <c r="V234" s="1258">
        <v>4.4000000000000004</v>
      </c>
      <c r="W234" s="1198" t="s">
        <v>397</v>
      </c>
      <c r="X234" s="1162"/>
      <c r="Y234" s="1162"/>
      <c r="Z234" s="1162"/>
      <c r="AA234" s="1162"/>
      <c r="AB234" s="1199"/>
      <c r="AC234" s="1226" t="str">
        <f t="shared" ref="AC234" si="443">IF(ISBLANK(BD$5),"",1)</f>
        <v/>
      </c>
      <c r="AF234" s="52"/>
      <c r="AG234" s="247"/>
      <c r="AI234" s="273">
        <v>1.5</v>
      </c>
      <c r="AJ234" s="240">
        <f>COUNTIF($AD$198:$AD$233,AI234)</f>
        <v>1</v>
      </c>
      <c r="AK234" s="240" t="str">
        <f>IF($BH$5=1,SUMIF($AD$198:$AD$233,AI234,$AK$198:$AK$233),"")</f>
        <v/>
      </c>
      <c r="AL234" s="1196">
        <v>4.4000000000000004</v>
      </c>
      <c r="AM234" s="1198" t="s">
        <v>395</v>
      </c>
      <c r="AN234" s="1162"/>
      <c r="AO234" s="1162"/>
      <c r="AP234" s="1162"/>
      <c r="AQ234" s="1162"/>
      <c r="AR234" s="1199"/>
      <c r="AS234" s="1226" t="str">
        <f t="shared" ref="AS234" si="444">IF(ISBLANK(BL$5),"",1)</f>
        <v/>
      </c>
    </row>
    <row r="235" spans="1:67" ht="15" customHeight="1">
      <c r="A235" s="1336">
        <v>1.4</v>
      </c>
      <c r="B235" s="1198" t="s">
        <v>943</v>
      </c>
      <c r="C235" s="1162"/>
      <c r="D235" s="1162"/>
      <c r="E235" s="1162"/>
      <c r="F235" s="1162"/>
      <c r="G235" s="1265"/>
      <c r="H235" s="1268" t="str">
        <f t="shared" ref="H235" si="445">IF(ISBLANK(AZ$5),"",1)</f>
        <v/>
      </c>
      <c r="I235" s="1205" t="str">
        <f t="shared" ref="I235" si="446">IF(ISBLANK(BD$5),"",1)</f>
        <v/>
      </c>
      <c r="J235" s="1205" t="str">
        <f t="shared" ref="J235" si="447">IF(ISBLANK(BH$5),"",1)</f>
        <v/>
      </c>
      <c r="K235" s="1205" t="str">
        <f t="shared" ref="K235" si="448">IF(ISBLANK(BL$5),"",1)</f>
        <v/>
      </c>
      <c r="N235" s="1258"/>
      <c r="O235" s="1200"/>
      <c r="P235" s="1164"/>
      <c r="Q235" s="1164"/>
      <c r="R235" s="1164"/>
      <c r="S235" s="1164"/>
      <c r="T235" s="1201"/>
      <c r="U235" s="1342"/>
      <c r="V235" s="1258"/>
      <c r="W235" s="1200"/>
      <c r="X235" s="1164"/>
      <c r="Y235" s="1164"/>
      <c r="Z235" s="1164"/>
      <c r="AA235" s="1164"/>
      <c r="AB235" s="1201"/>
      <c r="AC235" s="1342"/>
      <c r="AF235" s="52"/>
      <c r="AG235" s="248"/>
      <c r="AI235" s="274">
        <v>4.3</v>
      </c>
      <c r="AJ235" s="240">
        <f t="shared" ref="AJ235:AJ236" si="449">COUNTIF($AD$198:$AD$233,AI235)</f>
        <v>4</v>
      </c>
      <c r="AK235" s="240" t="str">
        <f>IF($BH$5=1,SUMIF($AD$198:$AD$233,AI235,$AK$198:$AK$233),"")</f>
        <v/>
      </c>
      <c r="AL235" s="1197"/>
      <c r="AM235" s="1200"/>
      <c r="AN235" s="1164"/>
      <c r="AO235" s="1164"/>
      <c r="AP235" s="1164"/>
      <c r="AQ235" s="1164"/>
      <c r="AR235" s="1201"/>
      <c r="AS235" s="1342"/>
    </row>
    <row r="236" spans="1:67" ht="15" customHeight="1">
      <c r="A236" s="1159"/>
      <c r="B236" s="1200"/>
      <c r="C236" s="1164"/>
      <c r="D236" s="1164"/>
      <c r="E236" s="1164"/>
      <c r="F236" s="1164"/>
      <c r="G236" s="1266"/>
      <c r="H236" s="1269"/>
      <c r="I236" s="1206"/>
      <c r="J236" s="1206"/>
      <c r="K236" s="1206"/>
      <c r="N236" s="1258"/>
      <c r="O236" s="1202"/>
      <c r="P236" s="1203"/>
      <c r="Q236" s="1203"/>
      <c r="R236" s="1203"/>
      <c r="S236" s="1203"/>
      <c r="T236" s="1204"/>
      <c r="U236" s="1342"/>
      <c r="V236" s="1258"/>
      <c r="W236" s="1202"/>
      <c r="X236" s="1203"/>
      <c r="Y236" s="1203"/>
      <c r="Z236" s="1203"/>
      <c r="AA236" s="1203"/>
      <c r="AB236" s="1204"/>
      <c r="AC236" s="1342"/>
      <c r="AF236" s="52"/>
      <c r="AG236" s="248"/>
      <c r="AI236" s="274">
        <v>4.4000000000000004</v>
      </c>
      <c r="AJ236" s="240">
        <f t="shared" si="449"/>
        <v>7</v>
      </c>
      <c r="AK236" s="240" t="str">
        <f>IF($BH$5=1,SUMIF($AD$198:$AD$233,AI236,$AK$198:$AK$233),"")</f>
        <v/>
      </c>
      <c r="AL236" s="1197"/>
      <c r="AM236" s="1202"/>
      <c r="AN236" s="1203"/>
      <c r="AO236" s="1203"/>
      <c r="AP236" s="1203"/>
      <c r="AQ236" s="1203"/>
      <c r="AR236" s="1204"/>
      <c r="AS236" s="1342"/>
    </row>
    <row r="237" spans="1:67" ht="15" customHeight="1">
      <c r="A237" s="1160"/>
      <c r="B237" s="1200"/>
      <c r="C237" s="1164"/>
      <c r="D237" s="1164"/>
      <c r="E237" s="1164"/>
      <c r="F237" s="1164"/>
      <c r="G237" s="1266"/>
      <c r="H237" s="1270"/>
      <c r="I237" s="1207"/>
      <c r="J237" s="1207"/>
      <c r="K237" s="1207"/>
      <c r="O237" s="52"/>
      <c r="Q237" s="247"/>
      <c r="S237" s="273">
        <v>1.5</v>
      </c>
      <c r="T237" s="240">
        <f>COUNTIF($N$198:$N$236,S237)</f>
        <v>1</v>
      </c>
      <c r="U237" s="240" t="str">
        <f>IF($AZ$5=1,SUMIF($N$198:$N$236,S237,$U$198:$U$236),"")</f>
        <v/>
      </c>
      <c r="W237" s="52"/>
      <c r="Y237" s="247"/>
      <c r="AA237" s="273">
        <v>1.5</v>
      </c>
      <c r="AB237" s="240">
        <f>COUNTIF($V$198:$V$236,AA237)</f>
        <v>1</v>
      </c>
      <c r="AC237" s="240" t="str">
        <f>IF($BD$5=1,SUMIF($V$198:$V$236,AA237,$AC$198:$AC$236),"")</f>
        <v/>
      </c>
      <c r="AF237" s="52"/>
      <c r="AL237" s="1307">
        <v>4.4000000000000004</v>
      </c>
      <c r="AM237" s="1310" t="s">
        <v>363</v>
      </c>
      <c r="AN237" s="1311"/>
      <c r="AO237" s="1311"/>
      <c r="AP237" s="1311"/>
      <c r="AQ237" s="1311"/>
      <c r="AR237" s="1316"/>
      <c r="AS237" s="1226" t="str">
        <f t="shared" ref="AS237" si="450">IF(ISBLANK(BL$5),"",1)</f>
        <v/>
      </c>
    </row>
    <row r="238" spans="1:67" ht="15" customHeight="1">
      <c r="A238" s="1168" t="s">
        <v>637</v>
      </c>
      <c r="B238" s="1168"/>
      <c r="C238" s="1168"/>
      <c r="D238" s="1168"/>
      <c r="E238" s="1169"/>
      <c r="F238" s="614">
        <v>3.1</v>
      </c>
      <c r="G238" s="620">
        <f>COUNTIF($A$232:$A$237,F238)</f>
        <v>1</v>
      </c>
      <c r="H238" s="240" t="str">
        <f>IF($AZ$5=1,SUMIF($A$232:$A$237,$F238,$H$232:$H$237),"")</f>
        <v/>
      </c>
      <c r="I238" s="240" t="str">
        <f>IF($BD$5=1,SUMIF($A$232:$A$237,$F238,$I$232:$I$237),"")</f>
        <v/>
      </c>
      <c r="J238" s="240" t="str">
        <f>IF($BH$5=1,SUMIF($A$232:$A$237,$F238,$J$232:$J$237),"")</f>
        <v/>
      </c>
      <c r="K238" s="240" t="str">
        <f>IF($BL$5=1,SUMIF($A$232:$A$237,$F238,$K$232:$K$237),"")</f>
        <v/>
      </c>
      <c r="O238" s="52"/>
      <c r="Q238" s="242"/>
      <c r="S238" s="274">
        <v>4.3</v>
      </c>
      <c r="T238" s="240">
        <f t="shared" ref="T238:T239" si="451">COUNTIF($N$198:$N$236,S238)</f>
        <v>5</v>
      </c>
      <c r="U238" s="240" t="str">
        <f>IF($AZ$5=1,SUMIF($N$198:$N$236,S238,$U$198:$U$236),"")</f>
        <v/>
      </c>
      <c r="W238" s="52"/>
      <c r="AA238" s="274">
        <v>4.3</v>
      </c>
      <c r="AB238" s="240">
        <f t="shared" ref="AB238:AB239" si="452">COUNTIF($V$198:$V$236,AA238)</f>
        <v>6</v>
      </c>
      <c r="AC238" s="240" t="str">
        <f>IF($BD$5=1,SUMIF($V$198:$V$236,AA238,$AC$198:$AC$236),"")</f>
        <v/>
      </c>
      <c r="AF238" s="52"/>
      <c r="AL238" s="1308"/>
      <c r="AM238" s="1295"/>
      <c r="AN238" s="1296"/>
      <c r="AO238" s="1296"/>
      <c r="AP238" s="1296"/>
      <c r="AQ238" s="1296"/>
      <c r="AR238" s="1318"/>
      <c r="AS238" s="1342"/>
    </row>
    <row r="239" spans="1:67" ht="15" customHeight="1">
      <c r="F239" s="614">
        <v>1.4</v>
      </c>
      <c r="G239" s="620">
        <f>COUNTIF($A$232:$A$237,F239)</f>
        <v>1</v>
      </c>
      <c r="H239" s="240" t="str">
        <f>IF($AZ$5=1,SUMIF($A$232:$A$237,$F239,$H$232:$H$237),"")</f>
        <v/>
      </c>
      <c r="I239" s="240" t="str">
        <f>IF($BD$5=1,SUMIF($A$232:$A$237,$F239,$I$232:$I$237),"")</f>
        <v/>
      </c>
      <c r="J239" s="240" t="str">
        <f>IF($BH$5=1,SUMIF($A$232:$A$237,$F239,$J$232:$J$237),"")</f>
        <v/>
      </c>
      <c r="K239" s="240" t="str">
        <f>IF($BL$5=1,SUMIF($A$232:$A$237,$F239,$K$232:$K$237),"")</f>
        <v/>
      </c>
      <c r="O239" s="52"/>
      <c r="Q239" s="242"/>
      <c r="S239" s="274">
        <v>4.4000000000000004</v>
      </c>
      <c r="T239" s="240">
        <f t="shared" si="451"/>
        <v>7</v>
      </c>
      <c r="U239" s="240" t="str">
        <f>IF($AZ$5=1,SUMIF($N$198:$N$236,S239,$U$198:$U$236),"")</f>
        <v/>
      </c>
      <c r="W239" s="52"/>
      <c r="AA239" s="274">
        <v>4.4000000000000004</v>
      </c>
      <c r="AB239" s="240">
        <f t="shared" si="452"/>
        <v>6</v>
      </c>
      <c r="AC239" s="240" t="str">
        <f>IF($BD$5=1,SUMIF($V$198:$V$236,AA239,$AC$198:$AC$236),"")</f>
        <v/>
      </c>
      <c r="AF239" s="52"/>
      <c r="AL239" s="1309"/>
      <c r="AM239" s="1298"/>
      <c r="AN239" s="1299"/>
      <c r="AO239" s="1299"/>
      <c r="AP239" s="1299"/>
      <c r="AQ239" s="1299"/>
      <c r="AR239" s="1335"/>
      <c r="AS239" s="1342"/>
    </row>
    <row r="240" spans="1:67" ht="15" customHeight="1">
      <c r="O240" s="52"/>
      <c r="Q240" s="242"/>
      <c r="W240" s="52"/>
      <c r="AF240" s="52"/>
      <c r="AL240" s="1307">
        <v>1.5</v>
      </c>
      <c r="AM240" s="1198" t="s">
        <v>373</v>
      </c>
      <c r="AN240" s="1162"/>
      <c r="AO240" s="1162"/>
      <c r="AP240" s="1162"/>
      <c r="AQ240" s="1162"/>
      <c r="AR240" s="1199"/>
      <c r="AS240" s="1226" t="str">
        <f t="shared" ref="AS240" si="453">IF(ISBLANK(BL$5),"",1)</f>
        <v/>
      </c>
    </row>
    <row r="241" spans="15:45" ht="15" customHeight="1">
      <c r="O241" s="52"/>
      <c r="Q241" s="242"/>
      <c r="W241" s="52"/>
      <c r="AF241" s="52"/>
      <c r="AL241" s="1308"/>
      <c r="AM241" s="1200"/>
      <c r="AN241" s="1164"/>
      <c r="AO241" s="1164"/>
      <c r="AP241" s="1164"/>
      <c r="AQ241" s="1164"/>
      <c r="AR241" s="1201"/>
      <c r="AS241" s="1342"/>
    </row>
    <row r="242" spans="15:45" ht="15" customHeight="1">
      <c r="O242" s="52"/>
      <c r="Q242" s="242"/>
      <c r="W242" s="52"/>
      <c r="AF242" s="52"/>
      <c r="AL242" s="1309"/>
      <c r="AM242" s="1202"/>
      <c r="AN242" s="1203"/>
      <c r="AO242" s="1203"/>
      <c r="AP242" s="1203"/>
      <c r="AQ242" s="1203"/>
      <c r="AR242" s="1204"/>
      <c r="AS242" s="1342"/>
    </row>
    <row r="243" spans="15:45" ht="15" customHeight="1">
      <c r="O243" s="52"/>
      <c r="W243" s="52"/>
      <c r="AF243" s="52"/>
      <c r="AL243" s="1196">
        <v>4.4000000000000004</v>
      </c>
      <c r="AM243" s="1198" t="s">
        <v>397</v>
      </c>
      <c r="AN243" s="1162"/>
      <c r="AO243" s="1162"/>
      <c r="AP243" s="1162"/>
      <c r="AQ243" s="1162"/>
      <c r="AR243" s="1199"/>
      <c r="AS243" s="1226" t="str">
        <f t="shared" ref="AS243" si="454">IF(ISBLANK(BL$5),"",1)</f>
        <v/>
      </c>
    </row>
    <row r="244" spans="15:45" ht="15" customHeight="1">
      <c r="O244" s="52"/>
      <c r="W244" s="52"/>
      <c r="AF244" s="52"/>
      <c r="AL244" s="1197"/>
      <c r="AM244" s="1200"/>
      <c r="AN244" s="1164"/>
      <c r="AO244" s="1164"/>
      <c r="AP244" s="1164"/>
      <c r="AQ244" s="1164"/>
      <c r="AR244" s="1201"/>
      <c r="AS244" s="1342"/>
    </row>
    <row r="245" spans="15:45" ht="15" customHeight="1">
      <c r="O245" s="52"/>
      <c r="W245" s="52"/>
      <c r="AF245" s="52"/>
      <c r="AL245" s="1197"/>
      <c r="AM245" s="1202"/>
      <c r="AN245" s="1203"/>
      <c r="AO245" s="1203"/>
      <c r="AP245" s="1203"/>
      <c r="AQ245" s="1203"/>
      <c r="AR245" s="1204"/>
      <c r="AS245" s="1342"/>
    </row>
    <row r="246" spans="15:45" ht="15" customHeight="1">
      <c r="O246" s="52"/>
      <c r="W246" s="52"/>
      <c r="AF246" s="52"/>
      <c r="AL246" s="242"/>
      <c r="AO246" s="52"/>
      <c r="AQ246" s="273">
        <v>1.5</v>
      </c>
      <c r="AR246" s="240">
        <f>COUNTIF($AL$198:$AL$245,AQ246)</f>
        <v>1</v>
      </c>
      <c r="AS246" s="240" t="str">
        <f>IF($BL$5=1,SUMIF($AL$198:$AL$245,AQ246,$AS$198:$AS$245),"")</f>
        <v/>
      </c>
    </row>
    <row r="247" spans="15:45" ht="15" customHeight="1">
      <c r="O247" s="52"/>
      <c r="W247" s="52"/>
      <c r="AF247" s="52"/>
      <c r="AL247" s="242"/>
      <c r="AO247" s="52"/>
      <c r="AQ247" s="274">
        <v>4.3</v>
      </c>
      <c r="AR247" s="240">
        <f t="shared" ref="AR247:AR248" si="455">COUNTIF($AL$198:$AL$245,AQ247)</f>
        <v>6</v>
      </c>
      <c r="AS247" s="240" t="str">
        <f>IF($BL$5=1,SUMIF($AL$198:$AL$245,AQ247,$AS$198:$AS$245),"")</f>
        <v/>
      </c>
    </row>
    <row r="248" spans="15:45" ht="15" customHeight="1">
      <c r="O248" s="52"/>
      <c r="W248" s="52"/>
      <c r="AF248" s="52"/>
      <c r="AL248" s="242"/>
      <c r="AO248" s="52"/>
      <c r="AQ248" s="274">
        <v>4.4000000000000004</v>
      </c>
      <c r="AR248" s="240">
        <f t="shared" si="455"/>
        <v>9</v>
      </c>
      <c r="AS248" s="240" t="str">
        <f>IF($BL$5=1,SUMIF($AL$198:$AL$245,AQ248,$AS$198:$AS$245),"")</f>
        <v/>
      </c>
    </row>
  </sheetData>
  <sheetProtection sheet="1" objects="1" scenarios="1"/>
  <customSheetViews>
    <customSheetView guid="{B4419C5D-1877-4ABB-A46F-9E0AFFC75B59}" scale="85" showPageBreaks="1" showGridLines="0" printArea="1" view="pageBreakPreview">
      <pane ySplit="6" topLeftCell="A7" activePane="bottomLeft" state="frozen"/>
      <selection pane="bottomLeft" activeCell="W65" sqref="W65:AB67"/>
      <pageMargins left="0.7" right="0.7" top="0.75" bottom="0.75" header="0.3" footer="0.3"/>
      <pageSetup paperSize="9" scale="45" orientation="portrait" r:id="rId1"/>
    </customSheetView>
  </customSheetViews>
  <mergeCells count="1371">
    <mergeCell ref="AL222:AL224"/>
    <mergeCell ref="AK228:AK230"/>
    <mergeCell ref="AE228:AJ230"/>
    <mergeCell ref="V231:V233"/>
    <mergeCell ref="W231:AB233"/>
    <mergeCell ref="AC231:AC233"/>
    <mergeCell ref="AD231:AD233"/>
    <mergeCell ref="AE231:AJ233"/>
    <mergeCell ref="AK231:AK233"/>
    <mergeCell ref="AL231:AL233"/>
    <mergeCell ref="AM231:AR233"/>
    <mergeCell ref="AS231:AS233"/>
    <mergeCell ref="V234:V236"/>
    <mergeCell ref="W234:AB236"/>
    <mergeCell ref="AC234:AC236"/>
    <mergeCell ref="AL234:AL236"/>
    <mergeCell ref="AM234:AR236"/>
    <mergeCell ref="AS234:AS236"/>
    <mergeCell ref="V225:V227"/>
    <mergeCell ref="W225:AB227"/>
    <mergeCell ref="AL240:AL242"/>
    <mergeCell ref="AM240:AR242"/>
    <mergeCell ref="AS240:AS242"/>
    <mergeCell ref="AL243:AL245"/>
    <mergeCell ref="AM243:AR245"/>
    <mergeCell ref="AS243:AS245"/>
    <mergeCell ref="BA5:BC6"/>
    <mergeCell ref="BD5:BD6"/>
    <mergeCell ref="AL237:AL239"/>
    <mergeCell ref="AM237:AR239"/>
    <mergeCell ref="AS237:AS239"/>
    <mergeCell ref="V216:V218"/>
    <mergeCell ref="W216:AB218"/>
    <mergeCell ref="AC216:AC218"/>
    <mergeCell ref="AD216:AD218"/>
    <mergeCell ref="AE216:AJ218"/>
    <mergeCell ref="AK216:AK218"/>
    <mergeCell ref="AL216:AL218"/>
    <mergeCell ref="AM216:AR218"/>
    <mergeCell ref="AS216:AS218"/>
    <mergeCell ref="AC225:AC227"/>
    <mergeCell ref="AD225:AD227"/>
    <mergeCell ref="AE225:AJ227"/>
    <mergeCell ref="AK225:AK227"/>
    <mergeCell ref="AL225:AL227"/>
    <mergeCell ref="AM225:AR227"/>
    <mergeCell ref="AS225:AS227"/>
    <mergeCell ref="V228:V230"/>
    <mergeCell ref="W228:AB230"/>
    <mergeCell ref="AC228:AC230"/>
    <mergeCell ref="AD228:AD230"/>
    <mergeCell ref="A193:BM194"/>
    <mergeCell ref="N216:N218"/>
    <mergeCell ref="O216:T218"/>
    <mergeCell ref="U216:U218"/>
    <mergeCell ref="AM228:AR230"/>
    <mergeCell ref="AS228:AS230"/>
    <mergeCell ref="V219:V221"/>
    <mergeCell ref="W219:AB221"/>
    <mergeCell ref="AC219:AC221"/>
    <mergeCell ref="AD219:AD221"/>
    <mergeCell ref="AE219:AJ221"/>
    <mergeCell ref="AK219:AK221"/>
    <mergeCell ref="AL219:AL221"/>
    <mergeCell ref="V210:V212"/>
    <mergeCell ref="W210:AB212"/>
    <mergeCell ref="AC210:AC212"/>
    <mergeCell ref="AD210:AD212"/>
    <mergeCell ref="AE210:AJ212"/>
    <mergeCell ref="AK210:AK212"/>
    <mergeCell ref="AL210:AL212"/>
    <mergeCell ref="AM210:AR212"/>
    <mergeCell ref="AS210:AS212"/>
    <mergeCell ref="AM222:AR224"/>
    <mergeCell ref="AS222:AS224"/>
    <mergeCell ref="AL228:AL230"/>
    <mergeCell ref="AM219:AR221"/>
    <mergeCell ref="AS219:AS221"/>
    <mergeCell ref="V222:V224"/>
    <mergeCell ref="W222:AB224"/>
    <mergeCell ref="AC222:AC224"/>
    <mergeCell ref="AD222:AD224"/>
    <mergeCell ref="AE222:AJ224"/>
    <mergeCell ref="AK222:AK224"/>
    <mergeCell ref="K213:K215"/>
    <mergeCell ref="V213:V215"/>
    <mergeCell ref="W213:AB215"/>
    <mergeCell ref="AC213:AC215"/>
    <mergeCell ref="AD213:AD215"/>
    <mergeCell ref="AE213:AJ215"/>
    <mergeCell ref="AK213:AK215"/>
    <mergeCell ref="AL213:AL215"/>
    <mergeCell ref="AM213:AR215"/>
    <mergeCell ref="AS213:AS215"/>
    <mergeCell ref="N207:N209"/>
    <mergeCell ref="O207:T209"/>
    <mergeCell ref="U207:U209"/>
    <mergeCell ref="A204:A206"/>
    <mergeCell ref="B204:G206"/>
    <mergeCell ref="H204:H206"/>
    <mergeCell ref="N204:N206"/>
    <mergeCell ref="N213:N215"/>
    <mergeCell ref="O213:T215"/>
    <mergeCell ref="U213:U215"/>
    <mergeCell ref="A210:A212"/>
    <mergeCell ref="B210:G212"/>
    <mergeCell ref="H210:H212"/>
    <mergeCell ref="A207:A209"/>
    <mergeCell ref="B207:G209"/>
    <mergeCell ref="H207:H209"/>
    <mergeCell ref="W207:AB209"/>
    <mergeCell ref="AC207:AC209"/>
    <mergeCell ref="AD207:AD209"/>
    <mergeCell ref="AE207:AJ209"/>
    <mergeCell ref="O210:T212"/>
    <mergeCell ref="BJ195:BO195"/>
    <mergeCell ref="I198:I200"/>
    <mergeCell ref="J198:J200"/>
    <mergeCell ref="K198:K200"/>
    <mergeCell ref="V198:V200"/>
    <mergeCell ref="W198:AB200"/>
    <mergeCell ref="AC198:AC200"/>
    <mergeCell ref="AD198:AD200"/>
    <mergeCell ref="AE198:AJ200"/>
    <mergeCell ref="AK198:AK200"/>
    <mergeCell ref="AL198:AL200"/>
    <mergeCell ref="AM198:AR200"/>
    <mergeCell ref="AS198:AS200"/>
    <mergeCell ref="I201:I203"/>
    <mergeCell ref="J201:J203"/>
    <mergeCell ref="K201:K203"/>
    <mergeCell ref="V201:V203"/>
    <mergeCell ref="W201:AB203"/>
    <mergeCell ref="AC201:AC203"/>
    <mergeCell ref="AD201:AD203"/>
    <mergeCell ref="AE201:AJ203"/>
    <mergeCell ref="AK201:AK203"/>
    <mergeCell ref="AL201:AL203"/>
    <mergeCell ref="AM201:AR203"/>
    <mergeCell ref="AS201:AS203"/>
    <mergeCell ref="BJ196:BO226"/>
    <mergeCell ref="V204:V206"/>
    <mergeCell ref="W204:AB206"/>
    <mergeCell ref="AC204:AC206"/>
    <mergeCell ref="AD204:AD206"/>
    <mergeCell ref="AE204:AJ206"/>
    <mergeCell ref="AK204:AK206"/>
    <mergeCell ref="BI172:BI174"/>
    <mergeCell ref="N175:N177"/>
    <mergeCell ref="O175:T177"/>
    <mergeCell ref="U175:U177"/>
    <mergeCell ref="V175:V177"/>
    <mergeCell ref="W175:AB177"/>
    <mergeCell ref="AC175:AC177"/>
    <mergeCell ref="AD175:AD177"/>
    <mergeCell ref="AE175:AJ177"/>
    <mergeCell ref="AK175:AK177"/>
    <mergeCell ref="AT175:AT177"/>
    <mergeCell ref="AU175:AZ177"/>
    <mergeCell ref="BA175:BA177"/>
    <mergeCell ref="BB175:BB177"/>
    <mergeCell ref="BC175:BH177"/>
    <mergeCell ref="BI175:BI177"/>
    <mergeCell ref="N178:N180"/>
    <mergeCell ref="O178:T180"/>
    <mergeCell ref="U178:U180"/>
    <mergeCell ref="AT178:AT180"/>
    <mergeCell ref="AU178:AZ180"/>
    <mergeCell ref="BA178:BA180"/>
    <mergeCell ref="BB178:BB180"/>
    <mergeCell ref="BC178:BH180"/>
    <mergeCell ref="BI178:BI180"/>
    <mergeCell ref="N172:N174"/>
    <mergeCell ref="O172:T174"/>
    <mergeCell ref="U172:U174"/>
    <mergeCell ref="V172:V174"/>
    <mergeCell ref="W172:AB174"/>
    <mergeCell ref="AC172:AC174"/>
    <mergeCell ref="AD172:AD174"/>
    <mergeCell ref="AE172:AJ174"/>
    <mergeCell ref="AK172:AK174"/>
    <mergeCell ref="AL172:AL174"/>
    <mergeCell ref="AM172:AR174"/>
    <mergeCell ref="AS172:AS174"/>
    <mergeCell ref="AT172:AT174"/>
    <mergeCell ref="AU172:AZ174"/>
    <mergeCell ref="BA172:BA174"/>
    <mergeCell ref="BB172:BB174"/>
    <mergeCell ref="BC172:BH174"/>
    <mergeCell ref="AL166:AL168"/>
    <mergeCell ref="AM166:AR168"/>
    <mergeCell ref="AS166:AS168"/>
    <mergeCell ref="AT166:AT168"/>
    <mergeCell ref="AU166:AZ168"/>
    <mergeCell ref="BA166:BA168"/>
    <mergeCell ref="BB166:BB168"/>
    <mergeCell ref="BC166:BH168"/>
    <mergeCell ref="AE166:AJ168"/>
    <mergeCell ref="AK166:AK168"/>
    <mergeCell ref="BI166:BI168"/>
    <mergeCell ref="N169:N171"/>
    <mergeCell ref="O169:T171"/>
    <mergeCell ref="U169:U171"/>
    <mergeCell ref="V169:V171"/>
    <mergeCell ref="W169:AB171"/>
    <mergeCell ref="AC169:AC171"/>
    <mergeCell ref="AD169:AD171"/>
    <mergeCell ref="AE169:AJ171"/>
    <mergeCell ref="AK169:AK171"/>
    <mergeCell ref="AL169:AL171"/>
    <mergeCell ref="AM169:AR171"/>
    <mergeCell ref="AS169:AS171"/>
    <mergeCell ref="AT169:AT171"/>
    <mergeCell ref="AU169:AZ171"/>
    <mergeCell ref="BA169:BA171"/>
    <mergeCell ref="BB169:BB171"/>
    <mergeCell ref="BC169:BH171"/>
    <mergeCell ref="BI169:BI171"/>
    <mergeCell ref="AL154:AL156"/>
    <mergeCell ref="AM154:AR156"/>
    <mergeCell ref="BA160:BA162"/>
    <mergeCell ref="BB160:BB162"/>
    <mergeCell ref="BC160:BH162"/>
    <mergeCell ref="BI160:BI162"/>
    <mergeCell ref="A163:A165"/>
    <mergeCell ref="B163:G165"/>
    <mergeCell ref="H163:H165"/>
    <mergeCell ref="I163:I165"/>
    <mergeCell ref="J163:J165"/>
    <mergeCell ref="K163:K165"/>
    <mergeCell ref="L163:L165"/>
    <mergeCell ref="M163:M165"/>
    <mergeCell ref="N163:N165"/>
    <mergeCell ref="O163:T165"/>
    <mergeCell ref="U163:U165"/>
    <mergeCell ref="V163:V165"/>
    <mergeCell ref="W163:AB165"/>
    <mergeCell ref="AC163:AC165"/>
    <mergeCell ref="AD163:AD165"/>
    <mergeCell ref="AE163:AJ165"/>
    <mergeCell ref="AK163:AK165"/>
    <mergeCell ref="A160:A162"/>
    <mergeCell ref="B160:G162"/>
    <mergeCell ref="H160:H162"/>
    <mergeCell ref="I160:I162"/>
    <mergeCell ref="J160:J162"/>
    <mergeCell ref="K160:K162"/>
    <mergeCell ref="AL163:AL165"/>
    <mergeCell ref="AM163:AR165"/>
    <mergeCell ref="AS163:AS165"/>
    <mergeCell ref="N160:N162"/>
    <mergeCell ref="O160:T162"/>
    <mergeCell ref="U160:U162"/>
    <mergeCell ref="V160:V162"/>
    <mergeCell ref="W160:AB162"/>
    <mergeCell ref="AC160:AC162"/>
    <mergeCell ref="AD160:AD162"/>
    <mergeCell ref="AE160:AJ162"/>
    <mergeCell ref="AK160:AK162"/>
    <mergeCell ref="AL160:AL162"/>
    <mergeCell ref="AM160:AR162"/>
    <mergeCell ref="AS160:AS162"/>
    <mergeCell ref="AT160:AT162"/>
    <mergeCell ref="AU160:AZ162"/>
    <mergeCell ref="I157:I159"/>
    <mergeCell ref="J157:J159"/>
    <mergeCell ref="K157:K159"/>
    <mergeCell ref="L157:L159"/>
    <mergeCell ref="M157:M159"/>
    <mergeCell ref="N157:N159"/>
    <mergeCell ref="O157:T159"/>
    <mergeCell ref="U157:U159"/>
    <mergeCell ref="V157:V159"/>
    <mergeCell ref="W157:AB159"/>
    <mergeCell ref="AC157:AC159"/>
    <mergeCell ref="AD157:AD159"/>
    <mergeCell ref="AE157:AJ159"/>
    <mergeCell ref="AK157:AK159"/>
    <mergeCell ref="AL157:AL159"/>
    <mergeCell ref="AM157:AR159"/>
    <mergeCell ref="BJ145:BO145"/>
    <mergeCell ref="BJ146:BO176"/>
    <mergeCell ref="A148:A150"/>
    <mergeCell ref="B148:G150"/>
    <mergeCell ref="H148:H150"/>
    <mergeCell ref="I148:I150"/>
    <mergeCell ref="J148:J150"/>
    <mergeCell ref="K148:K150"/>
    <mergeCell ref="L148:L150"/>
    <mergeCell ref="M148:M150"/>
    <mergeCell ref="N148:N150"/>
    <mergeCell ref="O148:T150"/>
    <mergeCell ref="U148:U150"/>
    <mergeCell ref="V148:V150"/>
    <mergeCell ref="W148:AB150"/>
    <mergeCell ref="AC148:AC150"/>
    <mergeCell ref="AD148:AD150"/>
    <mergeCell ref="AE148:AJ150"/>
    <mergeCell ref="AK148:AK150"/>
    <mergeCell ref="AL148:AL150"/>
    <mergeCell ref="AM148:AR150"/>
    <mergeCell ref="AS148:AS150"/>
    <mergeCell ref="AT148:AT150"/>
    <mergeCell ref="AU148:AZ150"/>
    <mergeCell ref="BA148:BA150"/>
    <mergeCell ref="BB148:BB150"/>
    <mergeCell ref="BC148:BH150"/>
    <mergeCell ref="BI148:BI150"/>
    <mergeCell ref="A151:A153"/>
    <mergeCell ref="B151:G153"/>
    <mergeCell ref="AS157:AS159"/>
    <mergeCell ref="AT157:AT159"/>
    <mergeCell ref="H145:H147"/>
    <mergeCell ref="I145:I147"/>
    <mergeCell ref="J145:J147"/>
    <mergeCell ref="K145:K147"/>
    <mergeCell ref="L145:L147"/>
    <mergeCell ref="M145:M147"/>
    <mergeCell ref="N145:N147"/>
    <mergeCell ref="O145:U147"/>
    <mergeCell ref="V145:V147"/>
    <mergeCell ref="W145:AC147"/>
    <mergeCell ref="AD145:AD147"/>
    <mergeCell ref="AE145:AK147"/>
    <mergeCell ref="AL145:AL147"/>
    <mergeCell ref="AM145:AS147"/>
    <mergeCell ref="AT145:AT147"/>
    <mergeCell ref="AU145:BA147"/>
    <mergeCell ref="BB145:BB147"/>
    <mergeCell ref="AU125:AZ127"/>
    <mergeCell ref="BA125:BA127"/>
    <mergeCell ref="K101:K103"/>
    <mergeCell ref="L101:L103"/>
    <mergeCell ref="M101:M103"/>
    <mergeCell ref="N101:N103"/>
    <mergeCell ref="O101:T103"/>
    <mergeCell ref="U101:U103"/>
    <mergeCell ref="BI104:BI106"/>
    <mergeCell ref="BI107:BI109"/>
    <mergeCell ref="BB110:BB112"/>
    <mergeCell ref="BC110:BH112"/>
    <mergeCell ref="BI110:BI112"/>
    <mergeCell ref="BB134:BB136"/>
    <mergeCell ref="BC134:BH136"/>
    <mergeCell ref="BI134:BI136"/>
    <mergeCell ref="AD137:AD139"/>
    <mergeCell ref="AE137:AJ139"/>
    <mergeCell ref="AK137:AK139"/>
    <mergeCell ref="AT137:AT139"/>
    <mergeCell ref="AU137:AZ139"/>
    <mergeCell ref="BA137:BA139"/>
    <mergeCell ref="BB137:BB139"/>
    <mergeCell ref="BC137:BH139"/>
    <mergeCell ref="BI137:BI139"/>
    <mergeCell ref="AT128:AT130"/>
    <mergeCell ref="AU128:AZ130"/>
    <mergeCell ref="BA128:BA130"/>
    <mergeCell ref="BB128:BB130"/>
    <mergeCell ref="BC128:BH130"/>
    <mergeCell ref="BI128:BI130"/>
    <mergeCell ref="AD131:AD133"/>
    <mergeCell ref="AE131:AJ133"/>
    <mergeCell ref="AK131:AK133"/>
    <mergeCell ref="AL131:AL133"/>
    <mergeCell ref="AM131:AR133"/>
    <mergeCell ref="AS131:AS133"/>
    <mergeCell ref="AT131:AT133"/>
    <mergeCell ref="AU131:AZ133"/>
    <mergeCell ref="BA131:BA133"/>
    <mergeCell ref="BB131:BB133"/>
    <mergeCell ref="BC131:BH133"/>
    <mergeCell ref="BI131:BI133"/>
    <mergeCell ref="N95:N97"/>
    <mergeCell ref="O95:U97"/>
    <mergeCell ref="V95:V97"/>
    <mergeCell ref="W95:AC97"/>
    <mergeCell ref="AD95:AD97"/>
    <mergeCell ref="AE95:AK97"/>
    <mergeCell ref="AL95:AL97"/>
    <mergeCell ref="AM95:AS97"/>
    <mergeCell ref="AT95:AT97"/>
    <mergeCell ref="AU95:BA97"/>
    <mergeCell ref="BB95:BB97"/>
    <mergeCell ref="BC95:BI97"/>
    <mergeCell ref="AU107:AZ109"/>
    <mergeCell ref="BA107:BA109"/>
    <mergeCell ref="AU110:AZ112"/>
    <mergeCell ref="BA110:BA112"/>
    <mergeCell ref="AC110:AC112"/>
    <mergeCell ref="AD110:AD112"/>
    <mergeCell ref="AE110:AJ112"/>
    <mergeCell ref="AK110:AK112"/>
    <mergeCell ref="V113:V115"/>
    <mergeCell ref="A14:A16"/>
    <mergeCell ref="B14:H16"/>
    <mergeCell ref="I14:I16"/>
    <mergeCell ref="J14:J16"/>
    <mergeCell ref="L14:L16"/>
    <mergeCell ref="M14:S16"/>
    <mergeCell ref="T14:T16"/>
    <mergeCell ref="AJ3:AJ4"/>
    <mergeCell ref="P3:P4"/>
    <mergeCell ref="Q3:S4"/>
    <mergeCell ref="T3:T4"/>
    <mergeCell ref="U3:W4"/>
    <mergeCell ref="X3:X4"/>
    <mergeCell ref="Y3:AA4"/>
    <mergeCell ref="AB3:AB4"/>
    <mergeCell ref="AC3:AE4"/>
    <mergeCell ref="AF3:AF4"/>
    <mergeCell ref="AG3:AI4"/>
    <mergeCell ref="T9:T10"/>
    <mergeCell ref="U9:U10"/>
    <mergeCell ref="V9:V10"/>
    <mergeCell ref="W9:AC10"/>
    <mergeCell ref="AD9:AD10"/>
    <mergeCell ref="X5:X6"/>
    <mergeCell ref="Y5:AA6"/>
    <mergeCell ref="D5:D6"/>
    <mergeCell ref="E5:G6"/>
    <mergeCell ref="H5:H6"/>
    <mergeCell ref="I5:K6"/>
    <mergeCell ref="L5:L6"/>
    <mergeCell ref="M5:O6"/>
    <mergeCell ref="U14:U16"/>
    <mergeCell ref="BJ95:BO95"/>
    <mergeCell ref="AM98:AR100"/>
    <mergeCell ref="AS98:AS100"/>
    <mergeCell ref="AT98:AT100"/>
    <mergeCell ref="AU98:AZ100"/>
    <mergeCell ref="BA98:BA100"/>
    <mergeCell ref="BB98:BB100"/>
    <mergeCell ref="BC98:BH100"/>
    <mergeCell ref="BI98:BI100"/>
    <mergeCell ref="W98:AB100"/>
    <mergeCell ref="AC98:AC100"/>
    <mergeCell ref="AD98:AD100"/>
    <mergeCell ref="AE98:AJ100"/>
    <mergeCell ref="AK98:AK100"/>
    <mergeCell ref="AL98:AL100"/>
    <mergeCell ref="AZ5:AZ6"/>
    <mergeCell ref="W11:AC13"/>
    <mergeCell ref="AD11:AD13"/>
    <mergeCell ref="BJ9:BO9"/>
    <mergeCell ref="BE5:BG6"/>
    <mergeCell ref="BH5:BH6"/>
    <mergeCell ref="BI5:BK6"/>
    <mergeCell ref="BL5:BL6"/>
    <mergeCell ref="AD35:AD37"/>
    <mergeCell ref="BC53:BH55"/>
    <mergeCell ref="BI53:BI55"/>
    <mergeCell ref="AU47:AZ49"/>
    <mergeCell ref="BA47:BA49"/>
    <mergeCell ref="BC47:BH49"/>
    <mergeCell ref="BI47:BI49"/>
    <mergeCell ref="BI71:BI73"/>
    <mergeCell ref="W80:AB82"/>
    <mergeCell ref="BK1:BM2"/>
    <mergeCell ref="BN1:BP2"/>
    <mergeCell ref="A7:BP8"/>
    <mergeCell ref="A9:A10"/>
    <mergeCell ref="B9:H10"/>
    <mergeCell ref="I9:I10"/>
    <mergeCell ref="J9:J10"/>
    <mergeCell ref="L9:L10"/>
    <mergeCell ref="M9:S10"/>
    <mergeCell ref="AN5:AN6"/>
    <mergeCell ref="AO5:AQ6"/>
    <mergeCell ref="AR5:AR6"/>
    <mergeCell ref="AS5:AU6"/>
    <mergeCell ref="AV5:AV6"/>
    <mergeCell ref="AW5:AY6"/>
    <mergeCell ref="AB5:AB6"/>
    <mergeCell ref="AC5:AE6"/>
    <mergeCell ref="AF5:AF6"/>
    <mergeCell ref="AG5:AI6"/>
    <mergeCell ref="AJ5:AJ6"/>
    <mergeCell ref="AK5:AM6"/>
    <mergeCell ref="A3:D4"/>
    <mergeCell ref="E3:G4"/>
    <mergeCell ref="H3:H4"/>
    <mergeCell ref="I3:K4"/>
    <mergeCell ref="L3:L4"/>
    <mergeCell ref="M3:O4"/>
    <mergeCell ref="P5:P6"/>
    <mergeCell ref="Q5:S6"/>
    <mergeCell ref="T5:T6"/>
    <mergeCell ref="U5:W6"/>
    <mergeCell ref="A5:C6"/>
    <mergeCell ref="A11:A13"/>
    <mergeCell ref="B11:H13"/>
    <mergeCell ref="I11:I13"/>
    <mergeCell ref="J11:J13"/>
    <mergeCell ref="L11:L13"/>
    <mergeCell ref="M11:S13"/>
    <mergeCell ref="BJ10:BO39"/>
    <mergeCell ref="T11:T13"/>
    <mergeCell ref="U11:U13"/>
    <mergeCell ref="V11:V13"/>
    <mergeCell ref="V14:V16"/>
    <mergeCell ref="W14:AC16"/>
    <mergeCell ref="AD14:AD16"/>
    <mergeCell ref="A17:A19"/>
    <mergeCell ref="B17:H19"/>
    <mergeCell ref="I17:I19"/>
    <mergeCell ref="T20:T22"/>
    <mergeCell ref="U20:U22"/>
    <mergeCell ref="V20:V22"/>
    <mergeCell ref="W20:AC22"/>
    <mergeCell ref="AD20:AD22"/>
    <mergeCell ref="A23:A25"/>
    <mergeCell ref="B23:H25"/>
    <mergeCell ref="I23:I25"/>
    <mergeCell ref="J23:J25"/>
    <mergeCell ref="L23:L25"/>
    <mergeCell ref="U17:U19"/>
    <mergeCell ref="V17:V19"/>
    <mergeCell ref="W17:AC19"/>
    <mergeCell ref="AD17:AD19"/>
    <mergeCell ref="A20:A22"/>
    <mergeCell ref="B20:H22"/>
    <mergeCell ref="I20:I22"/>
    <mergeCell ref="J20:J22"/>
    <mergeCell ref="L20:L22"/>
    <mergeCell ref="M20:S22"/>
    <mergeCell ref="J17:J19"/>
    <mergeCell ref="L17:L19"/>
    <mergeCell ref="M17:S19"/>
    <mergeCell ref="T17:T19"/>
    <mergeCell ref="V26:V28"/>
    <mergeCell ref="W26:AC28"/>
    <mergeCell ref="AD26:AD28"/>
    <mergeCell ref="A29:A31"/>
    <mergeCell ref="B29:H31"/>
    <mergeCell ref="I29:I31"/>
    <mergeCell ref="J29:J31"/>
    <mergeCell ref="L29:L31"/>
    <mergeCell ref="M29:S31"/>
    <mergeCell ref="T29:T31"/>
    <mergeCell ref="AD23:AD25"/>
    <mergeCell ref="A26:A28"/>
    <mergeCell ref="B26:H28"/>
    <mergeCell ref="I26:I28"/>
    <mergeCell ref="J26:J28"/>
    <mergeCell ref="L26:L28"/>
    <mergeCell ref="M26:M28"/>
    <mergeCell ref="N26:S28"/>
    <mergeCell ref="T26:T28"/>
    <mergeCell ref="U26:U28"/>
    <mergeCell ref="M23:M25"/>
    <mergeCell ref="N23:S25"/>
    <mergeCell ref="T23:T25"/>
    <mergeCell ref="U23:U25"/>
    <mergeCell ref="A37:A38"/>
    <mergeCell ref="B37:H38"/>
    <mergeCell ref="I37:I38"/>
    <mergeCell ref="J37:J38"/>
    <mergeCell ref="V38:V40"/>
    <mergeCell ref="W38:AC40"/>
    <mergeCell ref="AD38:AD40"/>
    <mergeCell ref="U29:U31"/>
    <mergeCell ref="V29:V31"/>
    <mergeCell ref="W29:AC31"/>
    <mergeCell ref="AD29:AD31"/>
    <mergeCell ref="A32:F32"/>
    <mergeCell ref="L32:Q32"/>
    <mergeCell ref="V32:V34"/>
    <mergeCell ref="W32:AC34"/>
    <mergeCell ref="AD32:AD34"/>
    <mergeCell ref="A53:A55"/>
    <mergeCell ref="B53:G55"/>
    <mergeCell ref="H53:H55"/>
    <mergeCell ref="I53:I55"/>
    <mergeCell ref="J53:J55"/>
    <mergeCell ref="W50:AB52"/>
    <mergeCell ref="AC50:AC52"/>
    <mergeCell ref="L50:L52"/>
    <mergeCell ref="M50:M52"/>
    <mergeCell ref="A50:A52"/>
    <mergeCell ref="B50:G52"/>
    <mergeCell ref="H50:H52"/>
    <mergeCell ref="I50:I52"/>
    <mergeCell ref="J50:J52"/>
    <mergeCell ref="K50:K52"/>
    <mergeCell ref="O50:T52"/>
    <mergeCell ref="V23:V25"/>
    <mergeCell ref="W23:AC25"/>
    <mergeCell ref="A39:A41"/>
    <mergeCell ref="B39:H41"/>
    <mergeCell ref="I39:I41"/>
    <mergeCell ref="J39:J41"/>
    <mergeCell ref="V41:AA41"/>
    <mergeCell ref="A42:F42"/>
    <mergeCell ref="V35:V37"/>
    <mergeCell ref="W35:AC37"/>
    <mergeCell ref="BJ47:BO47"/>
    <mergeCell ref="AM50:AR52"/>
    <mergeCell ref="AS50:AS52"/>
    <mergeCell ref="AT50:AT52"/>
    <mergeCell ref="V47:V49"/>
    <mergeCell ref="AD47:AD49"/>
    <mergeCell ref="AC47:AC49"/>
    <mergeCell ref="A45:BM46"/>
    <mergeCell ref="A47:A49"/>
    <mergeCell ref="B47:G49"/>
    <mergeCell ref="H47:H49"/>
    <mergeCell ref="I47:I49"/>
    <mergeCell ref="J47:J49"/>
    <mergeCell ref="K47:K49"/>
    <mergeCell ref="L47:L49"/>
    <mergeCell ref="M47:M49"/>
    <mergeCell ref="N47:N49"/>
    <mergeCell ref="AU50:AZ52"/>
    <mergeCell ref="BA50:BA52"/>
    <mergeCell ref="BB50:BB52"/>
    <mergeCell ref="BC50:BH52"/>
    <mergeCell ref="BI50:BI52"/>
    <mergeCell ref="A56:A58"/>
    <mergeCell ref="B56:G58"/>
    <mergeCell ref="H56:H58"/>
    <mergeCell ref="I56:I58"/>
    <mergeCell ref="J56:J58"/>
    <mergeCell ref="K56:K58"/>
    <mergeCell ref="L56:L58"/>
    <mergeCell ref="AL53:AL55"/>
    <mergeCell ref="AM53:AR55"/>
    <mergeCell ref="AS53:AS55"/>
    <mergeCell ref="AT53:AT55"/>
    <mergeCell ref="AU53:AZ55"/>
    <mergeCell ref="BA53:BA55"/>
    <mergeCell ref="V53:V55"/>
    <mergeCell ref="W53:AB55"/>
    <mergeCell ref="AC53:AC55"/>
    <mergeCell ref="AD53:AD55"/>
    <mergeCell ref="AE53:AJ55"/>
    <mergeCell ref="K53:K55"/>
    <mergeCell ref="L53:L55"/>
    <mergeCell ref="M53:M55"/>
    <mergeCell ref="W56:AB58"/>
    <mergeCell ref="N53:N55"/>
    <mergeCell ref="O53:T55"/>
    <mergeCell ref="A59:A61"/>
    <mergeCell ref="B59:G61"/>
    <mergeCell ref="H59:H61"/>
    <mergeCell ref="I59:I61"/>
    <mergeCell ref="J59:J61"/>
    <mergeCell ref="K59:K61"/>
    <mergeCell ref="L59:L61"/>
    <mergeCell ref="M59:M61"/>
    <mergeCell ref="N59:N61"/>
    <mergeCell ref="AS56:AS58"/>
    <mergeCell ref="AT56:AT58"/>
    <mergeCell ref="AU56:AZ58"/>
    <mergeCell ref="BA56:BA58"/>
    <mergeCell ref="BB56:BB58"/>
    <mergeCell ref="AK53:AK55"/>
    <mergeCell ref="M56:M58"/>
    <mergeCell ref="B62:G64"/>
    <mergeCell ref="H62:H64"/>
    <mergeCell ref="I62:I64"/>
    <mergeCell ref="J62:J64"/>
    <mergeCell ref="AE59:AJ61"/>
    <mergeCell ref="AK59:AK61"/>
    <mergeCell ref="AL59:AL61"/>
    <mergeCell ref="AM59:AR61"/>
    <mergeCell ref="AS59:AS61"/>
    <mergeCell ref="AT59:AT61"/>
    <mergeCell ref="O59:T61"/>
    <mergeCell ref="U59:U61"/>
    <mergeCell ref="V59:V61"/>
    <mergeCell ref="W59:AB61"/>
    <mergeCell ref="AC59:AC61"/>
    <mergeCell ref="AD59:AD61"/>
    <mergeCell ref="M65:M67"/>
    <mergeCell ref="BB62:BB64"/>
    <mergeCell ref="BC62:BH64"/>
    <mergeCell ref="A65:A67"/>
    <mergeCell ref="B65:G67"/>
    <mergeCell ref="H65:H67"/>
    <mergeCell ref="I65:I67"/>
    <mergeCell ref="J65:J67"/>
    <mergeCell ref="K65:K67"/>
    <mergeCell ref="L65:L67"/>
    <mergeCell ref="AL62:AL64"/>
    <mergeCell ref="AM62:AR64"/>
    <mergeCell ref="AS62:AS64"/>
    <mergeCell ref="AT62:AT64"/>
    <mergeCell ref="AU62:AZ64"/>
    <mergeCell ref="BA62:BA64"/>
    <mergeCell ref="V62:V64"/>
    <mergeCell ref="W62:AB64"/>
    <mergeCell ref="AC62:AC64"/>
    <mergeCell ref="AD62:AD64"/>
    <mergeCell ref="AE62:AJ64"/>
    <mergeCell ref="K62:K64"/>
    <mergeCell ref="L62:L64"/>
    <mergeCell ref="M62:M64"/>
    <mergeCell ref="A62:A64"/>
    <mergeCell ref="N62:N64"/>
    <mergeCell ref="O62:T64"/>
    <mergeCell ref="U62:U64"/>
    <mergeCell ref="A71:A73"/>
    <mergeCell ref="B71:G73"/>
    <mergeCell ref="H71:H73"/>
    <mergeCell ref="I71:I73"/>
    <mergeCell ref="J71:J73"/>
    <mergeCell ref="K71:K73"/>
    <mergeCell ref="L71:L73"/>
    <mergeCell ref="M71:M73"/>
    <mergeCell ref="AM68:AR70"/>
    <mergeCell ref="AS68:AS70"/>
    <mergeCell ref="AT68:AT70"/>
    <mergeCell ref="AU68:AZ70"/>
    <mergeCell ref="BA68:BA70"/>
    <mergeCell ref="BB68:BB70"/>
    <mergeCell ref="L68:L70"/>
    <mergeCell ref="M68:M70"/>
    <mergeCell ref="A68:A70"/>
    <mergeCell ref="B68:G70"/>
    <mergeCell ref="H68:H70"/>
    <mergeCell ref="I68:I70"/>
    <mergeCell ref="J68:J70"/>
    <mergeCell ref="K68:K70"/>
    <mergeCell ref="W71:AB73"/>
    <mergeCell ref="AC71:AC73"/>
    <mergeCell ref="AS71:AS73"/>
    <mergeCell ref="L98:L100"/>
    <mergeCell ref="M98:M100"/>
    <mergeCell ref="N98:N100"/>
    <mergeCell ref="O98:T100"/>
    <mergeCell ref="U98:U100"/>
    <mergeCell ref="V98:V100"/>
    <mergeCell ref="A98:A100"/>
    <mergeCell ref="B98:G100"/>
    <mergeCell ref="H98:H100"/>
    <mergeCell ref="I98:I100"/>
    <mergeCell ref="J98:J100"/>
    <mergeCell ref="K98:K100"/>
    <mergeCell ref="BB107:BB109"/>
    <mergeCell ref="BC107:BH109"/>
    <mergeCell ref="BB101:BB103"/>
    <mergeCell ref="BC101:BH103"/>
    <mergeCell ref="BI101:BI103"/>
    <mergeCell ref="A104:A106"/>
    <mergeCell ref="B104:G106"/>
    <mergeCell ref="H104:H106"/>
    <mergeCell ref="I104:I106"/>
    <mergeCell ref="J104:J106"/>
    <mergeCell ref="K104:K106"/>
    <mergeCell ref="L104:L106"/>
    <mergeCell ref="AL101:AL103"/>
    <mergeCell ref="AM101:AR103"/>
    <mergeCell ref="AS101:AS103"/>
    <mergeCell ref="AT101:AT103"/>
    <mergeCell ref="AU101:AZ103"/>
    <mergeCell ref="BA101:BA103"/>
    <mergeCell ref="V101:V103"/>
    <mergeCell ref="W101:AB103"/>
    <mergeCell ref="V110:V112"/>
    <mergeCell ref="W110:AB112"/>
    <mergeCell ref="A101:A103"/>
    <mergeCell ref="AS104:AS106"/>
    <mergeCell ref="AT104:AT106"/>
    <mergeCell ref="AU104:AZ106"/>
    <mergeCell ref="BA104:BA106"/>
    <mergeCell ref="BB104:BB106"/>
    <mergeCell ref="BC104:BH106"/>
    <mergeCell ref="AC104:AC106"/>
    <mergeCell ref="AD104:AD106"/>
    <mergeCell ref="AE104:AJ106"/>
    <mergeCell ref="AK104:AK106"/>
    <mergeCell ref="AL104:AL106"/>
    <mergeCell ref="AM104:AR106"/>
    <mergeCell ref="M104:M106"/>
    <mergeCell ref="N104:N106"/>
    <mergeCell ref="O104:T106"/>
    <mergeCell ref="U104:U106"/>
    <mergeCell ref="V104:V106"/>
    <mergeCell ref="W104:AB106"/>
    <mergeCell ref="AC101:AC103"/>
    <mergeCell ref="AD101:AD103"/>
    <mergeCell ref="AE101:AJ103"/>
    <mergeCell ref="AK101:AK103"/>
    <mergeCell ref="B101:G103"/>
    <mergeCell ref="O113:T115"/>
    <mergeCell ref="U113:U115"/>
    <mergeCell ref="A110:A112"/>
    <mergeCell ref="B110:G112"/>
    <mergeCell ref="H110:H112"/>
    <mergeCell ref="I110:I112"/>
    <mergeCell ref="J110:J112"/>
    <mergeCell ref="AE107:AJ109"/>
    <mergeCell ref="AK107:AK109"/>
    <mergeCell ref="AL107:AL109"/>
    <mergeCell ref="AM107:AR109"/>
    <mergeCell ref="AS107:AS109"/>
    <mergeCell ref="AT107:AT109"/>
    <mergeCell ref="O107:T109"/>
    <mergeCell ref="U107:U109"/>
    <mergeCell ref="V107:V109"/>
    <mergeCell ref="W107:AB109"/>
    <mergeCell ref="AC107:AC109"/>
    <mergeCell ref="AD107:AD109"/>
    <mergeCell ref="A107:A109"/>
    <mergeCell ref="B107:G109"/>
    <mergeCell ref="H107:H109"/>
    <mergeCell ref="I107:I109"/>
    <mergeCell ref="J107:J109"/>
    <mergeCell ref="K107:K109"/>
    <mergeCell ref="L107:L109"/>
    <mergeCell ref="M107:M109"/>
    <mergeCell ref="N107:N109"/>
    <mergeCell ref="AL110:AL112"/>
    <mergeCell ref="AM110:AR112"/>
    <mergeCell ref="AS110:AS112"/>
    <mergeCell ref="AT110:AT112"/>
    <mergeCell ref="AD116:AD118"/>
    <mergeCell ref="BI119:BI121"/>
    <mergeCell ref="K110:K112"/>
    <mergeCell ref="L110:L112"/>
    <mergeCell ref="M110:M112"/>
    <mergeCell ref="N110:N112"/>
    <mergeCell ref="O110:T112"/>
    <mergeCell ref="U110:U112"/>
    <mergeCell ref="BI113:BI115"/>
    <mergeCell ref="A116:A118"/>
    <mergeCell ref="B116:G118"/>
    <mergeCell ref="H116:H118"/>
    <mergeCell ref="I116:I118"/>
    <mergeCell ref="J116:J118"/>
    <mergeCell ref="K116:K118"/>
    <mergeCell ref="L116:L118"/>
    <mergeCell ref="M116:M118"/>
    <mergeCell ref="N116:N118"/>
    <mergeCell ref="AS113:AS115"/>
    <mergeCell ref="AT113:AT115"/>
    <mergeCell ref="AU113:AZ115"/>
    <mergeCell ref="BA113:BA115"/>
    <mergeCell ref="BB113:BB115"/>
    <mergeCell ref="BC113:BH115"/>
    <mergeCell ref="AC113:AC115"/>
    <mergeCell ref="AD113:AD115"/>
    <mergeCell ref="AE113:AJ115"/>
    <mergeCell ref="AK113:AK115"/>
    <mergeCell ref="AL113:AL115"/>
    <mergeCell ref="AM113:AR115"/>
    <mergeCell ref="M113:M115"/>
    <mergeCell ref="N113:N115"/>
    <mergeCell ref="AC119:AC121"/>
    <mergeCell ref="AD119:AD121"/>
    <mergeCell ref="AE119:AJ121"/>
    <mergeCell ref="AK119:AK121"/>
    <mergeCell ref="AL119:AL121"/>
    <mergeCell ref="AM119:AR121"/>
    <mergeCell ref="W113:AB115"/>
    <mergeCell ref="A113:A115"/>
    <mergeCell ref="B113:G115"/>
    <mergeCell ref="H113:H115"/>
    <mergeCell ref="I113:I115"/>
    <mergeCell ref="AU116:AZ118"/>
    <mergeCell ref="BA116:BA118"/>
    <mergeCell ref="BB116:BB118"/>
    <mergeCell ref="BC116:BH118"/>
    <mergeCell ref="BI116:BI118"/>
    <mergeCell ref="N119:N121"/>
    <mergeCell ref="O119:T121"/>
    <mergeCell ref="U119:U121"/>
    <mergeCell ref="V119:V121"/>
    <mergeCell ref="W119:AB121"/>
    <mergeCell ref="AE116:AJ118"/>
    <mergeCell ref="AK116:AK118"/>
    <mergeCell ref="AL116:AL118"/>
    <mergeCell ref="AM116:AR118"/>
    <mergeCell ref="AS116:AS118"/>
    <mergeCell ref="AT116:AT118"/>
    <mergeCell ref="O116:T118"/>
    <mergeCell ref="U116:U118"/>
    <mergeCell ref="V116:V118"/>
    <mergeCell ref="W116:AB118"/>
    <mergeCell ref="AC116:AC118"/>
    <mergeCell ref="AD134:AD136"/>
    <mergeCell ref="AE134:AJ136"/>
    <mergeCell ref="AK134:AK136"/>
    <mergeCell ref="AL134:AL136"/>
    <mergeCell ref="AM134:AR136"/>
    <mergeCell ref="AS134:AS136"/>
    <mergeCell ref="AT134:AT136"/>
    <mergeCell ref="BB122:BB124"/>
    <mergeCell ref="BC122:BH124"/>
    <mergeCell ref="BI122:BI124"/>
    <mergeCell ref="N125:N127"/>
    <mergeCell ref="O125:T127"/>
    <mergeCell ref="U125:U127"/>
    <mergeCell ref="V125:V127"/>
    <mergeCell ref="W125:AB127"/>
    <mergeCell ref="AC125:AC127"/>
    <mergeCell ref="AD125:AD127"/>
    <mergeCell ref="AL122:AL124"/>
    <mergeCell ref="AM122:AR124"/>
    <mergeCell ref="AS122:AS124"/>
    <mergeCell ref="AT122:AT124"/>
    <mergeCell ref="AU122:AZ124"/>
    <mergeCell ref="BA122:BA124"/>
    <mergeCell ref="BB125:BB127"/>
    <mergeCell ref="BC125:BH127"/>
    <mergeCell ref="BI125:BI127"/>
    <mergeCell ref="N122:N124"/>
    <mergeCell ref="O122:T124"/>
    <mergeCell ref="U122:U124"/>
    <mergeCell ref="V122:V124"/>
    <mergeCell ref="W122:AB124"/>
    <mergeCell ref="AC122:AC124"/>
    <mergeCell ref="AU134:AZ136"/>
    <mergeCell ref="BA134:BA136"/>
    <mergeCell ref="AK128:AK130"/>
    <mergeCell ref="N131:N133"/>
    <mergeCell ref="O131:T133"/>
    <mergeCell ref="U131:U133"/>
    <mergeCell ref="BC145:BI147"/>
    <mergeCell ref="M151:M153"/>
    <mergeCell ref="N151:N153"/>
    <mergeCell ref="O151:T153"/>
    <mergeCell ref="U151:U153"/>
    <mergeCell ref="V151:V153"/>
    <mergeCell ref="W151:AB153"/>
    <mergeCell ref="AC151:AC153"/>
    <mergeCell ref="AD151:AD153"/>
    <mergeCell ref="AE151:AJ153"/>
    <mergeCell ref="AK151:AK153"/>
    <mergeCell ref="AL151:AL153"/>
    <mergeCell ref="AM151:AR153"/>
    <mergeCell ref="AS151:AS153"/>
    <mergeCell ref="AT151:AT153"/>
    <mergeCell ref="N128:N130"/>
    <mergeCell ref="O128:T130"/>
    <mergeCell ref="U128:U130"/>
    <mergeCell ref="V128:V130"/>
    <mergeCell ref="W128:AB130"/>
    <mergeCell ref="AC128:AC130"/>
    <mergeCell ref="AD128:AD130"/>
    <mergeCell ref="AE128:AJ130"/>
    <mergeCell ref="AL128:AL130"/>
    <mergeCell ref="AM128:AR130"/>
    <mergeCell ref="AS128:AS130"/>
    <mergeCell ref="AU151:AZ153"/>
    <mergeCell ref="BA151:BA153"/>
    <mergeCell ref="BB151:BB153"/>
    <mergeCell ref="BC151:BH153"/>
    <mergeCell ref="BI151:BI153"/>
    <mergeCell ref="H154:H156"/>
    <mergeCell ref="I154:I156"/>
    <mergeCell ref="J154:J156"/>
    <mergeCell ref="AU157:AZ159"/>
    <mergeCell ref="BA157:BA159"/>
    <mergeCell ref="BB157:BB159"/>
    <mergeCell ref="BC157:BH159"/>
    <mergeCell ref="BI157:BI159"/>
    <mergeCell ref="K154:K156"/>
    <mergeCell ref="L154:L156"/>
    <mergeCell ref="BA154:BA156"/>
    <mergeCell ref="BB154:BB156"/>
    <mergeCell ref="BC154:BH156"/>
    <mergeCell ref="BI154:BI156"/>
    <mergeCell ref="J151:J153"/>
    <mergeCell ref="AS154:AS156"/>
    <mergeCell ref="AT154:AT156"/>
    <mergeCell ref="AU154:AZ156"/>
    <mergeCell ref="N154:N156"/>
    <mergeCell ref="O154:T156"/>
    <mergeCell ref="U154:U156"/>
    <mergeCell ref="V154:V156"/>
    <mergeCell ref="W154:AB156"/>
    <mergeCell ref="AC154:AC156"/>
    <mergeCell ref="AD154:AD156"/>
    <mergeCell ref="AE154:AJ156"/>
    <mergeCell ref="AK154:AK156"/>
    <mergeCell ref="A195:A197"/>
    <mergeCell ref="B195:G197"/>
    <mergeCell ref="H195:H197"/>
    <mergeCell ref="A201:A203"/>
    <mergeCell ref="BC187:BH189"/>
    <mergeCell ref="BI187:BI189"/>
    <mergeCell ref="I195:I197"/>
    <mergeCell ref="J195:J197"/>
    <mergeCell ref="K195:K197"/>
    <mergeCell ref="O195:U197"/>
    <mergeCell ref="V195:V197"/>
    <mergeCell ref="W195:AC197"/>
    <mergeCell ref="BA163:BA165"/>
    <mergeCell ref="BB163:BB165"/>
    <mergeCell ref="BC163:BH165"/>
    <mergeCell ref="BI163:BI165"/>
    <mergeCell ref="AT181:AT183"/>
    <mergeCell ref="AU181:AZ183"/>
    <mergeCell ref="BA181:BA183"/>
    <mergeCell ref="BB181:BB183"/>
    <mergeCell ref="BC181:BH183"/>
    <mergeCell ref="BI181:BI183"/>
    <mergeCell ref="AT163:AT165"/>
    <mergeCell ref="AU163:AZ165"/>
    <mergeCell ref="M166:M168"/>
    <mergeCell ref="N166:N168"/>
    <mergeCell ref="O166:T168"/>
    <mergeCell ref="U166:U168"/>
    <mergeCell ref="V166:V168"/>
    <mergeCell ref="W166:AB168"/>
    <mergeCell ref="AC166:AC168"/>
    <mergeCell ref="AD166:AD168"/>
    <mergeCell ref="I185:I187"/>
    <mergeCell ref="J185:J187"/>
    <mergeCell ref="K185:K187"/>
    <mergeCell ref="L185:L187"/>
    <mergeCell ref="M185:M187"/>
    <mergeCell ref="AK207:AK209"/>
    <mergeCell ref="AL207:AL209"/>
    <mergeCell ref="AM207:AR209"/>
    <mergeCell ref="AS207:AS209"/>
    <mergeCell ref="BA184:BA186"/>
    <mergeCell ref="BB184:BB186"/>
    <mergeCell ref="BC184:BH186"/>
    <mergeCell ref="BI184:BI186"/>
    <mergeCell ref="AT187:AT189"/>
    <mergeCell ref="AU187:AZ189"/>
    <mergeCell ref="BA187:BA189"/>
    <mergeCell ref="BB187:BB189"/>
    <mergeCell ref="N201:N203"/>
    <mergeCell ref="O201:T203"/>
    <mergeCell ref="U201:U203"/>
    <mergeCell ref="N195:N197"/>
    <mergeCell ref="N198:N200"/>
    <mergeCell ref="O198:T200"/>
    <mergeCell ref="U198:U200"/>
    <mergeCell ref="O204:T206"/>
    <mergeCell ref="U204:U206"/>
    <mergeCell ref="N231:N233"/>
    <mergeCell ref="O231:T233"/>
    <mergeCell ref="U231:U233"/>
    <mergeCell ref="N234:N236"/>
    <mergeCell ref="O234:T236"/>
    <mergeCell ref="U234:U236"/>
    <mergeCell ref="N225:N227"/>
    <mergeCell ref="O225:T227"/>
    <mergeCell ref="U225:U227"/>
    <mergeCell ref="N228:N230"/>
    <mergeCell ref="O228:T230"/>
    <mergeCell ref="U228:U230"/>
    <mergeCell ref="N219:N221"/>
    <mergeCell ref="O219:T221"/>
    <mergeCell ref="U219:U221"/>
    <mergeCell ref="N222:N224"/>
    <mergeCell ref="O222:T224"/>
    <mergeCell ref="U222:U224"/>
    <mergeCell ref="O47:T49"/>
    <mergeCell ref="U47:U49"/>
    <mergeCell ref="W47:AB49"/>
    <mergeCell ref="AK68:AK70"/>
    <mergeCell ref="AL68:AL70"/>
    <mergeCell ref="AK62:AK64"/>
    <mergeCell ref="AE47:AJ49"/>
    <mergeCell ref="AK47:AK49"/>
    <mergeCell ref="AL47:AL49"/>
    <mergeCell ref="AM47:AR49"/>
    <mergeCell ref="BA65:BA67"/>
    <mergeCell ref="BB65:BB67"/>
    <mergeCell ref="BC65:BH67"/>
    <mergeCell ref="AE68:AJ70"/>
    <mergeCell ref="BB71:BB73"/>
    <mergeCell ref="BC71:BH73"/>
    <mergeCell ref="AL71:AL73"/>
    <mergeCell ref="AM71:AR73"/>
    <mergeCell ref="U53:U55"/>
    <mergeCell ref="O56:T58"/>
    <mergeCell ref="U56:U58"/>
    <mergeCell ref="AL50:AL52"/>
    <mergeCell ref="BB53:BB55"/>
    <mergeCell ref="A143:BM144"/>
    <mergeCell ref="A145:A147"/>
    <mergeCell ref="B145:G147"/>
    <mergeCell ref="N210:N212"/>
    <mergeCell ref="U210:U212"/>
    <mergeCell ref="N56:N58"/>
    <mergeCell ref="V56:V58"/>
    <mergeCell ref="AT184:AT186"/>
    <mergeCell ref="AU184:AZ186"/>
    <mergeCell ref="AD195:AD197"/>
    <mergeCell ref="AE195:AK197"/>
    <mergeCell ref="AL195:AL197"/>
    <mergeCell ref="AM195:AS197"/>
    <mergeCell ref="AL204:AL206"/>
    <mergeCell ref="AM204:AR206"/>
    <mergeCell ref="AS204:AS206"/>
    <mergeCell ref="I207:I209"/>
    <mergeCell ref="J207:J209"/>
    <mergeCell ref="K207:K209"/>
    <mergeCell ref="V207:V209"/>
    <mergeCell ref="AC65:AC67"/>
    <mergeCell ref="AL65:AL67"/>
    <mergeCell ref="AM65:AR67"/>
    <mergeCell ref="AS65:AS67"/>
    <mergeCell ref="V71:V73"/>
    <mergeCell ref="BI65:BI67"/>
    <mergeCell ref="AU59:AZ61"/>
    <mergeCell ref="BA59:BA61"/>
    <mergeCell ref="BB59:BB61"/>
    <mergeCell ref="BC59:BH61"/>
    <mergeCell ref="BI59:BI61"/>
    <mergeCell ref="BI62:BI64"/>
    <mergeCell ref="N50:N52"/>
    <mergeCell ref="BI56:BI58"/>
    <mergeCell ref="BC56:BH58"/>
    <mergeCell ref="AC56:AC58"/>
    <mergeCell ref="AD56:AD58"/>
    <mergeCell ref="AE56:AJ58"/>
    <mergeCell ref="AD71:AD73"/>
    <mergeCell ref="AE71:AJ73"/>
    <mergeCell ref="AK71:AK73"/>
    <mergeCell ref="V65:V67"/>
    <mergeCell ref="W65:AB67"/>
    <mergeCell ref="AD65:AD67"/>
    <mergeCell ref="AE65:AJ67"/>
    <mergeCell ref="AK65:AK67"/>
    <mergeCell ref="V68:V70"/>
    <mergeCell ref="W68:AB70"/>
    <mergeCell ref="AC68:AC70"/>
    <mergeCell ref="AD68:AD70"/>
    <mergeCell ref="U50:U52"/>
    <mergeCell ref="AC80:AC82"/>
    <mergeCell ref="BB74:BB76"/>
    <mergeCell ref="BC74:BH76"/>
    <mergeCell ref="V80:V82"/>
    <mergeCell ref="V50:V52"/>
    <mergeCell ref="AT47:AT49"/>
    <mergeCell ref="BB47:BB49"/>
    <mergeCell ref="BI74:BI76"/>
    <mergeCell ref="V77:V79"/>
    <mergeCell ref="W77:AB79"/>
    <mergeCell ref="AC77:AC79"/>
    <mergeCell ref="BB77:BB79"/>
    <mergeCell ref="BC77:BH79"/>
    <mergeCell ref="BI77:BI79"/>
    <mergeCell ref="V74:V76"/>
    <mergeCell ref="W74:AB76"/>
    <mergeCell ref="AC74:AC76"/>
    <mergeCell ref="AD74:AD76"/>
    <mergeCell ref="AE74:AJ76"/>
    <mergeCell ref="AK74:AK76"/>
    <mergeCell ref="BC68:BH70"/>
    <mergeCell ref="BI68:BI70"/>
    <mergeCell ref="AT65:AT67"/>
    <mergeCell ref="AU65:AZ67"/>
    <mergeCell ref="AS47:AS49"/>
    <mergeCell ref="AK56:AK58"/>
    <mergeCell ref="AL56:AL58"/>
    <mergeCell ref="AM56:AR58"/>
    <mergeCell ref="AD50:AD52"/>
    <mergeCell ref="AE50:AJ52"/>
    <mergeCell ref="AK50:AK52"/>
    <mergeCell ref="A74:A76"/>
    <mergeCell ref="B74:G76"/>
    <mergeCell ref="H74:H76"/>
    <mergeCell ref="I74:I76"/>
    <mergeCell ref="J74:J76"/>
    <mergeCell ref="K74:K76"/>
    <mergeCell ref="L74:L76"/>
    <mergeCell ref="M74:M76"/>
    <mergeCell ref="A82:A84"/>
    <mergeCell ref="B82:G84"/>
    <mergeCell ref="H82:H84"/>
    <mergeCell ref="I82:I84"/>
    <mergeCell ref="J82:J84"/>
    <mergeCell ref="K82:K84"/>
    <mergeCell ref="L82:L84"/>
    <mergeCell ref="M82:M84"/>
    <mergeCell ref="A85:A87"/>
    <mergeCell ref="B85:G87"/>
    <mergeCell ref="H85:H87"/>
    <mergeCell ref="I85:I87"/>
    <mergeCell ref="J85:J87"/>
    <mergeCell ref="K85:K87"/>
    <mergeCell ref="L85:L87"/>
    <mergeCell ref="M85:M87"/>
    <mergeCell ref="A88:A90"/>
    <mergeCell ref="B88:G90"/>
    <mergeCell ref="H88:H90"/>
    <mergeCell ref="I88:I90"/>
    <mergeCell ref="J88:J90"/>
    <mergeCell ref="K88:K90"/>
    <mergeCell ref="L88:L90"/>
    <mergeCell ref="M88:M90"/>
    <mergeCell ref="A91:E91"/>
    <mergeCell ref="A119:A121"/>
    <mergeCell ref="B119:G121"/>
    <mergeCell ref="H119:H121"/>
    <mergeCell ref="I119:I121"/>
    <mergeCell ref="J119:J121"/>
    <mergeCell ref="K119:K121"/>
    <mergeCell ref="L119:L121"/>
    <mergeCell ref="M119:M121"/>
    <mergeCell ref="J113:J115"/>
    <mergeCell ref="K113:K115"/>
    <mergeCell ref="L113:L115"/>
    <mergeCell ref="H101:H103"/>
    <mergeCell ref="I101:I103"/>
    <mergeCell ref="J101:J103"/>
    <mergeCell ref="A93:BM94"/>
    <mergeCell ref="A95:A97"/>
    <mergeCell ref="B95:G97"/>
    <mergeCell ref="H95:H97"/>
    <mergeCell ref="I95:I97"/>
    <mergeCell ref="J95:J97"/>
    <mergeCell ref="K95:K97"/>
    <mergeCell ref="L95:L97"/>
    <mergeCell ref="M95:M97"/>
    <mergeCell ref="BJ96:BO126"/>
    <mergeCell ref="AE125:AJ127"/>
    <mergeCell ref="AK125:AK127"/>
    <mergeCell ref="AL125:AL127"/>
    <mergeCell ref="AM125:AR127"/>
    <mergeCell ref="AS125:AS127"/>
    <mergeCell ref="AT125:AT127"/>
    <mergeCell ref="AD122:AD124"/>
    <mergeCell ref="A122:A124"/>
    <mergeCell ref="B122:G124"/>
    <mergeCell ref="H122:H124"/>
    <mergeCell ref="I122:I124"/>
    <mergeCell ref="J122:J124"/>
    <mergeCell ref="K122:K124"/>
    <mergeCell ref="L122:L124"/>
    <mergeCell ref="M122:M124"/>
    <mergeCell ref="A130:A131"/>
    <mergeCell ref="B130:G131"/>
    <mergeCell ref="H130:H131"/>
    <mergeCell ref="I130:I131"/>
    <mergeCell ref="J130:J131"/>
    <mergeCell ref="K130:K131"/>
    <mergeCell ref="L130:L131"/>
    <mergeCell ref="M130:M131"/>
    <mergeCell ref="AE122:AJ124"/>
    <mergeCell ref="AK122:AK124"/>
    <mergeCell ref="AS119:AS121"/>
    <mergeCell ref="AT119:AT121"/>
    <mergeCell ref="AU119:AZ121"/>
    <mergeCell ref="BA119:BA121"/>
    <mergeCell ref="BB119:BB121"/>
    <mergeCell ref="BC119:BH121"/>
    <mergeCell ref="A132:A134"/>
    <mergeCell ref="B132:G134"/>
    <mergeCell ref="H132:H134"/>
    <mergeCell ref="I132:I134"/>
    <mergeCell ref="J132:J134"/>
    <mergeCell ref="K132:K134"/>
    <mergeCell ref="L132:L134"/>
    <mergeCell ref="M132:M134"/>
    <mergeCell ref="A135:A137"/>
    <mergeCell ref="B135:G137"/>
    <mergeCell ref="H135:H137"/>
    <mergeCell ref="I135:I137"/>
    <mergeCell ref="J135:J137"/>
    <mergeCell ref="K135:K137"/>
    <mergeCell ref="L135:L137"/>
    <mergeCell ref="M135:M137"/>
    <mergeCell ref="A138:E138"/>
    <mergeCell ref="A169:A171"/>
    <mergeCell ref="B169:G171"/>
    <mergeCell ref="H169:H171"/>
    <mergeCell ref="I169:I171"/>
    <mergeCell ref="J169:J171"/>
    <mergeCell ref="K169:K171"/>
    <mergeCell ref="L169:L171"/>
    <mergeCell ref="M169:M171"/>
    <mergeCell ref="K151:K153"/>
    <mergeCell ref="L151:L153"/>
    <mergeCell ref="A157:A159"/>
    <mergeCell ref="B157:G159"/>
    <mergeCell ref="H157:H159"/>
    <mergeCell ref="A154:A156"/>
    <mergeCell ref="B154:G156"/>
    <mergeCell ref="M154:M156"/>
    <mergeCell ref="A166:A168"/>
    <mergeCell ref="B166:G168"/>
    <mergeCell ref="H166:H168"/>
    <mergeCell ref="I166:I168"/>
    <mergeCell ref="J166:J168"/>
    <mergeCell ref="K166:K168"/>
    <mergeCell ref="L166:L168"/>
    <mergeCell ref="H151:H153"/>
    <mergeCell ref="I151:I153"/>
    <mergeCell ref="L160:L162"/>
    <mergeCell ref="M160:M162"/>
    <mergeCell ref="L172:L174"/>
    <mergeCell ref="M172:M174"/>
    <mergeCell ref="A180:A181"/>
    <mergeCell ref="B180:G181"/>
    <mergeCell ref="H180:H181"/>
    <mergeCell ref="I180:I181"/>
    <mergeCell ref="J180:J181"/>
    <mergeCell ref="K180:K181"/>
    <mergeCell ref="L180:L181"/>
    <mergeCell ref="M180:M181"/>
    <mergeCell ref="A182:A184"/>
    <mergeCell ref="B182:G184"/>
    <mergeCell ref="H182:H184"/>
    <mergeCell ref="I182:I184"/>
    <mergeCell ref="J182:J184"/>
    <mergeCell ref="K182:K184"/>
    <mergeCell ref="L182:L184"/>
    <mergeCell ref="M182:M184"/>
    <mergeCell ref="A216:A218"/>
    <mergeCell ref="B216:G218"/>
    <mergeCell ref="H216:H218"/>
    <mergeCell ref="I216:I218"/>
    <mergeCell ref="J216:J218"/>
    <mergeCell ref="K216:K218"/>
    <mergeCell ref="A172:A174"/>
    <mergeCell ref="B172:G174"/>
    <mergeCell ref="H172:H174"/>
    <mergeCell ref="I172:I174"/>
    <mergeCell ref="J172:J174"/>
    <mergeCell ref="K172:K174"/>
    <mergeCell ref="A185:A187"/>
    <mergeCell ref="B185:G187"/>
    <mergeCell ref="H185:H187"/>
    <mergeCell ref="I204:I206"/>
    <mergeCell ref="J204:J206"/>
    <mergeCell ref="K204:K206"/>
    <mergeCell ref="I210:I212"/>
    <mergeCell ref="J210:J212"/>
    <mergeCell ref="K210:K212"/>
    <mergeCell ref="A213:A215"/>
    <mergeCell ref="B213:G215"/>
    <mergeCell ref="H213:H215"/>
    <mergeCell ref="I213:I215"/>
    <mergeCell ref="J213:J215"/>
    <mergeCell ref="A188:E188"/>
    <mergeCell ref="B201:G203"/>
    <mergeCell ref="H201:H203"/>
    <mergeCell ref="A198:A200"/>
    <mergeCell ref="B198:G200"/>
    <mergeCell ref="H198:H200"/>
    <mergeCell ref="BJ48:BO77"/>
    <mergeCell ref="A219:A221"/>
    <mergeCell ref="B219:G221"/>
    <mergeCell ref="H219:H221"/>
    <mergeCell ref="I219:I221"/>
    <mergeCell ref="A238:E238"/>
    <mergeCell ref="A230:A231"/>
    <mergeCell ref="B230:G231"/>
    <mergeCell ref="H230:H231"/>
    <mergeCell ref="I230:I231"/>
    <mergeCell ref="J230:J231"/>
    <mergeCell ref="K230:K231"/>
    <mergeCell ref="A232:A234"/>
    <mergeCell ref="B232:G234"/>
    <mergeCell ref="H232:H234"/>
    <mergeCell ref="I232:I234"/>
    <mergeCell ref="J232:J234"/>
    <mergeCell ref="K232:K234"/>
    <mergeCell ref="A235:A237"/>
    <mergeCell ref="B235:G237"/>
    <mergeCell ref="H235:H237"/>
    <mergeCell ref="I235:I237"/>
    <mergeCell ref="J235:J237"/>
    <mergeCell ref="K235:K237"/>
    <mergeCell ref="J219:J221"/>
    <mergeCell ref="K219:K221"/>
    <mergeCell ref="A222:A224"/>
    <mergeCell ref="B222:G224"/>
    <mergeCell ref="H222:H224"/>
    <mergeCell ref="I222:I224"/>
    <mergeCell ref="J222:J224"/>
    <mergeCell ref="K222:K224"/>
  </mergeCells>
  <conditionalFormatting sqref="T5:T6 X5:X6 AB5:AB6 AF5:AF6 AJ5:AJ6 AN5:AN6 AR5:AR6 AZ5:AZ6 AV5:AV6 P5:P6 D5:D6 H5:H6 L5:L6">
    <cfRule type="containsBlanks" dxfId="7207" priority="1783">
      <formula>LEN(TRIM(D5))=0</formula>
    </cfRule>
  </conditionalFormatting>
  <conditionalFormatting sqref="P3">
    <cfRule type="containsBlanks" dxfId="7206" priority="1775">
      <formula>LEN(TRIM(P3))=0</formula>
    </cfRule>
  </conditionalFormatting>
  <conditionalFormatting sqref="T3 X3 AB3 AF3 AJ3">
    <cfRule type="containsBlanks" dxfId="7205" priority="1774">
      <formula>LEN(TRIM(T3))=0</formula>
    </cfRule>
  </conditionalFormatting>
  <conditionalFormatting sqref="H3:H4">
    <cfRule type="containsBlanks" dxfId="7204" priority="1782">
      <formula>LEN(TRIM(H3))=0</formula>
    </cfRule>
  </conditionalFormatting>
  <conditionalFormatting sqref="L3:L4">
    <cfRule type="containsBlanks" dxfId="7203" priority="1781">
      <formula>LEN(TRIM(L3))=0</formula>
    </cfRule>
  </conditionalFormatting>
  <conditionalFormatting sqref="U65:U68">
    <cfRule type="containsBlanks" dxfId="7202" priority="1725">
      <formula>LEN(TRIM(U65))=0</formula>
    </cfRule>
  </conditionalFormatting>
  <conditionalFormatting sqref="AK77:AK79">
    <cfRule type="containsBlanks" dxfId="7201" priority="1723">
      <formula>LEN(TRIM(AK77))=0</formula>
    </cfRule>
  </conditionalFormatting>
  <conditionalFormatting sqref="AS74:AS76">
    <cfRule type="containsBlanks" dxfId="7200" priority="1722">
      <formula>LEN(TRIM(AS74))=0</formula>
    </cfRule>
  </conditionalFormatting>
  <conditionalFormatting sqref="BA71:BA73">
    <cfRule type="containsBlanks" dxfId="7199" priority="1721">
      <formula>LEN(TRIM(BA71))=0</formula>
    </cfRule>
  </conditionalFormatting>
  <conditionalFormatting sqref="BI80:BI82">
    <cfRule type="containsBlanks" dxfId="7198" priority="1720">
      <formula>LEN(TRIM(BI80))=0</formula>
    </cfRule>
  </conditionalFormatting>
  <conditionalFormatting sqref="AC83:AC85">
    <cfRule type="containsBlanks" dxfId="7197" priority="1708">
      <formula>LEN(TRIM(AC83))=0</formula>
    </cfRule>
  </conditionalFormatting>
  <conditionalFormatting sqref="I42:J42">
    <cfRule type="containsBlanks" dxfId="7196" priority="1703">
      <formula>LEN(TRIM(I42))=0</formula>
    </cfRule>
  </conditionalFormatting>
  <conditionalFormatting sqref="AD41:AD44">
    <cfRule type="containsBlanks" dxfId="7195" priority="1702">
      <formula>LEN(TRIM(AD41))=0</formula>
    </cfRule>
  </conditionalFormatting>
  <conditionalFormatting sqref="I32:J35">
    <cfRule type="containsBlanks" dxfId="7194" priority="1701">
      <formula>LEN(TRIM(I32))=0</formula>
    </cfRule>
  </conditionalFormatting>
  <conditionalFormatting sqref="T32:T34">
    <cfRule type="containsBlanks" dxfId="7193" priority="1700">
      <formula>LEN(TRIM(T32))=0</formula>
    </cfRule>
  </conditionalFormatting>
  <conditionalFormatting sqref="I11:J31">
    <cfRule type="containsBlanks" dxfId="7192" priority="1699">
      <formula>LEN(TRIM(I11))=0</formula>
    </cfRule>
  </conditionalFormatting>
  <conditionalFormatting sqref="T11:T31">
    <cfRule type="containsBlanks" dxfId="7191" priority="1698">
      <formula>LEN(TRIM(T11))=0</formula>
    </cfRule>
  </conditionalFormatting>
  <conditionalFormatting sqref="AD11:AD40">
    <cfRule type="containsBlanks" dxfId="7190" priority="1697">
      <formula>LEN(TRIM(AD11))=0</formula>
    </cfRule>
  </conditionalFormatting>
  <conditionalFormatting sqref="I39:J41">
    <cfRule type="containsBlanks" dxfId="7189" priority="1696">
      <formula>LEN(TRIM(I39))=0</formula>
    </cfRule>
  </conditionalFormatting>
  <conditionalFormatting sqref="U50:U64">
    <cfRule type="containsBlanks" dxfId="7188" priority="1694">
      <formula>LEN(TRIM(U50))=0</formula>
    </cfRule>
  </conditionalFormatting>
  <conditionalFormatting sqref="AC50:AC67">
    <cfRule type="containsBlanks" dxfId="7187" priority="1693">
      <formula>LEN(TRIM(AC50))=0</formula>
    </cfRule>
  </conditionalFormatting>
  <conditionalFormatting sqref="AK50:AK76">
    <cfRule type="containsBlanks" dxfId="7186" priority="1692">
      <formula>LEN(TRIM(AK50))=0</formula>
    </cfRule>
  </conditionalFormatting>
  <conditionalFormatting sqref="AS50:AS73">
    <cfRule type="containsBlanks" dxfId="7185" priority="1691">
      <formula>LEN(TRIM(AS50))=0</formula>
    </cfRule>
  </conditionalFormatting>
  <conditionalFormatting sqref="BA50:BA70">
    <cfRule type="containsBlanks" dxfId="7184" priority="1690">
      <formula>LEN(TRIM(BA50))=0</formula>
    </cfRule>
  </conditionalFormatting>
  <conditionalFormatting sqref="BI50:BI79">
    <cfRule type="containsBlanks" dxfId="7183" priority="1689">
      <formula>LEN(TRIM(BI50))=0</formula>
    </cfRule>
  </conditionalFormatting>
  <conditionalFormatting sqref="AD9:XFD40 A39:U40 I37:U38 N47:XFD47 BP93:XFD93 A32:U36 T20:U22 A7:XFD8 A5:AZ6 BM5:XFD6 A1:XFD4 U50:BI52 U53:V55 AC53:BI55 AC65:BI67 V83:AC85 A41:XFD46 I20:L22 A11:A31 I23:U31 I9:U19 N65:V67 N50:N55 N56:BI64 V86:XFD92 N68:U92 AD68:BI77 N48:BI49 BP48:XFD77 AD78:XFD85">
    <cfRule type="cellIs" dxfId="7182" priority="1647" operator="equal">
      <formula>4.4</formula>
    </cfRule>
    <cfRule type="cellIs" dxfId="7181" priority="1648" operator="equal">
      <formula>4.3</formula>
    </cfRule>
    <cfRule type="cellIs" dxfId="7180" priority="1649" operator="equal">
      <formula>4.2</formula>
    </cfRule>
    <cfRule type="cellIs" dxfId="7179" priority="1650" operator="equal">
      <formula>4.1</formula>
    </cfRule>
    <cfRule type="cellIs" dxfId="7178" priority="1651" operator="equal">
      <formula>3.4</formula>
    </cfRule>
    <cfRule type="cellIs" dxfId="7177" priority="1652" operator="equal">
      <formula>3.3</formula>
    </cfRule>
    <cfRule type="cellIs" dxfId="7176" priority="1653" operator="equal">
      <formula>3.2</formula>
    </cfRule>
    <cfRule type="cellIs" dxfId="7175" priority="1654" operator="equal">
      <formula>3.1</formula>
    </cfRule>
    <cfRule type="cellIs" dxfId="7174" priority="1655" operator="equal">
      <formula>2.4</formula>
    </cfRule>
    <cfRule type="cellIs" dxfId="7173" priority="1656" operator="equal">
      <formula>2.3</formula>
    </cfRule>
    <cfRule type="cellIs" dxfId="7172" priority="1657" operator="equal">
      <formula>2.2</formula>
    </cfRule>
    <cfRule type="cellIs" dxfId="7171" priority="1658" operator="equal">
      <formula>2.1</formula>
    </cfRule>
    <cfRule type="cellIs" dxfId="7170" priority="1659" operator="equal">
      <formula>1.5</formula>
    </cfRule>
    <cfRule type="cellIs" dxfId="7169" priority="1660" operator="equal">
      <formula>1.4</formula>
    </cfRule>
    <cfRule type="cellIs" dxfId="7168" priority="1661" operator="equal">
      <formula>1.3</formula>
    </cfRule>
    <cfRule type="cellIs" dxfId="7167" priority="1662" operator="equal">
      <formula>1.2</formula>
    </cfRule>
    <cfRule type="containsText" dxfId="7166" priority="1663" operator="containsText" text="1.1">
      <formula>NOT(ISERROR(SEARCH("1.1",A1)))</formula>
    </cfRule>
  </conditionalFormatting>
  <conditionalFormatting sqref="V9:AC10">
    <cfRule type="cellIs" dxfId="7165" priority="1630" operator="equal">
      <formula>4.4</formula>
    </cfRule>
    <cfRule type="cellIs" dxfId="7164" priority="1631" operator="equal">
      <formula>4.3</formula>
    </cfRule>
    <cfRule type="cellIs" dxfId="7163" priority="1632" operator="equal">
      <formula>4.2</formula>
    </cfRule>
    <cfRule type="cellIs" dxfId="7162" priority="1633" operator="equal">
      <formula>4.1</formula>
    </cfRule>
    <cfRule type="cellIs" dxfId="7161" priority="1634" operator="equal">
      <formula>3.4</formula>
    </cfRule>
    <cfRule type="cellIs" dxfId="7160" priority="1635" operator="equal">
      <formula>3.3</formula>
    </cfRule>
    <cfRule type="cellIs" dxfId="7159" priority="1636" operator="equal">
      <formula>3.2</formula>
    </cfRule>
    <cfRule type="cellIs" dxfId="7158" priority="1637" operator="equal">
      <formula>3.1</formula>
    </cfRule>
    <cfRule type="cellIs" dxfId="7157" priority="1638" operator="equal">
      <formula>2.4</formula>
    </cfRule>
    <cfRule type="cellIs" dxfId="7156" priority="1639" operator="equal">
      <formula>2.3</formula>
    </cfRule>
    <cfRule type="cellIs" dxfId="7155" priority="1640" operator="equal">
      <formula>2.2</formula>
    </cfRule>
    <cfRule type="cellIs" dxfId="7154" priority="1641" operator="equal">
      <formula>2.1</formula>
    </cfRule>
    <cfRule type="cellIs" dxfId="7153" priority="1642" operator="equal">
      <formula>1.5</formula>
    </cfRule>
    <cfRule type="cellIs" dxfId="7152" priority="1643" operator="equal">
      <formula>1.4</formula>
    </cfRule>
    <cfRule type="cellIs" dxfId="7151" priority="1644" operator="equal">
      <formula>1.3</formula>
    </cfRule>
    <cfRule type="cellIs" dxfId="7150" priority="1645" operator="equal">
      <formula>1.2</formula>
    </cfRule>
    <cfRule type="containsText" dxfId="7149" priority="1646" operator="containsText" text="1.1">
      <formula>NOT(ISERROR(SEARCH("1.1",V9)))</formula>
    </cfRule>
  </conditionalFormatting>
  <conditionalFormatting sqref="V11:V40">
    <cfRule type="cellIs" dxfId="7148" priority="1613" operator="equal">
      <formula>4.4</formula>
    </cfRule>
    <cfRule type="cellIs" dxfId="7147" priority="1614" operator="equal">
      <formula>4.3</formula>
    </cfRule>
    <cfRule type="cellIs" dxfId="7146" priority="1615" operator="equal">
      <formula>4.2</formula>
    </cfRule>
    <cfRule type="cellIs" dxfId="7145" priority="1616" operator="equal">
      <formula>4.1</formula>
    </cfRule>
    <cfRule type="cellIs" dxfId="7144" priority="1617" operator="equal">
      <formula>3.4</formula>
    </cfRule>
    <cfRule type="cellIs" dxfId="7143" priority="1618" operator="equal">
      <formula>3.3</formula>
    </cfRule>
    <cfRule type="cellIs" dxfId="7142" priority="1619" operator="equal">
      <formula>3.2</formula>
    </cfRule>
    <cfRule type="cellIs" dxfId="7141" priority="1620" operator="equal">
      <formula>3.1</formula>
    </cfRule>
    <cfRule type="cellIs" dxfId="7140" priority="1621" operator="equal">
      <formula>2.4</formula>
    </cfRule>
    <cfRule type="cellIs" dxfId="7139" priority="1622" operator="equal">
      <formula>2.3</formula>
    </cfRule>
    <cfRule type="cellIs" dxfId="7138" priority="1623" operator="equal">
      <formula>2.2</formula>
    </cfRule>
    <cfRule type="cellIs" dxfId="7137" priority="1624" operator="equal">
      <formula>2.1</formula>
    </cfRule>
    <cfRule type="cellIs" dxfId="7136" priority="1625" operator="equal">
      <formula>1.5</formula>
    </cfRule>
    <cfRule type="cellIs" dxfId="7135" priority="1626" operator="equal">
      <formula>1.4</formula>
    </cfRule>
    <cfRule type="cellIs" dxfId="7134" priority="1627" operator="equal">
      <formula>1.3</formula>
    </cfRule>
    <cfRule type="cellIs" dxfId="7133" priority="1628" operator="equal">
      <formula>1.2</formula>
    </cfRule>
    <cfRule type="containsText" dxfId="7132" priority="1629" operator="containsText" text="1.1">
      <formula>NOT(ISERROR(SEARCH("1.1",V11)))</formula>
    </cfRule>
  </conditionalFormatting>
  <conditionalFormatting sqref="A9:H10">
    <cfRule type="cellIs" dxfId="7131" priority="1596" operator="equal">
      <formula>4.4</formula>
    </cfRule>
    <cfRule type="cellIs" dxfId="7130" priority="1597" operator="equal">
      <formula>4.3</formula>
    </cfRule>
    <cfRule type="cellIs" dxfId="7129" priority="1598" operator="equal">
      <formula>4.2</formula>
    </cfRule>
    <cfRule type="cellIs" dxfId="7128" priority="1599" operator="equal">
      <formula>4.1</formula>
    </cfRule>
    <cfRule type="cellIs" dxfId="7127" priority="1600" operator="equal">
      <formula>3.4</formula>
    </cfRule>
    <cfRule type="cellIs" dxfId="7126" priority="1601" operator="equal">
      <formula>3.3</formula>
    </cfRule>
    <cfRule type="cellIs" dxfId="7125" priority="1602" operator="equal">
      <formula>3.2</formula>
    </cfRule>
    <cfRule type="cellIs" dxfId="7124" priority="1603" operator="equal">
      <formula>3.1</formula>
    </cfRule>
    <cfRule type="cellIs" dxfId="7123" priority="1604" operator="equal">
      <formula>2.4</formula>
    </cfRule>
    <cfRule type="cellIs" dxfId="7122" priority="1605" operator="equal">
      <formula>2.3</formula>
    </cfRule>
    <cfRule type="cellIs" dxfId="7121" priority="1606" operator="equal">
      <formula>2.2</formula>
    </cfRule>
    <cfRule type="cellIs" dxfId="7120" priority="1607" operator="equal">
      <formula>2.1</formula>
    </cfRule>
    <cfRule type="cellIs" dxfId="7119" priority="1608" operator="equal">
      <formula>1.5</formula>
    </cfRule>
    <cfRule type="cellIs" dxfId="7118" priority="1609" operator="equal">
      <formula>1.4</formula>
    </cfRule>
    <cfRule type="cellIs" dxfId="7117" priority="1610" operator="equal">
      <formula>1.3</formula>
    </cfRule>
    <cfRule type="cellIs" dxfId="7116" priority="1611" operator="equal">
      <formula>1.2</formula>
    </cfRule>
    <cfRule type="containsText" dxfId="7115" priority="1612" operator="containsText" text="1.1">
      <formula>NOT(ISERROR(SEARCH("1.1",A9)))</formula>
    </cfRule>
  </conditionalFormatting>
  <conditionalFormatting sqref="A37:H38">
    <cfRule type="cellIs" dxfId="7114" priority="1579" operator="equal">
      <formula>4.4</formula>
    </cfRule>
    <cfRule type="cellIs" dxfId="7113" priority="1580" operator="equal">
      <formula>4.3</formula>
    </cfRule>
    <cfRule type="cellIs" dxfId="7112" priority="1581" operator="equal">
      <formula>4.2</formula>
    </cfRule>
    <cfRule type="cellIs" dxfId="7111" priority="1582" operator="equal">
      <formula>4.1</formula>
    </cfRule>
    <cfRule type="cellIs" dxfId="7110" priority="1583" operator="equal">
      <formula>3.4</formula>
    </cfRule>
    <cfRule type="cellIs" dxfId="7109" priority="1584" operator="equal">
      <formula>3.3</formula>
    </cfRule>
    <cfRule type="cellIs" dxfId="7108" priority="1585" operator="equal">
      <formula>3.2</formula>
    </cfRule>
    <cfRule type="cellIs" dxfId="7107" priority="1586" operator="equal">
      <formula>3.1</formula>
    </cfRule>
    <cfRule type="cellIs" dxfId="7106" priority="1587" operator="equal">
      <formula>2.4</formula>
    </cfRule>
    <cfRule type="cellIs" dxfId="7105" priority="1588" operator="equal">
      <formula>2.3</formula>
    </cfRule>
    <cfRule type="cellIs" dxfId="7104" priority="1589" operator="equal">
      <formula>2.2</formula>
    </cfRule>
    <cfRule type="cellIs" dxfId="7103" priority="1590" operator="equal">
      <formula>2.1</formula>
    </cfRule>
    <cfRule type="cellIs" dxfId="7102" priority="1591" operator="equal">
      <formula>1.5</formula>
    </cfRule>
    <cfRule type="cellIs" dxfId="7101" priority="1592" operator="equal">
      <formula>1.4</formula>
    </cfRule>
    <cfRule type="cellIs" dxfId="7100" priority="1593" operator="equal">
      <formula>1.3</formula>
    </cfRule>
    <cfRule type="cellIs" dxfId="7099" priority="1594" operator="equal">
      <formula>1.2</formula>
    </cfRule>
    <cfRule type="containsText" dxfId="7098" priority="1595" operator="containsText" text="1.1">
      <formula>NOT(ISERROR(SEARCH("1.1",A37)))</formula>
    </cfRule>
  </conditionalFormatting>
  <conditionalFormatting sqref="M20:S22">
    <cfRule type="cellIs" dxfId="7097" priority="1477" operator="equal">
      <formula>4.4</formula>
    </cfRule>
    <cfRule type="cellIs" dxfId="7096" priority="1478" operator="equal">
      <formula>4.3</formula>
    </cfRule>
    <cfRule type="cellIs" dxfId="7095" priority="1479" operator="equal">
      <formula>4.2</formula>
    </cfRule>
    <cfRule type="cellIs" dxfId="7094" priority="1480" operator="equal">
      <formula>4.1</formula>
    </cfRule>
    <cfRule type="cellIs" dxfId="7093" priority="1481" operator="equal">
      <formula>3.4</formula>
    </cfRule>
    <cfRule type="cellIs" dxfId="7092" priority="1482" operator="equal">
      <formula>3.3</formula>
    </cfRule>
    <cfRule type="cellIs" dxfId="7091" priority="1483" operator="equal">
      <formula>3.2</formula>
    </cfRule>
    <cfRule type="cellIs" dxfId="7090" priority="1484" operator="equal">
      <formula>3.1</formula>
    </cfRule>
    <cfRule type="cellIs" dxfId="7089" priority="1485" operator="equal">
      <formula>2.4</formula>
    </cfRule>
    <cfRule type="cellIs" dxfId="7088" priority="1486" operator="equal">
      <formula>2.3</formula>
    </cfRule>
    <cfRule type="cellIs" dxfId="7087" priority="1487" operator="equal">
      <formula>2.2</formula>
    </cfRule>
    <cfRule type="cellIs" dxfId="7086" priority="1488" operator="equal">
      <formula>2.1</formula>
    </cfRule>
    <cfRule type="cellIs" dxfId="7085" priority="1489" operator="equal">
      <formula>1.5</formula>
    </cfRule>
    <cfRule type="cellIs" dxfId="7084" priority="1490" operator="equal">
      <formula>1.4</formula>
    </cfRule>
    <cfRule type="cellIs" dxfId="7083" priority="1491" operator="equal">
      <formula>1.3</formula>
    </cfRule>
    <cfRule type="cellIs" dxfId="7082" priority="1492" operator="equal">
      <formula>1.2</formula>
    </cfRule>
    <cfRule type="containsText" dxfId="7081" priority="1493" operator="containsText" text="1.1">
      <formula>NOT(ISERROR(SEARCH("1.1",M20)))</formula>
    </cfRule>
  </conditionalFormatting>
  <conditionalFormatting sqref="A93:BO94 A249:BO249 A143:BO144 BJ95:BO95 BJ145:BO145 AT195:BO195 A140:M142 A240:M248 A190:M192 A193 BN193:BO194 L195:M239 BJ127:BO142 BJ96 BJ177:BO192 BJ146 AT227:BO248 AT196:BJ196 AT197:BI226">
    <cfRule type="cellIs" dxfId="7080" priority="1456" operator="equal">
      <formula>4.4</formula>
    </cfRule>
    <cfRule type="cellIs" dxfId="7079" priority="1457" operator="equal">
      <formula>4.3</formula>
    </cfRule>
    <cfRule type="cellIs" dxfId="7078" priority="1458" operator="equal">
      <formula>4.2</formula>
    </cfRule>
    <cfRule type="cellIs" dxfId="7077" priority="1459" operator="equal">
      <formula>4.1</formula>
    </cfRule>
    <cfRule type="cellIs" dxfId="7076" priority="1460" operator="equal">
      <formula>3.4</formula>
    </cfRule>
    <cfRule type="cellIs" dxfId="7075" priority="1461" operator="equal">
      <formula>3.3</formula>
    </cfRule>
    <cfRule type="cellIs" dxfId="7074" priority="1462" operator="equal">
      <formula>3.2</formula>
    </cfRule>
    <cfRule type="cellIs" dxfId="7073" priority="1463" operator="equal">
      <formula>3.1</formula>
    </cfRule>
    <cfRule type="cellIs" dxfId="7072" priority="1464" operator="equal">
      <formula>2.4</formula>
    </cfRule>
    <cfRule type="cellIs" dxfId="7071" priority="1465" operator="equal">
      <formula>2.3</formula>
    </cfRule>
    <cfRule type="cellIs" dxfId="7070" priority="1466" operator="equal">
      <formula>2.2</formula>
    </cfRule>
    <cfRule type="cellIs" dxfId="7069" priority="1467" operator="equal">
      <formula>2.1</formula>
    </cfRule>
    <cfRule type="cellIs" dxfId="7068" priority="1468" operator="equal">
      <formula>1.5</formula>
    </cfRule>
    <cfRule type="cellIs" dxfId="7067" priority="1469" operator="equal">
      <formula>1.4</formula>
    </cfRule>
    <cfRule type="cellIs" dxfId="7066" priority="1470" operator="equal">
      <formula>1.3</formula>
    </cfRule>
    <cfRule type="cellIs" dxfId="7065" priority="1471" operator="equal">
      <formula>1.2</formula>
    </cfRule>
    <cfRule type="containsText" dxfId="7064" priority="1472" operator="containsText" text="1.1">
      <formula>NOT(ISERROR(SEARCH("1.1",A93)))</formula>
    </cfRule>
  </conditionalFormatting>
  <conditionalFormatting sqref="AS98:AS136 BA98:BA139 BI98:BI139 T134:U136 AB131:AC133 AJ140:AK142 AR137:AS139 AZ140:BA142 BH140:BI142">
    <cfRule type="containsBlanks" dxfId="7063" priority="1404">
      <formula>LEN(TRIM(T98))=0</formula>
    </cfRule>
  </conditionalFormatting>
  <conditionalFormatting sqref="AK98:AK139">
    <cfRule type="containsBlanks" dxfId="7062" priority="1403">
      <formula>LEN(TRIM(AK98))=0</formula>
    </cfRule>
  </conditionalFormatting>
  <conditionalFormatting sqref="AK148:AK177">
    <cfRule type="containsBlanks" dxfId="7061" priority="1327">
      <formula>LEN(TRIM(AK148))=0</formula>
    </cfRule>
  </conditionalFormatting>
  <conditionalFormatting sqref="N137:R137 V132:Z142 AA137:AC142 N95:AK97 N98:T133 V131:AJ131 V98:AB130 AD98:AK100 AD101:AJ130 AK101:AK139 N134:U136 AA132:AJ136 AD140:AK142 AL95:BI142">
    <cfRule type="cellIs" dxfId="7060" priority="1386" operator="equal">
      <formula>4.4</formula>
    </cfRule>
    <cfRule type="cellIs" dxfId="7059" priority="1387" operator="equal">
      <formula>4.3</formula>
    </cfRule>
    <cfRule type="cellIs" dxfId="7058" priority="1388" operator="equal">
      <formula>4.2</formula>
    </cfRule>
    <cfRule type="cellIs" dxfId="7057" priority="1389" operator="equal">
      <formula>4.1</formula>
    </cfRule>
    <cfRule type="cellIs" dxfId="7056" priority="1390" operator="equal">
      <formula>3.4</formula>
    </cfRule>
    <cfRule type="cellIs" dxfId="7055" priority="1391" operator="equal">
      <formula>3.3</formula>
    </cfRule>
    <cfRule type="cellIs" dxfId="7054" priority="1392" operator="equal">
      <formula>3.2</formula>
    </cfRule>
    <cfRule type="cellIs" dxfId="7053" priority="1393" operator="equal">
      <formula>3.1</formula>
    </cfRule>
    <cfRule type="cellIs" dxfId="7052" priority="1394" operator="equal">
      <formula>2.4</formula>
    </cfRule>
    <cfRule type="cellIs" dxfId="7051" priority="1395" operator="equal">
      <formula>2.3</formula>
    </cfRule>
    <cfRule type="cellIs" dxfId="7050" priority="1396" operator="equal">
      <formula>2.2</formula>
    </cfRule>
    <cfRule type="cellIs" dxfId="7049" priority="1397" operator="equal">
      <formula>2.1</formula>
    </cfRule>
    <cfRule type="cellIs" dxfId="7048" priority="1398" operator="equal">
      <formula>1.5</formula>
    </cfRule>
    <cfRule type="cellIs" dxfId="7047" priority="1399" operator="equal">
      <formula>1.4</formula>
    </cfRule>
    <cfRule type="cellIs" dxfId="7046" priority="1400" operator="equal">
      <formula>1.3</formula>
    </cfRule>
    <cfRule type="cellIs" dxfId="7045" priority="1401" operator="equal">
      <formula>1.2</formula>
    </cfRule>
    <cfRule type="containsText" dxfId="7044" priority="1402" operator="containsText" text="1.1">
      <formula>NOT(ISERROR(SEARCH("1.1",N95)))</formula>
    </cfRule>
  </conditionalFormatting>
  <conditionalFormatting sqref="AS148:AS174">
    <cfRule type="containsBlanks" dxfId="7043" priority="1326">
      <formula>LEN(TRIM(AS148))=0</formula>
    </cfRule>
  </conditionalFormatting>
  <conditionalFormatting sqref="AD137:AJ139">
    <cfRule type="cellIs" dxfId="7042" priority="1369" operator="equal">
      <formula>4.4</formula>
    </cfRule>
    <cfRule type="cellIs" dxfId="7041" priority="1370" operator="equal">
      <formula>4.3</formula>
    </cfRule>
    <cfRule type="cellIs" dxfId="7040" priority="1371" operator="equal">
      <formula>4.2</formula>
    </cfRule>
    <cfRule type="cellIs" dxfId="7039" priority="1372" operator="equal">
      <formula>4.1</formula>
    </cfRule>
    <cfRule type="cellIs" dxfId="7038" priority="1373" operator="equal">
      <formula>3.4</formula>
    </cfRule>
    <cfRule type="cellIs" dxfId="7037" priority="1374" operator="equal">
      <formula>3.3</formula>
    </cfRule>
    <cfRule type="cellIs" dxfId="7036" priority="1375" operator="equal">
      <formula>3.2</formula>
    </cfRule>
    <cfRule type="cellIs" dxfId="7035" priority="1376" operator="equal">
      <formula>3.1</formula>
    </cfRule>
    <cfRule type="cellIs" dxfId="7034" priority="1377" operator="equal">
      <formula>2.4</formula>
    </cfRule>
    <cfRule type="cellIs" dxfId="7033" priority="1378" operator="equal">
      <formula>2.3</formula>
    </cfRule>
    <cfRule type="cellIs" dxfId="7032" priority="1379" operator="equal">
      <formula>2.2</formula>
    </cfRule>
    <cfRule type="cellIs" dxfId="7031" priority="1380" operator="equal">
      <formula>2.1</formula>
    </cfRule>
    <cfRule type="cellIs" dxfId="7030" priority="1381" operator="equal">
      <formula>1.5</formula>
    </cfRule>
    <cfRule type="cellIs" dxfId="7029" priority="1382" operator="equal">
      <formula>1.4</formula>
    </cfRule>
    <cfRule type="cellIs" dxfId="7028" priority="1383" operator="equal">
      <formula>1.3</formula>
    </cfRule>
    <cfRule type="cellIs" dxfId="7027" priority="1384" operator="equal">
      <formula>1.2</formula>
    </cfRule>
    <cfRule type="containsText" dxfId="7026" priority="1385" operator="containsText" text="1.1">
      <formula>NOT(ISERROR(SEARCH("1.1",AD137)))</formula>
    </cfRule>
  </conditionalFormatting>
  <conditionalFormatting sqref="U98:U133">
    <cfRule type="containsBlanks" dxfId="7025" priority="1368">
      <formula>LEN(TRIM(U98))=0</formula>
    </cfRule>
  </conditionalFormatting>
  <conditionalFormatting sqref="U98:U133">
    <cfRule type="cellIs" dxfId="7024" priority="1351" operator="equal">
      <formula>4.4</formula>
    </cfRule>
    <cfRule type="cellIs" dxfId="7023" priority="1352" operator="equal">
      <formula>4.3</formula>
    </cfRule>
    <cfRule type="cellIs" dxfId="7022" priority="1353" operator="equal">
      <formula>4.2</formula>
    </cfRule>
    <cfRule type="cellIs" dxfId="7021" priority="1354" operator="equal">
      <formula>4.1</formula>
    </cfRule>
    <cfRule type="cellIs" dxfId="7020" priority="1355" operator="equal">
      <formula>3.4</formula>
    </cfRule>
    <cfRule type="cellIs" dxfId="7019" priority="1356" operator="equal">
      <formula>3.3</formula>
    </cfRule>
    <cfRule type="cellIs" dxfId="7018" priority="1357" operator="equal">
      <formula>3.2</formula>
    </cfRule>
    <cfRule type="cellIs" dxfId="7017" priority="1358" operator="equal">
      <formula>3.1</formula>
    </cfRule>
    <cfRule type="cellIs" dxfId="7016" priority="1359" operator="equal">
      <formula>2.4</formula>
    </cfRule>
    <cfRule type="cellIs" dxfId="7015" priority="1360" operator="equal">
      <formula>2.3</formula>
    </cfRule>
    <cfRule type="cellIs" dxfId="7014" priority="1361" operator="equal">
      <formula>2.2</formula>
    </cfRule>
    <cfRule type="cellIs" dxfId="7013" priority="1362" operator="equal">
      <formula>2.1</formula>
    </cfRule>
    <cfRule type="cellIs" dxfId="7012" priority="1363" operator="equal">
      <formula>1.5</formula>
    </cfRule>
    <cfRule type="cellIs" dxfId="7011" priority="1364" operator="equal">
      <formula>1.4</formula>
    </cfRule>
    <cfRule type="cellIs" dxfId="7010" priority="1365" operator="equal">
      <formula>1.3</formula>
    </cfRule>
    <cfRule type="cellIs" dxfId="7009" priority="1366" operator="equal">
      <formula>1.2</formula>
    </cfRule>
    <cfRule type="containsText" dxfId="7008" priority="1367" operator="containsText" text="1.1">
      <formula>NOT(ISERROR(SEARCH("1.1",U98)))</formula>
    </cfRule>
  </conditionalFormatting>
  <conditionalFormatting sqref="AC98:AC130">
    <cfRule type="containsBlanks" dxfId="7007" priority="1350">
      <formula>LEN(TRIM(AC98))=0</formula>
    </cfRule>
  </conditionalFormatting>
  <conditionalFormatting sqref="AC98:AC130">
    <cfRule type="cellIs" dxfId="7006" priority="1333" operator="equal">
      <formula>4.4</formula>
    </cfRule>
    <cfRule type="cellIs" dxfId="7005" priority="1334" operator="equal">
      <formula>4.3</formula>
    </cfRule>
    <cfRule type="cellIs" dxfId="7004" priority="1335" operator="equal">
      <formula>4.2</formula>
    </cfRule>
    <cfRule type="cellIs" dxfId="7003" priority="1336" operator="equal">
      <formula>4.1</formula>
    </cfRule>
    <cfRule type="cellIs" dxfId="7002" priority="1337" operator="equal">
      <formula>3.4</formula>
    </cfRule>
    <cfRule type="cellIs" dxfId="7001" priority="1338" operator="equal">
      <formula>3.3</formula>
    </cfRule>
    <cfRule type="cellIs" dxfId="7000" priority="1339" operator="equal">
      <formula>3.2</formula>
    </cfRule>
    <cfRule type="cellIs" dxfId="6999" priority="1340" operator="equal">
      <formula>3.1</formula>
    </cfRule>
    <cfRule type="cellIs" dxfId="6998" priority="1341" operator="equal">
      <formula>2.4</formula>
    </cfRule>
    <cfRule type="cellIs" dxfId="6997" priority="1342" operator="equal">
      <formula>2.3</formula>
    </cfRule>
    <cfRule type="cellIs" dxfId="6996" priority="1343" operator="equal">
      <formula>2.2</formula>
    </cfRule>
    <cfRule type="cellIs" dxfId="6995" priority="1344" operator="equal">
      <formula>2.1</formula>
    </cfRule>
    <cfRule type="cellIs" dxfId="6994" priority="1345" operator="equal">
      <formula>1.5</formula>
    </cfRule>
    <cfRule type="cellIs" dxfId="6993" priority="1346" operator="equal">
      <formula>1.4</formula>
    </cfRule>
    <cfRule type="cellIs" dxfId="6992" priority="1347" operator="equal">
      <formula>1.3</formula>
    </cfRule>
    <cfRule type="cellIs" dxfId="6991" priority="1348" operator="equal">
      <formula>1.2</formula>
    </cfRule>
    <cfRule type="containsText" dxfId="6990" priority="1349" operator="containsText" text="1.1">
      <formula>NOT(ISERROR(SEARCH("1.1",AC98)))</formula>
    </cfRule>
  </conditionalFormatting>
  <conditionalFormatting sqref="T181:U183 AB178:AC180 AJ178:AK180 AR175:AS177 AZ190:BA192 BH190:BI192">
    <cfRule type="containsBlanks" dxfId="6989" priority="1332">
      <formula>LEN(TRIM(T175))=0</formula>
    </cfRule>
  </conditionalFormatting>
  <conditionalFormatting sqref="BA148:BA189">
    <cfRule type="containsBlanks" dxfId="6988" priority="1331">
      <formula>LEN(TRIM(BA148))=0</formula>
    </cfRule>
  </conditionalFormatting>
  <conditionalFormatting sqref="BI148:BI189">
    <cfRule type="containsBlanks" dxfId="6987" priority="1330">
      <formula>LEN(TRIM(BI148))=0</formula>
    </cfRule>
  </conditionalFormatting>
  <conditionalFormatting sqref="U148:U180">
    <cfRule type="containsBlanks" dxfId="6986" priority="1329">
      <formula>LEN(TRIM(U148))=0</formula>
    </cfRule>
  </conditionalFormatting>
  <conditionalFormatting sqref="AC148:AC177">
    <cfRule type="containsBlanks" dxfId="6985" priority="1328">
      <formula>LEN(TRIM(AC148))=0</formula>
    </cfRule>
  </conditionalFormatting>
  <conditionalFormatting sqref="AT176:AZ186 N145:BI150 BB151:BH186 BA151:BA189 BI151:BI189 AL151:AZ175 N151:AK192 AL176:AS192 AT190:BI192">
    <cfRule type="cellIs" dxfId="6984" priority="1309" operator="equal">
      <formula>4.4</formula>
    </cfRule>
    <cfRule type="cellIs" dxfId="6983" priority="1310" operator="equal">
      <formula>4.3</formula>
    </cfRule>
    <cfRule type="cellIs" dxfId="6982" priority="1311" operator="equal">
      <formula>4.2</formula>
    </cfRule>
    <cfRule type="cellIs" dxfId="6981" priority="1312" operator="equal">
      <formula>4.1</formula>
    </cfRule>
    <cfRule type="cellIs" dxfId="6980" priority="1313" operator="equal">
      <formula>3.4</formula>
    </cfRule>
    <cfRule type="cellIs" dxfId="6979" priority="1314" operator="equal">
      <formula>3.3</formula>
    </cfRule>
    <cfRule type="cellIs" dxfId="6978" priority="1315" operator="equal">
      <formula>3.2</formula>
    </cfRule>
    <cfRule type="cellIs" dxfId="6977" priority="1316" operator="equal">
      <formula>3.1</formula>
    </cfRule>
    <cfRule type="cellIs" dxfId="6976" priority="1317" operator="equal">
      <formula>2.4</formula>
    </cfRule>
    <cfRule type="cellIs" dxfId="6975" priority="1318" operator="equal">
      <formula>2.3</formula>
    </cfRule>
    <cfRule type="cellIs" dxfId="6974" priority="1319" operator="equal">
      <formula>2.2</formula>
    </cfRule>
    <cfRule type="cellIs" dxfId="6973" priority="1320" operator="equal">
      <formula>2.1</formula>
    </cfRule>
    <cfRule type="cellIs" dxfId="6972" priority="1321" operator="equal">
      <formula>1.5</formula>
    </cfRule>
    <cfRule type="cellIs" dxfId="6971" priority="1322" operator="equal">
      <formula>1.4</formula>
    </cfRule>
    <cfRule type="cellIs" dxfId="6970" priority="1323" operator="equal">
      <formula>1.3</formula>
    </cfRule>
    <cfRule type="cellIs" dxfId="6969" priority="1324" operator="equal">
      <formula>1.2</formula>
    </cfRule>
    <cfRule type="containsText" dxfId="6968" priority="1325" operator="containsText" text="1.1">
      <formula>NOT(ISERROR(SEARCH("1.1",N145)))</formula>
    </cfRule>
  </conditionalFormatting>
  <conditionalFormatting sqref="AT187:AZ189">
    <cfRule type="cellIs" dxfId="6967" priority="1292" operator="equal">
      <formula>4.4</formula>
    </cfRule>
    <cfRule type="cellIs" dxfId="6966" priority="1293" operator="equal">
      <formula>4.3</formula>
    </cfRule>
    <cfRule type="cellIs" dxfId="6965" priority="1294" operator="equal">
      <formula>4.2</formula>
    </cfRule>
    <cfRule type="cellIs" dxfId="6964" priority="1295" operator="equal">
      <formula>4.1</formula>
    </cfRule>
    <cfRule type="cellIs" dxfId="6963" priority="1296" operator="equal">
      <formula>3.4</formula>
    </cfRule>
    <cfRule type="cellIs" dxfId="6962" priority="1297" operator="equal">
      <formula>3.3</formula>
    </cfRule>
    <cfRule type="cellIs" dxfId="6961" priority="1298" operator="equal">
      <formula>3.2</formula>
    </cfRule>
    <cfRule type="cellIs" dxfId="6960" priority="1299" operator="equal">
      <formula>3.1</formula>
    </cfRule>
    <cfRule type="cellIs" dxfId="6959" priority="1300" operator="equal">
      <formula>2.4</formula>
    </cfRule>
    <cfRule type="cellIs" dxfId="6958" priority="1301" operator="equal">
      <formula>2.3</formula>
    </cfRule>
    <cfRule type="cellIs" dxfId="6957" priority="1302" operator="equal">
      <formula>2.2</formula>
    </cfRule>
    <cfRule type="cellIs" dxfId="6956" priority="1303" operator="equal">
      <formula>2.1</formula>
    </cfRule>
    <cfRule type="cellIs" dxfId="6955" priority="1304" operator="equal">
      <formula>1.5</formula>
    </cfRule>
    <cfRule type="cellIs" dxfId="6954" priority="1305" operator="equal">
      <formula>1.4</formula>
    </cfRule>
    <cfRule type="cellIs" dxfId="6953" priority="1306" operator="equal">
      <formula>1.3</formula>
    </cfRule>
    <cfRule type="cellIs" dxfId="6952" priority="1307" operator="equal">
      <formula>1.2</formula>
    </cfRule>
    <cfRule type="containsText" dxfId="6951" priority="1308" operator="containsText" text="1.1">
      <formula>NOT(ISERROR(SEARCH("1.1",AT187)))</formula>
    </cfRule>
  </conditionalFormatting>
  <conditionalFormatting sqref="BB187:BH189">
    <cfRule type="cellIs" dxfId="6950" priority="1275" operator="equal">
      <formula>4.4</formula>
    </cfRule>
    <cfRule type="cellIs" dxfId="6949" priority="1276" operator="equal">
      <formula>4.3</formula>
    </cfRule>
    <cfRule type="cellIs" dxfId="6948" priority="1277" operator="equal">
      <formula>4.2</formula>
    </cfRule>
    <cfRule type="cellIs" dxfId="6947" priority="1278" operator="equal">
      <formula>4.1</formula>
    </cfRule>
    <cfRule type="cellIs" dxfId="6946" priority="1279" operator="equal">
      <formula>3.4</formula>
    </cfRule>
    <cfRule type="cellIs" dxfId="6945" priority="1280" operator="equal">
      <formula>3.3</formula>
    </cfRule>
    <cfRule type="cellIs" dxfId="6944" priority="1281" operator="equal">
      <formula>3.2</formula>
    </cfRule>
    <cfRule type="cellIs" dxfId="6943" priority="1282" operator="equal">
      <formula>3.1</formula>
    </cfRule>
    <cfRule type="cellIs" dxfId="6942" priority="1283" operator="equal">
      <formula>2.4</formula>
    </cfRule>
    <cfRule type="cellIs" dxfId="6941" priority="1284" operator="equal">
      <formula>2.3</formula>
    </cfRule>
    <cfRule type="cellIs" dxfId="6940" priority="1285" operator="equal">
      <formula>2.2</formula>
    </cfRule>
    <cfRule type="cellIs" dxfId="6939" priority="1286" operator="equal">
      <formula>2.1</formula>
    </cfRule>
    <cfRule type="cellIs" dxfId="6938" priority="1287" operator="equal">
      <formula>1.5</formula>
    </cfRule>
    <cfRule type="cellIs" dxfId="6937" priority="1288" operator="equal">
      <formula>1.4</formula>
    </cfRule>
    <cfRule type="cellIs" dxfId="6936" priority="1289" operator="equal">
      <formula>1.3</formula>
    </cfRule>
    <cfRule type="cellIs" dxfId="6935" priority="1290" operator="equal">
      <formula>1.2</formula>
    </cfRule>
    <cfRule type="containsText" dxfId="6934" priority="1291" operator="containsText" text="1.1">
      <formula>NOT(ISERROR(SEARCH("1.1",BB187)))</formula>
    </cfRule>
  </conditionalFormatting>
  <conditionalFormatting sqref="AS198:AS245 T237:U239 AR246:AS248 AB237:AC239 AJ234:AK236">
    <cfRule type="containsBlanks" dxfId="6933" priority="1274">
      <formula>LEN(TRIM(T198))=0</formula>
    </cfRule>
  </conditionalFormatting>
  <conditionalFormatting sqref="U198:U236">
    <cfRule type="containsBlanks" dxfId="6932" priority="1273">
      <formula>LEN(TRIM(U198))=0</formula>
    </cfRule>
  </conditionalFormatting>
  <conditionalFormatting sqref="AC198:AC236">
    <cfRule type="containsBlanks" dxfId="6931" priority="1272">
      <formula>LEN(TRIM(AC198))=0</formula>
    </cfRule>
  </conditionalFormatting>
  <conditionalFormatting sqref="AK198:AK233">
    <cfRule type="containsBlanks" dxfId="6930" priority="1271">
      <formula>LEN(TRIM(AK198))=0</formula>
    </cfRule>
  </conditionalFormatting>
  <conditionalFormatting sqref="AI248:AK248 AI238:AK246 AL240:AR245 AS201:AS245 AL246:AS248 N195:AS200 N237:AK237 N238:AH248 N201:AR236">
    <cfRule type="cellIs" dxfId="6929" priority="1254" operator="equal">
      <formula>4.4</formula>
    </cfRule>
    <cfRule type="cellIs" dxfId="6928" priority="1255" operator="equal">
      <formula>4.3</formula>
    </cfRule>
    <cfRule type="cellIs" dxfId="6927" priority="1256" operator="equal">
      <formula>4.2</formula>
    </cfRule>
    <cfRule type="cellIs" dxfId="6926" priority="1257" operator="equal">
      <formula>4.1</formula>
    </cfRule>
    <cfRule type="cellIs" dxfId="6925" priority="1258" operator="equal">
      <formula>3.4</formula>
    </cfRule>
    <cfRule type="cellIs" dxfId="6924" priority="1259" operator="equal">
      <formula>3.3</formula>
    </cfRule>
    <cfRule type="cellIs" dxfId="6923" priority="1260" operator="equal">
      <formula>3.2</formula>
    </cfRule>
    <cfRule type="cellIs" dxfId="6922" priority="1261" operator="equal">
      <formula>3.1</formula>
    </cfRule>
    <cfRule type="cellIs" dxfId="6921" priority="1262" operator="equal">
      <formula>2.4</formula>
    </cfRule>
    <cfRule type="cellIs" dxfId="6920" priority="1263" operator="equal">
      <formula>2.3</formula>
    </cfRule>
    <cfRule type="cellIs" dxfId="6919" priority="1264" operator="equal">
      <formula>2.2</formula>
    </cfRule>
    <cfRule type="cellIs" dxfId="6918" priority="1265" operator="equal">
      <formula>2.1</formula>
    </cfRule>
    <cfRule type="cellIs" dxfId="6917" priority="1266" operator="equal">
      <formula>1.5</formula>
    </cfRule>
    <cfRule type="cellIs" dxfId="6916" priority="1267" operator="equal">
      <formula>1.4</formula>
    </cfRule>
    <cfRule type="cellIs" dxfId="6915" priority="1268" operator="equal">
      <formula>1.3</formula>
    </cfRule>
    <cfRule type="cellIs" dxfId="6914" priority="1269" operator="equal">
      <formula>1.2</formula>
    </cfRule>
    <cfRule type="containsText" dxfId="6913" priority="1270" operator="containsText" text="1.1">
      <formula>NOT(ISERROR(SEARCH("1.1",N195)))</formula>
    </cfRule>
  </conditionalFormatting>
  <conditionalFormatting sqref="AL237:AR239">
    <cfRule type="cellIs" dxfId="6912" priority="1237" operator="equal">
      <formula>4.4</formula>
    </cfRule>
    <cfRule type="cellIs" dxfId="6911" priority="1238" operator="equal">
      <formula>4.3</formula>
    </cfRule>
    <cfRule type="cellIs" dxfId="6910" priority="1239" operator="equal">
      <formula>4.2</formula>
    </cfRule>
    <cfRule type="cellIs" dxfId="6909" priority="1240" operator="equal">
      <formula>4.1</formula>
    </cfRule>
    <cfRule type="cellIs" dxfId="6908" priority="1241" operator="equal">
      <formula>3.4</formula>
    </cfRule>
    <cfRule type="cellIs" dxfId="6907" priority="1242" operator="equal">
      <formula>3.3</formula>
    </cfRule>
    <cfRule type="cellIs" dxfId="6906" priority="1243" operator="equal">
      <formula>3.2</formula>
    </cfRule>
    <cfRule type="cellIs" dxfId="6905" priority="1244" operator="equal">
      <formula>3.1</formula>
    </cfRule>
    <cfRule type="cellIs" dxfId="6904" priority="1245" operator="equal">
      <formula>2.4</formula>
    </cfRule>
    <cfRule type="cellIs" dxfId="6903" priority="1246" operator="equal">
      <formula>2.3</formula>
    </cfRule>
    <cfRule type="cellIs" dxfId="6902" priority="1247" operator="equal">
      <formula>2.2</formula>
    </cfRule>
    <cfRule type="cellIs" dxfId="6901" priority="1248" operator="equal">
      <formula>2.1</formula>
    </cfRule>
    <cfRule type="cellIs" dxfId="6900" priority="1249" operator="equal">
      <formula>1.5</formula>
    </cfRule>
    <cfRule type="cellIs" dxfId="6899" priority="1250" operator="equal">
      <formula>1.4</formula>
    </cfRule>
    <cfRule type="cellIs" dxfId="6898" priority="1251" operator="equal">
      <formula>1.3</formula>
    </cfRule>
    <cfRule type="cellIs" dxfId="6897" priority="1252" operator="equal">
      <formula>1.2</formula>
    </cfRule>
    <cfRule type="containsText" dxfId="6896" priority="1253" operator="containsText" text="1.1">
      <formula>NOT(ISERROR(SEARCH("1.1",AL237)))</formula>
    </cfRule>
  </conditionalFormatting>
  <conditionalFormatting sqref="BI5:BL6">
    <cfRule type="cellIs" dxfId="6895" priority="1220" operator="equal">
      <formula>4.4</formula>
    </cfRule>
    <cfRule type="cellIs" dxfId="6894" priority="1221" operator="equal">
      <formula>4.3</formula>
    </cfRule>
    <cfRule type="cellIs" dxfId="6893" priority="1222" operator="equal">
      <formula>4.2</formula>
    </cfRule>
    <cfRule type="cellIs" dxfId="6892" priority="1223" operator="equal">
      <formula>4.1</formula>
    </cfRule>
    <cfRule type="cellIs" dxfId="6891" priority="1224" operator="equal">
      <formula>3.4</formula>
    </cfRule>
    <cfRule type="cellIs" dxfId="6890" priority="1225" operator="equal">
      <formula>3.3</formula>
    </cfRule>
    <cfRule type="cellIs" dxfId="6889" priority="1226" operator="equal">
      <formula>3.2</formula>
    </cfRule>
    <cfRule type="cellIs" dxfId="6888" priority="1227" operator="equal">
      <formula>3.1</formula>
    </cfRule>
    <cfRule type="cellIs" dxfId="6887" priority="1228" operator="equal">
      <formula>2.4</formula>
    </cfRule>
    <cfRule type="cellIs" dxfId="6886" priority="1229" operator="equal">
      <formula>2.3</formula>
    </cfRule>
    <cfRule type="cellIs" dxfId="6885" priority="1230" operator="equal">
      <formula>2.2</formula>
    </cfRule>
    <cfRule type="cellIs" dxfId="6884" priority="1231" operator="equal">
      <formula>2.1</formula>
    </cfRule>
    <cfRule type="cellIs" dxfId="6883" priority="1232" operator="equal">
      <formula>1.5</formula>
    </cfRule>
    <cfRule type="cellIs" dxfId="6882" priority="1233" operator="equal">
      <formula>1.4</formula>
    </cfRule>
    <cfRule type="cellIs" dxfId="6881" priority="1234" operator="equal">
      <formula>1.3</formula>
    </cfRule>
    <cfRule type="cellIs" dxfId="6880" priority="1235" operator="equal">
      <formula>1.2</formula>
    </cfRule>
    <cfRule type="containsText" dxfId="6879" priority="1236" operator="containsText" text="1.1">
      <formula>NOT(ISERROR(SEARCH("1.1",BI5)))</formula>
    </cfRule>
  </conditionalFormatting>
  <conditionalFormatting sqref="BD5:BD6">
    <cfRule type="containsBlanks" dxfId="6878" priority="1219">
      <formula>LEN(TRIM(BD5))=0</formula>
    </cfRule>
  </conditionalFormatting>
  <conditionalFormatting sqref="BA5:BD6">
    <cfRule type="cellIs" dxfId="6877" priority="1202" operator="equal">
      <formula>4.4</formula>
    </cfRule>
    <cfRule type="cellIs" dxfId="6876" priority="1203" operator="equal">
      <formula>4.3</formula>
    </cfRule>
    <cfRule type="cellIs" dxfId="6875" priority="1204" operator="equal">
      <formula>4.2</formula>
    </cfRule>
    <cfRule type="cellIs" dxfId="6874" priority="1205" operator="equal">
      <formula>4.1</formula>
    </cfRule>
    <cfRule type="cellIs" dxfId="6873" priority="1206" operator="equal">
      <formula>3.4</formula>
    </cfRule>
    <cfRule type="cellIs" dxfId="6872" priority="1207" operator="equal">
      <formula>3.3</formula>
    </cfRule>
    <cfRule type="cellIs" dxfId="6871" priority="1208" operator="equal">
      <formula>3.2</formula>
    </cfRule>
    <cfRule type="cellIs" dxfId="6870" priority="1209" operator="equal">
      <formula>3.1</formula>
    </cfRule>
    <cfRule type="cellIs" dxfId="6869" priority="1210" operator="equal">
      <formula>2.4</formula>
    </cfRule>
    <cfRule type="cellIs" dxfId="6868" priority="1211" operator="equal">
      <formula>2.3</formula>
    </cfRule>
    <cfRule type="cellIs" dxfId="6867" priority="1212" operator="equal">
      <formula>2.2</formula>
    </cfRule>
    <cfRule type="cellIs" dxfId="6866" priority="1213" operator="equal">
      <formula>2.1</formula>
    </cfRule>
    <cfRule type="cellIs" dxfId="6865" priority="1214" operator="equal">
      <formula>1.5</formula>
    </cfRule>
    <cfRule type="cellIs" dxfId="6864" priority="1215" operator="equal">
      <formula>1.4</formula>
    </cfRule>
    <cfRule type="cellIs" dxfId="6863" priority="1216" operator="equal">
      <formula>1.3</formula>
    </cfRule>
    <cfRule type="cellIs" dxfId="6862" priority="1217" operator="equal">
      <formula>1.2</formula>
    </cfRule>
    <cfRule type="containsText" dxfId="6861" priority="1218" operator="containsText" text="1.1">
      <formula>NOT(ISERROR(SEARCH("1.1",BA5)))</formula>
    </cfRule>
  </conditionalFormatting>
  <conditionalFormatting sqref="BH5:BH6">
    <cfRule type="containsBlanks" dxfId="6860" priority="1201">
      <formula>LEN(TRIM(BH5))=0</formula>
    </cfRule>
  </conditionalFormatting>
  <conditionalFormatting sqref="BE5:BH6">
    <cfRule type="cellIs" dxfId="6859" priority="1184" operator="equal">
      <formula>4.4</formula>
    </cfRule>
    <cfRule type="cellIs" dxfId="6858" priority="1185" operator="equal">
      <formula>4.3</formula>
    </cfRule>
    <cfRule type="cellIs" dxfId="6857" priority="1186" operator="equal">
      <formula>4.2</formula>
    </cfRule>
    <cfRule type="cellIs" dxfId="6856" priority="1187" operator="equal">
      <formula>4.1</formula>
    </cfRule>
    <cfRule type="cellIs" dxfId="6855" priority="1188" operator="equal">
      <formula>3.4</formula>
    </cfRule>
    <cfRule type="cellIs" dxfId="6854" priority="1189" operator="equal">
      <formula>3.3</formula>
    </cfRule>
    <cfRule type="cellIs" dxfId="6853" priority="1190" operator="equal">
      <formula>3.2</formula>
    </cfRule>
    <cfRule type="cellIs" dxfId="6852" priority="1191" operator="equal">
      <formula>3.1</formula>
    </cfRule>
    <cfRule type="cellIs" dxfId="6851" priority="1192" operator="equal">
      <formula>2.4</formula>
    </cfRule>
    <cfRule type="cellIs" dxfId="6850" priority="1193" operator="equal">
      <formula>2.3</formula>
    </cfRule>
    <cfRule type="cellIs" dxfId="6849" priority="1194" operator="equal">
      <formula>2.2</formula>
    </cfRule>
    <cfRule type="cellIs" dxfId="6848" priority="1195" operator="equal">
      <formula>2.1</formula>
    </cfRule>
    <cfRule type="cellIs" dxfId="6847" priority="1196" operator="equal">
      <formula>1.5</formula>
    </cfRule>
    <cfRule type="cellIs" dxfId="6846" priority="1197" operator="equal">
      <formula>1.4</formula>
    </cfRule>
    <cfRule type="cellIs" dxfId="6845" priority="1198" operator="equal">
      <formula>1.3</formula>
    </cfRule>
    <cfRule type="cellIs" dxfId="6844" priority="1199" operator="equal">
      <formula>1.2</formula>
    </cfRule>
    <cfRule type="containsText" dxfId="6843" priority="1200" operator="containsText" text="1.1">
      <formula>NOT(ISERROR(SEARCH("1.1",BE5)))</formula>
    </cfRule>
  </conditionalFormatting>
  <conditionalFormatting sqref="BL5:BL6">
    <cfRule type="containsBlanks" dxfId="6842" priority="1183">
      <formula>LEN(TRIM(BL5))=0</formula>
    </cfRule>
  </conditionalFormatting>
  <conditionalFormatting sqref="AC198:AC236">
    <cfRule type="containsBlanks" dxfId="6841" priority="1182">
      <formula>LEN(TRIM(AC198))=0</formula>
    </cfRule>
  </conditionalFormatting>
  <conditionalFormatting sqref="AK198:AK233">
    <cfRule type="containsBlanks" dxfId="6840" priority="1181">
      <formula>LEN(TRIM(AK198))=0</formula>
    </cfRule>
  </conditionalFormatting>
  <conditionalFormatting sqref="W65:AB67">
    <cfRule type="cellIs" dxfId="6839" priority="1096" operator="equal">
      <formula>4.4</formula>
    </cfRule>
    <cfRule type="cellIs" dxfId="6838" priority="1097" operator="equal">
      <formula>4.3</formula>
    </cfRule>
    <cfRule type="cellIs" dxfId="6837" priority="1098" operator="equal">
      <formula>4.2</formula>
    </cfRule>
    <cfRule type="cellIs" dxfId="6836" priority="1099" operator="equal">
      <formula>4.1</formula>
    </cfRule>
    <cfRule type="cellIs" dxfId="6835" priority="1100" operator="equal">
      <formula>3.4</formula>
    </cfRule>
    <cfRule type="cellIs" dxfId="6834" priority="1101" operator="equal">
      <formula>3.3</formula>
    </cfRule>
    <cfRule type="cellIs" dxfId="6833" priority="1102" operator="equal">
      <formula>3.2</formula>
    </cfRule>
    <cfRule type="cellIs" dxfId="6832" priority="1103" operator="equal">
      <formula>3.1</formula>
    </cfRule>
    <cfRule type="cellIs" dxfId="6831" priority="1104" operator="equal">
      <formula>2.4</formula>
    </cfRule>
    <cfRule type="cellIs" dxfId="6830" priority="1105" operator="equal">
      <formula>2.3</formula>
    </cfRule>
    <cfRule type="cellIs" dxfId="6829" priority="1106" operator="equal">
      <formula>2.2</formula>
    </cfRule>
    <cfRule type="cellIs" dxfId="6828" priority="1107" operator="equal">
      <formula>2.1</formula>
    </cfRule>
    <cfRule type="cellIs" dxfId="6827" priority="1108" operator="equal">
      <formula>1.5</formula>
    </cfRule>
    <cfRule type="cellIs" dxfId="6826" priority="1109" operator="equal">
      <formula>1.4</formula>
    </cfRule>
    <cfRule type="cellIs" dxfId="6825" priority="1110" operator="equal">
      <formula>1.3</formula>
    </cfRule>
    <cfRule type="cellIs" dxfId="6824" priority="1111" operator="equal">
      <formula>1.2</formula>
    </cfRule>
    <cfRule type="containsText" dxfId="6823" priority="1112" operator="containsText" text="1.1">
      <formula>NOT(ISERROR(SEARCH("1.1",W65)))</formula>
    </cfRule>
  </conditionalFormatting>
  <conditionalFormatting sqref="O50:T55">
    <cfRule type="cellIs" dxfId="6822" priority="1147" operator="equal">
      <formula>4.4</formula>
    </cfRule>
    <cfRule type="cellIs" dxfId="6821" priority="1148" operator="equal">
      <formula>4.3</formula>
    </cfRule>
    <cfRule type="cellIs" dxfId="6820" priority="1149" operator="equal">
      <formula>4.2</formula>
    </cfRule>
    <cfRule type="cellIs" dxfId="6819" priority="1150" operator="equal">
      <formula>4.1</formula>
    </cfRule>
    <cfRule type="cellIs" dxfId="6818" priority="1151" operator="equal">
      <formula>3.4</formula>
    </cfRule>
    <cfRule type="cellIs" dxfId="6817" priority="1152" operator="equal">
      <formula>3.3</formula>
    </cfRule>
    <cfRule type="cellIs" dxfId="6816" priority="1153" operator="equal">
      <formula>3.2</formula>
    </cfRule>
    <cfRule type="cellIs" dxfId="6815" priority="1154" operator="equal">
      <formula>3.1</formula>
    </cfRule>
    <cfRule type="cellIs" dxfId="6814" priority="1155" operator="equal">
      <formula>2.4</formula>
    </cfRule>
    <cfRule type="cellIs" dxfId="6813" priority="1156" operator="equal">
      <formula>2.3</formula>
    </cfRule>
    <cfRule type="cellIs" dxfId="6812" priority="1157" operator="equal">
      <formula>2.2</formula>
    </cfRule>
    <cfRule type="cellIs" dxfId="6811" priority="1158" operator="equal">
      <formula>2.1</formula>
    </cfRule>
    <cfRule type="cellIs" dxfId="6810" priority="1159" operator="equal">
      <formula>1.5</formula>
    </cfRule>
    <cfRule type="cellIs" dxfId="6809" priority="1160" operator="equal">
      <formula>1.4</formula>
    </cfRule>
    <cfRule type="cellIs" dxfId="6808" priority="1161" operator="equal">
      <formula>1.3</formula>
    </cfRule>
    <cfRule type="cellIs" dxfId="6807" priority="1162" operator="equal">
      <formula>1.2</formula>
    </cfRule>
    <cfRule type="containsText" dxfId="6806" priority="1163" operator="containsText" text="1.1">
      <formula>NOT(ISERROR(SEARCH("1.1",O50)))</formula>
    </cfRule>
  </conditionalFormatting>
  <conditionalFormatting sqref="AC68:AC82">
    <cfRule type="containsBlanks" dxfId="6805" priority="1095">
      <formula>LEN(TRIM(AC68))=0</formula>
    </cfRule>
  </conditionalFormatting>
  <conditionalFormatting sqref="V68:V82 AC68:AC82">
    <cfRule type="cellIs" dxfId="6804" priority="1078" operator="equal">
      <formula>4.4</formula>
    </cfRule>
    <cfRule type="cellIs" dxfId="6803" priority="1079" operator="equal">
      <formula>4.3</formula>
    </cfRule>
    <cfRule type="cellIs" dxfId="6802" priority="1080" operator="equal">
      <formula>4.2</formula>
    </cfRule>
    <cfRule type="cellIs" dxfId="6801" priority="1081" operator="equal">
      <formula>4.1</formula>
    </cfRule>
    <cfRule type="cellIs" dxfId="6800" priority="1082" operator="equal">
      <formula>3.4</formula>
    </cfRule>
    <cfRule type="cellIs" dxfId="6799" priority="1083" operator="equal">
      <formula>3.3</formula>
    </cfRule>
    <cfRule type="cellIs" dxfId="6798" priority="1084" operator="equal">
      <formula>3.2</formula>
    </cfRule>
    <cfRule type="cellIs" dxfId="6797" priority="1085" operator="equal">
      <formula>3.1</formula>
    </cfRule>
    <cfRule type="cellIs" dxfId="6796" priority="1086" operator="equal">
      <formula>2.4</formula>
    </cfRule>
    <cfRule type="cellIs" dxfId="6795" priority="1087" operator="equal">
      <formula>2.3</formula>
    </cfRule>
    <cfRule type="cellIs" dxfId="6794" priority="1088" operator="equal">
      <formula>2.2</formula>
    </cfRule>
    <cfRule type="cellIs" dxfId="6793" priority="1089" operator="equal">
      <formula>2.1</formula>
    </cfRule>
    <cfRule type="cellIs" dxfId="6792" priority="1090" operator="equal">
      <formula>1.5</formula>
    </cfRule>
    <cfRule type="cellIs" dxfId="6791" priority="1091" operator="equal">
      <formula>1.4</formula>
    </cfRule>
    <cfRule type="cellIs" dxfId="6790" priority="1092" operator="equal">
      <formula>1.3</formula>
    </cfRule>
    <cfRule type="cellIs" dxfId="6789" priority="1093" operator="equal">
      <formula>1.2</formula>
    </cfRule>
    <cfRule type="containsText" dxfId="6788" priority="1094" operator="containsText" text="1.1">
      <formula>NOT(ISERROR(SEARCH("1.1",V68)))</formula>
    </cfRule>
  </conditionalFormatting>
  <conditionalFormatting sqref="W68:AB82">
    <cfRule type="cellIs" dxfId="6787" priority="1061" operator="equal">
      <formula>4.4</formula>
    </cfRule>
    <cfRule type="cellIs" dxfId="6786" priority="1062" operator="equal">
      <formula>4.3</formula>
    </cfRule>
    <cfRule type="cellIs" dxfId="6785" priority="1063" operator="equal">
      <formula>4.2</formula>
    </cfRule>
    <cfRule type="cellIs" dxfId="6784" priority="1064" operator="equal">
      <formula>4.1</formula>
    </cfRule>
    <cfRule type="cellIs" dxfId="6783" priority="1065" operator="equal">
      <formula>3.4</formula>
    </cfRule>
    <cfRule type="cellIs" dxfId="6782" priority="1066" operator="equal">
      <formula>3.3</formula>
    </cfRule>
    <cfRule type="cellIs" dxfId="6781" priority="1067" operator="equal">
      <formula>3.2</formula>
    </cfRule>
    <cfRule type="cellIs" dxfId="6780" priority="1068" operator="equal">
      <formula>3.1</formula>
    </cfRule>
    <cfRule type="cellIs" dxfId="6779" priority="1069" operator="equal">
      <formula>2.4</formula>
    </cfRule>
    <cfRule type="cellIs" dxfId="6778" priority="1070" operator="equal">
      <formula>2.3</formula>
    </cfRule>
    <cfRule type="cellIs" dxfId="6777" priority="1071" operator="equal">
      <formula>2.2</formula>
    </cfRule>
    <cfRule type="cellIs" dxfId="6776" priority="1072" operator="equal">
      <formula>2.1</formula>
    </cfRule>
    <cfRule type="cellIs" dxfId="6775" priority="1073" operator="equal">
      <formula>1.5</formula>
    </cfRule>
    <cfRule type="cellIs" dxfId="6774" priority="1074" operator="equal">
      <formula>1.4</formula>
    </cfRule>
    <cfRule type="cellIs" dxfId="6773" priority="1075" operator="equal">
      <formula>1.3</formula>
    </cfRule>
    <cfRule type="cellIs" dxfId="6772" priority="1076" operator="equal">
      <formula>1.2</formula>
    </cfRule>
    <cfRule type="containsText" dxfId="6771" priority="1077" operator="containsText" text="1.1">
      <formula>NOT(ISERROR(SEARCH("1.1",W68)))</formula>
    </cfRule>
  </conditionalFormatting>
  <conditionalFormatting sqref="W53:AB55">
    <cfRule type="cellIs" dxfId="6770" priority="1044" operator="equal">
      <formula>4.4</formula>
    </cfRule>
    <cfRule type="cellIs" dxfId="6769" priority="1045" operator="equal">
      <formula>4.3</formula>
    </cfRule>
    <cfRule type="cellIs" dxfId="6768" priority="1046" operator="equal">
      <formula>4.2</formula>
    </cfRule>
    <cfRule type="cellIs" dxfId="6767" priority="1047" operator="equal">
      <formula>4.1</formula>
    </cfRule>
    <cfRule type="cellIs" dxfId="6766" priority="1048" operator="equal">
      <formula>3.4</formula>
    </cfRule>
    <cfRule type="cellIs" dxfId="6765" priority="1049" operator="equal">
      <formula>3.3</formula>
    </cfRule>
    <cfRule type="cellIs" dxfId="6764" priority="1050" operator="equal">
      <formula>3.2</formula>
    </cfRule>
    <cfRule type="cellIs" dxfId="6763" priority="1051" operator="equal">
      <formula>3.1</formula>
    </cfRule>
    <cfRule type="cellIs" dxfId="6762" priority="1052" operator="equal">
      <formula>2.4</formula>
    </cfRule>
    <cfRule type="cellIs" dxfId="6761" priority="1053" operator="equal">
      <formula>2.3</formula>
    </cfRule>
    <cfRule type="cellIs" dxfId="6760" priority="1054" operator="equal">
      <formula>2.2</formula>
    </cfRule>
    <cfRule type="cellIs" dxfId="6759" priority="1055" operator="equal">
      <formula>2.1</formula>
    </cfRule>
    <cfRule type="cellIs" dxfId="6758" priority="1056" operator="equal">
      <formula>1.5</formula>
    </cfRule>
    <cfRule type="cellIs" dxfId="6757" priority="1057" operator="equal">
      <formula>1.4</formula>
    </cfRule>
    <cfRule type="cellIs" dxfId="6756" priority="1058" operator="equal">
      <formula>1.3</formula>
    </cfRule>
    <cfRule type="cellIs" dxfId="6755" priority="1059" operator="equal">
      <formula>1.2</formula>
    </cfRule>
    <cfRule type="containsText" dxfId="6754" priority="1060" operator="containsText" text="1.1">
      <formula>NOT(ISERROR(SEARCH("1.1",W53)))</formula>
    </cfRule>
  </conditionalFormatting>
  <conditionalFormatting sqref="B11:H31">
    <cfRule type="cellIs" dxfId="6753" priority="1027" operator="equal">
      <formula>4.4</formula>
    </cfRule>
    <cfRule type="cellIs" dxfId="6752" priority="1028" operator="equal">
      <formula>4.3</formula>
    </cfRule>
    <cfRule type="cellIs" dxfId="6751" priority="1029" operator="equal">
      <formula>4.2</formula>
    </cfRule>
    <cfRule type="cellIs" dxfId="6750" priority="1030" operator="equal">
      <formula>4.1</formula>
    </cfRule>
    <cfRule type="cellIs" dxfId="6749" priority="1031" operator="equal">
      <formula>3.4</formula>
    </cfRule>
    <cfRule type="cellIs" dxfId="6748" priority="1032" operator="equal">
      <formula>3.3</formula>
    </cfRule>
    <cfRule type="cellIs" dxfId="6747" priority="1033" operator="equal">
      <formula>3.2</formula>
    </cfRule>
    <cfRule type="cellIs" dxfId="6746" priority="1034" operator="equal">
      <formula>3.1</formula>
    </cfRule>
    <cfRule type="cellIs" dxfId="6745" priority="1035" operator="equal">
      <formula>2.4</formula>
    </cfRule>
    <cfRule type="cellIs" dxfId="6744" priority="1036" operator="equal">
      <formula>2.3</formula>
    </cfRule>
    <cfRule type="cellIs" dxfId="6743" priority="1037" operator="equal">
      <formula>2.2</formula>
    </cfRule>
    <cfRule type="cellIs" dxfId="6742" priority="1038" operator="equal">
      <formula>2.1</formula>
    </cfRule>
    <cfRule type="cellIs" dxfId="6741" priority="1039" operator="equal">
      <formula>1.5</formula>
    </cfRule>
    <cfRule type="cellIs" dxfId="6740" priority="1040" operator="equal">
      <formula>1.4</formula>
    </cfRule>
    <cfRule type="cellIs" dxfId="6739" priority="1041" operator="equal">
      <formula>1.3</formula>
    </cfRule>
    <cfRule type="cellIs" dxfId="6738" priority="1042" operator="equal">
      <formula>1.2</formula>
    </cfRule>
    <cfRule type="containsText" dxfId="6737" priority="1043" operator="containsText" text="1.1">
      <formula>NOT(ISERROR(SEARCH("1.1",B11)))</formula>
    </cfRule>
  </conditionalFormatting>
  <conditionalFormatting sqref="M47:M49">
    <cfRule type="cellIs" dxfId="6736" priority="767" operator="equal">
      <formula>4.4</formula>
    </cfRule>
    <cfRule type="cellIs" dxfId="6735" priority="768" operator="equal">
      <formula>4.3</formula>
    </cfRule>
    <cfRule type="cellIs" dxfId="6734" priority="769" operator="equal">
      <formula>4.2</formula>
    </cfRule>
    <cfRule type="cellIs" dxfId="6733" priority="770" operator="equal">
      <formula>4.1</formula>
    </cfRule>
    <cfRule type="cellIs" dxfId="6732" priority="771" operator="equal">
      <formula>3.4</formula>
    </cfRule>
    <cfRule type="cellIs" dxfId="6731" priority="772" operator="equal">
      <formula>3.3</formula>
    </cfRule>
    <cfRule type="cellIs" dxfId="6730" priority="773" operator="equal">
      <formula>3.2</formula>
    </cfRule>
    <cfRule type="cellIs" dxfId="6729" priority="774" operator="equal">
      <formula>3.1</formula>
    </cfRule>
    <cfRule type="cellIs" dxfId="6728" priority="775" operator="equal">
      <formula>2.4</formula>
    </cfRule>
    <cfRule type="cellIs" dxfId="6727" priority="776" operator="equal">
      <formula>2.3</formula>
    </cfRule>
    <cfRule type="cellIs" dxfId="6726" priority="777" operator="equal">
      <formula>2.2</formula>
    </cfRule>
    <cfRule type="cellIs" dxfId="6725" priority="778" operator="equal">
      <formula>2.1</formula>
    </cfRule>
    <cfRule type="cellIs" dxfId="6724" priority="779" operator="equal">
      <formula>1.5</formula>
    </cfRule>
    <cfRule type="cellIs" dxfId="6723" priority="780" operator="equal">
      <formula>1.4</formula>
    </cfRule>
    <cfRule type="cellIs" dxfId="6722" priority="781" operator="equal">
      <formula>1.3</formula>
    </cfRule>
    <cfRule type="cellIs" dxfId="6721" priority="782" operator="equal">
      <formula>1.2</formula>
    </cfRule>
    <cfRule type="containsText" dxfId="6720" priority="783" operator="containsText" text="1.1">
      <formula>NOT(ISERROR(SEARCH("1.1",M47)))</formula>
    </cfRule>
  </conditionalFormatting>
  <conditionalFormatting sqref="M50:M80">
    <cfRule type="cellIs" dxfId="6719" priority="993" operator="equal">
      <formula>4.4</formula>
    </cfRule>
    <cfRule type="cellIs" dxfId="6718" priority="994" operator="equal">
      <formula>4.3</formula>
    </cfRule>
    <cfRule type="cellIs" dxfId="6717" priority="995" operator="equal">
      <formula>4.2</formula>
    </cfRule>
    <cfRule type="cellIs" dxfId="6716" priority="996" operator="equal">
      <formula>4.1</formula>
    </cfRule>
    <cfRule type="cellIs" dxfId="6715" priority="997" operator="equal">
      <formula>3.4</formula>
    </cfRule>
    <cfRule type="cellIs" dxfId="6714" priority="998" operator="equal">
      <formula>3.3</formula>
    </cfRule>
    <cfRule type="cellIs" dxfId="6713" priority="999" operator="equal">
      <formula>3.2</formula>
    </cfRule>
    <cfRule type="cellIs" dxfId="6712" priority="1000" operator="equal">
      <formula>3.1</formula>
    </cfRule>
    <cfRule type="cellIs" dxfId="6711" priority="1001" operator="equal">
      <formula>2.4</formula>
    </cfRule>
    <cfRule type="cellIs" dxfId="6710" priority="1002" operator="equal">
      <formula>2.3</formula>
    </cfRule>
    <cfRule type="cellIs" dxfId="6709" priority="1003" operator="equal">
      <formula>2.2</formula>
    </cfRule>
    <cfRule type="cellIs" dxfId="6708" priority="1004" operator="equal">
      <formula>2.1</formula>
    </cfRule>
    <cfRule type="cellIs" dxfId="6707" priority="1005" operator="equal">
      <formula>1.5</formula>
    </cfRule>
    <cfRule type="cellIs" dxfId="6706" priority="1006" operator="equal">
      <formula>1.4</formula>
    </cfRule>
    <cfRule type="cellIs" dxfId="6705" priority="1007" operator="equal">
      <formula>1.3</formula>
    </cfRule>
    <cfRule type="cellIs" dxfId="6704" priority="1008" operator="equal">
      <formula>1.2</formula>
    </cfRule>
    <cfRule type="containsText" dxfId="6703" priority="1009" operator="containsText" text="1.1">
      <formula>NOT(ISERROR(SEARCH("1.1",M50)))</formula>
    </cfRule>
  </conditionalFormatting>
  <conditionalFormatting sqref="H50:M52 H53:L70 H74:L76 M53:M76 H77:M80">
    <cfRule type="containsBlanks" dxfId="6702" priority="992">
      <formula>LEN(TRIM(H50))=0</formula>
    </cfRule>
  </conditionalFormatting>
  <conditionalFormatting sqref="A50:L70 H74:L76 A78:E79 A77:M77 F78:M80">
    <cfRule type="cellIs" dxfId="6701" priority="975" operator="equal">
      <formula>4.4</formula>
    </cfRule>
    <cfRule type="cellIs" dxfId="6700" priority="976" operator="equal">
      <formula>4.3</formula>
    </cfRule>
    <cfRule type="cellIs" dxfId="6699" priority="977" operator="equal">
      <formula>4.2</formula>
    </cfRule>
    <cfRule type="cellIs" dxfId="6698" priority="978" operator="equal">
      <formula>4.1</formula>
    </cfRule>
    <cfRule type="cellIs" dxfId="6697" priority="979" operator="equal">
      <formula>3.4</formula>
    </cfRule>
    <cfRule type="cellIs" dxfId="6696" priority="980" operator="equal">
      <formula>3.3</formula>
    </cfRule>
    <cfRule type="cellIs" dxfId="6695" priority="981" operator="equal">
      <formula>3.2</formula>
    </cfRule>
    <cfRule type="cellIs" dxfId="6694" priority="982" operator="equal">
      <formula>3.1</formula>
    </cfRule>
    <cfRule type="cellIs" dxfId="6693" priority="983" operator="equal">
      <formula>2.4</formula>
    </cfRule>
    <cfRule type="cellIs" dxfId="6692" priority="984" operator="equal">
      <formula>2.3</formula>
    </cfRule>
    <cfRule type="cellIs" dxfId="6691" priority="985" operator="equal">
      <formula>2.2</formula>
    </cfRule>
    <cfRule type="cellIs" dxfId="6690" priority="986" operator="equal">
      <formula>2.1</formula>
    </cfRule>
    <cfRule type="cellIs" dxfId="6689" priority="987" operator="equal">
      <formula>1.5</formula>
    </cfRule>
    <cfRule type="cellIs" dxfId="6688" priority="988" operator="equal">
      <formula>1.4</formula>
    </cfRule>
    <cfRule type="cellIs" dxfId="6687" priority="989" operator="equal">
      <formula>1.3</formula>
    </cfRule>
    <cfRule type="cellIs" dxfId="6686" priority="990" operator="equal">
      <formula>1.2</formula>
    </cfRule>
    <cfRule type="containsText" dxfId="6685" priority="991" operator="containsText" text="1.1">
      <formula>NOT(ISERROR(SEARCH("1.1",A50)))</formula>
    </cfRule>
  </conditionalFormatting>
  <conditionalFormatting sqref="A85:A87 A91 A82:M84 F91:M92">
    <cfRule type="cellIs" dxfId="6684" priority="958" operator="equal">
      <formula>4.4</formula>
    </cfRule>
    <cfRule type="cellIs" dxfId="6683" priority="959" operator="equal">
      <formula>4.3</formula>
    </cfRule>
    <cfRule type="cellIs" dxfId="6682" priority="960" operator="equal">
      <formula>4.2</formula>
    </cfRule>
    <cfRule type="cellIs" dxfId="6681" priority="961" operator="equal">
      <formula>4.1</formula>
    </cfRule>
    <cfRule type="cellIs" dxfId="6680" priority="962" operator="equal">
      <formula>3.4</formula>
    </cfRule>
    <cfRule type="cellIs" dxfId="6679" priority="963" operator="equal">
      <formula>3.3</formula>
    </cfRule>
    <cfRule type="cellIs" dxfId="6678" priority="964" operator="equal">
      <formula>3.2</formula>
    </cfRule>
    <cfRule type="cellIs" dxfId="6677" priority="965" operator="equal">
      <formula>3.1</formula>
    </cfRule>
    <cfRule type="cellIs" dxfId="6676" priority="966" operator="equal">
      <formula>2.4</formula>
    </cfRule>
    <cfRule type="cellIs" dxfId="6675" priority="967" operator="equal">
      <formula>2.3</formula>
    </cfRule>
    <cfRule type="cellIs" dxfId="6674" priority="968" operator="equal">
      <formula>2.2</formula>
    </cfRule>
    <cfRule type="cellIs" dxfId="6673" priority="969" operator="equal">
      <formula>2.1</formula>
    </cfRule>
    <cfRule type="cellIs" dxfId="6672" priority="970" operator="equal">
      <formula>1.5</formula>
    </cfRule>
    <cfRule type="cellIs" dxfId="6671" priority="971" operator="equal">
      <formula>1.4</formula>
    </cfRule>
    <cfRule type="cellIs" dxfId="6670" priority="972" operator="equal">
      <formula>1.3</formula>
    </cfRule>
    <cfRule type="cellIs" dxfId="6669" priority="973" operator="equal">
      <formula>1.2</formula>
    </cfRule>
    <cfRule type="containsText" dxfId="6668" priority="974" operator="containsText" text="1.1">
      <formula>NOT(ISERROR(SEARCH("1.1",A82)))</formula>
    </cfRule>
  </conditionalFormatting>
  <conditionalFormatting sqref="H91:M92">
    <cfRule type="containsBlanks" dxfId="6667" priority="957">
      <formula>LEN(TRIM(H91))=0</formula>
    </cfRule>
  </conditionalFormatting>
  <conditionalFormatting sqref="B85:G87">
    <cfRule type="cellIs" dxfId="6666" priority="940" operator="equal">
      <formula>4.4</formula>
    </cfRule>
    <cfRule type="cellIs" dxfId="6665" priority="941" operator="equal">
      <formula>4.3</formula>
    </cfRule>
    <cfRule type="cellIs" dxfId="6664" priority="942" operator="equal">
      <formula>4.2</formula>
    </cfRule>
    <cfRule type="cellIs" dxfId="6663" priority="943" operator="equal">
      <formula>4.1</formula>
    </cfRule>
    <cfRule type="cellIs" dxfId="6662" priority="944" operator="equal">
      <formula>3.4</formula>
    </cfRule>
    <cfRule type="cellIs" dxfId="6661" priority="945" operator="equal">
      <formula>3.3</formula>
    </cfRule>
    <cfRule type="cellIs" dxfId="6660" priority="946" operator="equal">
      <formula>3.2</formula>
    </cfRule>
    <cfRule type="cellIs" dxfId="6659" priority="947" operator="equal">
      <formula>3.1</formula>
    </cfRule>
    <cfRule type="cellIs" dxfId="6658" priority="948" operator="equal">
      <formula>2.4</formula>
    </cfRule>
    <cfRule type="cellIs" dxfId="6657" priority="949" operator="equal">
      <formula>2.3</formula>
    </cfRule>
    <cfRule type="cellIs" dxfId="6656" priority="950" operator="equal">
      <formula>2.2</formula>
    </cfRule>
    <cfRule type="cellIs" dxfId="6655" priority="951" operator="equal">
      <formula>2.1</formula>
    </cfRule>
    <cfRule type="cellIs" dxfId="6654" priority="952" operator="equal">
      <formula>1.5</formula>
    </cfRule>
    <cfRule type="cellIs" dxfId="6653" priority="953" operator="equal">
      <formula>1.4</formula>
    </cfRule>
    <cfRule type="cellIs" dxfId="6652" priority="954" operator="equal">
      <formula>1.3</formula>
    </cfRule>
    <cfRule type="cellIs" dxfId="6651" priority="955" operator="equal">
      <formula>1.2</formula>
    </cfRule>
    <cfRule type="containsText" dxfId="6650" priority="956" operator="containsText" text="1.1">
      <formula>NOT(ISERROR(SEARCH("1.1",B85)))</formula>
    </cfRule>
  </conditionalFormatting>
  <conditionalFormatting sqref="H71:L73">
    <cfRule type="containsBlanks" dxfId="6649" priority="939">
      <formula>LEN(TRIM(H71))=0</formula>
    </cfRule>
  </conditionalFormatting>
  <conditionalFormatting sqref="A71:L73">
    <cfRule type="cellIs" dxfId="6648" priority="922" operator="equal">
      <formula>4.4</formula>
    </cfRule>
    <cfRule type="cellIs" dxfId="6647" priority="923" operator="equal">
      <formula>4.3</formula>
    </cfRule>
    <cfRule type="cellIs" dxfId="6646" priority="924" operator="equal">
      <formula>4.2</formula>
    </cfRule>
    <cfRule type="cellIs" dxfId="6645" priority="925" operator="equal">
      <formula>4.1</formula>
    </cfRule>
    <cfRule type="cellIs" dxfId="6644" priority="926" operator="equal">
      <formula>3.4</formula>
    </cfRule>
    <cfRule type="cellIs" dxfId="6643" priority="927" operator="equal">
      <formula>3.3</formula>
    </cfRule>
    <cfRule type="cellIs" dxfId="6642" priority="928" operator="equal">
      <formula>3.2</formula>
    </cfRule>
    <cfRule type="cellIs" dxfId="6641" priority="929" operator="equal">
      <formula>3.1</formula>
    </cfRule>
    <cfRule type="cellIs" dxfId="6640" priority="930" operator="equal">
      <formula>2.4</formula>
    </cfRule>
    <cfRule type="cellIs" dxfId="6639" priority="931" operator="equal">
      <formula>2.3</formula>
    </cfRule>
    <cfRule type="cellIs" dxfId="6638" priority="932" operator="equal">
      <formula>2.2</formula>
    </cfRule>
    <cfRule type="cellIs" dxfId="6637" priority="933" operator="equal">
      <formula>2.1</formula>
    </cfRule>
    <cfRule type="cellIs" dxfId="6636" priority="934" operator="equal">
      <formula>1.5</formula>
    </cfRule>
    <cfRule type="cellIs" dxfId="6635" priority="935" operator="equal">
      <formula>1.4</formula>
    </cfRule>
    <cfRule type="cellIs" dxfId="6634" priority="936" operator="equal">
      <formula>1.3</formula>
    </cfRule>
    <cfRule type="cellIs" dxfId="6633" priority="937" operator="equal">
      <formula>1.2</formula>
    </cfRule>
    <cfRule type="containsText" dxfId="6632" priority="938" operator="containsText" text="1.1">
      <formula>NOT(ISERROR(SEARCH("1.1",A71)))</formula>
    </cfRule>
  </conditionalFormatting>
  <conditionalFormatting sqref="B74:G76">
    <cfRule type="cellIs" dxfId="6631" priority="888" operator="equal">
      <formula>4.4</formula>
    </cfRule>
    <cfRule type="cellIs" dxfId="6630" priority="889" operator="equal">
      <formula>4.3</formula>
    </cfRule>
    <cfRule type="cellIs" dxfId="6629" priority="890" operator="equal">
      <formula>4.2</formula>
    </cfRule>
    <cfRule type="cellIs" dxfId="6628" priority="891" operator="equal">
      <formula>4.1</formula>
    </cfRule>
    <cfRule type="cellIs" dxfId="6627" priority="892" operator="equal">
      <formula>3.4</formula>
    </cfRule>
    <cfRule type="cellIs" dxfId="6626" priority="893" operator="equal">
      <formula>3.3</formula>
    </cfRule>
    <cfRule type="cellIs" dxfId="6625" priority="894" operator="equal">
      <formula>3.2</formula>
    </cfRule>
    <cfRule type="cellIs" dxfId="6624" priority="895" operator="equal">
      <formula>3.1</formula>
    </cfRule>
    <cfRule type="cellIs" dxfId="6623" priority="896" operator="equal">
      <formula>2.4</formula>
    </cfRule>
    <cfRule type="cellIs" dxfId="6622" priority="897" operator="equal">
      <formula>2.3</formula>
    </cfRule>
    <cfRule type="cellIs" dxfId="6621" priority="898" operator="equal">
      <formula>2.2</formula>
    </cfRule>
    <cfRule type="cellIs" dxfId="6620" priority="899" operator="equal">
      <formula>2.1</formula>
    </cfRule>
    <cfRule type="cellIs" dxfId="6619" priority="900" operator="equal">
      <formula>1.5</formula>
    </cfRule>
    <cfRule type="cellIs" dxfId="6618" priority="901" operator="equal">
      <formula>1.4</formula>
    </cfRule>
    <cfRule type="cellIs" dxfId="6617" priority="902" operator="equal">
      <formula>1.3</formula>
    </cfRule>
    <cfRule type="cellIs" dxfId="6616" priority="903" operator="equal">
      <formula>1.2</formula>
    </cfRule>
    <cfRule type="containsText" dxfId="6615" priority="904" operator="containsText" text="1.1">
      <formula>NOT(ISERROR(SEARCH("1.1",B74)))</formula>
    </cfRule>
  </conditionalFormatting>
  <conditionalFormatting sqref="A74:A76">
    <cfRule type="cellIs" dxfId="6614" priority="905" operator="equal">
      <formula>4.4</formula>
    </cfRule>
    <cfRule type="cellIs" dxfId="6613" priority="906" operator="equal">
      <formula>4.3</formula>
    </cfRule>
    <cfRule type="cellIs" dxfId="6612" priority="907" operator="equal">
      <formula>4.2</formula>
    </cfRule>
    <cfRule type="cellIs" dxfId="6611" priority="908" operator="equal">
      <formula>4.1</formula>
    </cfRule>
    <cfRule type="cellIs" dxfId="6610" priority="909" operator="equal">
      <formula>3.4</formula>
    </cfRule>
    <cfRule type="cellIs" dxfId="6609" priority="910" operator="equal">
      <formula>3.3</formula>
    </cfRule>
    <cfRule type="cellIs" dxfId="6608" priority="911" operator="equal">
      <formula>3.2</formula>
    </cfRule>
    <cfRule type="cellIs" dxfId="6607" priority="912" operator="equal">
      <formula>3.1</formula>
    </cfRule>
    <cfRule type="cellIs" dxfId="6606" priority="913" operator="equal">
      <formula>2.4</formula>
    </cfRule>
    <cfRule type="cellIs" dxfId="6605" priority="914" operator="equal">
      <formula>2.3</formula>
    </cfRule>
    <cfRule type="cellIs" dxfId="6604" priority="915" operator="equal">
      <formula>2.2</formula>
    </cfRule>
    <cfRule type="cellIs" dxfId="6603" priority="916" operator="equal">
      <formula>2.1</formula>
    </cfRule>
    <cfRule type="cellIs" dxfId="6602" priority="917" operator="equal">
      <formula>1.5</formula>
    </cfRule>
    <cfRule type="cellIs" dxfId="6601" priority="918" operator="equal">
      <formula>1.4</formula>
    </cfRule>
    <cfRule type="cellIs" dxfId="6600" priority="919" operator="equal">
      <formula>1.3</formula>
    </cfRule>
    <cfRule type="cellIs" dxfId="6599" priority="920" operator="equal">
      <formula>1.2</formula>
    </cfRule>
    <cfRule type="containsText" dxfId="6598" priority="921" operator="containsText" text="1.1">
      <formula>NOT(ISERROR(SEARCH("1.1",A74)))</formula>
    </cfRule>
  </conditionalFormatting>
  <conditionalFormatting sqref="B88:G90">
    <cfRule type="cellIs" dxfId="6597" priority="854" operator="equal">
      <formula>4.4</formula>
    </cfRule>
    <cfRule type="cellIs" dxfId="6596" priority="855" operator="equal">
      <formula>4.3</formula>
    </cfRule>
    <cfRule type="cellIs" dxfId="6595" priority="856" operator="equal">
      <formula>4.2</formula>
    </cfRule>
    <cfRule type="cellIs" dxfId="6594" priority="857" operator="equal">
      <formula>4.1</formula>
    </cfRule>
    <cfRule type="cellIs" dxfId="6593" priority="858" operator="equal">
      <formula>3.4</formula>
    </cfRule>
    <cfRule type="cellIs" dxfId="6592" priority="859" operator="equal">
      <formula>3.3</formula>
    </cfRule>
    <cfRule type="cellIs" dxfId="6591" priority="860" operator="equal">
      <formula>3.2</formula>
    </cfRule>
    <cfRule type="cellIs" dxfId="6590" priority="861" operator="equal">
      <formula>3.1</formula>
    </cfRule>
    <cfRule type="cellIs" dxfId="6589" priority="862" operator="equal">
      <formula>2.4</formula>
    </cfRule>
    <cfRule type="cellIs" dxfId="6588" priority="863" operator="equal">
      <formula>2.3</formula>
    </cfRule>
    <cfRule type="cellIs" dxfId="6587" priority="864" operator="equal">
      <formula>2.2</formula>
    </cfRule>
    <cfRule type="cellIs" dxfId="6586" priority="865" operator="equal">
      <formula>2.1</formula>
    </cfRule>
    <cfRule type="cellIs" dxfId="6585" priority="866" operator="equal">
      <formula>1.5</formula>
    </cfRule>
    <cfRule type="cellIs" dxfId="6584" priority="867" operator="equal">
      <formula>1.4</formula>
    </cfRule>
    <cfRule type="cellIs" dxfId="6583" priority="868" operator="equal">
      <formula>1.3</formula>
    </cfRule>
    <cfRule type="cellIs" dxfId="6582" priority="869" operator="equal">
      <formula>1.2</formula>
    </cfRule>
    <cfRule type="containsText" dxfId="6581" priority="870" operator="containsText" text="1.1">
      <formula>NOT(ISERROR(SEARCH("1.1",B88)))</formula>
    </cfRule>
  </conditionalFormatting>
  <conditionalFormatting sqref="A88:A90">
    <cfRule type="cellIs" dxfId="6580" priority="871" operator="equal">
      <formula>4.4</formula>
    </cfRule>
    <cfRule type="cellIs" dxfId="6579" priority="872" operator="equal">
      <formula>4.3</formula>
    </cfRule>
    <cfRule type="cellIs" dxfId="6578" priority="873" operator="equal">
      <formula>4.2</formula>
    </cfRule>
    <cfRule type="cellIs" dxfId="6577" priority="874" operator="equal">
      <formula>4.1</formula>
    </cfRule>
    <cfRule type="cellIs" dxfId="6576" priority="875" operator="equal">
      <formula>3.4</formula>
    </cfRule>
    <cfRule type="cellIs" dxfId="6575" priority="876" operator="equal">
      <formula>3.3</formula>
    </cfRule>
    <cfRule type="cellIs" dxfId="6574" priority="877" operator="equal">
      <formula>3.2</formula>
    </cfRule>
    <cfRule type="cellIs" dxfId="6573" priority="878" operator="equal">
      <formula>3.1</formula>
    </cfRule>
    <cfRule type="cellIs" dxfId="6572" priority="879" operator="equal">
      <formula>2.4</formula>
    </cfRule>
    <cfRule type="cellIs" dxfId="6571" priority="880" operator="equal">
      <formula>2.3</formula>
    </cfRule>
    <cfRule type="cellIs" dxfId="6570" priority="881" operator="equal">
      <formula>2.2</formula>
    </cfRule>
    <cfRule type="cellIs" dxfId="6569" priority="882" operator="equal">
      <formula>2.1</formula>
    </cfRule>
    <cfRule type="cellIs" dxfId="6568" priority="883" operator="equal">
      <formula>1.5</formula>
    </cfRule>
    <cfRule type="cellIs" dxfId="6567" priority="884" operator="equal">
      <formula>1.4</formula>
    </cfRule>
    <cfRule type="cellIs" dxfId="6566" priority="885" operator="equal">
      <formula>1.3</formula>
    </cfRule>
    <cfRule type="cellIs" dxfId="6565" priority="886" operator="equal">
      <formula>1.2</formula>
    </cfRule>
    <cfRule type="containsText" dxfId="6564" priority="887" operator="containsText" text="1.1">
      <formula>NOT(ISERROR(SEARCH("1.1",A88)))</formula>
    </cfRule>
  </conditionalFormatting>
  <conditionalFormatting sqref="H85:M87">
    <cfRule type="containsBlanks" dxfId="6563" priority="853">
      <formula>LEN(TRIM(H85))=0</formula>
    </cfRule>
  </conditionalFormatting>
  <conditionalFormatting sqref="H85:M87">
    <cfRule type="cellIs" dxfId="6562" priority="836" operator="equal">
      <formula>4.4</formula>
    </cfRule>
    <cfRule type="cellIs" dxfId="6561" priority="837" operator="equal">
      <formula>4.3</formula>
    </cfRule>
    <cfRule type="cellIs" dxfId="6560" priority="838" operator="equal">
      <formula>4.2</formula>
    </cfRule>
    <cfRule type="cellIs" dxfId="6559" priority="839" operator="equal">
      <formula>4.1</formula>
    </cfRule>
    <cfRule type="cellIs" dxfId="6558" priority="840" operator="equal">
      <formula>3.4</formula>
    </cfRule>
    <cfRule type="cellIs" dxfId="6557" priority="841" operator="equal">
      <formula>3.3</formula>
    </cfRule>
    <cfRule type="cellIs" dxfId="6556" priority="842" operator="equal">
      <formula>3.2</formula>
    </cfRule>
    <cfRule type="cellIs" dxfId="6555" priority="843" operator="equal">
      <formula>3.1</formula>
    </cfRule>
    <cfRule type="cellIs" dxfId="6554" priority="844" operator="equal">
      <formula>2.4</formula>
    </cfRule>
    <cfRule type="cellIs" dxfId="6553" priority="845" operator="equal">
      <formula>2.3</formula>
    </cfRule>
    <cfRule type="cellIs" dxfId="6552" priority="846" operator="equal">
      <formula>2.2</formula>
    </cfRule>
    <cfRule type="cellIs" dxfId="6551" priority="847" operator="equal">
      <formula>2.1</formula>
    </cfRule>
    <cfRule type="cellIs" dxfId="6550" priority="848" operator="equal">
      <formula>1.5</formula>
    </cfRule>
    <cfRule type="cellIs" dxfId="6549" priority="849" operator="equal">
      <formula>1.4</formula>
    </cfRule>
    <cfRule type="cellIs" dxfId="6548" priority="850" operator="equal">
      <formula>1.3</formula>
    </cfRule>
    <cfRule type="cellIs" dxfId="6547" priority="851" operator="equal">
      <formula>1.2</formula>
    </cfRule>
    <cfRule type="containsText" dxfId="6546" priority="852" operator="containsText" text="1.1">
      <formula>NOT(ISERROR(SEARCH("1.1",H85)))</formula>
    </cfRule>
  </conditionalFormatting>
  <conditionalFormatting sqref="H88:M90">
    <cfRule type="containsBlanks" dxfId="6545" priority="835">
      <formula>LEN(TRIM(H88))=0</formula>
    </cfRule>
  </conditionalFormatting>
  <conditionalFormatting sqref="H88:M90">
    <cfRule type="cellIs" dxfId="6544" priority="818" operator="equal">
      <formula>4.4</formula>
    </cfRule>
    <cfRule type="cellIs" dxfId="6543" priority="819" operator="equal">
      <formula>4.3</formula>
    </cfRule>
    <cfRule type="cellIs" dxfId="6542" priority="820" operator="equal">
      <formula>4.2</formula>
    </cfRule>
    <cfRule type="cellIs" dxfId="6541" priority="821" operator="equal">
      <formula>4.1</formula>
    </cfRule>
    <cfRule type="cellIs" dxfId="6540" priority="822" operator="equal">
      <formula>3.4</formula>
    </cfRule>
    <cfRule type="cellIs" dxfId="6539" priority="823" operator="equal">
      <formula>3.3</formula>
    </cfRule>
    <cfRule type="cellIs" dxfId="6538" priority="824" operator="equal">
      <formula>3.2</formula>
    </cfRule>
    <cfRule type="cellIs" dxfId="6537" priority="825" operator="equal">
      <formula>3.1</formula>
    </cfRule>
    <cfRule type="cellIs" dxfId="6536" priority="826" operator="equal">
      <formula>2.4</formula>
    </cfRule>
    <cfRule type="cellIs" dxfId="6535" priority="827" operator="equal">
      <formula>2.3</formula>
    </cfRule>
    <cfRule type="cellIs" dxfId="6534" priority="828" operator="equal">
      <formula>2.2</formula>
    </cfRule>
    <cfRule type="cellIs" dxfId="6533" priority="829" operator="equal">
      <formula>2.1</formula>
    </cfRule>
    <cfRule type="cellIs" dxfId="6532" priority="830" operator="equal">
      <formula>1.5</formula>
    </cfRule>
    <cfRule type="cellIs" dxfId="6531" priority="831" operator="equal">
      <formula>1.4</formula>
    </cfRule>
    <cfRule type="cellIs" dxfId="6530" priority="832" operator="equal">
      <formula>1.3</formula>
    </cfRule>
    <cfRule type="cellIs" dxfId="6529" priority="833" operator="equal">
      <formula>1.2</formula>
    </cfRule>
    <cfRule type="containsText" dxfId="6528" priority="834" operator="containsText" text="1.1">
      <formula>NOT(ISERROR(SEARCH("1.1",H88)))</formula>
    </cfRule>
  </conditionalFormatting>
  <conditionalFormatting sqref="H47:L49">
    <cfRule type="cellIs" dxfId="6527" priority="801" operator="equal">
      <formula>4.4</formula>
    </cfRule>
    <cfRule type="cellIs" dxfId="6526" priority="802" operator="equal">
      <formula>4.3</formula>
    </cfRule>
    <cfRule type="cellIs" dxfId="6525" priority="803" operator="equal">
      <formula>4.2</formula>
    </cfRule>
    <cfRule type="cellIs" dxfId="6524" priority="804" operator="equal">
      <formula>4.1</formula>
    </cfRule>
    <cfRule type="cellIs" dxfId="6523" priority="805" operator="equal">
      <formula>3.4</formula>
    </cfRule>
    <cfRule type="cellIs" dxfId="6522" priority="806" operator="equal">
      <formula>3.3</formula>
    </cfRule>
    <cfRule type="cellIs" dxfId="6521" priority="807" operator="equal">
      <formula>3.2</formula>
    </cfRule>
    <cfRule type="cellIs" dxfId="6520" priority="808" operator="equal">
      <formula>3.1</formula>
    </cfRule>
    <cfRule type="cellIs" dxfId="6519" priority="809" operator="equal">
      <formula>2.4</formula>
    </cfRule>
    <cfRule type="cellIs" dxfId="6518" priority="810" operator="equal">
      <formula>2.3</formula>
    </cfRule>
    <cfRule type="cellIs" dxfId="6517" priority="811" operator="equal">
      <formula>2.2</formula>
    </cfRule>
    <cfRule type="cellIs" dxfId="6516" priority="812" operator="equal">
      <formula>2.1</formula>
    </cfRule>
    <cfRule type="cellIs" dxfId="6515" priority="813" operator="equal">
      <formula>1.5</formula>
    </cfRule>
    <cfRule type="cellIs" dxfId="6514" priority="814" operator="equal">
      <formula>1.4</formula>
    </cfRule>
    <cfRule type="cellIs" dxfId="6513" priority="815" operator="equal">
      <formula>1.3</formula>
    </cfRule>
    <cfRule type="cellIs" dxfId="6512" priority="816" operator="equal">
      <formula>1.2</formula>
    </cfRule>
    <cfRule type="containsText" dxfId="6511" priority="817" operator="containsText" text="1.1">
      <formula>NOT(ISERROR(SEARCH("1.1",H47)))</formula>
    </cfRule>
  </conditionalFormatting>
  <conditionalFormatting sqref="A47:G49">
    <cfRule type="cellIs" dxfId="6510" priority="784" operator="equal">
      <formula>4.4</formula>
    </cfRule>
    <cfRule type="cellIs" dxfId="6509" priority="785" operator="equal">
      <formula>4.3</formula>
    </cfRule>
    <cfRule type="cellIs" dxfId="6508" priority="786" operator="equal">
      <formula>4.2</formula>
    </cfRule>
    <cfRule type="cellIs" dxfId="6507" priority="787" operator="equal">
      <formula>4.1</formula>
    </cfRule>
    <cfRule type="cellIs" dxfId="6506" priority="788" operator="equal">
      <formula>3.4</formula>
    </cfRule>
    <cfRule type="cellIs" dxfId="6505" priority="789" operator="equal">
      <formula>3.3</formula>
    </cfRule>
    <cfRule type="cellIs" dxfId="6504" priority="790" operator="equal">
      <formula>3.2</formula>
    </cfRule>
    <cfRule type="cellIs" dxfId="6503" priority="791" operator="equal">
      <formula>3.1</formula>
    </cfRule>
    <cfRule type="cellIs" dxfId="6502" priority="792" operator="equal">
      <formula>2.4</formula>
    </cfRule>
    <cfRule type="cellIs" dxfId="6501" priority="793" operator="equal">
      <formula>2.3</formula>
    </cfRule>
    <cfRule type="cellIs" dxfId="6500" priority="794" operator="equal">
      <formula>2.2</formula>
    </cfRule>
    <cfRule type="cellIs" dxfId="6499" priority="795" operator="equal">
      <formula>2.1</formula>
    </cfRule>
    <cfRule type="cellIs" dxfId="6498" priority="796" operator="equal">
      <formula>1.5</formula>
    </cfRule>
    <cfRule type="cellIs" dxfId="6497" priority="797" operator="equal">
      <formula>1.4</formula>
    </cfRule>
    <cfRule type="cellIs" dxfId="6496" priority="798" operator="equal">
      <formula>1.3</formula>
    </cfRule>
    <cfRule type="cellIs" dxfId="6495" priority="799" operator="equal">
      <formula>1.2</formula>
    </cfRule>
    <cfRule type="containsText" dxfId="6494" priority="800" operator="containsText" text="1.1">
      <formula>NOT(ISERROR(SEARCH("1.1",A47)))</formula>
    </cfRule>
  </conditionalFormatting>
  <conditionalFormatting sqref="M98:M124">
    <cfRule type="containsBlanks" dxfId="6493" priority="766">
      <formula>LEN(TRIM(M98))=0</formula>
    </cfRule>
  </conditionalFormatting>
  <conditionalFormatting sqref="M95:M124 M129">
    <cfRule type="cellIs" dxfId="6492" priority="749" operator="equal">
      <formula>4.4</formula>
    </cfRule>
    <cfRule type="cellIs" dxfId="6491" priority="750" operator="equal">
      <formula>4.3</formula>
    </cfRule>
    <cfRule type="cellIs" dxfId="6490" priority="751" operator="equal">
      <formula>4.2</formula>
    </cfRule>
    <cfRule type="cellIs" dxfId="6489" priority="752" operator="equal">
      <formula>4.1</formula>
    </cfRule>
    <cfRule type="cellIs" dxfId="6488" priority="753" operator="equal">
      <formula>3.4</formula>
    </cfRule>
    <cfRule type="cellIs" dxfId="6487" priority="754" operator="equal">
      <formula>3.3</formula>
    </cfRule>
    <cfRule type="cellIs" dxfId="6486" priority="755" operator="equal">
      <formula>3.2</formula>
    </cfRule>
    <cfRule type="cellIs" dxfId="6485" priority="756" operator="equal">
      <formula>3.1</formula>
    </cfRule>
    <cfRule type="cellIs" dxfId="6484" priority="757" operator="equal">
      <formula>2.4</formula>
    </cfRule>
    <cfRule type="cellIs" dxfId="6483" priority="758" operator="equal">
      <formula>2.3</formula>
    </cfRule>
    <cfRule type="cellIs" dxfId="6482" priority="759" operator="equal">
      <formula>2.2</formula>
    </cfRule>
    <cfRule type="cellIs" dxfId="6481" priority="760" operator="equal">
      <formula>2.1</formula>
    </cfRule>
    <cfRule type="cellIs" dxfId="6480" priority="761" operator="equal">
      <formula>1.5</formula>
    </cfRule>
    <cfRule type="cellIs" dxfId="6479" priority="762" operator="equal">
      <formula>1.4</formula>
    </cfRule>
    <cfRule type="cellIs" dxfId="6478" priority="763" operator="equal">
      <formula>1.3</formula>
    </cfRule>
    <cfRule type="cellIs" dxfId="6477" priority="764" operator="equal">
      <formula>1.2</formula>
    </cfRule>
    <cfRule type="containsText" dxfId="6476" priority="765" operator="containsText" text="1.1">
      <formula>NOT(ISERROR(SEARCH("1.1",M95)))</formula>
    </cfRule>
  </conditionalFormatting>
  <conditionalFormatting sqref="H98:L124 H125:M128">
    <cfRule type="containsBlanks" dxfId="6475" priority="748">
      <formula>LEN(TRIM(H98))=0</formula>
    </cfRule>
  </conditionalFormatting>
  <conditionalFormatting sqref="H95:L97 A98:L100 A126:E127 A101:G118 H101:L124 A125:M125 F126:M128">
    <cfRule type="cellIs" dxfId="6474" priority="731" operator="equal">
      <formula>4.4</formula>
    </cfRule>
    <cfRule type="cellIs" dxfId="6473" priority="732" operator="equal">
      <formula>4.3</formula>
    </cfRule>
    <cfRule type="cellIs" dxfId="6472" priority="733" operator="equal">
      <formula>4.2</formula>
    </cfRule>
    <cfRule type="cellIs" dxfId="6471" priority="734" operator="equal">
      <formula>4.1</formula>
    </cfRule>
    <cfRule type="cellIs" dxfId="6470" priority="735" operator="equal">
      <formula>3.4</formula>
    </cfRule>
    <cfRule type="cellIs" dxfId="6469" priority="736" operator="equal">
      <formula>3.3</formula>
    </cfRule>
    <cfRule type="cellIs" dxfId="6468" priority="737" operator="equal">
      <formula>3.2</formula>
    </cfRule>
    <cfRule type="cellIs" dxfId="6467" priority="738" operator="equal">
      <formula>3.1</formula>
    </cfRule>
    <cfRule type="cellIs" dxfId="6466" priority="739" operator="equal">
      <formula>2.4</formula>
    </cfRule>
    <cfRule type="cellIs" dxfId="6465" priority="740" operator="equal">
      <formula>2.3</formula>
    </cfRule>
    <cfRule type="cellIs" dxfId="6464" priority="741" operator="equal">
      <formula>2.2</formula>
    </cfRule>
    <cfRule type="cellIs" dxfId="6463" priority="742" operator="equal">
      <formula>2.1</formula>
    </cfRule>
    <cfRule type="cellIs" dxfId="6462" priority="743" operator="equal">
      <formula>1.5</formula>
    </cfRule>
    <cfRule type="cellIs" dxfId="6461" priority="744" operator="equal">
      <formula>1.4</formula>
    </cfRule>
    <cfRule type="cellIs" dxfId="6460" priority="745" operator="equal">
      <formula>1.3</formula>
    </cfRule>
    <cfRule type="cellIs" dxfId="6459" priority="746" operator="equal">
      <formula>1.2</formula>
    </cfRule>
    <cfRule type="containsText" dxfId="6458" priority="747" operator="containsText" text="1.1">
      <formula>NOT(ISERROR(SEARCH("1.1",A95)))</formula>
    </cfRule>
  </conditionalFormatting>
  <conditionalFormatting sqref="A132:A134 A138 A130:M131 F138:M139">
    <cfRule type="cellIs" dxfId="6457" priority="714" operator="equal">
      <formula>4.4</formula>
    </cfRule>
    <cfRule type="cellIs" dxfId="6456" priority="715" operator="equal">
      <formula>4.3</formula>
    </cfRule>
    <cfRule type="cellIs" dxfId="6455" priority="716" operator="equal">
      <formula>4.2</formula>
    </cfRule>
    <cfRule type="cellIs" dxfId="6454" priority="717" operator="equal">
      <formula>4.1</formula>
    </cfRule>
    <cfRule type="cellIs" dxfId="6453" priority="718" operator="equal">
      <formula>3.4</formula>
    </cfRule>
    <cfRule type="cellIs" dxfId="6452" priority="719" operator="equal">
      <formula>3.3</formula>
    </cfRule>
    <cfRule type="cellIs" dxfId="6451" priority="720" operator="equal">
      <formula>3.2</formula>
    </cfRule>
    <cfRule type="cellIs" dxfId="6450" priority="721" operator="equal">
      <formula>3.1</formula>
    </cfRule>
    <cfRule type="cellIs" dxfId="6449" priority="722" operator="equal">
      <formula>2.4</formula>
    </cfRule>
    <cfRule type="cellIs" dxfId="6448" priority="723" operator="equal">
      <formula>2.3</formula>
    </cfRule>
    <cfRule type="cellIs" dxfId="6447" priority="724" operator="equal">
      <formula>2.2</formula>
    </cfRule>
    <cfRule type="cellIs" dxfId="6446" priority="725" operator="equal">
      <formula>2.1</formula>
    </cfRule>
    <cfRule type="cellIs" dxfId="6445" priority="726" operator="equal">
      <formula>1.5</formula>
    </cfRule>
    <cfRule type="cellIs" dxfId="6444" priority="727" operator="equal">
      <formula>1.4</formula>
    </cfRule>
    <cfRule type="cellIs" dxfId="6443" priority="728" operator="equal">
      <formula>1.3</formula>
    </cfRule>
    <cfRule type="cellIs" dxfId="6442" priority="729" operator="equal">
      <formula>1.2</formula>
    </cfRule>
    <cfRule type="containsText" dxfId="6441" priority="730" operator="containsText" text="1.1">
      <formula>NOT(ISERROR(SEARCH("1.1",A130)))</formula>
    </cfRule>
  </conditionalFormatting>
  <conditionalFormatting sqref="H138:M139">
    <cfRule type="containsBlanks" dxfId="6440" priority="713">
      <formula>LEN(TRIM(H138))=0</formula>
    </cfRule>
  </conditionalFormatting>
  <conditionalFormatting sqref="B132:G134">
    <cfRule type="cellIs" dxfId="6439" priority="696" operator="equal">
      <formula>4.4</formula>
    </cfRule>
    <cfRule type="cellIs" dxfId="6438" priority="697" operator="equal">
      <formula>4.3</formula>
    </cfRule>
    <cfRule type="cellIs" dxfId="6437" priority="698" operator="equal">
      <formula>4.2</formula>
    </cfRule>
    <cfRule type="cellIs" dxfId="6436" priority="699" operator="equal">
      <formula>4.1</formula>
    </cfRule>
    <cfRule type="cellIs" dxfId="6435" priority="700" operator="equal">
      <formula>3.4</formula>
    </cfRule>
    <cfRule type="cellIs" dxfId="6434" priority="701" operator="equal">
      <formula>3.3</formula>
    </cfRule>
    <cfRule type="cellIs" dxfId="6433" priority="702" operator="equal">
      <formula>3.2</formula>
    </cfRule>
    <cfRule type="cellIs" dxfId="6432" priority="703" operator="equal">
      <formula>3.1</formula>
    </cfRule>
    <cfRule type="cellIs" dxfId="6431" priority="704" operator="equal">
      <formula>2.4</formula>
    </cfRule>
    <cfRule type="cellIs" dxfId="6430" priority="705" operator="equal">
      <formula>2.3</formula>
    </cfRule>
    <cfRule type="cellIs" dxfId="6429" priority="706" operator="equal">
      <formula>2.2</formula>
    </cfRule>
    <cfRule type="cellIs" dxfId="6428" priority="707" operator="equal">
      <formula>2.1</formula>
    </cfRule>
    <cfRule type="cellIs" dxfId="6427" priority="708" operator="equal">
      <formula>1.5</formula>
    </cfRule>
    <cfRule type="cellIs" dxfId="6426" priority="709" operator="equal">
      <formula>1.4</formula>
    </cfRule>
    <cfRule type="cellIs" dxfId="6425" priority="710" operator="equal">
      <formula>1.3</formula>
    </cfRule>
    <cfRule type="cellIs" dxfId="6424" priority="711" operator="equal">
      <formula>1.2</formula>
    </cfRule>
    <cfRule type="containsText" dxfId="6423" priority="712" operator="containsText" text="1.1">
      <formula>NOT(ISERROR(SEARCH("1.1",B132)))</formula>
    </cfRule>
  </conditionalFormatting>
  <conditionalFormatting sqref="A95:G97">
    <cfRule type="cellIs" dxfId="6422" priority="679" operator="equal">
      <formula>4.4</formula>
    </cfRule>
    <cfRule type="cellIs" dxfId="6421" priority="680" operator="equal">
      <formula>4.3</formula>
    </cfRule>
    <cfRule type="cellIs" dxfId="6420" priority="681" operator="equal">
      <formula>4.2</formula>
    </cfRule>
    <cfRule type="cellIs" dxfId="6419" priority="682" operator="equal">
      <formula>4.1</formula>
    </cfRule>
    <cfRule type="cellIs" dxfId="6418" priority="683" operator="equal">
      <formula>3.4</formula>
    </cfRule>
    <cfRule type="cellIs" dxfId="6417" priority="684" operator="equal">
      <formula>3.3</formula>
    </cfRule>
    <cfRule type="cellIs" dxfId="6416" priority="685" operator="equal">
      <formula>3.2</formula>
    </cfRule>
    <cfRule type="cellIs" dxfId="6415" priority="686" operator="equal">
      <formula>3.1</formula>
    </cfRule>
    <cfRule type="cellIs" dxfId="6414" priority="687" operator="equal">
      <formula>2.4</formula>
    </cfRule>
    <cfRule type="cellIs" dxfId="6413" priority="688" operator="equal">
      <formula>2.3</formula>
    </cfRule>
    <cfRule type="cellIs" dxfId="6412" priority="689" operator="equal">
      <formula>2.2</formula>
    </cfRule>
    <cfRule type="cellIs" dxfId="6411" priority="690" operator="equal">
      <formula>2.1</formula>
    </cfRule>
    <cfRule type="cellIs" dxfId="6410" priority="691" operator="equal">
      <formula>1.5</formula>
    </cfRule>
    <cfRule type="cellIs" dxfId="6409" priority="692" operator="equal">
      <formula>1.4</formula>
    </cfRule>
    <cfRule type="cellIs" dxfId="6408" priority="693" operator="equal">
      <formula>1.3</formula>
    </cfRule>
    <cfRule type="cellIs" dxfId="6407" priority="694" operator="equal">
      <formula>1.2</formula>
    </cfRule>
    <cfRule type="containsText" dxfId="6406" priority="695" operator="containsText" text="1.1">
      <formula>NOT(ISERROR(SEARCH("1.1",A95)))</formula>
    </cfRule>
  </conditionalFormatting>
  <conditionalFormatting sqref="A119:G121">
    <cfRule type="cellIs" dxfId="6405" priority="662" operator="equal">
      <formula>4.4</formula>
    </cfRule>
    <cfRule type="cellIs" dxfId="6404" priority="663" operator="equal">
      <formula>4.3</formula>
    </cfRule>
    <cfRule type="cellIs" dxfId="6403" priority="664" operator="equal">
      <formula>4.2</formula>
    </cfRule>
    <cfRule type="cellIs" dxfId="6402" priority="665" operator="equal">
      <formula>4.1</formula>
    </cfRule>
    <cfRule type="cellIs" dxfId="6401" priority="666" operator="equal">
      <formula>3.4</formula>
    </cfRule>
    <cfRule type="cellIs" dxfId="6400" priority="667" operator="equal">
      <formula>3.3</formula>
    </cfRule>
    <cfRule type="cellIs" dxfId="6399" priority="668" operator="equal">
      <formula>3.2</formula>
    </cfRule>
    <cfRule type="cellIs" dxfId="6398" priority="669" operator="equal">
      <formula>3.1</formula>
    </cfRule>
    <cfRule type="cellIs" dxfId="6397" priority="670" operator="equal">
      <formula>2.4</formula>
    </cfRule>
    <cfRule type="cellIs" dxfId="6396" priority="671" operator="equal">
      <formula>2.3</formula>
    </cfRule>
    <cfRule type="cellIs" dxfId="6395" priority="672" operator="equal">
      <formula>2.2</formula>
    </cfRule>
    <cfRule type="cellIs" dxfId="6394" priority="673" operator="equal">
      <formula>2.1</formula>
    </cfRule>
    <cfRule type="cellIs" dxfId="6393" priority="674" operator="equal">
      <formula>1.5</formula>
    </cfRule>
    <cfRule type="cellIs" dxfId="6392" priority="675" operator="equal">
      <formula>1.4</formula>
    </cfRule>
    <cfRule type="cellIs" dxfId="6391" priority="676" operator="equal">
      <formula>1.3</formula>
    </cfRule>
    <cfRule type="cellIs" dxfId="6390" priority="677" operator="equal">
      <formula>1.2</formula>
    </cfRule>
    <cfRule type="containsText" dxfId="6389" priority="678" operator="containsText" text="1.1">
      <formula>NOT(ISERROR(SEARCH("1.1",A119)))</formula>
    </cfRule>
  </conditionalFormatting>
  <conditionalFormatting sqref="B122:G124">
    <cfRule type="cellIs" dxfId="6388" priority="628" operator="equal">
      <formula>4.4</formula>
    </cfRule>
    <cfRule type="cellIs" dxfId="6387" priority="629" operator="equal">
      <formula>4.3</formula>
    </cfRule>
    <cfRule type="cellIs" dxfId="6386" priority="630" operator="equal">
      <formula>4.2</formula>
    </cfRule>
    <cfRule type="cellIs" dxfId="6385" priority="631" operator="equal">
      <formula>4.1</formula>
    </cfRule>
    <cfRule type="cellIs" dxfId="6384" priority="632" operator="equal">
      <formula>3.4</formula>
    </cfRule>
    <cfRule type="cellIs" dxfId="6383" priority="633" operator="equal">
      <formula>3.3</formula>
    </cfRule>
    <cfRule type="cellIs" dxfId="6382" priority="634" operator="equal">
      <formula>3.2</formula>
    </cfRule>
    <cfRule type="cellIs" dxfId="6381" priority="635" operator="equal">
      <formula>3.1</formula>
    </cfRule>
    <cfRule type="cellIs" dxfId="6380" priority="636" operator="equal">
      <formula>2.4</formula>
    </cfRule>
    <cfRule type="cellIs" dxfId="6379" priority="637" operator="equal">
      <formula>2.3</formula>
    </cfRule>
    <cfRule type="cellIs" dxfId="6378" priority="638" operator="equal">
      <formula>2.2</formula>
    </cfRule>
    <cfRule type="cellIs" dxfId="6377" priority="639" operator="equal">
      <formula>2.1</formula>
    </cfRule>
    <cfRule type="cellIs" dxfId="6376" priority="640" operator="equal">
      <formula>1.5</formula>
    </cfRule>
    <cfRule type="cellIs" dxfId="6375" priority="641" operator="equal">
      <formula>1.4</formula>
    </cfRule>
    <cfRule type="cellIs" dxfId="6374" priority="642" operator="equal">
      <formula>1.3</formula>
    </cfRule>
    <cfRule type="cellIs" dxfId="6373" priority="643" operator="equal">
      <formula>1.2</formula>
    </cfRule>
    <cfRule type="containsText" dxfId="6372" priority="644" operator="containsText" text="1.1">
      <formula>NOT(ISERROR(SEARCH("1.1",B122)))</formula>
    </cfRule>
  </conditionalFormatting>
  <conditionalFormatting sqref="A122:A124">
    <cfRule type="cellIs" dxfId="6371" priority="645" operator="equal">
      <formula>4.4</formula>
    </cfRule>
    <cfRule type="cellIs" dxfId="6370" priority="646" operator="equal">
      <formula>4.3</formula>
    </cfRule>
    <cfRule type="cellIs" dxfId="6369" priority="647" operator="equal">
      <formula>4.2</formula>
    </cfRule>
    <cfRule type="cellIs" dxfId="6368" priority="648" operator="equal">
      <formula>4.1</formula>
    </cfRule>
    <cfRule type="cellIs" dxfId="6367" priority="649" operator="equal">
      <formula>3.4</formula>
    </cfRule>
    <cfRule type="cellIs" dxfId="6366" priority="650" operator="equal">
      <formula>3.3</formula>
    </cfRule>
    <cfRule type="cellIs" dxfId="6365" priority="651" operator="equal">
      <formula>3.2</formula>
    </cfRule>
    <cfRule type="cellIs" dxfId="6364" priority="652" operator="equal">
      <formula>3.1</formula>
    </cfRule>
    <cfRule type="cellIs" dxfId="6363" priority="653" operator="equal">
      <formula>2.4</formula>
    </cfRule>
    <cfRule type="cellIs" dxfId="6362" priority="654" operator="equal">
      <formula>2.3</formula>
    </cfRule>
    <cfRule type="cellIs" dxfId="6361" priority="655" operator="equal">
      <formula>2.2</formula>
    </cfRule>
    <cfRule type="cellIs" dxfId="6360" priority="656" operator="equal">
      <formula>2.1</formula>
    </cfRule>
    <cfRule type="cellIs" dxfId="6359" priority="657" operator="equal">
      <formula>1.5</formula>
    </cfRule>
    <cfRule type="cellIs" dxfId="6358" priority="658" operator="equal">
      <formula>1.4</formula>
    </cfRule>
    <cfRule type="cellIs" dxfId="6357" priority="659" operator="equal">
      <formula>1.3</formula>
    </cfRule>
    <cfRule type="cellIs" dxfId="6356" priority="660" operator="equal">
      <formula>1.2</formula>
    </cfRule>
    <cfRule type="containsText" dxfId="6355" priority="661" operator="containsText" text="1.1">
      <formula>NOT(ISERROR(SEARCH("1.1",A122)))</formula>
    </cfRule>
  </conditionalFormatting>
  <conditionalFormatting sqref="B135:G137">
    <cfRule type="cellIs" dxfId="6354" priority="594" operator="equal">
      <formula>4.4</formula>
    </cfRule>
    <cfRule type="cellIs" dxfId="6353" priority="595" operator="equal">
      <formula>4.3</formula>
    </cfRule>
    <cfRule type="cellIs" dxfId="6352" priority="596" operator="equal">
      <formula>4.2</formula>
    </cfRule>
    <cfRule type="cellIs" dxfId="6351" priority="597" operator="equal">
      <formula>4.1</formula>
    </cfRule>
    <cfRule type="cellIs" dxfId="6350" priority="598" operator="equal">
      <formula>3.4</formula>
    </cfRule>
    <cfRule type="cellIs" dxfId="6349" priority="599" operator="equal">
      <formula>3.3</formula>
    </cfRule>
    <cfRule type="cellIs" dxfId="6348" priority="600" operator="equal">
      <formula>3.2</formula>
    </cfRule>
    <cfRule type="cellIs" dxfId="6347" priority="601" operator="equal">
      <formula>3.1</formula>
    </cfRule>
    <cfRule type="cellIs" dxfId="6346" priority="602" operator="equal">
      <formula>2.4</formula>
    </cfRule>
    <cfRule type="cellIs" dxfId="6345" priority="603" operator="equal">
      <formula>2.3</formula>
    </cfRule>
    <cfRule type="cellIs" dxfId="6344" priority="604" operator="equal">
      <formula>2.2</formula>
    </cfRule>
    <cfRule type="cellIs" dxfId="6343" priority="605" operator="equal">
      <formula>2.1</formula>
    </cfRule>
    <cfRule type="cellIs" dxfId="6342" priority="606" operator="equal">
      <formula>1.5</formula>
    </cfRule>
    <cfRule type="cellIs" dxfId="6341" priority="607" operator="equal">
      <formula>1.4</formula>
    </cfRule>
    <cfRule type="cellIs" dxfId="6340" priority="608" operator="equal">
      <formula>1.3</formula>
    </cfRule>
    <cfRule type="cellIs" dxfId="6339" priority="609" operator="equal">
      <formula>1.2</formula>
    </cfRule>
    <cfRule type="containsText" dxfId="6338" priority="610" operator="containsText" text="1.1">
      <formula>NOT(ISERROR(SEARCH("1.1",B135)))</formula>
    </cfRule>
  </conditionalFormatting>
  <conditionalFormatting sqref="A135:A137">
    <cfRule type="cellIs" dxfId="6337" priority="611" operator="equal">
      <formula>4.4</formula>
    </cfRule>
    <cfRule type="cellIs" dxfId="6336" priority="612" operator="equal">
      <formula>4.3</formula>
    </cfRule>
    <cfRule type="cellIs" dxfId="6335" priority="613" operator="equal">
      <formula>4.2</formula>
    </cfRule>
    <cfRule type="cellIs" dxfId="6334" priority="614" operator="equal">
      <formula>4.1</formula>
    </cfRule>
    <cfRule type="cellIs" dxfId="6333" priority="615" operator="equal">
      <formula>3.4</formula>
    </cfRule>
    <cfRule type="cellIs" dxfId="6332" priority="616" operator="equal">
      <formula>3.3</formula>
    </cfRule>
    <cfRule type="cellIs" dxfId="6331" priority="617" operator="equal">
      <formula>3.2</formula>
    </cfRule>
    <cfRule type="cellIs" dxfId="6330" priority="618" operator="equal">
      <formula>3.1</formula>
    </cfRule>
    <cfRule type="cellIs" dxfId="6329" priority="619" operator="equal">
      <formula>2.4</formula>
    </cfRule>
    <cfRule type="cellIs" dxfId="6328" priority="620" operator="equal">
      <formula>2.3</formula>
    </cfRule>
    <cfRule type="cellIs" dxfId="6327" priority="621" operator="equal">
      <formula>2.2</formula>
    </cfRule>
    <cfRule type="cellIs" dxfId="6326" priority="622" operator="equal">
      <formula>2.1</formula>
    </cfRule>
    <cfRule type="cellIs" dxfId="6325" priority="623" operator="equal">
      <formula>1.5</formula>
    </cfRule>
    <cfRule type="cellIs" dxfId="6324" priority="624" operator="equal">
      <formula>1.4</formula>
    </cfRule>
    <cfRule type="cellIs" dxfId="6323" priority="625" operator="equal">
      <formula>1.3</formula>
    </cfRule>
    <cfRule type="cellIs" dxfId="6322" priority="626" operator="equal">
      <formula>1.2</formula>
    </cfRule>
    <cfRule type="containsText" dxfId="6321" priority="627" operator="containsText" text="1.1">
      <formula>NOT(ISERROR(SEARCH("1.1",A135)))</formula>
    </cfRule>
  </conditionalFormatting>
  <conditionalFormatting sqref="M132:M134">
    <cfRule type="containsBlanks" dxfId="6320" priority="593">
      <formula>LEN(TRIM(M132))=0</formula>
    </cfRule>
  </conditionalFormatting>
  <conditionalFormatting sqref="M132:M134">
    <cfRule type="cellIs" dxfId="6319" priority="576" operator="equal">
      <formula>4.4</formula>
    </cfRule>
    <cfRule type="cellIs" dxfId="6318" priority="577" operator="equal">
      <formula>4.3</formula>
    </cfRule>
    <cfRule type="cellIs" dxfId="6317" priority="578" operator="equal">
      <formula>4.2</formula>
    </cfRule>
    <cfRule type="cellIs" dxfId="6316" priority="579" operator="equal">
      <formula>4.1</formula>
    </cfRule>
    <cfRule type="cellIs" dxfId="6315" priority="580" operator="equal">
      <formula>3.4</formula>
    </cfRule>
    <cfRule type="cellIs" dxfId="6314" priority="581" operator="equal">
      <formula>3.3</formula>
    </cfRule>
    <cfRule type="cellIs" dxfId="6313" priority="582" operator="equal">
      <formula>3.2</formula>
    </cfRule>
    <cfRule type="cellIs" dxfId="6312" priority="583" operator="equal">
      <formula>3.1</formula>
    </cfRule>
    <cfRule type="cellIs" dxfId="6311" priority="584" operator="equal">
      <formula>2.4</formula>
    </cfRule>
    <cfRule type="cellIs" dxfId="6310" priority="585" operator="equal">
      <formula>2.3</formula>
    </cfRule>
    <cfRule type="cellIs" dxfId="6309" priority="586" operator="equal">
      <formula>2.2</formula>
    </cfRule>
    <cfRule type="cellIs" dxfId="6308" priority="587" operator="equal">
      <formula>2.1</formula>
    </cfRule>
    <cfRule type="cellIs" dxfId="6307" priority="588" operator="equal">
      <formula>1.5</formula>
    </cfRule>
    <cfRule type="cellIs" dxfId="6306" priority="589" operator="equal">
      <formula>1.4</formula>
    </cfRule>
    <cfRule type="cellIs" dxfId="6305" priority="590" operator="equal">
      <formula>1.3</formula>
    </cfRule>
    <cfRule type="cellIs" dxfId="6304" priority="591" operator="equal">
      <formula>1.2</formula>
    </cfRule>
    <cfRule type="containsText" dxfId="6303" priority="592" operator="containsText" text="1.1">
      <formula>NOT(ISERROR(SEARCH("1.1",M132)))</formula>
    </cfRule>
  </conditionalFormatting>
  <conditionalFormatting sqref="H132:L134">
    <cfRule type="containsBlanks" dxfId="6302" priority="575">
      <formula>LEN(TRIM(H132))=0</formula>
    </cfRule>
  </conditionalFormatting>
  <conditionalFormatting sqref="H132:L134">
    <cfRule type="cellIs" dxfId="6301" priority="558" operator="equal">
      <formula>4.4</formula>
    </cfRule>
    <cfRule type="cellIs" dxfId="6300" priority="559" operator="equal">
      <formula>4.3</formula>
    </cfRule>
    <cfRule type="cellIs" dxfId="6299" priority="560" operator="equal">
      <formula>4.2</formula>
    </cfRule>
    <cfRule type="cellIs" dxfId="6298" priority="561" operator="equal">
      <formula>4.1</formula>
    </cfRule>
    <cfRule type="cellIs" dxfId="6297" priority="562" operator="equal">
      <formula>3.4</formula>
    </cfRule>
    <cfRule type="cellIs" dxfId="6296" priority="563" operator="equal">
      <formula>3.3</formula>
    </cfRule>
    <cfRule type="cellIs" dxfId="6295" priority="564" operator="equal">
      <formula>3.2</formula>
    </cfRule>
    <cfRule type="cellIs" dxfId="6294" priority="565" operator="equal">
      <formula>3.1</formula>
    </cfRule>
    <cfRule type="cellIs" dxfId="6293" priority="566" operator="equal">
      <formula>2.4</formula>
    </cfRule>
    <cfRule type="cellIs" dxfId="6292" priority="567" operator="equal">
      <formula>2.3</formula>
    </cfRule>
    <cfRule type="cellIs" dxfId="6291" priority="568" operator="equal">
      <formula>2.2</formula>
    </cfRule>
    <cfRule type="cellIs" dxfId="6290" priority="569" operator="equal">
      <formula>2.1</formula>
    </cfRule>
    <cfRule type="cellIs" dxfId="6289" priority="570" operator="equal">
      <formula>1.5</formula>
    </cfRule>
    <cfRule type="cellIs" dxfId="6288" priority="571" operator="equal">
      <formula>1.4</formula>
    </cfRule>
    <cfRule type="cellIs" dxfId="6287" priority="572" operator="equal">
      <formula>1.3</formula>
    </cfRule>
    <cfRule type="cellIs" dxfId="6286" priority="573" operator="equal">
      <formula>1.2</formula>
    </cfRule>
    <cfRule type="containsText" dxfId="6285" priority="574" operator="containsText" text="1.1">
      <formula>NOT(ISERROR(SEARCH("1.1",H132)))</formula>
    </cfRule>
  </conditionalFormatting>
  <conditionalFormatting sqref="M135:M137">
    <cfRule type="containsBlanks" dxfId="6284" priority="557">
      <formula>LEN(TRIM(M135))=0</formula>
    </cfRule>
  </conditionalFormatting>
  <conditionalFormatting sqref="M135:M137">
    <cfRule type="cellIs" dxfId="6283" priority="540" operator="equal">
      <formula>4.4</formula>
    </cfRule>
    <cfRule type="cellIs" dxfId="6282" priority="541" operator="equal">
      <formula>4.3</formula>
    </cfRule>
    <cfRule type="cellIs" dxfId="6281" priority="542" operator="equal">
      <formula>4.2</formula>
    </cfRule>
    <cfRule type="cellIs" dxfId="6280" priority="543" operator="equal">
      <formula>4.1</formula>
    </cfRule>
    <cfRule type="cellIs" dxfId="6279" priority="544" operator="equal">
      <formula>3.4</formula>
    </cfRule>
    <cfRule type="cellIs" dxfId="6278" priority="545" operator="equal">
      <formula>3.3</formula>
    </cfRule>
    <cfRule type="cellIs" dxfId="6277" priority="546" operator="equal">
      <formula>3.2</formula>
    </cfRule>
    <cfRule type="cellIs" dxfId="6276" priority="547" operator="equal">
      <formula>3.1</formula>
    </cfRule>
    <cfRule type="cellIs" dxfId="6275" priority="548" operator="equal">
      <formula>2.4</formula>
    </cfRule>
    <cfRule type="cellIs" dxfId="6274" priority="549" operator="equal">
      <formula>2.3</formula>
    </cfRule>
    <cfRule type="cellIs" dxfId="6273" priority="550" operator="equal">
      <formula>2.2</formula>
    </cfRule>
    <cfRule type="cellIs" dxfId="6272" priority="551" operator="equal">
      <formula>2.1</formula>
    </cfRule>
    <cfRule type="cellIs" dxfId="6271" priority="552" operator="equal">
      <formula>1.5</formula>
    </cfRule>
    <cfRule type="cellIs" dxfId="6270" priority="553" operator="equal">
      <formula>1.4</formula>
    </cfRule>
    <cfRule type="cellIs" dxfId="6269" priority="554" operator="equal">
      <formula>1.3</formula>
    </cfRule>
    <cfRule type="cellIs" dxfId="6268" priority="555" operator="equal">
      <formula>1.2</formula>
    </cfRule>
    <cfRule type="containsText" dxfId="6267" priority="556" operator="containsText" text="1.1">
      <formula>NOT(ISERROR(SEARCH("1.1",M135)))</formula>
    </cfRule>
  </conditionalFormatting>
  <conditionalFormatting sqref="H135:L137">
    <cfRule type="containsBlanks" dxfId="6266" priority="539">
      <formula>LEN(TRIM(H135))=0</formula>
    </cfRule>
  </conditionalFormatting>
  <conditionalFormatting sqref="H135:L137">
    <cfRule type="cellIs" dxfId="6265" priority="522" operator="equal">
      <formula>4.4</formula>
    </cfRule>
    <cfRule type="cellIs" dxfId="6264" priority="523" operator="equal">
      <formula>4.3</formula>
    </cfRule>
    <cfRule type="cellIs" dxfId="6263" priority="524" operator="equal">
      <formula>4.2</formula>
    </cfRule>
    <cfRule type="cellIs" dxfId="6262" priority="525" operator="equal">
      <formula>4.1</formula>
    </cfRule>
    <cfRule type="cellIs" dxfId="6261" priority="526" operator="equal">
      <formula>3.4</formula>
    </cfRule>
    <cfRule type="cellIs" dxfId="6260" priority="527" operator="equal">
      <formula>3.3</formula>
    </cfRule>
    <cfRule type="cellIs" dxfId="6259" priority="528" operator="equal">
      <formula>3.2</formula>
    </cfRule>
    <cfRule type="cellIs" dxfId="6258" priority="529" operator="equal">
      <formula>3.1</formula>
    </cfRule>
    <cfRule type="cellIs" dxfId="6257" priority="530" operator="equal">
      <formula>2.4</formula>
    </cfRule>
    <cfRule type="cellIs" dxfId="6256" priority="531" operator="equal">
      <formula>2.3</formula>
    </cfRule>
    <cfRule type="cellIs" dxfId="6255" priority="532" operator="equal">
      <formula>2.2</formula>
    </cfRule>
    <cfRule type="cellIs" dxfId="6254" priority="533" operator="equal">
      <formula>2.1</formula>
    </cfRule>
    <cfRule type="cellIs" dxfId="6253" priority="534" operator="equal">
      <formula>1.5</formula>
    </cfRule>
    <cfRule type="cellIs" dxfId="6252" priority="535" operator="equal">
      <formula>1.4</formula>
    </cfRule>
    <cfRule type="cellIs" dxfId="6251" priority="536" operator="equal">
      <formula>1.3</formula>
    </cfRule>
    <cfRule type="cellIs" dxfId="6250" priority="537" operator="equal">
      <formula>1.2</formula>
    </cfRule>
    <cfRule type="containsText" dxfId="6249" priority="538" operator="containsText" text="1.1">
      <formula>NOT(ISERROR(SEARCH("1.1",H135)))</formula>
    </cfRule>
  </conditionalFormatting>
  <conditionalFormatting sqref="A182:A184 A188 A180:M181 F188:G189">
    <cfRule type="cellIs" dxfId="6248" priority="471" operator="equal">
      <formula>4.4</formula>
    </cfRule>
    <cfRule type="cellIs" dxfId="6247" priority="472" operator="equal">
      <formula>4.3</formula>
    </cfRule>
    <cfRule type="cellIs" dxfId="6246" priority="473" operator="equal">
      <formula>4.2</formula>
    </cfRule>
    <cfRule type="cellIs" dxfId="6245" priority="474" operator="equal">
      <formula>4.1</formula>
    </cfRule>
    <cfRule type="cellIs" dxfId="6244" priority="475" operator="equal">
      <formula>3.4</formula>
    </cfRule>
    <cfRule type="cellIs" dxfId="6243" priority="476" operator="equal">
      <formula>3.3</formula>
    </cfRule>
    <cfRule type="cellIs" dxfId="6242" priority="477" operator="equal">
      <formula>3.2</formula>
    </cfRule>
    <cfRule type="cellIs" dxfId="6241" priority="478" operator="equal">
      <formula>3.1</formula>
    </cfRule>
    <cfRule type="cellIs" dxfId="6240" priority="479" operator="equal">
      <formula>2.4</formula>
    </cfRule>
    <cfRule type="cellIs" dxfId="6239" priority="480" operator="equal">
      <formula>2.3</formula>
    </cfRule>
    <cfRule type="cellIs" dxfId="6238" priority="481" operator="equal">
      <formula>2.2</formula>
    </cfRule>
    <cfRule type="cellIs" dxfId="6237" priority="482" operator="equal">
      <formula>2.1</formula>
    </cfRule>
    <cfRule type="cellIs" dxfId="6236" priority="483" operator="equal">
      <formula>1.5</formula>
    </cfRule>
    <cfRule type="cellIs" dxfId="6235" priority="484" operator="equal">
      <formula>1.4</formula>
    </cfRule>
    <cfRule type="cellIs" dxfId="6234" priority="485" operator="equal">
      <formula>1.3</formula>
    </cfRule>
    <cfRule type="cellIs" dxfId="6233" priority="486" operator="equal">
      <formula>1.2</formula>
    </cfRule>
    <cfRule type="containsText" dxfId="6232" priority="487" operator="containsText" text="1.1">
      <formula>NOT(ISERROR(SEARCH("1.1",A180)))</formula>
    </cfRule>
  </conditionalFormatting>
  <conditionalFormatting sqref="B182:G184">
    <cfRule type="cellIs" dxfId="6231" priority="454" operator="equal">
      <formula>4.4</formula>
    </cfRule>
    <cfRule type="cellIs" dxfId="6230" priority="455" operator="equal">
      <formula>4.3</formula>
    </cfRule>
    <cfRule type="cellIs" dxfId="6229" priority="456" operator="equal">
      <formula>4.2</formula>
    </cfRule>
    <cfRule type="cellIs" dxfId="6228" priority="457" operator="equal">
      <formula>4.1</formula>
    </cfRule>
    <cfRule type="cellIs" dxfId="6227" priority="458" operator="equal">
      <formula>3.4</formula>
    </cfRule>
    <cfRule type="cellIs" dxfId="6226" priority="459" operator="equal">
      <formula>3.3</formula>
    </cfRule>
    <cfRule type="cellIs" dxfId="6225" priority="460" operator="equal">
      <formula>3.2</formula>
    </cfRule>
    <cfRule type="cellIs" dxfId="6224" priority="461" operator="equal">
      <formula>3.1</formula>
    </cfRule>
    <cfRule type="cellIs" dxfId="6223" priority="462" operator="equal">
      <formula>2.4</formula>
    </cfRule>
    <cfRule type="cellIs" dxfId="6222" priority="463" operator="equal">
      <formula>2.3</formula>
    </cfRule>
    <cfRule type="cellIs" dxfId="6221" priority="464" operator="equal">
      <formula>2.2</formula>
    </cfRule>
    <cfRule type="cellIs" dxfId="6220" priority="465" operator="equal">
      <formula>2.1</formula>
    </cfRule>
    <cfRule type="cellIs" dxfId="6219" priority="466" operator="equal">
      <formula>1.5</formula>
    </cfRule>
    <cfRule type="cellIs" dxfId="6218" priority="467" operator="equal">
      <formula>1.4</formula>
    </cfRule>
    <cfRule type="cellIs" dxfId="6217" priority="468" operator="equal">
      <formula>1.3</formula>
    </cfRule>
    <cfRule type="cellIs" dxfId="6216" priority="469" operator="equal">
      <formula>1.2</formula>
    </cfRule>
    <cfRule type="containsText" dxfId="6215" priority="470" operator="containsText" text="1.1">
      <formula>NOT(ISERROR(SEARCH("1.1",B182)))</formula>
    </cfRule>
  </conditionalFormatting>
  <conditionalFormatting sqref="A145:G147">
    <cfRule type="cellIs" dxfId="6214" priority="437" operator="equal">
      <formula>4.4</formula>
    </cfRule>
    <cfRule type="cellIs" dxfId="6213" priority="438" operator="equal">
      <formula>4.3</formula>
    </cfRule>
    <cfRule type="cellIs" dxfId="6212" priority="439" operator="equal">
      <formula>4.2</formula>
    </cfRule>
    <cfRule type="cellIs" dxfId="6211" priority="440" operator="equal">
      <formula>4.1</formula>
    </cfRule>
    <cfRule type="cellIs" dxfId="6210" priority="441" operator="equal">
      <formula>3.4</formula>
    </cfRule>
    <cfRule type="cellIs" dxfId="6209" priority="442" operator="equal">
      <formula>3.3</formula>
    </cfRule>
    <cfRule type="cellIs" dxfId="6208" priority="443" operator="equal">
      <formula>3.2</formula>
    </cfRule>
    <cfRule type="cellIs" dxfId="6207" priority="444" operator="equal">
      <formula>3.1</formula>
    </cfRule>
    <cfRule type="cellIs" dxfId="6206" priority="445" operator="equal">
      <formula>2.4</formula>
    </cfRule>
    <cfRule type="cellIs" dxfId="6205" priority="446" operator="equal">
      <formula>2.3</formula>
    </cfRule>
    <cfRule type="cellIs" dxfId="6204" priority="447" operator="equal">
      <formula>2.2</formula>
    </cfRule>
    <cfRule type="cellIs" dxfId="6203" priority="448" operator="equal">
      <formula>2.1</formula>
    </cfRule>
    <cfRule type="cellIs" dxfId="6202" priority="449" operator="equal">
      <formula>1.5</formula>
    </cfRule>
    <cfRule type="cellIs" dxfId="6201" priority="450" operator="equal">
      <formula>1.4</formula>
    </cfRule>
    <cfRule type="cellIs" dxfId="6200" priority="451" operator="equal">
      <formula>1.3</formula>
    </cfRule>
    <cfRule type="cellIs" dxfId="6199" priority="452" operator="equal">
      <formula>1.2</formula>
    </cfRule>
    <cfRule type="containsText" dxfId="6198" priority="453" operator="containsText" text="1.1">
      <formula>NOT(ISERROR(SEARCH("1.1",A145)))</formula>
    </cfRule>
  </conditionalFormatting>
  <conditionalFormatting sqref="A169:G171">
    <cfRule type="cellIs" dxfId="6197" priority="420" operator="equal">
      <formula>4.4</formula>
    </cfRule>
    <cfRule type="cellIs" dxfId="6196" priority="421" operator="equal">
      <formula>4.3</formula>
    </cfRule>
    <cfRule type="cellIs" dxfId="6195" priority="422" operator="equal">
      <formula>4.2</formula>
    </cfRule>
    <cfRule type="cellIs" dxfId="6194" priority="423" operator="equal">
      <formula>4.1</formula>
    </cfRule>
    <cfRule type="cellIs" dxfId="6193" priority="424" operator="equal">
      <formula>3.4</formula>
    </cfRule>
    <cfRule type="cellIs" dxfId="6192" priority="425" operator="equal">
      <formula>3.3</formula>
    </cfRule>
    <cfRule type="cellIs" dxfId="6191" priority="426" operator="equal">
      <formula>3.2</formula>
    </cfRule>
    <cfRule type="cellIs" dxfId="6190" priority="427" operator="equal">
      <formula>3.1</formula>
    </cfRule>
    <cfRule type="cellIs" dxfId="6189" priority="428" operator="equal">
      <formula>2.4</formula>
    </cfRule>
    <cfRule type="cellIs" dxfId="6188" priority="429" operator="equal">
      <formula>2.3</formula>
    </cfRule>
    <cfRule type="cellIs" dxfId="6187" priority="430" operator="equal">
      <formula>2.2</formula>
    </cfRule>
    <cfRule type="cellIs" dxfId="6186" priority="431" operator="equal">
      <formula>2.1</formula>
    </cfRule>
    <cfRule type="cellIs" dxfId="6185" priority="432" operator="equal">
      <formula>1.5</formula>
    </cfRule>
    <cfRule type="cellIs" dxfId="6184" priority="433" operator="equal">
      <formula>1.4</formula>
    </cfRule>
    <cfRule type="cellIs" dxfId="6183" priority="434" operator="equal">
      <formula>1.3</formula>
    </cfRule>
    <cfRule type="cellIs" dxfId="6182" priority="435" operator="equal">
      <formula>1.2</formula>
    </cfRule>
    <cfRule type="containsText" dxfId="6181" priority="436" operator="containsText" text="1.1">
      <formula>NOT(ISERROR(SEARCH("1.1",A169)))</formula>
    </cfRule>
  </conditionalFormatting>
  <conditionalFormatting sqref="A172:A174">
    <cfRule type="cellIs" dxfId="6180" priority="403" operator="equal">
      <formula>4.4</formula>
    </cfRule>
    <cfRule type="cellIs" dxfId="6179" priority="404" operator="equal">
      <formula>4.3</formula>
    </cfRule>
    <cfRule type="cellIs" dxfId="6178" priority="405" operator="equal">
      <formula>4.2</formula>
    </cfRule>
    <cfRule type="cellIs" dxfId="6177" priority="406" operator="equal">
      <formula>4.1</formula>
    </cfRule>
    <cfRule type="cellIs" dxfId="6176" priority="407" operator="equal">
      <formula>3.4</formula>
    </cfRule>
    <cfRule type="cellIs" dxfId="6175" priority="408" operator="equal">
      <formula>3.3</formula>
    </cfRule>
    <cfRule type="cellIs" dxfId="6174" priority="409" operator="equal">
      <formula>3.2</formula>
    </cfRule>
    <cfRule type="cellIs" dxfId="6173" priority="410" operator="equal">
      <formula>3.1</formula>
    </cfRule>
    <cfRule type="cellIs" dxfId="6172" priority="411" operator="equal">
      <formula>2.4</formula>
    </cfRule>
    <cfRule type="cellIs" dxfId="6171" priority="412" operator="equal">
      <formula>2.3</formula>
    </cfRule>
    <cfRule type="cellIs" dxfId="6170" priority="413" operator="equal">
      <formula>2.2</formula>
    </cfRule>
    <cfRule type="cellIs" dxfId="6169" priority="414" operator="equal">
      <formula>2.1</formula>
    </cfRule>
    <cfRule type="cellIs" dxfId="6168" priority="415" operator="equal">
      <formula>1.5</formula>
    </cfRule>
    <cfRule type="cellIs" dxfId="6167" priority="416" operator="equal">
      <formula>1.4</formula>
    </cfRule>
    <cfRule type="cellIs" dxfId="6166" priority="417" operator="equal">
      <formula>1.3</formula>
    </cfRule>
    <cfRule type="cellIs" dxfId="6165" priority="418" operator="equal">
      <formula>1.2</formula>
    </cfRule>
    <cfRule type="containsText" dxfId="6164" priority="419" operator="containsText" text="1.1">
      <formula>NOT(ISERROR(SEARCH("1.1",A172)))</formula>
    </cfRule>
  </conditionalFormatting>
  <conditionalFormatting sqref="B172:G174">
    <cfRule type="cellIs" dxfId="6163" priority="386" operator="equal">
      <formula>4.4</formula>
    </cfRule>
    <cfRule type="cellIs" dxfId="6162" priority="387" operator="equal">
      <formula>4.3</formula>
    </cfRule>
    <cfRule type="cellIs" dxfId="6161" priority="388" operator="equal">
      <formula>4.2</formula>
    </cfRule>
    <cfRule type="cellIs" dxfId="6160" priority="389" operator="equal">
      <formula>4.1</formula>
    </cfRule>
    <cfRule type="cellIs" dxfId="6159" priority="390" operator="equal">
      <formula>3.4</formula>
    </cfRule>
    <cfRule type="cellIs" dxfId="6158" priority="391" operator="equal">
      <formula>3.3</formula>
    </cfRule>
    <cfRule type="cellIs" dxfId="6157" priority="392" operator="equal">
      <formula>3.2</formula>
    </cfRule>
    <cfRule type="cellIs" dxfId="6156" priority="393" operator="equal">
      <formula>3.1</formula>
    </cfRule>
    <cfRule type="cellIs" dxfId="6155" priority="394" operator="equal">
      <formula>2.4</formula>
    </cfRule>
    <cfRule type="cellIs" dxfId="6154" priority="395" operator="equal">
      <formula>2.3</formula>
    </cfRule>
    <cfRule type="cellIs" dxfId="6153" priority="396" operator="equal">
      <formula>2.2</formula>
    </cfRule>
    <cfRule type="cellIs" dxfId="6152" priority="397" operator="equal">
      <formula>2.1</formula>
    </cfRule>
    <cfRule type="cellIs" dxfId="6151" priority="398" operator="equal">
      <formula>1.5</formula>
    </cfRule>
    <cfRule type="cellIs" dxfId="6150" priority="399" operator="equal">
      <formula>1.4</formula>
    </cfRule>
    <cfRule type="cellIs" dxfId="6149" priority="400" operator="equal">
      <formula>1.3</formula>
    </cfRule>
    <cfRule type="cellIs" dxfId="6148" priority="401" operator="equal">
      <formula>1.2</formula>
    </cfRule>
    <cfRule type="containsText" dxfId="6147" priority="402" operator="containsText" text="1.1">
      <formula>NOT(ISERROR(SEARCH("1.1",B172)))</formula>
    </cfRule>
  </conditionalFormatting>
  <conditionalFormatting sqref="B185:G187">
    <cfRule type="cellIs" dxfId="6146" priority="352" operator="equal">
      <formula>4.4</formula>
    </cfRule>
    <cfRule type="cellIs" dxfId="6145" priority="353" operator="equal">
      <formula>4.3</formula>
    </cfRule>
    <cfRule type="cellIs" dxfId="6144" priority="354" operator="equal">
      <formula>4.2</formula>
    </cfRule>
    <cfRule type="cellIs" dxfId="6143" priority="355" operator="equal">
      <formula>4.1</formula>
    </cfRule>
    <cfRule type="cellIs" dxfId="6142" priority="356" operator="equal">
      <formula>3.4</formula>
    </cfRule>
    <cfRule type="cellIs" dxfId="6141" priority="357" operator="equal">
      <formula>3.3</formula>
    </cfRule>
    <cfRule type="cellIs" dxfId="6140" priority="358" operator="equal">
      <formula>3.2</formula>
    </cfRule>
    <cfRule type="cellIs" dxfId="6139" priority="359" operator="equal">
      <formula>3.1</formula>
    </cfRule>
    <cfRule type="cellIs" dxfId="6138" priority="360" operator="equal">
      <formula>2.4</formula>
    </cfRule>
    <cfRule type="cellIs" dxfId="6137" priority="361" operator="equal">
      <formula>2.3</formula>
    </cfRule>
    <cfRule type="cellIs" dxfId="6136" priority="362" operator="equal">
      <formula>2.2</formula>
    </cfRule>
    <cfRule type="cellIs" dxfId="6135" priority="363" operator="equal">
      <formula>2.1</formula>
    </cfRule>
    <cfRule type="cellIs" dxfId="6134" priority="364" operator="equal">
      <formula>1.5</formula>
    </cfRule>
    <cfRule type="cellIs" dxfId="6133" priority="365" operator="equal">
      <formula>1.4</formula>
    </cfRule>
    <cfRule type="cellIs" dxfId="6132" priority="366" operator="equal">
      <formula>1.3</formula>
    </cfRule>
    <cfRule type="cellIs" dxfId="6131" priority="367" operator="equal">
      <formula>1.2</formula>
    </cfRule>
    <cfRule type="containsText" dxfId="6130" priority="368" operator="containsText" text="1.1">
      <formula>NOT(ISERROR(SEARCH("1.1",B185)))</formula>
    </cfRule>
  </conditionalFormatting>
  <conditionalFormatting sqref="A185:A187">
    <cfRule type="cellIs" dxfId="6129" priority="369" operator="equal">
      <formula>4.4</formula>
    </cfRule>
    <cfRule type="cellIs" dxfId="6128" priority="370" operator="equal">
      <formula>4.3</formula>
    </cfRule>
    <cfRule type="cellIs" dxfId="6127" priority="371" operator="equal">
      <formula>4.2</formula>
    </cfRule>
    <cfRule type="cellIs" dxfId="6126" priority="372" operator="equal">
      <formula>4.1</formula>
    </cfRule>
    <cfRule type="cellIs" dxfId="6125" priority="373" operator="equal">
      <formula>3.4</formula>
    </cfRule>
    <cfRule type="cellIs" dxfId="6124" priority="374" operator="equal">
      <formula>3.3</formula>
    </cfRule>
    <cfRule type="cellIs" dxfId="6123" priority="375" operator="equal">
      <formula>3.2</formula>
    </cfRule>
    <cfRule type="cellIs" dxfId="6122" priority="376" operator="equal">
      <formula>3.1</formula>
    </cfRule>
    <cfRule type="cellIs" dxfId="6121" priority="377" operator="equal">
      <formula>2.4</formula>
    </cfRule>
    <cfRule type="cellIs" dxfId="6120" priority="378" operator="equal">
      <formula>2.3</formula>
    </cfRule>
    <cfRule type="cellIs" dxfId="6119" priority="379" operator="equal">
      <formula>2.2</formula>
    </cfRule>
    <cfRule type="cellIs" dxfId="6118" priority="380" operator="equal">
      <formula>2.1</formula>
    </cfRule>
    <cfRule type="cellIs" dxfId="6117" priority="381" operator="equal">
      <formula>1.5</formula>
    </cfRule>
    <cfRule type="cellIs" dxfId="6116" priority="382" operator="equal">
      <formula>1.4</formula>
    </cfRule>
    <cfRule type="cellIs" dxfId="6115" priority="383" operator="equal">
      <formula>1.3</formula>
    </cfRule>
    <cfRule type="cellIs" dxfId="6114" priority="384" operator="equal">
      <formula>1.2</formula>
    </cfRule>
    <cfRule type="containsText" dxfId="6113" priority="385" operator="containsText" text="1.1">
      <formula>NOT(ISERROR(SEARCH("1.1",A185)))</formula>
    </cfRule>
  </conditionalFormatting>
  <conditionalFormatting sqref="M179">
    <cfRule type="cellIs" dxfId="6112" priority="505" operator="equal">
      <formula>4.4</formula>
    </cfRule>
    <cfRule type="cellIs" dxfId="6111" priority="506" operator="equal">
      <formula>4.3</formula>
    </cfRule>
    <cfRule type="cellIs" dxfId="6110" priority="507" operator="equal">
      <formula>4.2</formula>
    </cfRule>
    <cfRule type="cellIs" dxfId="6109" priority="508" operator="equal">
      <formula>4.1</formula>
    </cfRule>
    <cfRule type="cellIs" dxfId="6108" priority="509" operator="equal">
      <formula>3.4</formula>
    </cfRule>
    <cfRule type="cellIs" dxfId="6107" priority="510" operator="equal">
      <formula>3.3</formula>
    </cfRule>
    <cfRule type="cellIs" dxfId="6106" priority="511" operator="equal">
      <formula>3.2</formula>
    </cfRule>
    <cfRule type="cellIs" dxfId="6105" priority="512" operator="equal">
      <formula>3.1</formula>
    </cfRule>
    <cfRule type="cellIs" dxfId="6104" priority="513" operator="equal">
      <formula>2.4</formula>
    </cfRule>
    <cfRule type="cellIs" dxfId="6103" priority="514" operator="equal">
      <formula>2.3</formula>
    </cfRule>
    <cfRule type="cellIs" dxfId="6102" priority="515" operator="equal">
      <formula>2.2</formula>
    </cfRule>
    <cfRule type="cellIs" dxfId="6101" priority="516" operator="equal">
      <formula>2.1</formula>
    </cfRule>
    <cfRule type="cellIs" dxfId="6100" priority="517" operator="equal">
      <formula>1.5</formula>
    </cfRule>
    <cfRule type="cellIs" dxfId="6099" priority="518" operator="equal">
      <formula>1.4</formula>
    </cfRule>
    <cfRule type="cellIs" dxfId="6098" priority="519" operator="equal">
      <formula>1.3</formula>
    </cfRule>
    <cfRule type="cellIs" dxfId="6097" priority="520" operator="equal">
      <formula>1.2</formula>
    </cfRule>
    <cfRule type="containsText" dxfId="6096" priority="521" operator="containsText" text="1.1">
      <formula>NOT(ISERROR(SEARCH("1.1",M179)))</formula>
    </cfRule>
  </conditionalFormatting>
  <conditionalFormatting sqref="A176:E177 A148:G168 A175:G175 H145:M147 F176:G178">
    <cfRule type="cellIs" dxfId="6095" priority="488" operator="equal">
      <formula>4.4</formula>
    </cfRule>
    <cfRule type="cellIs" dxfId="6094" priority="489" operator="equal">
      <formula>4.3</formula>
    </cfRule>
    <cfRule type="cellIs" dxfId="6093" priority="490" operator="equal">
      <formula>4.2</formula>
    </cfRule>
    <cfRule type="cellIs" dxfId="6092" priority="491" operator="equal">
      <formula>4.1</formula>
    </cfRule>
    <cfRule type="cellIs" dxfId="6091" priority="492" operator="equal">
      <formula>3.4</formula>
    </cfRule>
    <cfRule type="cellIs" dxfId="6090" priority="493" operator="equal">
      <formula>3.3</formula>
    </cfRule>
    <cfRule type="cellIs" dxfId="6089" priority="494" operator="equal">
      <formula>3.2</formula>
    </cfRule>
    <cfRule type="cellIs" dxfId="6088" priority="495" operator="equal">
      <formula>3.1</formula>
    </cfRule>
    <cfRule type="cellIs" dxfId="6087" priority="496" operator="equal">
      <formula>2.4</formula>
    </cfRule>
    <cfRule type="cellIs" dxfId="6086" priority="497" operator="equal">
      <formula>2.3</formula>
    </cfRule>
    <cfRule type="cellIs" dxfId="6085" priority="498" operator="equal">
      <formula>2.2</formula>
    </cfRule>
    <cfRule type="cellIs" dxfId="6084" priority="499" operator="equal">
      <formula>2.1</formula>
    </cfRule>
    <cfRule type="cellIs" dxfId="6083" priority="500" operator="equal">
      <formula>1.5</formula>
    </cfRule>
    <cfRule type="cellIs" dxfId="6082" priority="501" operator="equal">
      <formula>1.4</formula>
    </cfRule>
    <cfRule type="cellIs" dxfId="6081" priority="502" operator="equal">
      <formula>1.3</formula>
    </cfRule>
    <cfRule type="cellIs" dxfId="6080" priority="503" operator="equal">
      <formula>1.2</formula>
    </cfRule>
    <cfRule type="containsText" dxfId="6079" priority="504" operator="containsText" text="1.1">
      <formula>NOT(ISERROR(SEARCH("1.1",A145)))</formula>
    </cfRule>
  </conditionalFormatting>
  <conditionalFormatting sqref="H148:M174">
    <cfRule type="cellIs" dxfId="6078" priority="334" operator="equal">
      <formula>4.4</formula>
    </cfRule>
    <cfRule type="cellIs" dxfId="6077" priority="335" operator="equal">
      <formula>4.3</formula>
    </cfRule>
    <cfRule type="cellIs" dxfId="6076" priority="336" operator="equal">
      <formula>4.2</formula>
    </cfRule>
    <cfRule type="cellIs" dxfId="6075" priority="337" operator="equal">
      <formula>4.1</formula>
    </cfRule>
    <cfRule type="cellIs" dxfId="6074" priority="338" operator="equal">
      <formula>3.4</formula>
    </cfRule>
    <cfRule type="cellIs" dxfId="6073" priority="339" operator="equal">
      <formula>3.3</formula>
    </cfRule>
    <cfRule type="cellIs" dxfId="6072" priority="340" operator="equal">
      <formula>3.2</formula>
    </cfRule>
    <cfRule type="cellIs" dxfId="6071" priority="341" operator="equal">
      <formula>3.1</formula>
    </cfRule>
    <cfRule type="cellIs" dxfId="6070" priority="342" operator="equal">
      <formula>2.4</formula>
    </cfRule>
    <cfRule type="cellIs" dxfId="6069" priority="343" operator="equal">
      <formula>2.3</formula>
    </cfRule>
    <cfRule type="cellIs" dxfId="6068" priority="344" operator="equal">
      <formula>2.2</formula>
    </cfRule>
    <cfRule type="cellIs" dxfId="6067" priority="345" operator="equal">
      <formula>2.1</formula>
    </cfRule>
    <cfRule type="cellIs" dxfId="6066" priority="346" operator="equal">
      <formula>1.5</formula>
    </cfRule>
    <cfRule type="cellIs" dxfId="6065" priority="347" operator="equal">
      <formula>1.4</formula>
    </cfRule>
    <cfRule type="cellIs" dxfId="6064" priority="348" operator="equal">
      <formula>1.3</formula>
    </cfRule>
    <cfRule type="cellIs" dxfId="6063" priority="349" operator="equal">
      <formula>1.2</formula>
    </cfRule>
    <cfRule type="containsText" dxfId="6062" priority="350" operator="containsText" text="1.1">
      <formula>NOT(ISERROR(SEARCH("1.1",H148)))</formula>
    </cfRule>
  </conditionalFormatting>
  <conditionalFormatting sqref="H148:M174">
    <cfRule type="containsBlanks" dxfId="6061" priority="351">
      <formula>LEN(TRIM(H148))=0</formula>
    </cfRule>
  </conditionalFormatting>
  <conditionalFormatting sqref="H175:M178">
    <cfRule type="containsBlanks" dxfId="6060" priority="333">
      <formula>LEN(TRIM(H175))=0</formula>
    </cfRule>
  </conditionalFormatting>
  <conditionalFormatting sqref="H175:M178">
    <cfRule type="cellIs" dxfId="6059" priority="316" operator="equal">
      <formula>4.4</formula>
    </cfRule>
    <cfRule type="cellIs" dxfId="6058" priority="317" operator="equal">
      <formula>4.3</formula>
    </cfRule>
    <cfRule type="cellIs" dxfId="6057" priority="318" operator="equal">
      <formula>4.2</formula>
    </cfRule>
    <cfRule type="cellIs" dxfId="6056" priority="319" operator="equal">
      <formula>4.1</formula>
    </cfRule>
    <cfRule type="cellIs" dxfId="6055" priority="320" operator="equal">
      <formula>3.4</formula>
    </cfRule>
    <cfRule type="cellIs" dxfId="6054" priority="321" operator="equal">
      <formula>3.3</formula>
    </cfRule>
    <cfRule type="cellIs" dxfId="6053" priority="322" operator="equal">
      <formula>3.2</formula>
    </cfRule>
    <cfRule type="cellIs" dxfId="6052" priority="323" operator="equal">
      <formula>3.1</formula>
    </cfRule>
    <cfRule type="cellIs" dxfId="6051" priority="324" operator="equal">
      <formula>2.4</formula>
    </cfRule>
    <cfRule type="cellIs" dxfId="6050" priority="325" operator="equal">
      <formula>2.3</formula>
    </cfRule>
    <cfRule type="cellIs" dxfId="6049" priority="326" operator="equal">
      <formula>2.2</formula>
    </cfRule>
    <cfRule type="cellIs" dxfId="6048" priority="327" operator="equal">
      <formula>2.1</formula>
    </cfRule>
    <cfRule type="cellIs" dxfId="6047" priority="328" operator="equal">
      <formula>1.5</formula>
    </cfRule>
    <cfRule type="cellIs" dxfId="6046" priority="329" operator="equal">
      <formula>1.4</formula>
    </cfRule>
    <cfRule type="cellIs" dxfId="6045" priority="330" operator="equal">
      <formula>1.3</formula>
    </cfRule>
    <cfRule type="cellIs" dxfId="6044" priority="331" operator="equal">
      <formula>1.2</formula>
    </cfRule>
    <cfRule type="containsText" dxfId="6043" priority="332" operator="containsText" text="1.1">
      <formula>NOT(ISERROR(SEARCH("1.1",H175)))</formula>
    </cfRule>
  </conditionalFormatting>
  <conditionalFormatting sqref="H182:M184">
    <cfRule type="containsBlanks" dxfId="6042" priority="315">
      <formula>LEN(TRIM(H182))=0</formula>
    </cfRule>
  </conditionalFormatting>
  <conditionalFormatting sqref="H182:M184">
    <cfRule type="cellIs" dxfId="6041" priority="298" operator="equal">
      <formula>4.4</formula>
    </cfRule>
    <cfRule type="cellIs" dxfId="6040" priority="299" operator="equal">
      <formula>4.3</formula>
    </cfRule>
    <cfRule type="cellIs" dxfId="6039" priority="300" operator="equal">
      <formula>4.2</formula>
    </cfRule>
    <cfRule type="cellIs" dxfId="6038" priority="301" operator="equal">
      <formula>4.1</formula>
    </cfRule>
    <cfRule type="cellIs" dxfId="6037" priority="302" operator="equal">
      <formula>3.4</formula>
    </cfRule>
    <cfRule type="cellIs" dxfId="6036" priority="303" operator="equal">
      <formula>3.3</formula>
    </cfRule>
    <cfRule type="cellIs" dxfId="6035" priority="304" operator="equal">
      <formula>3.2</formula>
    </cfRule>
    <cfRule type="cellIs" dxfId="6034" priority="305" operator="equal">
      <formula>3.1</formula>
    </cfRule>
    <cfRule type="cellIs" dxfId="6033" priority="306" operator="equal">
      <formula>2.4</formula>
    </cfRule>
    <cfRule type="cellIs" dxfId="6032" priority="307" operator="equal">
      <formula>2.3</formula>
    </cfRule>
    <cfRule type="cellIs" dxfId="6031" priority="308" operator="equal">
      <formula>2.2</formula>
    </cfRule>
    <cfRule type="cellIs" dxfId="6030" priority="309" operator="equal">
      <formula>2.1</formula>
    </cfRule>
    <cfRule type="cellIs" dxfId="6029" priority="310" operator="equal">
      <formula>1.5</formula>
    </cfRule>
    <cfRule type="cellIs" dxfId="6028" priority="311" operator="equal">
      <formula>1.4</formula>
    </cfRule>
    <cfRule type="cellIs" dxfId="6027" priority="312" operator="equal">
      <formula>1.3</formula>
    </cfRule>
    <cfRule type="cellIs" dxfId="6026" priority="313" operator="equal">
      <formula>1.2</formula>
    </cfRule>
    <cfRule type="containsText" dxfId="6025" priority="314" operator="containsText" text="1.1">
      <formula>NOT(ISERROR(SEARCH("1.1",H182)))</formula>
    </cfRule>
  </conditionalFormatting>
  <conditionalFormatting sqref="H185:M187">
    <cfRule type="containsBlanks" dxfId="6024" priority="297">
      <formula>LEN(TRIM(H185))=0</formula>
    </cfRule>
  </conditionalFormatting>
  <conditionalFormatting sqref="H185:M187">
    <cfRule type="cellIs" dxfId="6023" priority="280" operator="equal">
      <formula>4.4</formula>
    </cfRule>
    <cfRule type="cellIs" dxfId="6022" priority="281" operator="equal">
      <formula>4.3</formula>
    </cfRule>
    <cfRule type="cellIs" dxfId="6021" priority="282" operator="equal">
      <formula>4.2</formula>
    </cfRule>
    <cfRule type="cellIs" dxfId="6020" priority="283" operator="equal">
      <formula>4.1</formula>
    </cfRule>
    <cfRule type="cellIs" dxfId="6019" priority="284" operator="equal">
      <formula>3.4</formula>
    </cfRule>
    <cfRule type="cellIs" dxfId="6018" priority="285" operator="equal">
      <formula>3.3</formula>
    </cfRule>
    <cfRule type="cellIs" dxfId="6017" priority="286" operator="equal">
      <formula>3.2</formula>
    </cfRule>
    <cfRule type="cellIs" dxfId="6016" priority="287" operator="equal">
      <formula>3.1</formula>
    </cfRule>
    <cfRule type="cellIs" dxfId="6015" priority="288" operator="equal">
      <formula>2.4</formula>
    </cfRule>
    <cfRule type="cellIs" dxfId="6014" priority="289" operator="equal">
      <formula>2.3</formula>
    </cfRule>
    <cfRule type="cellIs" dxfId="6013" priority="290" operator="equal">
      <formula>2.2</formula>
    </cfRule>
    <cfRule type="cellIs" dxfId="6012" priority="291" operator="equal">
      <formula>2.1</formula>
    </cfRule>
    <cfRule type="cellIs" dxfId="6011" priority="292" operator="equal">
      <formula>1.5</formula>
    </cfRule>
    <cfRule type="cellIs" dxfId="6010" priority="293" operator="equal">
      <formula>1.4</formula>
    </cfRule>
    <cfRule type="cellIs" dxfId="6009" priority="294" operator="equal">
      <formula>1.3</formula>
    </cfRule>
    <cfRule type="cellIs" dxfId="6008" priority="295" operator="equal">
      <formula>1.2</formula>
    </cfRule>
    <cfRule type="containsText" dxfId="6007" priority="296" operator="containsText" text="1.1">
      <formula>NOT(ISERROR(SEARCH("1.1",H185)))</formula>
    </cfRule>
  </conditionalFormatting>
  <conditionalFormatting sqref="H188:M189">
    <cfRule type="containsBlanks" dxfId="6006" priority="279">
      <formula>LEN(TRIM(H188))=0</formula>
    </cfRule>
  </conditionalFormatting>
  <conditionalFormatting sqref="H188:M189">
    <cfRule type="cellIs" dxfId="6005" priority="262" operator="equal">
      <formula>4.4</formula>
    </cfRule>
    <cfRule type="cellIs" dxfId="6004" priority="263" operator="equal">
      <formula>4.3</formula>
    </cfRule>
    <cfRule type="cellIs" dxfId="6003" priority="264" operator="equal">
      <formula>4.2</formula>
    </cfRule>
    <cfRule type="cellIs" dxfId="6002" priority="265" operator="equal">
      <formula>4.1</formula>
    </cfRule>
    <cfRule type="cellIs" dxfId="6001" priority="266" operator="equal">
      <formula>3.4</formula>
    </cfRule>
    <cfRule type="cellIs" dxfId="6000" priority="267" operator="equal">
      <formula>3.3</formula>
    </cfRule>
    <cfRule type="cellIs" dxfId="5999" priority="268" operator="equal">
      <formula>3.2</formula>
    </cfRule>
    <cfRule type="cellIs" dxfId="5998" priority="269" operator="equal">
      <formula>3.1</formula>
    </cfRule>
    <cfRule type="cellIs" dxfId="5997" priority="270" operator="equal">
      <formula>2.4</formula>
    </cfRule>
    <cfRule type="cellIs" dxfId="5996" priority="271" operator="equal">
      <formula>2.3</formula>
    </cfRule>
    <cfRule type="cellIs" dxfId="5995" priority="272" operator="equal">
      <formula>2.2</formula>
    </cfRule>
    <cfRule type="cellIs" dxfId="5994" priority="273" operator="equal">
      <formula>2.1</formula>
    </cfRule>
    <cfRule type="cellIs" dxfId="5993" priority="274" operator="equal">
      <formula>1.5</formula>
    </cfRule>
    <cfRule type="cellIs" dxfId="5992" priority="275" operator="equal">
      <formula>1.4</formula>
    </cfRule>
    <cfRule type="cellIs" dxfId="5991" priority="276" operator="equal">
      <formula>1.3</formula>
    </cfRule>
    <cfRule type="cellIs" dxfId="5990" priority="277" operator="equal">
      <formula>1.2</formula>
    </cfRule>
    <cfRule type="containsText" dxfId="5989" priority="278" operator="containsText" text="1.1">
      <formula>NOT(ISERROR(SEARCH("1.1",H188)))</formula>
    </cfRule>
  </conditionalFormatting>
  <conditionalFormatting sqref="H238:K239">
    <cfRule type="cellIs" dxfId="5988" priority="36" operator="equal">
      <formula>4.4</formula>
    </cfRule>
    <cfRule type="cellIs" dxfId="5987" priority="37" operator="equal">
      <formula>4.3</formula>
    </cfRule>
    <cfRule type="cellIs" dxfId="5986" priority="38" operator="equal">
      <formula>4.2</formula>
    </cfRule>
    <cfRule type="cellIs" dxfId="5985" priority="39" operator="equal">
      <formula>4.1</formula>
    </cfRule>
    <cfRule type="cellIs" dxfId="5984" priority="40" operator="equal">
      <formula>3.4</formula>
    </cfRule>
    <cfRule type="cellIs" dxfId="5983" priority="41" operator="equal">
      <formula>3.3</formula>
    </cfRule>
    <cfRule type="cellIs" dxfId="5982" priority="42" operator="equal">
      <formula>3.2</formula>
    </cfRule>
    <cfRule type="cellIs" dxfId="5981" priority="43" operator="equal">
      <formula>3.1</formula>
    </cfRule>
    <cfRule type="cellIs" dxfId="5980" priority="44" operator="equal">
      <formula>2.4</formula>
    </cfRule>
    <cfRule type="cellIs" dxfId="5979" priority="45" operator="equal">
      <formula>2.3</formula>
    </cfRule>
    <cfRule type="cellIs" dxfId="5978" priority="46" operator="equal">
      <formula>2.2</formula>
    </cfRule>
    <cfRule type="cellIs" dxfId="5977" priority="47" operator="equal">
      <formula>2.1</formula>
    </cfRule>
    <cfRule type="cellIs" dxfId="5976" priority="48" operator="equal">
      <formula>1.5</formula>
    </cfRule>
    <cfRule type="cellIs" dxfId="5975" priority="49" operator="equal">
      <formula>1.4</formula>
    </cfRule>
    <cfRule type="cellIs" dxfId="5974" priority="50" operator="equal">
      <formula>1.3</formula>
    </cfRule>
    <cfRule type="cellIs" dxfId="5973" priority="51" operator="equal">
      <formula>1.2</formula>
    </cfRule>
    <cfRule type="containsText" dxfId="5972" priority="52" operator="containsText" text="1.1">
      <formula>NOT(ISERROR(SEARCH("1.1",H238)))</formula>
    </cfRule>
  </conditionalFormatting>
  <conditionalFormatting sqref="H198:K224">
    <cfRule type="containsBlanks" dxfId="5971" priority="261">
      <formula>LEN(TRIM(H198))=0</formula>
    </cfRule>
  </conditionalFormatting>
  <conditionalFormatting sqref="A198:K200 A226:E227 A201:G218 A225:G225 H195:K197 H201:K224 F226:G228">
    <cfRule type="cellIs" dxfId="5970" priority="244" operator="equal">
      <formula>4.4</formula>
    </cfRule>
    <cfRule type="cellIs" dxfId="5969" priority="245" operator="equal">
      <formula>4.3</formula>
    </cfRule>
    <cfRule type="cellIs" dxfId="5968" priority="246" operator="equal">
      <formula>4.2</formula>
    </cfRule>
    <cfRule type="cellIs" dxfId="5967" priority="247" operator="equal">
      <formula>4.1</formula>
    </cfRule>
    <cfRule type="cellIs" dxfId="5966" priority="248" operator="equal">
      <formula>3.4</formula>
    </cfRule>
    <cfRule type="cellIs" dxfId="5965" priority="249" operator="equal">
      <formula>3.3</formula>
    </cfRule>
    <cfRule type="cellIs" dxfId="5964" priority="250" operator="equal">
      <formula>3.2</formula>
    </cfRule>
    <cfRule type="cellIs" dxfId="5963" priority="251" operator="equal">
      <formula>3.1</formula>
    </cfRule>
    <cfRule type="cellIs" dxfId="5962" priority="252" operator="equal">
      <formula>2.4</formula>
    </cfRule>
    <cfRule type="cellIs" dxfId="5961" priority="253" operator="equal">
      <formula>2.3</formula>
    </cfRule>
    <cfRule type="cellIs" dxfId="5960" priority="254" operator="equal">
      <formula>2.2</formula>
    </cfRule>
    <cfRule type="cellIs" dxfId="5959" priority="255" operator="equal">
      <formula>2.1</formula>
    </cfRule>
    <cfRule type="cellIs" dxfId="5958" priority="256" operator="equal">
      <formula>1.5</formula>
    </cfRule>
    <cfRule type="cellIs" dxfId="5957" priority="257" operator="equal">
      <formula>1.4</formula>
    </cfRule>
    <cfRule type="cellIs" dxfId="5956" priority="258" operator="equal">
      <formula>1.3</formula>
    </cfRule>
    <cfRule type="cellIs" dxfId="5955" priority="259" operator="equal">
      <formula>1.2</formula>
    </cfRule>
    <cfRule type="containsText" dxfId="5954" priority="260" operator="containsText" text="1.1">
      <formula>NOT(ISERROR(SEARCH("1.1",A195)))</formula>
    </cfRule>
  </conditionalFormatting>
  <conditionalFormatting sqref="A232:A234 A238 A230:K231 F238:G239">
    <cfRule type="cellIs" dxfId="5953" priority="227" operator="equal">
      <formula>4.4</formula>
    </cfRule>
    <cfRule type="cellIs" dxfId="5952" priority="228" operator="equal">
      <formula>4.3</formula>
    </cfRule>
    <cfRule type="cellIs" dxfId="5951" priority="229" operator="equal">
      <formula>4.2</formula>
    </cfRule>
    <cfRule type="cellIs" dxfId="5950" priority="230" operator="equal">
      <formula>4.1</formula>
    </cfRule>
    <cfRule type="cellIs" dxfId="5949" priority="231" operator="equal">
      <formula>3.4</formula>
    </cfRule>
    <cfRule type="cellIs" dxfId="5948" priority="232" operator="equal">
      <formula>3.3</formula>
    </cfRule>
    <cfRule type="cellIs" dxfId="5947" priority="233" operator="equal">
      <formula>3.2</formula>
    </cfRule>
    <cfRule type="cellIs" dxfId="5946" priority="234" operator="equal">
      <formula>3.1</formula>
    </cfRule>
    <cfRule type="cellIs" dxfId="5945" priority="235" operator="equal">
      <formula>2.4</formula>
    </cfRule>
    <cfRule type="cellIs" dxfId="5944" priority="236" operator="equal">
      <formula>2.3</formula>
    </cfRule>
    <cfRule type="cellIs" dxfId="5943" priority="237" operator="equal">
      <formula>2.2</formula>
    </cfRule>
    <cfRule type="cellIs" dxfId="5942" priority="238" operator="equal">
      <formula>2.1</formula>
    </cfRule>
    <cfRule type="cellIs" dxfId="5941" priority="239" operator="equal">
      <formula>1.5</formula>
    </cfRule>
    <cfRule type="cellIs" dxfId="5940" priority="240" operator="equal">
      <formula>1.4</formula>
    </cfRule>
    <cfRule type="cellIs" dxfId="5939" priority="241" operator="equal">
      <formula>1.3</formula>
    </cfRule>
    <cfRule type="cellIs" dxfId="5938" priority="242" operator="equal">
      <formula>1.2</formula>
    </cfRule>
    <cfRule type="containsText" dxfId="5937" priority="243" operator="containsText" text="1.1">
      <formula>NOT(ISERROR(SEARCH("1.1",A230)))</formula>
    </cfRule>
  </conditionalFormatting>
  <conditionalFormatting sqref="B232:G234">
    <cfRule type="cellIs" dxfId="5936" priority="210" operator="equal">
      <formula>4.4</formula>
    </cfRule>
    <cfRule type="cellIs" dxfId="5935" priority="211" operator="equal">
      <formula>4.3</formula>
    </cfRule>
    <cfRule type="cellIs" dxfId="5934" priority="212" operator="equal">
      <formula>4.2</formula>
    </cfRule>
    <cfRule type="cellIs" dxfId="5933" priority="213" operator="equal">
      <formula>4.1</formula>
    </cfRule>
    <cfRule type="cellIs" dxfId="5932" priority="214" operator="equal">
      <formula>3.4</formula>
    </cfRule>
    <cfRule type="cellIs" dxfId="5931" priority="215" operator="equal">
      <formula>3.3</formula>
    </cfRule>
    <cfRule type="cellIs" dxfId="5930" priority="216" operator="equal">
      <formula>3.2</formula>
    </cfRule>
    <cfRule type="cellIs" dxfId="5929" priority="217" operator="equal">
      <formula>3.1</formula>
    </cfRule>
    <cfRule type="cellIs" dxfId="5928" priority="218" operator="equal">
      <formula>2.4</formula>
    </cfRule>
    <cfRule type="cellIs" dxfId="5927" priority="219" operator="equal">
      <formula>2.3</formula>
    </cfRule>
    <cfRule type="cellIs" dxfId="5926" priority="220" operator="equal">
      <formula>2.2</formula>
    </cfRule>
    <cfRule type="cellIs" dxfId="5925" priority="221" operator="equal">
      <formula>2.1</formula>
    </cfRule>
    <cfRule type="cellIs" dxfId="5924" priority="222" operator="equal">
      <formula>1.5</formula>
    </cfRule>
    <cfRule type="cellIs" dxfId="5923" priority="223" operator="equal">
      <formula>1.4</formula>
    </cfRule>
    <cfRule type="cellIs" dxfId="5922" priority="224" operator="equal">
      <formula>1.3</formula>
    </cfRule>
    <cfRule type="cellIs" dxfId="5921" priority="225" operator="equal">
      <formula>1.2</formula>
    </cfRule>
    <cfRule type="containsText" dxfId="5920" priority="226" operator="containsText" text="1.1">
      <formula>NOT(ISERROR(SEARCH("1.1",B232)))</formula>
    </cfRule>
  </conditionalFormatting>
  <conditionalFormatting sqref="A195:G197">
    <cfRule type="cellIs" dxfId="5919" priority="193" operator="equal">
      <formula>4.4</formula>
    </cfRule>
    <cfRule type="cellIs" dxfId="5918" priority="194" operator="equal">
      <formula>4.3</formula>
    </cfRule>
    <cfRule type="cellIs" dxfId="5917" priority="195" operator="equal">
      <formula>4.2</formula>
    </cfRule>
    <cfRule type="cellIs" dxfId="5916" priority="196" operator="equal">
      <formula>4.1</formula>
    </cfRule>
    <cfRule type="cellIs" dxfId="5915" priority="197" operator="equal">
      <formula>3.4</formula>
    </cfRule>
    <cfRule type="cellIs" dxfId="5914" priority="198" operator="equal">
      <formula>3.3</formula>
    </cfRule>
    <cfRule type="cellIs" dxfId="5913" priority="199" operator="equal">
      <formula>3.2</formula>
    </cfRule>
    <cfRule type="cellIs" dxfId="5912" priority="200" operator="equal">
      <formula>3.1</formula>
    </cfRule>
    <cfRule type="cellIs" dxfId="5911" priority="201" operator="equal">
      <formula>2.4</formula>
    </cfRule>
    <cfRule type="cellIs" dxfId="5910" priority="202" operator="equal">
      <formula>2.3</formula>
    </cfRule>
    <cfRule type="cellIs" dxfId="5909" priority="203" operator="equal">
      <formula>2.2</formula>
    </cfRule>
    <cfRule type="cellIs" dxfId="5908" priority="204" operator="equal">
      <formula>2.1</formula>
    </cfRule>
    <cfRule type="cellIs" dxfId="5907" priority="205" operator="equal">
      <formula>1.5</formula>
    </cfRule>
    <cfRule type="cellIs" dxfId="5906" priority="206" operator="equal">
      <formula>1.4</formula>
    </cfRule>
    <cfRule type="cellIs" dxfId="5905" priority="207" operator="equal">
      <formula>1.3</formula>
    </cfRule>
    <cfRule type="cellIs" dxfId="5904" priority="208" operator="equal">
      <formula>1.2</formula>
    </cfRule>
    <cfRule type="containsText" dxfId="5903" priority="209" operator="containsText" text="1.1">
      <formula>NOT(ISERROR(SEARCH("1.1",A195)))</formula>
    </cfRule>
  </conditionalFormatting>
  <conditionalFormatting sqref="A219:G221">
    <cfRule type="cellIs" dxfId="5902" priority="176" operator="equal">
      <formula>4.4</formula>
    </cfRule>
    <cfRule type="cellIs" dxfId="5901" priority="177" operator="equal">
      <formula>4.3</formula>
    </cfRule>
    <cfRule type="cellIs" dxfId="5900" priority="178" operator="equal">
      <formula>4.2</formula>
    </cfRule>
    <cfRule type="cellIs" dxfId="5899" priority="179" operator="equal">
      <formula>4.1</formula>
    </cfRule>
    <cfRule type="cellIs" dxfId="5898" priority="180" operator="equal">
      <formula>3.4</formula>
    </cfRule>
    <cfRule type="cellIs" dxfId="5897" priority="181" operator="equal">
      <formula>3.3</formula>
    </cfRule>
    <cfRule type="cellIs" dxfId="5896" priority="182" operator="equal">
      <formula>3.2</formula>
    </cfRule>
    <cfRule type="cellIs" dxfId="5895" priority="183" operator="equal">
      <formula>3.1</formula>
    </cfRule>
    <cfRule type="cellIs" dxfId="5894" priority="184" operator="equal">
      <formula>2.4</formula>
    </cfRule>
    <cfRule type="cellIs" dxfId="5893" priority="185" operator="equal">
      <formula>2.3</formula>
    </cfRule>
    <cfRule type="cellIs" dxfId="5892" priority="186" operator="equal">
      <formula>2.2</formula>
    </cfRule>
    <cfRule type="cellIs" dxfId="5891" priority="187" operator="equal">
      <formula>2.1</formula>
    </cfRule>
    <cfRule type="cellIs" dxfId="5890" priority="188" operator="equal">
      <formula>1.5</formula>
    </cfRule>
    <cfRule type="cellIs" dxfId="5889" priority="189" operator="equal">
      <formula>1.4</formula>
    </cfRule>
    <cfRule type="cellIs" dxfId="5888" priority="190" operator="equal">
      <formula>1.3</formula>
    </cfRule>
    <cfRule type="cellIs" dxfId="5887" priority="191" operator="equal">
      <formula>1.2</formula>
    </cfRule>
    <cfRule type="containsText" dxfId="5886" priority="192" operator="containsText" text="1.1">
      <formula>NOT(ISERROR(SEARCH("1.1",A219)))</formula>
    </cfRule>
  </conditionalFormatting>
  <conditionalFormatting sqref="B222:G224">
    <cfRule type="cellIs" dxfId="5885" priority="142" operator="equal">
      <formula>4.4</formula>
    </cfRule>
    <cfRule type="cellIs" dxfId="5884" priority="143" operator="equal">
      <formula>4.3</formula>
    </cfRule>
    <cfRule type="cellIs" dxfId="5883" priority="144" operator="equal">
      <formula>4.2</formula>
    </cfRule>
    <cfRule type="cellIs" dxfId="5882" priority="145" operator="equal">
      <formula>4.1</formula>
    </cfRule>
    <cfRule type="cellIs" dxfId="5881" priority="146" operator="equal">
      <formula>3.4</formula>
    </cfRule>
    <cfRule type="cellIs" dxfId="5880" priority="147" operator="equal">
      <formula>3.3</formula>
    </cfRule>
    <cfRule type="cellIs" dxfId="5879" priority="148" operator="equal">
      <formula>3.2</formula>
    </cfRule>
    <cfRule type="cellIs" dxfId="5878" priority="149" operator="equal">
      <formula>3.1</formula>
    </cfRule>
    <cfRule type="cellIs" dxfId="5877" priority="150" operator="equal">
      <formula>2.4</formula>
    </cfRule>
    <cfRule type="cellIs" dxfId="5876" priority="151" operator="equal">
      <formula>2.3</formula>
    </cfRule>
    <cfRule type="cellIs" dxfId="5875" priority="152" operator="equal">
      <formula>2.2</formula>
    </cfRule>
    <cfRule type="cellIs" dxfId="5874" priority="153" operator="equal">
      <formula>2.1</formula>
    </cfRule>
    <cfRule type="cellIs" dxfId="5873" priority="154" operator="equal">
      <formula>1.5</formula>
    </cfRule>
    <cfRule type="cellIs" dxfId="5872" priority="155" operator="equal">
      <formula>1.4</formula>
    </cfRule>
    <cfRule type="cellIs" dxfId="5871" priority="156" operator="equal">
      <formula>1.3</formula>
    </cfRule>
    <cfRule type="cellIs" dxfId="5870" priority="157" operator="equal">
      <formula>1.2</formula>
    </cfRule>
    <cfRule type="containsText" dxfId="5869" priority="158" operator="containsText" text="1.1">
      <formula>NOT(ISERROR(SEARCH("1.1",B222)))</formula>
    </cfRule>
  </conditionalFormatting>
  <conditionalFormatting sqref="A222:A224">
    <cfRule type="cellIs" dxfId="5868" priority="159" operator="equal">
      <formula>4.4</formula>
    </cfRule>
    <cfRule type="cellIs" dxfId="5867" priority="160" operator="equal">
      <formula>4.3</formula>
    </cfRule>
    <cfRule type="cellIs" dxfId="5866" priority="161" operator="equal">
      <formula>4.2</formula>
    </cfRule>
    <cfRule type="cellIs" dxfId="5865" priority="162" operator="equal">
      <formula>4.1</formula>
    </cfRule>
    <cfRule type="cellIs" dxfId="5864" priority="163" operator="equal">
      <formula>3.4</formula>
    </cfRule>
    <cfRule type="cellIs" dxfId="5863" priority="164" operator="equal">
      <formula>3.3</formula>
    </cfRule>
    <cfRule type="cellIs" dxfId="5862" priority="165" operator="equal">
      <formula>3.2</formula>
    </cfRule>
    <cfRule type="cellIs" dxfId="5861" priority="166" operator="equal">
      <formula>3.1</formula>
    </cfRule>
    <cfRule type="cellIs" dxfId="5860" priority="167" operator="equal">
      <formula>2.4</formula>
    </cfRule>
    <cfRule type="cellIs" dxfId="5859" priority="168" operator="equal">
      <formula>2.3</formula>
    </cfRule>
    <cfRule type="cellIs" dxfId="5858" priority="169" operator="equal">
      <formula>2.2</formula>
    </cfRule>
    <cfRule type="cellIs" dxfId="5857" priority="170" operator="equal">
      <formula>2.1</formula>
    </cfRule>
    <cfRule type="cellIs" dxfId="5856" priority="171" operator="equal">
      <formula>1.5</formula>
    </cfRule>
    <cfRule type="cellIs" dxfId="5855" priority="172" operator="equal">
      <formula>1.4</formula>
    </cfRule>
    <cfRule type="cellIs" dxfId="5854" priority="173" operator="equal">
      <formula>1.3</formula>
    </cfRule>
    <cfRule type="cellIs" dxfId="5853" priority="174" operator="equal">
      <formula>1.2</formula>
    </cfRule>
    <cfRule type="containsText" dxfId="5852" priority="175" operator="containsText" text="1.1">
      <formula>NOT(ISERROR(SEARCH("1.1",A222)))</formula>
    </cfRule>
  </conditionalFormatting>
  <conditionalFormatting sqref="B235:G237">
    <cfRule type="cellIs" dxfId="5851" priority="108" operator="equal">
      <formula>4.4</formula>
    </cfRule>
    <cfRule type="cellIs" dxfId="5850" priority="109" operator="equal">
      <formula>4.3</formula>
    </cfRule>
    <cfRule type="cellIs" dxfId="5849" priority="110" operator="equal">
      <formula>4.2</formula>
    </cfRule>
    <cfRule type="cellIs" dxfId="5848" priority="111" operator="equal">
      <formula>4.1</formula>
    </cfRule>
    <cfRule type="cellIs" dxfId="5847" priority="112" operator="equal">
      <formula>3.4</formula>
    </cfRule>
    <cfRule type="cellIs" dxfId="5846" priority="113" operator="equal">
      <formula>3.3</formula>
    </cfRule>
    <cfRule type="cellIs" dxfId="5845" priority="114" operator="equal">
      <formula>3.2</formula>
    </cfRule>
    <cfRule type="cellIs" dxfId="5844" priority="115" operator="equal">
      <formula>3.1</formula>
    </cfRule>
    <cfRule type="cellIs" dxfId="5843" priority="116" operator="equal">
      <formula>2.4</formula>
    </cfRule>
    <cfRule type="cellIs" dxfId="5842" priority="117" operator="equal">
      <formula>2.3</formula>
    </cfRule>
    <cfRule type="cellIs" dxfId="5841" priority="118" operator="equal">
      <formula>2.2</formula>
    </cfRule>
    <cfRule type="cellIs" dxfId="5840" priority="119" operator="equal">
      <formula>2.1</formula>
    </cfRule>
    <cfRule type="cellIs" dxfId="5839" priority="120" operator="equal">
      <formula>1.5</formula>
    </cfRule>
    <cfRule type="cellIs" dxfId="5838" priority="121" operator="equal">
      <formula>1.4</formula>
    </cfRule>
    <cfRule type="cellIs" dxfId="5837" priority="122" operator="equal">
      <formula>1.3</formula>
    </cfRule>
    <cfRule type="cellIs" dxfId="5836" priority="123" operator="equal">
      <formula>1.2</formula>
    </cfRule>
    <cfRule type="containsText" dxfId="5835" priority="124" operator="containsText" text="1.1">
      <formula>NOT(ISERROR(SEARCH("1.1",B235)))</formula>
    </cfRule>
  </conditionalFormatting>
  <conditionalFormatting sqref="A235:A237">
    <cfRule type="cellIs" dxfId="5834" priority="125" operator="equal">
      <formula>4.4</formula>
    </cfRule>
    <cfRule type="cellIs" dxfId="5833" priority="126" operator="equal">
      <formula>4.3</formula>
    </cfRule>
    <cfRule type="cellIs" dxfId="5832" priority="127" operator="equal">
      <formula>4.2</formula>
    </cfRule>
    <cfRule type="cellIs" dxfId="5831" priority="128" operator="equal">
      <formula>4.1</formula>
    </cfRule>
    <cfRule type="cellIs" dxfId="5830" priority="129" operator="equal">
      <formula>3.4</formula>
    </cfRule>
    <cfRule type="cellIs" dxfId="5829" priority="130" operator="equal">
      <formula>3.3</formula>
    </cfRule>
    <cfRule type="cellIs" dxfId="5828" priority="131" operator="equal">
      <formula>3.2</formula>
    </cfRule>
    <cfRule type="cellIs" dxfId="5827" priority="132" operator="equal">
      <formula>3.1</formula>
    </cfRule>
    <cfRule type="cellIs" dxfId="5826" priority="133" operator="equal">
      <formula>2.4</formula>
    </cfRule>
    <cfRule type="cellIs" dxfId="5825" priority="134" operator="equal">
      <formula>2.3</formula>
    </cfRule>
    <cfRule type="cellIs" dxfId="5824" priority="135" operator="equal">
      <formula>2.2</formula>
    </cfRule>
    <cfRule type="cellIs" dxfId="5823" priority="136" operator="equal">
      <formula>2.1</formula>
    </cfRule>
    <cfRule type="cellIs" dxfId="5822" priority="137" operator="equal">
      <formula>1.5</formula>
    </cfRule>
    <cfRule type="cellIs" dxfId="5821" priority="138" operator="equal">
      <formula>1.4</formula>
    </cfRule>
    <cfRule type="cellIs" dxfId="5820" priority="139" operator="equal">
      <formula>1.3</formula>
    </cfRule>
    <cfRule type="cellIs" dxfId="5819" priority="140" operator="equal">
      <formula>1.2</formula>
    </cfRule>
    <cfRule type="containsText" dxfId="5818" priority="141" operator="containsText" text="1.1">
      <formula>NOT(ISERROR(SEARCH("1.1",A235)))</formula>
    </cfRule>
  </conditionalFormatting>
  <conditionalFormatting sqref="H238:K239">
    <cfRule type="containsBlanks" dxfId="5817" priority="53">
      <formula>LEN(TRIM(H238))=0</formula>
    </cfRule>
  </conditionalFormatting>
  <conditionalFormatting sqref="H225:K228">
    <cfRule type="containsBlanks" dxfId="5816" priority="107">
      <formula>LEN(TRIM(H225))=0</formula>
    </cfRule>
  </conditionalFormatting>
  <conditionalFormatting sqref="H225:K228">
    <cfRule type="cellIs" dxfId="5815" priority="90" operator="equal">
      <formula>4.4</formula>
    </cfRule>
    <cfRule type="cellIs" dxfId="5814" priority="91" operator="equal">
      <formula>4.3</formula>
    </cfRule>
    <cfRule type="cellIs" dxfId="5813" priority="92" operator="equal">
      <formula>4.2</formula>
    </cfRule>
    <cfRule type="cellIs" dxfId="5812" priority="93" operator="equal">
      <formula>4.1</formula>
    </cfRule>
    <cfRule type="cellIs" dxfId="5811" priority="94" operator="equal">
      <formula>3.4</formula>
    </cfRule>
    <cfRule type="cellIs" dxfId="5810" priority="95" operator="equal">
      <formula>3.3</formula>
    </cfRule>
    <cfRule type="cellIs" dxfId="5809" priority="96" operator="equal">
      <formula>3.2</formula>
    </cfRule>
    <cfRule type="cellIs" dxfId="5808" priority="97" operator="equal">
      <formula>3.1</formula>
    </cfRule>
    <cfRule type="cellIs" dxfId="5807" priority="98" operator="equal">
      <formula>2.4</formula>
    </cfRule>
    <cfRule type="cellIs" dxfId="5806" priority="99" operator="equal">
      <formula>2.3</formula>
    </cfRule>
    <cfRule type="cellIs" dxfId="5805" priority="100" operator="equal">
      <formula>2.2</formula>
    </cfRule>
    <cfRule type="cellIs" dxfId="5804" priority="101" operator="equal">
      <formula>2.1</formula>
    </cfRule>
    <cfRule type="cellIs" dxfId="5803" priority="102" operator="equal">
      <formula>1.5</formula>
    </cfRule>
    <cfRule type="cellIs" dxfId="5802" priority="103" operator="equal">
      <formula>1.4</formula>
    </cfRule>
    <cfRule type="cellIs" dxfId="5801" priority="104" operator="equal">
      <formula>1.3</formula>
    </cfRule>
    <cfRule type="cellIs" dxfId="5800" priority="105" operator="equal">
      <formula>1.2</formula>
    </cfRule>
    <cfRule type="containsText" dxfId="5799" priority="106" operator="containsText" text="1.1">
      <formula>NOT(ISERROR(SEARCH("1.1",H225)))</formula>
    </cfRule>
  </conditionalFormatting>
  <conditionalFormatting sqref="H232:K237">
    <cfRule type="containsBlanks" dxfId="5798" priority="35">
      <formula>LEN(TRIM(H232))=0</formula>
    </cfRule>
  </conditionalFormatting>
  <conditionalFormatting sqref="H232:K237">
    <cfRule type="cellIs" dxfId="5797" priority="18" operator="equal">
      <formula>4.4</formula>
    </cfRule>
    <cfRule type="cellIs" dxfId="5796" priority="19" operator="equal">
      <formula>4.3</formula>
    </cfRule>
    <cfRule type="cellIs" dxfId="5795" priority="20" operator="equal">
      <formula>4.2</formula>
    </cfRule>
    <cfRule type="cellIs" dxfId="5794" priority="21" operator="equal">
      <formula>4.1</formula>
    </cfRule>
    <cfRule type="cellIs" dxfId="5793" priority="22" operator="equal">
      <formula>3.4</formula>
    </cfRule>
    <cfRule type="cellIs" dxfId="5792" priority="23" operator="equal">
      <formula>3.3</formula>
    </cfRule>
    <cfRule type="cellIs" dxfId="5791" priority="24" operator="equal">
      <formula>3.2</formula>
    </cfRule>
    <cfRule type="cellIs" dxfId="5790" priority="25" operator="equal">
      <formula>3.1</formula>
    </cfRule>
    <cfRule type="cellIs" dxfId="5789" priority="26" operator="equal">
      <formula>2.4</formula>
    </cfRule>
    <cfRule type="cellIs" dxfId="5788" priority="27" operator="equal">
      <formula>2.3</formula>
    </cfRule>
    <cfRule type="cellIs" dxfId="5787" priority="28" operator="equal">
      <formula>2.2</formula>
    </cfRule>
    <cfRule type="cellIs" dxfId="5786" priority="29" operator="equal">
      <formula>2.1</formula>
    </cfRule>
    <cfRule type="cellIs" dxfId="5785" priority="30" operator="equal">
      <formula>1.5</formula>
    </cfRule>
    <cfRule type="cellIs" dxfId="5784" priority="31" operator="equal">
      <formula>1.4</formula>
    </cfRule>
    <cfRule type="cellIs" dxfId="5783" priority="32" operator="equal">
      <formula>1.3</formula>
    </cfRule>
    <cfRule type="cellIs" dxfId="5782" priority="33" operator="equal">
      <formula>1.2</formula>
    </cfRule>
    <cfRule type="containsText" dxfId="5781" priority="34" operator="containsText" text="1.1">
      <formula>NOT(ISERROR(SEARCH("1.1",H232)))</formula>
    </cfRule>
  </conditionalFormatting>
  <conditionalFormatting sqref="BJ48:BO77">
    <cfRule type="cellIs" dxfId="5780" priority="1" operator="equal">
      <formula>4.4</formula>
    </cfRule>
    <cfRule type="cellIs" dxfId="5779" priority="2" operator="equal">
      <formula>4.3</formula>
    </cfRule>
    <cfRule type="cellIs" dxfId="5778" priority="3" operator="equal">
      <formula>4.2</formula>
    </cfRule>
    <cfRule type="cellIs" dxfId="5777" priority="4" operator="equal">
      <formula>4.1</formula>
    </cfRule>
    <cfRule type="cellIs" dxfId="5776" priority="5" operator="equal">
      <formula>3.4</formula>
    </cfRule>
    <cfRule type="cellIs" dxfId="5775" priority="6" operator="equal">
      <formula>3.3</formula>
    </cfRule>
    <cfRule type="cellIs" dxfId="5774" priority="7" operator="equal">
      <formula>3.2</formula>
    </cfRule>
    <cfRule type="cellIs" dxfId="5773" priority="8" operator="equal">
      <formula>3.1</formula>
    </cfRule>
    <cfRule type="cellIs" dxfId="5772" priority="9" operator="equal">
      <formula>2.4</formula>
    </cfRule>
    <cfRule type="cellIs" dxfId="5771" priority="10" operator="equal">
      <formula>2.3</formula>
    </cfRule>
    <cfRule type="cellIs" dxfId="5770" priority="11" operator="equal">
      <formula>2.2</formula>
    </cfRule>
    <cfRule type="cellIs" dxfId="5769" priority="12" operator="equal">
      <formula>2.1</formula>
    </cfRule>
    <cfRule type="cellIs" dxfId="5768" priority="13" operator="equal">
      <formula>1.5</formula>
    </cfRule>
    <cfRule type="cellIs" dxfId="5767" priority="14" operator="equal">
      <formula>1.4</formula>
    </cfRule>
    <cfRule type="cellIs" dxfId="5766" priority="15" operator="equal">
      <formula>1.3</formula>
    </cfRule>
    <cfRule type="cellIs" dxfId="5765" priority="16" operator="equal">
      <formula>1.2</formula>
    </cfRule>
    <cfRule type="containsText" dxfId="5764" priority="17" operator="containsText" text="1.1">
      <formula>NOT(ISERROR(SEARCH("1.1",BJ48)))</formula>
    </cfRule>
  </conditionalFormatting>
  <hyperlinks>
    <hyperlink ref="Y5:AA6" location="Drinks2" display="Drinks2" xr:uid="{00000000-0004-0000-0A00-000000000000}"/>
    <hyperlink ref="AC5:AE6" location="Drinks2" display="Drinks2" xr:uid="{00000000-0004-0000-0A00-000001000000}"/>
    <hyperlink ref="AG5:AI6" location="Drinks2" display="Drinks2" xr:uid="{00000000-0004-0000-0A00-000002000000}"/>
    <hyperlink ref="AK5:AM6" location="Drinks2" display="Drinks2" xr:uid="{00000000-0004-0000-0A00-000003000000}"/>
    <hyperlink ref="AS5:AU6" location="Drinks2" display="Drinks2" xr:uid="{00000000-0004-0000-0A00-000004000000}"/>
    <hyperlink ref="AW5:AY6" location="Drinks3" display="Drinks3" xr:uid="{00000000-0004-0000-0A00-000005000000}"/>
    <hyperlink ref="U5:W6" location="Drinks1" display="Drinks1" xr:uid="{00000000-0004-0000-0A00-000006000000}"/>
    <hyperlink ref="Q5:S6" location="Drinks1" display="Drinks1" xr:uid="{00000000-0004-0000-0A00-000007000000}"/>
    <hyperlink ref="M5:O6" location="Drinks1" display="Drinks1" xr:uid="{00000000-0004-0000-0A00-000008000000}"/>
    <hyperlink ref="I5:K6" location="Drinks1" display="Drinks1" xr:uid="{00000000-0004-0000-0A00-000009000000}"/>
    <hyperlink ref="E5:G6" location="Drinks1" display="Drinks1" xr:uid="{00000000-0004-0000-0A00-00000A000000}"/>
    <hyperlink ref="BK1:BN2" location="CustomerProfiles" display="CustomerProfiles" xr:uid="{00000000-0004-0000-0A00-00000B000000}"/>
    <hyperlink ref="BN1:BP2" location="CustomerScenariors" display="CustomerScenariors" xr:uid="{00000000-0004-0000-0A00-00000C000000}"/>
    <hyperlink ref="E3:G4" location="Welcome_Services_DEL" display="Welcome_Services_DEL" xr:uid="{00000000-0004-0000-0A00-00000D000000}"/>
    <hyperlink ref="I3:K4" location="Welcome_Services_DEL" display="Welcome_Services_DEL" xr:uid="{00000000-0004-0000-0A00-00000E000000}"/>
    <hyperlink ref="M3:O4" location="Lunch__CAT_3_DEL" display="Lunch__CAT_3_DEL" xr:uid="{00000000-0004-0000-0A00-00000F000000}"/>
    <hyperlink ref="Q3:S4" location="Lunch__CAT_3_DEL" display="Lunch__CAT_3_DEL" xr:uid="{00000000-0004-0000-0A00-000010000000}"/>
    <hyperlink ref="U3:W4" location="Lunch__CAT_3_DEL" display="Lunch__CAT_3_DEL" xr:uid="{00000000-0004-0000-0A00-000011000000}"/>
    <hyperlink ref="Y3:AA4" location="Lunch__CAT_3_DEL" display="Lunch__CAT_3_DEL" xr:uid="{00000000-0004-0000-0A00-000012000000}"/>
    <hyperlink ref="AC3:AE4" location="Lunch__CAT_3_DEL" display="Lunch__CAT_3_DEL" xr:uid="{00000000-0004-0000-0A00-000013000000}"/>
    <hyperlink ref="AG3:AI4" location="Lunch__CAT_3_DEL" display="Lunch__CAT_3_DEL" xr:uid="{00000000-0004-0000-0A00-000014000000}"/>
    <hyperlink ref="A5:C6" location="Drinks1" display="Drinks1" xr:uid="{00000000-0004-0000-0A00-000015000000}"/>
    <hyperlink ref="BA5:BC6" location="Drinks3" display="Drinks3" xr:uid="{00000000-0004-0000-0A00-000016000000}"/>
    <hyperlink ref="BE5:BG6" location="Drinks3" display="Drinks3" xr:uid="{00000000-0004-0000-0A00-000017000000}"/>
    <hyperlink ref="BI5:BK6" location="Drinks3" display="Drinks3" xr:uid="{00000000-0004-0000-0A00-000018000000}"/>
  </hyperlinks>
  <pageMargins left="0.70866141732283472" right="0.70866141732283472" top="0" bottom="0.74803149606299213" header="0.31496062992125984" footer="0.31496062992125984"/>
  <pageSetup paperSize="9" scale="62" fitToHeight="0" orientation="landscape" r:id="rId2"/>
  <rowBreaks count="4" manualBreakCount="4">
    <brk id="44" max="67" man="1"/>
    <brk id="92" max="67" man="1"/>
    <brk id="142" max="67" man="1"/>
    <brk id="192" max="67"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pageSetUpPr fitToPage="1"/>
  </sheetPr>
  <dimension ref="A1:CK248"/>
  <sheetViews>
    <sheetView showGridLines="0" view="pageBreakPreview" zoomScale="85" zoomScaleNormal="85" zoomScaleSheetLayoutView="85" workbookViewId="0">
      <selection activeCell="H3" sqref="H3:H4"/>
    </sheetView>
  </sheetViews>
  <sheetFormatPr baseColWidth="10" defaultColWidth="2.6640625" defaultRowHeight="15" customHeight="1"/>
  <cols>
    <col min="1" max="1" width="2.6640625" style="242"/>
    <col min="2" max="7" width="2.6640625" style="52"/>
    <col min="8" max="12" width="3.1640625" style="52" bestFit="1" customWidth="1"/>
    <col min="13" max="13" width="3.33203125" style="52" customWidth="1"/>
    <col min="14" max="14" width="2.5" style="52" customWidth="1"/>
    <col min="15" max="15" width="2.6640625" style="242"/>
    <col min="16" max="22" width="2.6640625" style="52"/>
    <col min="23" max="23" width="2.6640625" style="242"/>
    <col min="24" max="28" width="2.6640625" style="52"/>
    <col min="29" max="29" width="2.6640625" style="52" customWidth="1"/>
    <col min="30" max="31" width="2.6640625" style="52"/>
    <col min="32" max="32" width="2.6640625" style="242"/>
    <col min="33" max="40" width="2.6640625" style="52"/>
    <col min="41" max="41" width="2.6640625" style="242"/>
    <col min="42" max="16384" width="2.6640625" style="52"/>
  </cols>
  <sheetData>
    <row r="1" spans="1:89" ht="15" customHeight="1">
      <c r="A1" s="295"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95" t="str">
        <f>"Abinitio No : "&amp;Group</f>
        <v xml:space="preserve">Abinitio No : </v>
      </c>
      <c r="AB1" s="259"/>
      <c r="AC1" s="259"/>
      <c r="AD1" s="259"/>
      <c r="AE1" s="259"/>
      <c r="AF1" s="259"/>
      <c r="AG1" s="259"/>
      <c r="AH1" s="259"/>
      <c r="AI1" s="259"/>
      <c r="AJ1" s="259"/>
      <c r="AK1" s="259"/>
      <c r="AL1" s="259"/>
      <c r="AM1" s="259"/>
      <c r="AN1" s="259"/>
      <c r="AO1" s="259"/>
      <c r="AP1" s="259"/>
      <c r="AQ1" s="259"/>
      <c r="AR1" s="295"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89" ht="15" customHeight="1">
      <c r="A2" s="295"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671</v>
      </c>
      <c r="AS2" s="259"/>
      <c r="AT2" s="259"/>
      <c r="AU2" s="259"/>
      <c r="AV2" s="259"/>
      <c r="AW2" s="259"/>
      <c r="AX2" s="295"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89"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O47</f>
        <v>1. SPML</v>
      </c>
      <c r="N3" s="1220"/>
      <c r="O3" s="1221"/>
      <c r="P3" s="1225"/>
      <c r="Q3" s="1219" t="str">
        <f>W47</f>
        <v>2. Bar Cart</v>
      </c>
      <c r="R3" s="1220"/>
      <c r="S3" s="1221"/>
      <c r="T3" s="1225"/>
      <c r="U3" s="1219" t="str">
        <f>AE47</f>
        <v>3. Meal Cart</v>
      </c>
      <c r="V3" s="1220"/>
      <c r="W3" s="1221"/>
      <c r="X3" s="1225"/>
      <c r="Y3" s="1219" t="str">
        <f>AM47</f>
        <v>4. Hot Beverage - By Hand</v>
      </c>
      <c r="Z3" s="1220"/>
      <c r="AA3" s="1221"/>
      <c r="AB3" s="1225"/>
      <c r="AC3" s="1219" t="str">
        <f>AU47</f>
        <v>5. Clearance Cart</v>
      </c>
      <c r="AD3" s="1220"/>
      <c r="AE3" s="1221"/>
      <c r="AF3" s="1225"/>
      <c r="AG3" s="1219" t="str">
        <f>BC47</f>
        <v>6. Final Clearance</v>
      </c>
      <c r="AH3" s="1220"/>
      <c r="AI3" s="1221"/>
      <c r="AJ3" s="1225"/>
      <c r="AK3" s="251"/>
      <c r="AL3" s="251"/>
      <c r="AM3" s="251"/>
      <c r="AN3" s="251"/>
      <c r="AO3" s="251"/>
      <c r="AP3" s="251"/>
      <c r="AQ3" s="251"/>
      <c r="AR3" s="251"/>
      <c r="AS3" s="251"/>
      <c r="AT3" s="251"/>
      <c r="AU3" s="251"/>
      <c r="AV3" s="251"/>
      <c r="AW3" s="251"/>
      <c r="AX3" s="251"/>
    </row>
    <row r="4" spans="1:89"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1222"/>
      <c r="AH4" s="1223"/>
      <c r="AI4" s="1224"/>
      <c r="AJ4" s="1226"/>
      <c r="AK4" s="251"/>
      <c r="AL4" s="251"/>
      <c r="AM4" s="251"/>
      <c r="AN4" s="251"/>
      <c r="AO4" s="251"/>
      <c r="AP4" s="251"/>
      <c r="AQ4" s="251"/>
      <c r="AR4" s="251"/>
      <c r="AS4" s="251"/>
      <c r="AT4" s="251"/>
      <c r="AU4" s="251"/>
      <c r="AV4" s="251"/>
      <c r="AW4" s="251"/>
      <c r="AX4" s="251"/>
    </row>
    <row r="5" spans="1:89" ht="15" customHeight="1">
      <c r="A5" s="1219" t="str">
        <f>O95</f>
        <v>1. Champagne</v>
      </c>
      <c r="B5" s="1220"/>
      <c r="C5" s="1221"/>
      <c r="D5" s="1225"/>
      <c r="E5" s="1219" t="str">
        <f>W95</f>
        <v>2. Wine 
- Small Bottles</v>
      </c>
      <c r="F5" s="1220"/>
      <c r="G5" s="1221"/>
      <c r="H5" s="1225"/>
      <c r="I5" s="1219" t="str">
        <f>AE95</f>
        <v>3. White Wine Spritzer
- Small Bottles</v>
      </c>
      <c r="J5" s="1220"/>
      <c r="K5" s="1221"/>
      <c r="L5" s="1225"/>
      <c r="M5" s="1219" t="str">
        <f>AM95</f>
        <v>4. Wine
- Big Bottles</v>
      </c>
      <c r="N5" s="1220"/>
      <c r="O5" s="1221"/>
      <c r="P5" s="1225"/>
      <c r="Q5" s="1219" t="str">
        <f>AU95</f>
        <v>5. Dry - White Wine Spritzer - Big Bottle of Wine</v>
      </c>
      <c r="R5" s="1220"/>
      <c r="S5" s="1221"/>
      <c r="T5" s="1225"/>
      <c r="U5" s="1219" t="str">
        <f>BC95</f>
        <v>6. Sweet - White Wine Spritzer- Big Bottle of Wine</v>
      </c>
      <c r="V5" s="1220"/>
      <c r="W5" s="1221"/>
      <c r="X5" s="1225"/>
      <c r="Y5" s="1219" t="str">
        <f>O145</f>
        <v>7. Liqueur</v>
      </c>
      <c r="Z5" s="1220"/>
      <c r="AA5" s="1221"/>
      <c r="AB5" s="1225"/>
      <c r="AC5" s="1219" t="str">
        <f>W145</f>
        <v>8. Shandy</v>
      </c>
      <c r="AD5" s="1220"/>
      <c r="AE5" s="1221"/>
      <c r="AF5" s="1225"/>
      <c r="AG5" s="1219" t="str">
        <f>AE145</f>
        <v>9. Hot Beverage 
- Tea</v>
      </c>
      <c r="AH5" s="1220"/>
      <c r="AI5" s="1221"/>
      <c r="AJ5" s="1225"/>
      <c r="AK5" s="1219" t="str">
        <f>AM145</f>
        <v>10. Beer</v>
      </c>
      <c r="AL5" s="1220"/>
      <c r="AM5" s="1221"/>
      <c r="AN5" s="1225"/>
      <c r="AO5" s="1219" t="str">
        <f>AU145</f>
        <v>11. Screwdriver</v>
      </c>
      <c r="AP5" s="1220"/>
      <c r="AQ5" s="1221"/>
      <c r="AR5" s="1225"/>
      <c r="AS5" s="1219" t="str">
        <f>BC145</f>
        <v>12. Gin &amp; Orange Juice</v>
      </c>
      <c r="AT5" s="1220"/>
      <c r="AU5" s="1221"/>
      <c r="AV5" s="1225"/>
      <c r="AW5" s="1219" t="str">
        <f>O195</f>
        <v>13. Rum &amp; Pepsi</v>
      </c>
      <c r="AX5" s="1220"/>
      <c r="AY5" s="1221"/>
      <c r="AZ5" s="1225"/>
      <c r="BA5" s="1219" t="str">
        <f>W195</f>
        <v>14. Gin &amp; Tonic</v>
      </c>
      <c r="BB5" s="1220"/>
      <c r="BC5" s="1221"/>
      <c r="BD5" s="1225"/>
      <c r="BE5" s="1219" t="str">
        <f>AE195</f>
        <v>15. Scotch &amp; Soda</v>
      </c>
      <c r="BF5" s="1220"/>
      <c r="BG5" s="1221"/>
      <c r="BH5" s="1225"/>
      <c r="BI5" s="1219" t="str">
        <f>AM195</f>
        <v>16. Bloody Mary</v>
      </c>
      <c r="BJ5" s="1220"/>
      <c r="BK5" s="1221"/>
      <c r="BL5" s="1225"/>
    </row>
    <row r="6" spans="1:89"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9"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9"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9" ht="15" customHeight="1">
      <c r="A9" s="1172"/>
      <c r="B9" s="1173" t="s">
        <v>608</v>
      </c>
      <c r="C9" s="1173"/>
      <c r="D9" s="1173"/>
      <c r="E9" s="1173"/>
      <c r="F9" s="1173"/>
      <c r="G9" s="1173"/>
      <c r="H9" s="1173"/>
      <c r="I9" s="1174">
        <v>1</v>
      </c>
      <c r="J9" s="1174">
        <v>2</v>
      </c>
      <c r="K9" s="255"/>
      <c r="L9" s="1537"/>
      <c r="M9" s="1541" t="s">
        <v>662</v>
      </c>
      <c r="N9" s="1541"/>
      <c r="O9" s="1541"/>
      <c r="P9" s="1541"/>
      <c r="Q9" s="1541"/>
      <c r="R9" s="1541"/>
      <c r="S9" s="1541"/>
      <c r="T9" s="1249"/>
      <c r="U9" s="1250"/>
      <c r="V9" s="1251"/>
      <c r="W9" s="1529" t="s">
        <v>677</v>
      </c>
      <c r="X9" s="1252"/>
      <c r="Y9" s="1252"/>
      <c r="Z9" s="1252"/>
      <c r="AA9" s="1252"/>
      <c r="AB9" s="1252"/>
      <c r="AC9" s="1253"/>
      <c r="AD9" s="1256"/>
      <c r="AE9" s="256"/>
      <c r="AF9" s="256"/>
      <c r="AO9" s="52"/>
      <c r="BJ9" s="1182" t="s">
        <v>263</v>
      </c>
      <c r="BK9" s="1183"/>
      <c r="BL9" s="1183"/>
      <c r="BM9" s="1183"/>
      <c r="BN9" s="1183"/>
      <c r="BO9" s="1184"/>
      <c r="BP9" s="255"/>
      <c r="BQ9" s="255"/>
      <c r="BR9" s="255"/>
      <c r="BS9" s="242"/>
      <c r="CB9" s="242"/>
    </row>
    <row r="10" spans="1:89" ht="15" customHeight="1" thickBot="1">
      <c r="A10" s="1172"/>
      <c r="B10" s="1173"/>
      <c r="C10" s="1173"/>
      <c r="D10" s="1173"/>
      <c r="E10" s="1173"/>
      <c r="F10" s="1173"/>
      <c r="G10" s="1173"/>
      <c r="H10" s="1173"/>
      <c r="I10" s="1174"/>
      <c r="J10" s="1174"/>
      <c r="K10" s="255"/>
      <c r="L10" s="1539"/>
      <c r="M10" s="1547"/>
      <c r="N10" s="1547"/>
      <c r="O10" s="1547"/>
      <c r="P10" s="1547"/>
      <c r="Q10" s="1547"/>
      <c r="R10" s="1547"/>
      <c r="S10" s="1547"/>
      <c r="T10" s="1249" t="s">
        <v>312</v>
      </c>
      <c r="U10" s="1250"/>
      <c r="V10" s="1251"/>
      <c r="W10" s="1531"/>
      <c r="X10" s="1254"/>
      <c r="Y10" s="1254"/>
      <c r="Z10" s="1254"/>
      <c r="AA10" s="1254"/>
      <c r="AB10" s="1254"/>
      <c r="AC10" s="1255"/>
      <c r="AD10" s="1257"/>
      <c r="AE10" s="256"/>
      <c r="AF10" s="256"/>
      <c r="AO10" s="52"/>
      <c r="BJ10" s="1185"/>
      <c r="BK10" s="1186"/>
      <c r="BL10" s="1186"/>
      <c r="BM10" s="1186"/>
      <c r="BN10" s="1186"/>
      <c r="BO10" s="1187"/>
      <c r="BP10" s="255"/>
      <c r="BQ10" s="255"/>
      <c r="BR10" s="255"/>
      <c r="BS10" s="242"/>
      <c r="CB10" s="242"/>
    </row>
    <row r="11" spans="1:89" ht="15" customHeight="1">
      <c r="A11" s="1307">
        <v>1.1000000000000001</v>
      </c>
      <c r="B11" s="1395" t="s">
        <v>939</v>
      </c>
      <c r="C11" s="1396"/>
      <c r="D11" s="1396"/>
      <c r="E11" s="1396"/>
      <c r="F11" s="1396"/>
      <c r="G11" s="1396"/>
      <c r="H11" s="1536"/>
      <c r="I11" s="1205" t="str">
        <f>IF(ISBLANK(H$3),"",1)</f>
        <v/>
      </c>
      <c r="J11" s="1205" t="str">
        <f>IF(ISBLANK(L$3),"",1)</f>
        <v/>
      </c>
      <c r="K11" s="255"/>
      <c r="L11" s="1236">
        <v>1.5</v>
      </c>
      <c r="M11" s="1395" t="s">
        <v>314</v>
      </c>
      <c r="N11" s="1396"/>
      <c r="O11" s="1396"/>
      <c r="P11" s="1396"/>
      <c r="Q11" s="1396"/>
      <c r="R11" s="1396"/>
      <c r="S11" s="1396"/>
      <c r="T11" s="1205" t="str">
        <f>IF(ISBLANK(H$3),"",1)</f>
        <v/>
      </c>
      <c r="U11" s="1241"/>
      <c r="V11" s="1236">
        <v>4.4000000000000004</v>
      </c>
      <c r="W11" s="1526" t="s">
        <v>628</v>
      </c>
      <c r="X11" s="1527"/>
      <c r="Y11" s="1527"/>
      <c r="Z11" s="1527"/>
      <c r="AA11" s="1527"/>
      <c r="AB11" s="1527"/>
      <c r="AC11" s="1533"/>
      <c r="AD11" s="1205" t="str">
        <f>IF(ISBLANK(L$3),"",1)</f>
        <v/>
      </c>
      <c r="AE11" s="256"/>
      <c r="AF11" s="256"/>
      <c r="AO11" s="52"/>
      <c r="BJ11" s="1188"/>
      <c r="BK11" s="1189"/>
      <c r="BL11" s="1189"/>
      <c r="BM11" s="1189"/>
      <c r="BN11" s="1189"/>
      <c r="BO11" s="1190"/>
      <c r="BP11" s="255"/>
      <c r="BQ11" s="255"/>
      <c r="BR11" s="255"/>
      <c r="BS11" s="242"/>
      <c r="CB11" s="242"/>
    </row>
    <row r="12" spans="1:89" ht="15" customHeight="1">
      <c r="A12" s="1308"/>
      <c r="B12" s="1163"/>
      <c r="C12" s="1164"/>
      <c r="D12" s="1164"/>
      <c r="E12" s="1164"/>
      <c r="F12" s="1164"/>
      <c r="G12" s="1164"/>
      <c r="H12" s="1266"/>
      <c r="I12" s="1206"/>
      <c r="J12" s="1206"/>
      <c r="K12" s="255"/>
      <c r="L12" s="1236"/>
      <c r="M12" s="1163"/>
      <c r="N12" s="1164"/>
      <c r="O12" s="1164"/>
      <c r="P12" s="1164"/>
      <c r="Q12" s="1164"/>
      <c r="R12" s="1164"/>
      <c r="S12" s="1164"/>
      <c r="T12" s="1206"/>
      <c r="U12" s="1241"/>
      <c r="V12" s="1236"/>
      <c r="W12" s="1317"/>
      <c r="X12" s="1296"/>
      <c r="Y12" s="1296"/>
      <c r="Z12" s="1296"/>
      <c r="AA12" s="1296"/>
      <c r="AB12" s="1296"/>
      <c r="AC12" s="1297"/>
      <c r="AD12" s="1206"/>
      <c r="AE12" s="256"/>
      <c r="AF12" s="256"/>
      <c r="AO12" s="52"/>
      <c r="BJ12" s="1188"/>
      <c r="BK12" s="1189"/>
      <c r="BL12" s="1189"/>
      <c r="BM12" s="1189"/>
      <c r="BN12" s="1189"/>
      <c r="BO12" s="1190"/>
      <c r="BP12" s="255"/>
      <c r="BQ12" s="255"/>
      <c r="BR12" s="255"/>
      <c r="BS12" s="242"/>
      <c r="CB12" s="242"/>
    </row>
    <row r="13" spans="1:89" ht="15" customHeight="1">
      <c r="A13" s="1309"/>
      <c r="B13" s="1163"/>
      <c r="C13" s="1164"/>
      <c r="D13" s="1164"/>
      <c r="E13" s="1164"/>
      <c r="F13" s="1164"/>
      <c r="G13" s="1164"/>
      <c r="H13" s="1266"/>
      <c r="I13" s="1207"/>
      <c r="J13" s="1207"/>
      <c r="K13" s="255"/>
      <c r="L13" s="1236"/>
      <c r="M13" s="1165"/>
      <c r="N13" s="1166"/>
      <c r="O13" s="1166"/>
      <c r="P13" s="1166"/>
      <c r="Q13" s="1166"/>
      <c r="R13" s="1166"/>
      <c r="S13" s="1166"/>
      <c r="T13" s="1207"/>
      <c r="U13" s="1241"/>
      <c r="V13" s="1236"/>
      <c r="W13" s="1317"/>
      <c r="X13" s="1296"/>
      <c r="Y13" s="1296"/>
      <c r="Z13" s="1296"/>
      <c r="AA13" s="1296"/>
      <c r="AB13" s="1296"/>
      <c r="AC13" s="1297"/>
      <c r="AD13" s="1207"/>
      <c r="AE13" s="256"/>
      <c r="AF13" s="256"/>
      <c r="AO13" s="52"/>
      <c r="BJ13" s="1188"/>
      <c r="BK13" s="1189"/>
      <c r="BL13" s="1189"/>
      <c r="BM13" s="1189"/>
      <c r="BN13" s="1189"/>
      <c r="BO13" s="1190"/>
      <c r="BP13" s="255"/>
      <c r="BQ13" s="255"/>
      <c r="BR13" s="255"/>
      <c r="BS13" s="242"/>
      <c r="CB13" s="242"/>
    </row>
    <row r="14" spans="1:89" ht="15" customHeight="1">
      <c r="A14" s="1307">
        <v>1.1000000000000001</v>
      </c>
      <c r="B14" s="1395" t="s">
        <v>316</v>
      </c>
      <c r="C14" s="1396"/>
      <c r="D14" s="1396"/>
      <c r="E14" s="1396"/>
      <c r="F14" s="1396"/>
      <c r="G14" s="1396"/>
      <c r="H14" s="1536"/>
      <c r="I14" s="1205" t="str">
        <f t="shared" ref="I14" si="0">IF(ISBLANK(H$3),"",1)</f>
        <v/>
      </c>
      <c r="J14" s="1205" t="str">
        <f>IF(ISBLANK(L$3),"",1)</f>
        <v/>
      </c>
      <c r="K14" s="255"/>
      <c r="L14" s="1258">
        <v>4.4000000000000004</v>
      </c>
      <c r="M14" s="1161" t="s">
        <v>317</v>
      </c>
      <c r="N14" s="1162"/>
      <c r="O14" s="1162"/>
      <c r="P14" s="1162"/>
      <c r="Q14" s="1162"/>
      <c r="R14" s="1162"/>
      <c r="S14" s="1162"/>
      <c r="T14" s="1205" t="str">
        <f>IF(ISBLANK(H$3),"",1)</f>
        <v/>
      </c>
      <c r="U14" s="1241"/>
      <c r="V14" s="1258">
        <v>4.4000000000000004</v>
      </c>
      <c r="W14" s="1526" t="s">
        <v>874</v>
      </c>
      <c r="X14" s="1527"/>
      <c r="Y14" s="1527"/>
      <c r="Z14" s="1527"/>
      <c r="AA14" s="1527"/>
      <c r="AB14" s="1527"/>
      <c r="AC14" s="1533" t="s">
        <v>696</v>
      </c>
      <c r="AD14" s="1205" t="str">
        <f>IF(ISBLANK(L$3),"",1)</f>
        <v/>
      </c>
      <c r="AE14" s="256"/>
      <c r="AF14" s="256"/>
      <c r="AO14" s="52"/>
      <c r="BJ14" s="1188"/>
      <c r="BK14" s="1189"/>
      <c r="BL14" s="1189"/>
      <c r="BM14" s="1189"/>
      <c r="BN14" s="1189"/>
      <c r="BO14" s="1190"/>
      <c r="BP14" s="255"/>
      <c r="BQ14" s="255"/>
      <c r="BR14" s="255"/>
      <c r="BS14" s="242"/>
      <c r="CB14" s="242"/>
      <c r="CK14" s="242"/>
    </row>
    <row r="15" spans="1:89" ht="15" customHeight="1">
      <c r="A15" s="1308"/>
      <c r="B15" s="1163"/>
      <c r="C15" s="1164"/>
      <c r="D15" s="1164"/>
      <c r="E15" s="1164"/>
      <c r="F15" s="1164"/>
      <c r="G15" s="1164"/>
      <c r="H15" s="1266"/>
      <c r="I15" s="1206"/>
      <c r="J15" s="1206"/>
      <c r="K15" s="255"/>
      <c r="L15" s="1258"/>
      <c r="M15" s="1163"/>
      <c r="N15" s="1164"/>
      <c r="O15" s="1164"/>
      <c r="P15" s="1164"/>
      <c r="Q15" s="1164"/>
      <c r="R15" s="1164"/>
      <c r="S15" s="1164"/>
      <c r="T15" s="1206"/>
      <c r="U15" s="1241"/>
      <c r="V15" s="1258"/>
      <c r="W15" s="1317"/>
      <c r="X15" s="1296"/>
      <c r="Y15" s="1296"/>
      <c r="Z15" s="1296"/>
      <c r="AA15" s="1296"/>
      <c r="AB15" s="1296"/>
      <c r="AC15" s="1297"/>
      <c r="AD15" s="1206"/>
      <c r="AE15" s="256"/>
      <c r="AF15" s="256"/>
      <c r="AO15" s="52"/>
      <c r="BJ15" s="1188"/>
      <c r="BK15" s="1189"/>
      <c r="BL15" s="1189"/>
      <c r="BM15" s="1189"/>
      <c r="BN15" s="1189"/>
      <c r="BO15" s="1190"/>
      <c r="BP15" s="255"/>
      <c r="BQ15" s="255"/>
      <c r="BR15" s="255"/>
      <c r="BS15" s="242"/>
      <c r="CB15" s="242"/>
      <c r="CK15" s="242"/>
    </row>
    <row r="16" spans="1:89" ht="15" customHeight="1">
      <c r="A16" s="1309"/>
      <c r="B16" s="1163"/>
      <c r="C16" s="1164"/>
      <c r="D16" s="1164"/>
      <c r="E16" s="1164"/>
      <c r="F16" s="1164"/>
      <c r="G16" s="1164"/>
      <c r="H16" s="1266"/>
      <c r="I16" s="1207"/>
      <c r="J16" s="1207"/>
      <c r="K16" s="255"/>
      <c r="L16" s="1258"/>
      <c r="M16" s="1165"/>
      <c r="N16" s="1166"/>
      <c r="O16" s="1166"/>
      <c r="P16" s="1166"/>
      <c r="Q16" s="1166"/>
      <c r="R16" s="1166"/>
      <c r="S16" s="1166"/>
      <c r="T16" s="1207"/>
      <c r="U16" s="1241"/>
      <c r="V16" s="1258"/>
      <c r="W16" s="1317"/>
      <c r="X16" s="1296"/>
      <c r="Y16" s="1296"/>
      <c r="Z16" s="1296"/>
      <c r="AA16" s="1296"/>
      <c r="AB16" s="1296"/>
      <c r="AC16" s="1297"/>
      <c r="AD16" s="1207"/>
      <c r="AE16" s="256"/>
      <c r="AF16" s="256"/>
      <c r="AO16" s="52"/>
      <c r="BJ16" s="1188"/>
      <c r="BK16" s="1189"/>
      <c r="BL16" s="1189"/>
      <c r="BM16" s="1189"/>
      <c r="BN16" s="1189"/>
      <c r="BO16" s="1190"/>
      <c r="BP16" s="255"/>
      <c r="BQ16" s="255"/>
      <c r="BR16" s="255"/>
      <c r="BS16" s="242"/>
      <c r="CB16" s="242"/>
      <c r="CK16" s="242"/>
    </row>
    <row r="17" spans="1:89" ht="15" customHeight="1">
      <c r="A17" s="1304">
        <v>2.4</v>
      </c>
      <c r="B17" s="1395" t="s">
        <v>320</v>
      </c>
      <c r="C17" s="1396"/>
      <c r="D17" s="1396"/>
      <c r="E17" s="1396"/>
      <c r="F17" s="1396"/>
      <c r="G17" s="1396"/>
      <c r="H17" s="1536"/>
      <c r="I17" s="1205" t="str">
        <f t="shared" ref="I17" si="1">IF(ISBLANK(H$3),"",1)</f>
        <v/>
      </c>
      <c r="J17" s="1205" t="str">
        <f>IF(ISBLANK(L$3),"",1)</f>
        <v/>
      </c>
      <c r="K17" s="255"/>
      <c r="L17" s="1258">
        <v>4.4000000000000004</v>
      </c>
      <c r="M17" s="1163" t="s">
        <v>319</v>
      </c>
      <c r="N17" s="1164"/>
      <c r="O17" s="1164"/>
      <c r="P17" s="1164"/>
      <c r="Q17" s="1164"/>
      <c r="R17" s="1164"/>
      <c r="S17" s="1164"/>
      <c r="T17" s="1205" t="str">
        <f>IF(ISBLANK(H$3),"",1)</f>
        <v/>
      </c>
      <c r="U17" s="1241"/>
      <c r="V17" s="1258">
        <v>4.4000000000000004</v>
      </c>
      <c r="W17" s="1526" t="s">
        <v>321</v>
      </c>
      <c r="X17" s="1527"/>
      <c r="Y17" s="1527"/>
      <c r="Z17" s="1527"/>
      <c r="AA17" s="1527"/>
      <c r="AB17" s="1527"/>
      <c r="AC17" s="1533" t="s">
        <v>696</v>
      </c>
      <c r="AD17" s="1205" t="str">
        <f>IF(ISBLANK(L$3),"",1)</f>
        <v/>
      </c>
      <c r="AE17" s="256"/>
      <c r="AF17" s="256"/>
      <c r="AO17" s="52"/>
      <c r="BJ17" s="1188"/>
      <c r="BK17" s="1189"/>
      <c r="BL17" s="1189"/>
      <c r="BM17" s="1189"/>
      <c r="BN17" s="1189"/>
      <c r="BO17" s="1190"/>
      <c r="BP17" s="255"/>
      <c r="BQ17" s="255"/>
      <c r="BR17" s="255"/>
      <c r="BS17" s="242"/>
      <c r="CB17" s="242"/>
      <c r="CK17" s="242"/>
    </row>
    <row r="18" spans="1:89" ht="15" customHeight="1">
      <c r="A18" s="1290"/>
      <c r="B18" s="1163"/>
      <c r="C18" s="1164"/>
      <c r="D18" s="1164"/>
      <c r="E18" s="1164"/>
      <c r="F18" s="1164"/>
      <c r="G18" s="1164"/>
      <c r="H18" s="1266"/>
      <c r="I18" s="1206"/>
      <c r="J18" s="1206"/>
      <c r="K18" s="255"/>
      <c r="L18" s="1258"/>
      <c r="M18" s="1163"/>
      <c r="N18" s="1164"/>
      <c r="O18" s="1164"/>
      <c r="P18" s="1164"/>
      <c r="Q18" s="1164"/>
      <c r="R18" s="1164"/>
      <c r="S18" s="1164"/>
      <c r="T18" s="1206"/>
      <c r="U18" s="1241"/>
      <c r="V18" s="1258"/>
      <c r="W18" s="1317"/>
      <c r="X18" s="1296"/>
      <c r="Y18" s="1296"/>
      <c r="Z18" s="1296"/>
      <c r="AA18" s="1296"/>
      <c r="AB18" s="1296"/>
      <c r="AC18" s="1297"/>
      <c r="AD18" s="1206"/>
      <c r="AE18" s="256"/>
      <c r="AF18" s="256"/>
      <c r="AO18" s="52"/>
      <c r="BJ18" s="1188"/>
      <c r="BK18" s="1189"/>
      <c r="BL18" s="1189"/>
      <c r="BM18" s="1189"/>
      <c r="BN18" s="1189"/>
      <c r="BO18" s="1190"/>
      <c r="BP18" s="255"/>
      <c r="BQ18" s="255"/>
      <c r="BR18" s="255"/>
      <c r="BS18" s="242"/>
      <c r="CB18" s="242"/>
      <c r="CK18" s="242"/>
    </row>
    <row r="19" spans="1:89" ht="15" customHeight="1">
      <c r="A19" s="1291"/>
      <c r="B19" s="1163"/>
      <c r="C19" s="1164"/>
      <c r="D19" s="1164"/>
      <c r="E19" s="1164"/>
      <c r="F19" s="1164"/>
      <c r="G19" s="1164"/>
      <c r="H19" s="1266"/>
      <c r="I19" s="1207"/>
      <c r="J19" s="1207"/>
      <c r="K19" s="255"/>
      <c r="L19" s="1258"/>
      <c r="M19" s="1552"/>
      <c r="N19" s="1203"/>
      <c r="O19" s="1203"/>
      <c r="P19" s="1203"/>
      <c r="Q19" s="1203"/>
      <c r="R19" s="1203"/>
      <c r="S19" s="1203"/>
      <c r="T19" s="1207"/>
      <c r="U19" s="1241"/>
      <c r="V19" s="1258"/>
      <c r="W19" s="1317"/>
      <c r="X19" s="1296"/>
      <c r="Y19" s="1296"/>
      <c r="Z19" s="1296"/>
      <c r="AA19" s="1296"/>
      <c r="AB19" s="1296"/>
      <c r="AC19" s="1297"/>
      <c r="AD19" s="1207"/>
      <c r="AE19" s="256"/>
      <c r="AF19" s="256"/>
      <c r="AO19" s="52"/>
      <c r="BJ19" s="1188"/>
      <c r="BK19" s="1189"/>
      <c r="BL19" s="1189"/>
      <c r="BM19" s="1189"/>
      <c r="BN19" s="1189"/>
      <c r="BO19" s="1190"/>
      <c r="BP19" s="255"/>
      <c r="BQ19" s="255"/>
      <c r="BR19" s="255"/>
      <c r="BS19" s="242"/>
      <c r="CB19" s="242"/>
      <c r="CK19" s="242"/>
    </row>
    <row r="20" spans="1:89" ht="15" customHeight="1">
      <c r="A20" s="1307">
        <v>1.1000000000000001</v>
      </c>
      <c r="B20" s="1395" t="s">
        <v>322</v>
      </c>
      <c r="C20" s="1396"/>
      <c r="D20" s="1396"/>
      <c r="E20" s="1396"/>
      <c r="F20" s="1396"/>
      <c r="G20" s="1396"/>
      <c r="H20" s="1536"/>
      <c r="I20" s="1205" t="str">
        <f t="shared" ref="I20" si="2">IF(ISBLANK(H$3),"",1)</f>
        <v/>
      </c>
      <c r="J20" s="1205" t="str">
        <f>IF(ISBLANK(L$3),"",1)</f>
        <v/>
      </c>
      <c r="K20" s="255"/>
      <c r="L20" s="1258">
        <v>4.4000000000000004</v>
      </c>
      <c r="M20" s="1395" t="s">
        <v>873</v>
      </c>
      <c r="N20" s="1396"/>
      <c r="O20" s="1396"/>
      <c r="P20" s="1396"/>
      <c r="Q20" s="1396"/>
      <c r="R20" s="1396"/>
      <c r="S20" s="1536"/>
      <c r="T20" s="1205" t="str">
        <f>IF(ISBLANK(H$3),"",1)</f>
        <v/>
      </c>
      <c r="U20" s="1241"/>
      <c r="V20" s="1258">
        <v>4.4000000000000004</v>
      </c>
      <c r="W20" s="1526" t="s">
        <v>323</v>
      </c>
      <c r="X20" s="1527"/>
      <c r="Y20" s="1527"/>
      <c r="Z20" s="1527"/>
      <c r="AA20" s="1527"/>
      <c r="AB20" s="1527"/>
      <c r="AC20" s="1533" t="s">
        <v>696</v>
      </c>
      <c r="AD20" s="1205" t="str">
        <f>IF(ISBLANK(L$3),"",1)</f>
        <v/>
      </c>
      <c r="AE20" s="256"/>
      <c r="AF20" s="256"/>
      <c r="AO20" s="52"/>
      <c r="BJ20" s="1188"/>
      <c r="BK20" s="1189"/>
      <c r="BL20" s="1189"/>
      <c r="BM20" s="1189"/>
      <c r="BN20" s="1189"/>
      <c r="BO20" s="1190"/>
      <c r="BP20" s="255"/>
      <c r="BQ20" s="255"/>
      <c r="BR20" s="255"/>
      <c r="BS20" s="242"/>
      <c r="CB20" s="242"/>
      <c r="CK20" s="242"/>
    </row>
    <row r="21" spans="1:89" ht="15" customHeight="1">
      <c r="A21" s="1308"/>
      <c r="B21" s="1163"/>
      <c r="C21" s="1164"/>
      <c r="D21" s="1164"/>
      <c r="E21" s="1164"/>
      <c r="F21" s="1164"/>
      <c r="G21" s="1164"/>
      <c r="H21" s="1266"/>
      <c r="I21" s="1206"/>
      <c r="J21" s="1206"/>
      <c r="K21" s="255"/>
      <c r="L21" s="1258"/>
      <c r="M21" s="1163"/>
      <c r="N21" s="1164"/>
      <c r="O21" s="1164"/>
      <c r="P21" s="1164"/>
      <c r="Q21" s="1164"/>
      <c r="R21" s="1164"/>
      <c r="S21" s="1266"/>
      <c r="T21" s="1206"/>
      <c r="U21" s="1241"/>
      <c r="V21" s="1258"/>
      <c r="W21" s="1317"/>
      <c r="X21" s="1296"/>
      <c r="Y21" s="1296"/>
      <c r="Z21" s="1296"/>
      <c r="AA21" s="1296"/>
      <c r="AB21" s="1296"/>
      <c r="AC21" s="1297"/>
      <c r="AD21" s="1206"/>
      <c r="AE21" s="256"/>
      <c r="AF21" s="256"/>
      <c r="AO21" s="52"/>
      <c r="BJ21" s="1188"/>
      <c r="BK21" s="1189"/>
      <c r="BL21" s="1189"/>
      <c r="BM21" s="1189"/>
      <c r="BN21" s="1189"/>
      <c r="BO21" s="1190"/>
      <c r="BP21" s="255"/>
      <c r="BQ21" s="255"/>
      <c r="BR21" s="255"/>
      <c r="BS21" s="242"/>
      <c r="CB21" s="242"/>
      <c r="CK21" s="242"/>
    </row>
    <row r="22" spans="1:89" ht="15" customHeight="1">
      <c r="A22" s="1309"/>
      <c r="B22" s="1163"/>
      <c r="C22" s="1164"/>
      <c r="D22" s="1164"/>
      <c r="E22" s="1164"/>
      <c r="F22" s="1164"/>
      <c r="G22" s="1164"/>
      <c r="H22" s="1266"/>
      <c r="I22" s="1207"/>
      <c r="J22" s="1207"/>
      <c r="K22" s="255"/>
      <c r="L22" s="1258"/>
      <c r="M22" s="1163"/>
      <c r="N22" s="1164"/>
      <c r="O22" s="1164"/>
      <c r="P22" s="1164"/>
      <c r="Q22" s="1164"/>
      <c r="R22" s="1164"/>
      <c r="S22" s="1266"/>
      <c r="T22" s="1207"/>
      <c r="U22" s="1241"/>
      <c r="V22" s="1258"/>
      <c r="W22" s="1317"/>
      <c r="X22" s="1296"/>
      <c r="Y22" s="1296"/>
      <c r="Z22" s="1296"/>
      <c r="AA22" s="1296"/>
      <c r="AB22" s="1296"/>
      <c r="AC22" s="1297"/>
      <c r="AD22" s="1207"/>
      <c r="AE22" s="256"/>
      <c r="AF22" s="256"/>
      <c r="AO22" s="52"/>
      <c r="BJ22" s="1188"/>
      <c r="BK22" s="1189"/>
      <c r="BL22" s="1189"/>
      <c r="BM22" s="1189"/>
      <c r="BN22" s="1189"/>
      <c r="BO22" s="1190"/>
      <c r="BP22" s="255"/>
      <c r="BQ22" s="255"/>
      <c r="BR22" s="255"/>
      <c r="BS22" s="242"/>
      <c r="CB22" s="242"/>
      <c r="CK22" s="242"/>
    </row>
    <row r="23" spans="1:89" ht="15" customHeight="1">
      <c r="A23" s="1304">
        <v>2.1</v>
      </c>
      <c r="B23" s="1395" t="s">
        <v>940</v>
      </c>
      <c r="C23" s="1396"/>
      <c r="D23" s="1396"/>
      <c r="E23" s="1396"/>
      <c r="F23" s="1396"/>
      <c r="G23" s="1396"/>
      <c r="H23" s="1536"/>
      <c r="I23" s="1205" t="str">
        <f t="shared" ref="I23" si="3">IF(ISBLANK(H$3),"",1)</f>
        <v/>
      </c>
      <c r="J23" s="1205" t="str">
        <f>IF(ISBLANK(L$3),"",1)</f>
        <v/>
      </c>
      <c r="K23" s="255"/>
      <c r="L23" s="1258">
        <v>4.3</v>
      </c>
      <c r="M23" s="1562" t="s">
        <v>326</v>
      </c>
      <c r="N23" s="1626" t="s">
        <v>327</v>
      </c>
      <c r="O23" s="1627"/>
      <c r="P23" s="1627"/>
      <c r="Q23" s="1627"/>
      <c r="R23" s="1627"/>
      <c r="S23" s="1627"/>
      <c r="T23" s="1205" t="str">
        <f>IF(ISBLANK(H$3),"",1)</f>
        <v/>
      </c>
      <c r="U23" s="1241"/>
      <c r="V23" s="1258">
        <v>4.4000000000000004</v>
      </c>
      <c r="W23" s="1526" t="s">
        <v>328</v>
      </c>
      <c r="X23" s="1527"/>
      <c r="Y23" s="1527"/>
      <c r="Z23" s="1527"/>
      <c r="AA23" s="1527"/>
      <c r="AB23" s="1527"/>
      <c r="AC23" s="1533" t="s">
        <v>696</v>
      </c>
      <c r="AD23" s="1205" t="str">
        <f>IF(ISBLANK(L$3),"",1)</f>
        <v/>
      </c>
      <c r="AE23" s="256"/>
      <c r="AF23" s="256"/>
      <c r="AO23" s="52"/>
      <c r="BJ23" s="1188"/>
      <c r="BK23" s="1189"/>
      <c r="BL23" s="1189"/>
      <c r="BM23" s="1189"/>
      <c r="BN23" s="1189"/>
      <c r="BO23" s="1190"/>
      <c r="BP23" s="255"/>
      <c r="BQ23" s="255"/>
      <c r="BR23" s="255"/>
      <c r="BS23" s="242"/>
      <c r="CB23" s="242"/>
      <c r="CK23" s="242"/>
    </row>
    <row r="24" spans="1:89" ht="15" customHeight="1">
      <c r="A24" s="1290"/>
      <c r="B24" s="1163"/>
      <c r="C24" s="1164"/>
      <c r="D24" s="1164"/>
      <c r="E24" s="1164"/>
      <c r="F24" s="1164"/>
      <c r="G24" s="1164"/>
      <c r="H24" s="1266"/>
      <c r="I24" s="1206"/>
      <c r="J24" s="1206"/>
      <c r="K24" s="255"/>
      <c r="L24" s="1258"/>
      <c r="M24" s="1562"/>
      <c r="N24" s="1624"/>
      <c r="O24" s="1625"/>
      <c r="P24" s="1625"/>
      <c r="Q24" s="1625"/>
      <c r="R24" s="1625"/>
      <c r="S24" s="1625"/>
      <c r="T24" s="1206"/>
      <c r="U24" s="1241"/>
      <c r="V24" s="1258"/>
      <c r="W24" s="1317"/>
      <c r="X24" s="1296"/>
      <c r="Y24" s="1296"/>
      <c r="Z24" s="1296"/>
      <c r="AA24" s="1296"/>
      <c r="AB24" s="1296"/>
      <c r="AC24" s="1297"/>
      <c r="AD24" s="1206"/>
      <c r="AE24" s="256"/>
      <c r="AF24" s="256"/>
      <c r="AO24" s="52"/>
      <c r="BJ24" s="1188"/>
      <c r="BK24" s="1189"/>
      <c r="BL24" s="1189"/>
      <c r="BM24" s="1189"/>
      <c r="BN24" s="1189"/>
      <c r="BO24" s="1190"/>
      <c r="BP24" s="255"/>
      <c r="BQ24" s="255"/>
      <c r="BR24" s="255"/>
      <c r="BS24" s="242"/>
      <c r="CB24" s="242"/>
      <c r="CK24" s="242"/>
    </row>
    <row r="25" spans="1:89" ht="15" customHeight="1">
      <c r="A25" s="1291"/>
      <c r="B25" s="1163"/>
      <c r="C25" s="1164"/>
      <c r="D25" s="1164"/>
      <c r="E25" s="1164"/>
      <c r="F25" s="1164"/>
      <c r="G25" s="1164"/>
      <c r="H25" s="1266"/>
      <c r="I25" s="1207"/>
      <c r="J25" s="1207"/>
      <c r="K25" s="255"/>
      <c r="L25" s="1258"/>
      <c r="M25" s="1562"/>
      <c r="N25" s="1624"/>
      <c r="O25" s="1625"/>
      <c r="P25" s="1625"/>
      <c r="Q25" s="1625"/>
      <c r="R25" s="1625"/>
      <c r="S25" s="1625"/>
      <c r="T25" s="1207"/>
      <c r="U25" s="1241"/>
      <c r="V25" s="1258"/>
      <c r="W25" s="1317"/>
      <c r="X25" s="1296"/>
      <c r="Y25" s="1296"/>
      <c r="Z25" s="1296"/>
      <c r="AA25" s="1296"/>
      <c r="AB25" s="1296"/>
      <c r="AC25" s="1297"/>
      <c r="AD25" s="1207"/>
      <c r="AE25" s="256"/>
      <c r="AF25" s="256"/>
      <c r="AO25" s="52"/>
      <c r="BJ25" s="1188"/>
      <c r="BK25" s="1189"/>
      <c r="BL25" s="1189"/>
      <c r="BM25" s="1189"/>
      <c r="BN25" s="1189"/>
      <c r="BO25" s="1190"/>
      <c r="BP25" s="255"/>
      <c r="BQ25" s="255"/>
      <c r="BR25" s="255"/>
      <c r="BS25" s="242"/>
      <c r="CB25" s="242"/>
      <c r="CK25" s="242"/>
    </row>
    <row r="26" spans="1:89" ht="15" customHeight="1">
      <c r="A26" s="1307">
        <v>1.1000000000000001</v>
      </c>
      <c r="B26" s="1395" t="s">
        <v>330</v>
      </c>
      <c r="C26" s="1396"/>
      <c r="D26" s="1396"/>
      <c r="E26" s="1396"/>
      <c r="F26" s="1396"/>
      <c r="G26" s="1396"/>
      <c r="H26" s="1536"/>
      <c r="I26" s="1205" t="str">
        <f t="shared" ref="I26" si="4">IF(ISBLANK(H$3),"",1)</f>
        <v/>
      </c>
      <c r="J26" s="1205" t="str">
        <f>IF(ISBLANK(L$3),"",1)</f>
        <v/>
      </c>
      <c r="K26" s="255"/>
      <c r="L26" s="1236">
        <v>1.5</v>
      </c>
      <c r="M26" s="1562" t="s">
        <v>332</v>
      </c>
      <c r="N26" s="1624" t="s">
        <v>333</v>
      </c>
      <c r="O26" s="1625"/>
      <c r="P26" s="1625"/>
      <c r="Q26" s="1625"/>
      <c r="R26" s="1625"/>
      <c r="S26" s="1625"/>
      <c r="T26" s="1205" t="str">
        <f>IF(ISBLANK(H$3),"",1)</f>
        <v/>
      </c>
      <c r="U26" s="1241"/>
      <c r="V26" s="1236">
        <v>4.3</v>
      </c>
      <c r="W26" s="1526" t="s">
        <v>324</v>
      </c>
      <c r="X26" s="1527"/>
      <c r="Y26" s="1527"/>
      <c r="Z26" s="1527"/>
      <c r="AA26" s="1527"/>
      <c r="AB26" s="1527"/>
      <c r="AC26" s="1533" t="s">
        <v>696</v>
      </c>
      <c r="AD26" s="1205" t="str">
        <f>IF(ISBLANK(L$3),"",1)</f>
        <v/>
      </c>
      <c r="AE26" s="256"/>
      <c r="AF26" s="256"/>
      <c r="AO26" s="52"/>
      <c r="BJ26" s="1188"/>
      <c r="BK26" s="1189"/>
      <c r="BL26" s="1189"/>
      <c r="BM26" s="1189"/>
      <c r="BN26" s="1189"/>
      <c r="BO26" s="1190"/>
      <c r="BP26" s="255"/>
      <c r="BQ26" s="255"/>
      <c r="BR26" s="255"/>
      <c r="BS26" s="242"/>
      <c r="CB26" s="242"/>
      <c r="CK26" s="242"/>
    </row>
    <row r="27" spans="1:89" ht="15" customHeight="1">
      <c r="A27" s="1308"/>
      <c r="B27" s="1163"/>
      <c r="C27" s="1164"/>
      <c r="D27" s="1164"/>
      <c r="E27" s="1164"/>
      <c r="F27" s="1164"/>
      <c r="G27" s="1164"/>
      <c r="H27" s="1266"/>
      <c r="I27" s="1206"/>
      <c r="J27" s="1206"/>
      <c r="K27" s="255"/>
      <c r="L27" s="1236"/>
      <c r="M27" s="1562"/>
      <c r="N27" s="1624"/>
      <c r="O27" s="1625"/>
      <c r="P27" s="1625"/>
      <c r="Q27" s="1625"/>
      <c r="R27" s="1625"/>
      <c r="S27" s="1625"/>
      <c r="T27" s="1206"/>
      <c r="U27" s="1241"/>
      <c r="V27" s="1236"/>
      <c r="W27" s="1317"/>
      <c r="X27" s="1296"/>
      <c r="Y27" s="1296"/>
      <c r="Z27" s="1296"/>
      <c r="AA27" s="1296"/>
      <c r="AB27" s="1296"/>
      <c r="AC27" s="1297"/>
      <c r="AD27" s="1206"/>
      <c r="AE27" s="256"/>
      <c r="AF27" s="256"/>
      <c r="AO27" s="52"/>
      <c r="BJ27" s="1188"/>
      <c r="BK27" s="1189"/>
      <c r="BL27" s="1189"/>
      <c r="BM27" s="1189"/>
      <c r="BN27" s="1189"/>
      <c r="BO27" s="1190"/>
      <c r="BP27" s="255"/>
      <c r="BQ27" s="255"/>
      <c r="BR27" s="255"/>
      <c r="BS27" s="242"/>
      <c r="CB27" s="242"/>
      <c r="CK27" s="242"/>
    </row>
    <row r="28" spans="1:89" ht="15" customHeight="1">
      <c r="A28" s="1308"/>
      <c r="B28" s="1163"/>
      <c r="C28" s="1164"/>
      <c r="D28" s="1164"/>
      <c r="E28" s="1164"/>
      <c r="F28" s="1164"/>
      <c r="G28" s="1164"/>
      <c r="H28" s="1266"/>
      <c r="I28" s="1207"/>
      <c r="J28" s="1207"/>
      <c r="K28" s="255"/>
      <c r="L28" s="1236"/>
      <c r="M28" s="1562"/>
      <c r="N28" s="1624"/>
      <c r="O28" s="1625"/>
      <c r="P28" s="1625"/>
      <c r="Q28" s="1625"/>
      <c r="R28" s="1625"/>
      <c r="S28" s="1625"/>
      <c r="T28" s="1207"/>
      <c r="U28" s="1241"/>
      <c r="V28" s="1236"/>
      <c r="W28" s="1317"/>
      <c r="X28" s="1296"/>
      <c r="Y28" s="1296"/>
      <c r="Z28" s="1296"/>
      <c r="AA28" s="1296"/>
      <c r="AB28" s="1296"/>
      <c r="AC28" s="1297"/>
      <c r="AD28" s="1207"/>
      <c r="AE28" s="256"/>
      <c r="AF28" s="256"/>
      <c r="AO28" s="52"/>
      <c r="BJ28" s="1188"/>
      <c r="BK28" s="1189"/>
      <c r="BL28" s="1189"/>
      <c r="BM28" s="1189"/>
      <c r="BN28" s="1189"/>
      <c r="BO28" s="1190"/>
      <c r="BP28" s="255"/>
      <c r="BQ28" s="255"/>
      <c r="BR28" s="255"/>
      <c r="BS28" s="242"/>
      <c r="CB28" s="242"/>
      <c r="CK28" s="242"/>
    </row>
    <row r="29" spans="1:89" ht="15" customHeight="1">
      <c r="A29" s="1307">
        <v>1.5</v>
      </c>
      <c r="B29" s="1549" t="s">
        <v>336</v>
      </c>
      <c r="C29" s="1549"/>
      <c r="D29" s="1549"/>
      <c r="E29" s="1549"/>
      <c r="F29" s="1549"/>
      <c r="G29" s="1549"/>
      <c r="H29" s="1549"/>
      <c r="I29" s="1205" t="str">
        <f t="shared" ref="I29" si="5">IF(ISBLANK(H$3),"",1)</f>
        <v/>
      </c>
      <c r="J29" s="1205" t="str">
        <f>IF(ISBLANK(L$3),"",1)</f>
        <v/>
      </c>
      <c r="K29" s="255"/>
      <c r="L29" s="1258">
        <v>4.3</v>
      </c>
      <c r="M29" s="1163" t="s">
        <v>331</v>
      </c>
      <c r="N29" s="1164"/>
      <c r="O29" s="1164"/>
      <c r="P29" s="1164"/>
      <c r="Q29" s="1164"/>
      <c r="R29" s="1164"/>
      <c r="S29" s="1164"/>
      <c r="T29" s="1205" t="str">
        <f>IF(ISBLANK(H$3),"",1)</f>
        <v/>
      </c>
      <c r="U29" s="1241"/>
      <c r="V29" s="1258">
        <v>4.4000000000000004</v>
      </c>
      <c r="W29" s="1526" t="s">
        <v>329</v>
      </c>
      <c r="X29" s="1527"/>
      <c r="Y29" s="1527"/>
      <c r="Z29" s="1527"/>
      <c r="AA29" s="1527"/>
      <c r="AB29" s="1527"/>
      <c r="AC29" s="1533" t="s">
        <v>696</v>
      </c>
      <c r="AD29" s="1205" t="str">
        <f>IF(ISBLANK(L$3),"",1)</f>
        <v/>
      </c>
      <c r="AE29" s="256"/>
      <c r="AF29" s="256"/>
      <c r="AO29" s="52"/>
      <c r="BJ29" s="1188"/>
      <c r="BK29" s="1189"/>
      <c r="BL29" s="1189"/>
      <c r="BM29" s="1189"/>
      <c r="BN29" s="1189"/>
      <c r="BO29" s="1190"/>
      <c r="BP29" s="255"/>
      <c r="BQ29" s="255"/>
      <c r="BR29" s="255"/>
    </row>
    <row r="30" spans="1:89" ht="15" customHeight="1">
      <c r="A30" s="1308"/>
      <c r="B30" s="1550"/>
      <c r="C30" s="1550"/>
      <c r="D30" s="1550"/>
      <c r="E30" s="1550"/>
      <c r="F30" s="1550"/>
      <c r="G30" s="1550"/>
      <c r="H30" s="1550"/>
      <c r="I30" s="1206"/>
      <c r="J30" s="1206"/>
      <c r="K30" s="255"/>
      <c r="L30" s="1258"/>
      <c r="M30" s="1163"/>
      <c r="N30" s="1164"/>
      <c r="O30" s="1164"/>
      <c r="P30" s="1164"/>
      <c r="Q30" s="1164"/>
      <c r="R30" s="1164"/>
      <c r="S30" s="1164"/>
      <c r="T30" s="1206"/>
      <c r="U30" s="1241"/>
      <c r="V30" s="1258"/>
      <c r="W30" s="1317"/>
      <c r="X30" s="1296"/>
      <c r="Y30" s="1296"/>
      <c r="Z30" s="1296"/>
      <c r="AA30" s="1296"/>
      <c r="AB30" s="1296"/>
      <c r="AC30" s="1297"/>
      <c r="AD30" s="1206"/>
      <c r="AE30" s="256"/>
      <c r="AF30" s="256"/>
      <c r="AO30" s="52"/>
      <c r="BJ30" s="1188"/>
      <c r="BK30" s="1189"/>
      <c r="BL30" s="1189"/>
      <c r="BM30" s="1189"/>
      <c r="BN30" s="1189"/>
      <c r="BO30" s="1190"/>
      <c r="BP30" s="255"/>
      <c r="BQ30" s="255"/>
      <c r="BR30" s="255"/>
    </row>
    <row r="31" spans="1:89" ht="15" customHeight="1">
      <c r="A31" s="1309"/>
      <c r="B31" s="1551"/>
      <c r="C31" s="1551"/>
      <c r="D31" s="1551"/>
      <c r="E31" s="1551"/>
      <c r="F31" s="1551"/>
      <c r="G31" s="1551"/>
      <c r="H31" s="1551"/>
      <c r="I31" s="1207"/>
      <c r="J31" s="1207"/>
      <c r="K31" s="255"/>
      <c r="L31" s="1258"/>
      <c r="M31" s="1552"/>
      <c r="N31" s="1203"/>
      <c r="O31" s="1203"/>
      <c r="P31" s="1203"/>
      <c r="Q31" s="1203"/>
      <c r="R31" s="1203"/>
      <c r="S31" s="1203"/>
      <c r="T31" s="1207"/>
      <c r="U31" s="1241"/>
      <c r="V31" s="1258"/>
      <c r="W31" s="1317"/>
      <c r="X31" s="1296"/>
      <c r="Y31" s="1296"/>
      <c r="Z31" s="1296"/>
      <c r="AA31" s="1296"/>
      <c r="AB31" s="1296"/>
      <c r="AC31" s="1297"/>
      <c r="AD31" s="1207"/>
      <c r="AE31" s="256"/>
      <c r="AF31" s="256"/>
      <c r="AO31" s="52"/>
      <c r="BJ31" s="1188"/>
      <c r="BK31" s="1189"/>
      <c r="BL31" s="1189"/>
      <c r="BM31" s="1189"/>
      <c r="BN31" s="1189"/>
      <c r="BO31" s="1190"/>
      <c r="BP31" s="255"/>
      <c r="BQ31" s="255"/>
      <c r="BR31" s="255"/>
    </row>
    <row r="32" spans="1:89" ht="15" customHeight="1">
      <c r="A32" s="1260" t="s">
        <v>637</v>
      </c>
      <c r="B32" s="1260"/>
      <c r="C32" s="1260"/>
      <c r="D32" s="1260"/>
      <c r="E32" s="1260"/>
      <c r="F32" s="1261"/>
      <c r="G32" s="294">
        <v>1.1000000000000001</v>
      </c>
      <c r="H32" s="311">
        <f>COUNTIF($A$11:$A$31,G32)</f>
        <v>4</v>
      </c>
      <c r="I32" s="240" t="str">
        <f>IF($H$3=1,SUMIF($A$11:$A$31,G32,$I$11:$I$31),"")</f>
        <v/>
      </c>
      <c r="J32" s="240" t="str">
        <f>IF($L$3=1,SUMIF($A$11:$A$31,G32,$J$11:$J$31),"")</f>
        <v/>
      </c>
      <c r="K32" s="255"/>
      <c r="L32" s="1262" t="s">
        <v>637</v>
      </c>
      <c r="M32" s="1262"/>
      <c r="N32" s="1262"/>
      <c r="O32" s="1262"/>
      <c r="P32" s="1262"/>
      <c r="Q32" s="1263"/>
      <c r="R32" s="273">
        <v>1.5</v>
      </c>
      <c r="S32" s="311">
        <f>COUNTIF($L$11:$L$31,R32)</f>
        <v>2</v>
      </c>
      <c r="T32" s="240" t="str">
        <f>IF($H$3=1,SUMIF($L$11:$L$31,R32,$T$11:$T$31),"")</f>
        <v/>
      </c>
      <c r="U32" s="301"/>
      <c r="V32" s="1236">
        <v>2.4</v>
      </c>
      <c r="W32" s="1526" t="s">
        <v>334</v>
      </c>
      <c r="X32" s="1527"/>
      <c r="Y32" s="1527"/>
      <c r="Z32" s="1527"/>
      <c r="AA32" s="1527"/>
      <c r="AB32" s="1527"/>
      <c r="AC32" s="1533" t="s">
        <v>696</v>
      </c>
      <c r="AD32" s="1205" t="str">
        <f>IF(ISBLANK(L$3),"",1)</f>
        <v/>
      </c>
      <c r="AE32" s="256"/>
      <c r="AF32" s="256"/>
      <c r="AO32" s="52"/>
      <c r="BJ32" s="1188"/>
      <c r="BK32" s="1189"/>
      <c r="BL32" s="1189"/>
      <c r="BM32" s="1189"/>
      <c r="BN32" s="1189"/>
      <c r="BO32" s="1190"/>
      <c r="BP32" s="255"/>
      <c r="BQ32" s="255"/>
      <c r="BR32" s="255"/>
    </row>
    <row r="33" spans="1:70" ht="15" customHeight="1">
      <c r="A33" s="52"/>
      <c r="B33" s="248"/>
      <c r="C33" s="248"/>
      <c r="D33" s="248"/>
      <c r="E33" s="248"/>
      <c r="F33" s="299"/>
      <c r="G33" s="273">
        <v>1.5</v>
      </c>
      <c r="H33" s="311">
        <f t="shared" ref="H33:H35" si="6">COUNTIF($A$11:$A$31,G33)</f>
        <v>1</v>
      </c>
      <c r="I33" s="240" t="str">
        <f t="shared" ref="I33:I35" si="7">IF($H$3=1,SUMIF($A$11:$A$31,G33,$I$11:$I$31),"")</f>
        <v/>
      </c>
      <c r="J33" s="240" t="str">
        <f t="shared" ref="J33:J35" si="8">IF($L$3=1,SUMIF($A$11:$A$31,G33,$J$11:$J$31),"")</f>
        <v/>
      </c>
      <c r="K33" s="255"/>
      <c r="L33" s="248"/>
      <c r="M33" s="248"/>
      <c r="N33" s="248"/>
      <c r="O33" s="248"/>
      <c r="P33" s="248"/>
      <c r="R33" s="274">
        <v>4.3</v>
      </c>
      <c r="S33" s="311">
        <f t="shared" ref="S33:S34" si="9">COUNTIF($L$11:$L$31,R33)</f>
        <v>2</v>
      </c>
      <c r="T33" s="240" t="str">
        <f t="shared" ref="T33:T34" si="10">IF($H$3=1,SUMIF($L$11:$L$31,R33,$T$11:$T$31),"")</f>
        <v/>
      </c>
      <c r="U33" s="301"/>
      <c r="V33" s="1236"/>
      <c r="W33" s="1317"/>
      <c r="X33" s="1296"/>
      <c r="Y33" s="1296"/>
      <c r="Z33" s="1296"/>
      <c r="AA33" s="1296"/>
      <c r="AB33" s="1296"/>
      <c r="AC33" s="1297"/>
      <c r="AD33" s="1206"/>
      <c r="AE33" s="256"/>
      <c r="AF33" s="256"/>
      <c r="AO33" s="52"/>
      <c r="BJ33" s="1188"/>
      <c r="BK33" s="1189"/>
      <c r="BL33" s="1189"/>
      <c r="BM33" s="1189"/>
      <c r="BN33" s="1189"/>
      <c r="BO33" s="1190"/>
      <c r="BP33" s="255"/>
      <c r="BQ33" s="255"/>
      <c r="BR33" s="255"/>
    </row>
    <row r="34" spans="1:70" ht="15" customHeight="1">
      <c r="A34" s="255"/>
      <c r="B34" s="255"/>
      <c r="C34" s="255"/>
      <c r="D34" s="255"/>
      <c r="E34" s="255"/>
      <c r="G34" s="272">
        <v>2.1</v>
      </c>
      <c r="H34" s="311">
        <f t="shared" si="6"/>
        <v>1</v>
      </c>
      <c r="I34" s="240" t="str">
        <f t="shared" si="7"/>
        <v/>
      </c>
      <c r="J34" s="240" t="str">
        <f t="shared" si="8"/>
        <v/>
      </c>
      <c r="K34" s="255"/>
      <c r="L34" s="255"/>
      <c r="M34" s="255"/>
      <c r="N34" s="255"/>
      <c r="O34" s="255"/>
      <c r="P34" s="255"/>
      <c r="R34" s="274">
        <v>4.4000000000000004</v>
      </c>
      <c r="S34" s="311">
        <f t="shared" si="9"/>
        <v>3</v>
      </c>
      <c r="T34" s="240" t="str">
        <f t="shared" si="10"/>
        <v/>
      </c>
      <c r="U34" s="255"/>
      <c r="V34" s="1236"/>
      <c r="W34" s="1317"/>
      <c r="X34" s="1296"/>
      <c r="Y34" s="1296"/>
      <c r="Z34" s="1296"/>
      <c r="AA34" s="1296"/>
      <c r="AB34" s="1296"/>
      <c r="AC34" s="1297"/>
      <c r="AD34" s="1207"/>
      <c r="AE34" s="256"/>
      <c r="AF34" s="256"/>
      <c r="AO34" s="52"/>
      <c r="BJ34" s="1188"/>
      <c r="BK34" s="1189"/>
      <c r="BL34" s="1189"/>
      <c r="BM34" s="1189"/>
      <c r="BN34" s="1189"/>
      <c r="BO34" s="1190"/>
      <c r="BP34" s="255"/>
      <c r="BQ34" s="255"/>
      <c r="BR34" s="255"/>
    </row>
    <row r="35" spans="1:70" ht="15" customHeight="1">
      <c r="A35" s="255"/>
      <c r="B35" s="255"/>
      <c r="C35" s="255"/>
      <c r="D35" s="255"/>
      <c r="E35" s="255"/>
      <c r="G35" s="272">
        <v>2.4</v>
      </c>
      <c r="H35" s="311">
        <f t="shared" si="6"/>
        <v>1</v>
      </c>
      <c r="I35" s="240" t="str">
        <f t="shared" si="7"/>
        <v/>
      </c>
      <c r="J35" s="240" t="str">
        <f t="shared" si="8"/>
        <v/>
      </c>
      <c r="K35" s="255"/>
      <c r="L35" s="255"/>
      <c r="M35" s="255"/>
      <c r="N35" s="255"/>
      <c r="O35" s="255"/>
      <c r="P35" s="255"/>
      <c r="Q35" s="255"/>
      <c r="R35" s="255"/>
      <c r="S35" s="255"/>
      <c r="T35" s="255"/>
      <c r="U35" s="255"/>
      <c r="V35" s="1258">
        <v>2.4</v>
      </c>
      <c r="W35" s="1526" t="s">
        <v>337</v>
      </c>
      <c r="X35" s="1527"/>
      <c r="Y35" s="1527"/>
      <c r="Z35" s="1527"/>
      <c r="AA35" s="1527"/>
      <c r="AB35" s="1527"/>
      <c r="AC35" s="1533" t="s">
        <v>696</v>
      </c>
      <c r="AD35" s="1205" t="str">
        <f>IF(ISBLANK(L$3),"",1)</f>
        <v/>
      </c>
      <c r="AE35" s="256"/>
      <c r="AF35" s="256"/>
      <c r="AO35" s="52"/>
      <c r="BJ35" s="1188"/>
      <c r="BK35" s="1189"/>
      <c r="BL35" s="1189"/>
      <c r="BM35" s="1189"/>
      <c r="BN35" s="1189"/>
      <c r="BO35" s="1190"/>
      <c r="BP35" s="255"/>
      <c r="BQ35" s="255"/>
      <c r="BR35" s="255"/>
    </row>
    <row r="36" spans="1:70" ht="15" customHeight="1">
      <c r="A36" s="255"/>
      <c r="B36" s="255"/>
      <c r="C36" s="255"/>
      <c r="D36" s="255"/>
      <c r="E36" s="255"/>
      <c r="F36" s="255"/>
      <c r="G36" s="255"/>
      <c r="H36" s="255"/>
      <c r="I36" s="255"/>
      <c r="J36" s="255"/>
      <c r="K36" s="255"/>
      <c r="L36" s="255"/>
      <c r="M36" s="255"/>
      <c r="N36" s="255"/>
      <c r="O36" s="255"/>
      <c r="P36" s="255"/>
      <c r="Q36" s="255"/>
      <c r="R36" s="255"/>
      <c r="S36" s="255"/>
      <c r="T36" s="255"/>
      <c r="U36" s="255"/>
      <c r="V36" s="1258"/>
      <c r="W36" s="1317"/>
      <c r="X36" s="1296"/>
      <c r="Y36" s="1296"/>
      <c r="Z36" s="1296"/>
      <c r="AA36" s="1296"/>
      <c r="AB36" s="1296"/>
      <c r="AC36" s="1297"/>
      <c r="AD36" s="1206"/>
      <c r="AE36" s="256"/>
      <c r="AF36" s="256"/>
      <c r="AO36" s="52"/>
      <c r="BJ36" s="1188"/>
      <c r="BK36" s="1189"/>
      <c r="BL36" s="1189"/>
      <c r="BM36" s="1189"/>
      <c r="BN36" s="1189"/>
      <c r="BO36" s="1190"/>
      <c r="BP36" s="255"/>
      <c r="BQ36" s="255"/>
      <c r="BR36" s="255"/>
    </row>
    <row r="37" spans="1:70" ht="15" customHeight="1">
      <c r="A37" s="1209"/>
      <c r="B37" s="1210" t="s">
        <v>609</v>
      </c>
      <c r="C37" s="1211"/>
      <c r="D37" s="1211"/>
      <c r="E37" s="1211"/>
      <c r="F37" s="1211"/>
      <c r="G37" s="1211"/>
      <c r="H37" s="1272"/>
      <c r="I37" s="1174">
        <v>1</v>
      </c>
      <c r="J37" s="1174">
        <v>2</v>
      </c>
      <c r="K37" s="1"/>
      <c r="L37" s="255"/>
      <c r="M37" s="255"/>
      <c r="N37" s="255"/>
      <c r="O37" s="255"/>
      <c r="P37" s="255"/>
      <c r="Q37" s="255"/>
      <c r="R37" s="255"/>
      <c r="S37" s="255"/>
      <c r="T37" s="255"/>
      <c r="U37" s="255"/>
      <c r="V37" s="1258"/>
      <c r="W37" s="1317"/>
      <c r="X37" s="1296"/>
      <c r="Y37" s="1296"/>
      <c r="Z37" s="1296"/>
      <c r="AA37" s="1296"/>
      <c r="AB37" s="1296"/>
      <c r="AC37" s="1297"/>
      <c r="AD37" s="1207"/>
      <c r="AE37" s="256"/>
      <c r="AF37" s="256"/>
      <c r="AO37" s="52"/>
      <c r="BJ37" s="1188"/>
      <c r="BK37" s="1189"/>
      <c r="BL37" s="1189"/>
      <c r="BM37" s="1189"/>
      <c r="BN37" s="1189"/>
      <c r="BO37" s="1190"/>
      <c r="BP37" s="256"/>
      <c r="BQ37" s="256"/>
      <c r="BR37" s="256"/>
    </row>
    <row r="38" spans="1:70" ht="15" customHeight="1">
      <c r="A38" s="1209"/>
      <c r="B38" s="1212"/>
      <c r="C38" s="1213"/>
      <c r="D38" s="1213"/>
      <c r="E38" s="1213"/>
      <c r="F38" s="1213"/>
      <c r="G38" s="1213"/>
      <c r="H38" s="1273"/>
      <c r="I38" s="1174"/>
      <c r="J38" s="1174"/>
      <c r="K38" s="1"/>
      <c r="L38" s="255"/>
      <c r="M38" s="255"/>
      <c r="N38" s="255"/>
      <c r="O38" s="255"/>
      <c r="P38" s="255"/>
      <c r="Q38" s="255"/>
      <c r="R38" s="255"/>
      <c r="S38" s="255"/>
      <c r="T38" s="255"/>
      <c r="U38" s="256"/>
      <c r="V38" s="1258">
        <v>1.5</v>
      </c>
      <c r="W38" s="1526" t="s">
        <v>331</v>
      </c>
      <c r="X38" s="1527"/>
      <c r="Y38" s="1527"/>
      <c r="Z38" s="1527"/>
      <c r="AA38" s="1527"/>
      <c r="AB38" s="1527"/>
      <c r="AC38" s="1533" t="s">
        <v>696</v>
      </c>
      <c r="AD38" s="1205" t="str">
        <f>IF(ISBLANK(L$3),"",1)</f>
        <v/>
      </c>
      <c r="AE38" s="256"/>
      <c r="AF38" s="256"/>
      <c r="AO38" s="52"/>
      <c r="BJ38" s="1188"/>
      <c r="BK38" s="1189"/>
      <c r="BL38" s="1189"/>
      <c r="BM38" s="1189"/>
      <c r="BN38" s="1189"/>
      <c r="BO38" s="1190"/>
      <c r="BP38" s="255"/>
      <c r="BQ38" s="256"/>
      <c r="BR38" s="255"/>
    </row>
    <row r="39" spans="1:70" ht="15" customHeight="1">
      <c r="A39" s="1264">
        <v>3.1</v>
      </c>
      <c r="B39" s="1553" t="s">
        <v>338</v>
      </c>
      <c r="C39" s="1554"/>
      <c r="D39" s="1554"/>
      <c r="E39" s="1554"/>
      <c r="F39" s="1554"/>
      <c r="G39" s="1554"/>
      <c r="H39" s="1555"/>
      <c r="I39" s="1205" t="str">
        <f t="shared" ref="I39" si="11">IF(ISBLANK(H$3),"",1)</f>
        <v/>
      </c>
      <c r="J39" s="1205" t="str">
        <f>IF(ISBLANK(L$3),"",1)</f>
        <v/>
      </c>
      <c r="K39" s="1"/>
      <c r="L39" s="255"/>
      <c r="M39" s="255"/>
      <c r="N39" s="255"/>
      <c r="O39" s="255"/>
      <c r="P39" s="255"/>
      <c r="Q39" s="255"/>
      <c r="R39" s="255"/>
      <c r="S39" s="255"/>
      <c r="T39" s="255"/>
      <c r="U39" s="256"/>
      <c r="V39" s="1258"/>
      <c r="W39" s="1317"/>
      <c r="X39" s="1296"/>
      <c r="Y39" s="1296"/>
      <c r="Z39" s="1296"/>
      <c r="AA39" s="1296"/>
      <c r="AB39" s="1296"/>
      <c r="AC39" s="1297"/>
      <c r="AD39" s="1206"/>
      <c r="AE39" s="256"/>
      <c r="AF39" s="256"/>
      <c r="AO39" s="52"/>
      <c r="BJ39" s="1191"/>
      <c r="BK39" s="1192"/>
      <c r="BL39" s="1192"/>
      <c r="BM39" s="1192"/>
      <c r="BN39" s="1192"/>
      <c r="BO39" s="1193"/>
      <c r="BP39" s="255"/>
      <c r="BQ39" s="256"/>
      <c r="BR39" s="255"/>
    </row>
    <row r="40" spans="1:70" ht="15" customHeight="1">
      <c r="A40" s="1264"/>
      <c r="B40" s="1556"/>
      <c r="C40" s="1557"/>
      <c r="D40" s="1557"/>
      <c r="E40" s="1557"/>
      <c r="F40" s="1557"/>
      <c r="G40" s="1557"/>
      <c r="H40" s="1558"/>
      <c r="I40" s="1206"/>
      <c r="J40" s="1206"/>
      <c r="K40" s="1"/>
      <c r="L40" s="255"/>
      <c r="M40" s="255"/>
      <c r="N40" s="255"/>
      <c r="O40" s="255"/>
      <c r="P40" s="255"/>
      <c r="Q40" s="255"/>
      <c r="R40" s="255"/>
      <c r="S40" s="255"/>
      <c r="T40" s="255"/>
      <c r="U40" s="256"/>
      <c r="V40" s="1258"/>
      <c r="W40" s="1319"/>
      <c r="X40" s="1320"/>
      <c r="Y40" s="1320"/>
      <c r="Z40" s="1320"/>
      <c r="AA40" s="1320"/>
      <c r="AB40" s="1320"/>
      <c r="AC40" s="1534"/>
      <c r="AD40" s="1207"/>
      <c r="AE40" s="256"/>
      <c r="AF40" s="256"/>
      <c r="AO40" s="52"/>
      <c r="BO40" s="255"/>
      <c r="BP40" s="255"/>
      <c r="BQ40" s="256"/>
      <c r="BR40" s="255"/>
    </row>
    <row r="41" spans="1:70" ht="15" customHeight="1">
      <c r="A41" s="1264"/>
      <c r="B41" s="1559"/>
      <c r="C41" s="1560"/>
      <c r="D41" s="1560"/>
      <c r="E41" s="1560"/>
      <c r="F41" s="1560"/>
      <c r="G41" s="1560"/>
      <c r="H41" s="1561"/>
      <c r="I41" s="1207"/>
      <c r="J41" s="1207"/>
      <c r="K41" s="1"/>
      <c r="L41" s="256"/>
      <c r="M41" s="256"/>
      <c r="N41" s="256"/>
      <c r="O41" s="256"/>
      <c r="P41" s="256"/>
      <c r="Q41" s="256"/>
      <c r="R41" s="256"/>
      <c r="S41" s="256"/>
      <c r="T41" s="256"/>
      <c r="U41" s="255"/>
      <c r="V41" s="1262" t="s">
        <v>637</v>
      </c>
      <c r="W41" s="1262"/>
      <c r="X41" s="1262"/>
      <c r="Y41" s="1262"/>
      <c r="Z41" s="1262"/>
      <c r="AA41" s="1263"/>
      <c r="AB41" s="294">
        <v>1.5</v>
      </c>
      <c r="AC41" s="311">
        <f>COUNTIF($V$11:$V$40,AB41)</f>
        <v>1</v>
      </c>
      <c r="AD41" s="240" t="str">
        <f>IF($L$3=1,SUMIF($V$11:$V$40,AB41,$AD$11:$AD$40),"")</f>
        <v/>
      </c>
      <c r="AE41" s="255"/>
      <c r="AF41" s="256"/>
      <c r="AG41" s="256"/>
      <c r="AO41" s="52"/>
      <c r="BP41" s="255"/>
      <c r="BQ41" s="255"/>
      <c r="BR41" s="255"/>
    </row>
    <row r="42" spans="1:70" ht="15" customHeight="1">
      <c r="A42" s="1260" t="s">
        <v>637</v>
      </c>
      <c r="B42" s="1260"/>
      <c r="C42" s="1260"/>
      <c r="D42" s="1260"/>
      <c r="E42" s="1260"/>
      <c r="F42" s="1271"/>
      <c r="G42" s="302">
        <v>3.1</v>
      </c>
      <c r="H42" s="311">
        <f>COUNTIF(A39,G42)</f>
        <v>1</v>
      </c>
      <c r="I42" s="240" t="str">
        <f>IF($H$3=1,SUMIF($A$39,G42,$I$39),"")</f>
        <v/>
      </c>
      <c r="J42" s="240" t="str">
        <f>IF(L3=1,SUMIF($A$39,G42,$J$39),"")</f>
        <v/>
      </c>
      <c r="K42" s="1"/>
      <c r="L42" s="256"/>
      <c r="M42" s="256"/>
      <c r="N42" s="256"/>
      <c r="O42" s="256"/>
      <c r="P42" s="256"/>
      <c r="Q42" s="256"/>
      <c r="R42" s="256"/>
      <c r="S42" s="256"/>
      <c r="T42" s="256"/>
      <c r="U42" s="256"/>
      <c r="V42" s="253"/>
      <c r="W42" s="244"/>
      <c r="X42" s="244"/>
      <c r="Y42" s="244"/>
      <c r="AB42" s="272">
        <v>2.4</v>
      </c>
      <c r="AC42" s="311">
        <f>COUNTIF($V$11:$V$40,AB42)</f>
        <v>2</v>
      </c>
      <c r="AD42" s="240" t="str">
        <f>IF($L$3=1,SUMIF($V$11:$V$40,AB42,$AD$11:$AD$40),"")</f>
        <v/>
      </c>
      <c r="AE42" s="255"/>
      <c r="AF42" s="256"/>
      <c r="AG42" s="256"/>
      <c r="AO42" s="52"/>
      <c r="BP42" s="255"/>
      <c r="BQ42" s="255"/>
      <c r="BR42" s="255"/>
    </row>
    <row r="43" spans="1:70" ht="15" customHeight="1">
      <c r="A43" s="255"/>
      <c r="B43" s="255"/>
      <c r="C43" s="255"/>
      <c r="D43" s="255"/>
      <c r="E43" s="255"/>
      <c r="F43" s="255"/>
      <c r="G43" s="255"/>
      <c r="H43" s="255"/>
      <c r="I43" s="255"/>
      <c r="J43" s="255"/>
      <c r="K43" s="255"/>
      <c r="L43" s="255"/>
      <c r="M43" s="255"/>
      <c r="N43" s="255"/>
      <c r="O43" s="255"/>
      <c r="P43" s="255"/>
      <c r="Q43" s="255"/>
      <c r="R43" s="255"/>
      <c r="S43" s="255"/>
      <c r="T43" s="255"/>
      <c r="U43" s="256"/>
      <c r="V43" s="253"/>
      <c r="W43" s="244"/>
      <c r="X43" s="244"/>
      <c r="Y43" s="244"/>
      <c r="AB43" s="274">
        <v>4.3</v>
      </c>
      <c r="AC43" s="311">
        <f>COUNTIF($V$11:$V$40,AB43)</f>
        <v>1</v>
      </c>
      <c r="AD43" s="240" t="str">
        <f>IF($L$3=1,SUMIF($V$11:$V$40,AB43,$AD$11:$AD$40),"")</f>
        <v/>
      </c>
      <c r="AE43" s="255"/>
      <c r="AF43" s="255"/>
      <c r="AG43" s="255"/>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5"/>
      <c r="V44" s="253"/>
      <c r="W44" s="244"/>
      <c r="X44" s="244"/>
      <c r="Y44" s="244"/>
      <c r="AB44" s="274">
        <v>4.4000000000000004</v>
      </c>
      <c r="AC44" s="311">
        <f>COUNTIF($V$11:$V$40,AB44)</f>
        <v>6</v>
      </c>
      <c r="AD44" s="240" t="str">
        <f>IF($L$3=1,SUMIF($V$11:$V$40,AB44,$AD$11:$AD$40),"")</f>
        <v/>
      </c>
      <c r="AE44" s="255"/>
      <c r="AF44" s="255"/>
      <c r="AG44" s="255"/>
      <c r="AO44" s="52"/>
      <c r="BP44" s="255"/>
      <c r="BQ44" s="255"/>
      <c r="BR44" s="255"/>
    </row>
    <row r="45" spans="1:70" ht="15" customHeight="1">
      <c r="A45" s="1171" t="s">
        <v>641</v>
      </c>
      <c r="B45" s="1171"/>
      <c r="C45" s="1171"/>
      <c r="D45" s="1171"/>
      <c r="E45" s="1171"/>
      <c r="F45" s="1171"/>
      <c r="G45" s="1171"/>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1"/>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255"/>
      <c r="BO45" s="255"/>
      <c r="BP45" s="255"/>
      <c r="BQ45" s="255"/>
      <c r="BR45" s="255"/>
    </row>
    <row r="46" spans="1:70" ht="15" customHeight="1" thickBot="1">
      <c r="A46" s="1171"/>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255"/>
      <c r="BO46" s="255"/>
      <c r="BP46" s="255"/>
      <c r="BQ46" s="255"/>
      <c r="BR46" s="305"/>
    </row>
    <row r="47" spans="1:70" ht="15" customHeight="1">
      <c r="A47" s="1172"/>
      <c r="B47" s="1173" t="s">
        <v>608</v>
      </c>
      <c r="C47" s="1173"/>
      <c r="D47" s="1173"/>
      <c r="E47" s="1173"/>
      <c r="F47" s="1173"/>
      <c r="G47" s="1173"/>
      <c r="H47" s="1343">
        <v>1</v>
      </c>
      <c r="I47" s="1174">
        <v>2</v>
      </c>
      <c r="J47" s="1174">
        <v>3</v>
      </c>
      <c r="K47" s="1174">
        <v>4</v>
      </c>
      <c r="L47" s="1174">
        <v>5</v>
      </c>
      <c r="M47" s="1174">
        <v>6</v>
      </c>
      <c r="N47" s="1645"/>
      <c r="O47" s="1648" t="s">
        <v>426</v>
      </c>
      <c r="P47" s="1648">
        <v>1</v>
      </c>
      <c r="Q47" s="1648" t="s">
        <v>16</v>
      </c>
      <c r="R47" s="1648"/>
      <c r="S47" s="1648"/>
      <c r="T47" s="1648"/>
      <c r="U47" s="1731"/>
      <c r="V47" s="1537"/>
      <c r="W47" s="1796" t="s">
        <v>444</v>
      </c>
      <c r="X47" s="1797"/>
      <c r="Y47" s="1797"/>
      <c r="Z47" s="1797"/>
      <c r="AA47" s="1797"/>
      <c r="AB47" s="1797"/>
      <c r="AC47" s="1731"/>
      <c r="AD47" s="1653"/>
      <c r="AE47" s="1656" t="s">
        <v>445</v>
      </c>
      <c r="AF47" s="1657"/>
      <c r="AG47" s="1657"/>
      <c r="AH47" s="1657"/>
      <c r="AI47" s="1657"/>
      <c r="AJ47" s="1657"/>
      <c r="AK47" s="1760"/>
      <c r="AL47" s="1628"/>
      <c r="AM47" s="1631" t="s">
        <v>675</v>
      </c>
      <c r="AN47" s="1632"/>
      <c r="AO47" s="1632"/>
      <c r="AP47" s="1632"/>
      <c r="AQ47" s="1632"/>
      <c r="AR47" s="1632"/>
      <c r="AS47" s="1731"/>
      <c r="AT47" s="1708"/>
      <c r="AU47" s="1711" t="s">
        <v>446</v>
      </c>
      <c r="AV47" s="1712"/>
      <c r="AW47" s="1712"/>
      <c r="AX47" s="1712"/>
      <c r="AY47" s="1712"/>
      <c r="AZ47" s="1712"/>
      <c r="BA47" s="1731"/>
      <c r="BB47" s="1725"/>
      <c r="BC47" s="1691" t="s">
        <v>447</v>
      </c>
      <c r="BD47" s="1692"/>
      <c r="BE47" s="1692"/>
      <c r="BF47" s="1692"/>
      <c r="BG47" s="1692"/>
      <c r="BH47" s="1692"/>
      <c r="BI47" s="1256"/>
      <c r="BJ47" s="1182" t="s">
        <v>263</v>
      </c>
      <c r="BK47" s="1183"/>
      <c r="BL47" s="1183"/>
      <c r="BM47" s="1183"/>
      <c r="BN47" s="1183"/>
      <c r="BO47" s="1184"/>
      <c r="BP47" s="255"/>
      <c r="BQ47" s="255"/>
      <c r="BR47" s="255"/>
    </row>
    <row r="48" spans="1:70" ht="15" customHeight="1">
      <c r="A48" s="1172"/>
      <c r="B48" s="1173"/>
      <c r="C48" s="1173"/>
      <c r="D48" s="1173"/>
      <c r="E48" s="1173"/>
      <c r="F48" s="1173"/>
      <c r="G48" s="1173"/>
      <c r="H48" s="1344"/>
      <c r="I48" s="1174"/>
      <c r="J48" s="1174"/>
      <c r="K48" s="1174"/>
      <c r="L48" s="1174"/>
      <c r="M48" s="1174"/>
      <c r="N48" s="1646"/>
      <c r="O48" s="1386"/>
      <c r="P48" s="1386"/>
      <c r="Q48" s="1386"/>
      <c r="R48" s="1386"/>
      <c r="S48" s="1386"/>
      <c r="T48" s="1386"/>
      <c r="U48" s="1732"/>
      <c r="V48" s="1538"/>
      <c r="W48" s="1798"/>
      <c r="X48" s="1799"/>
      <c r="Y48" s="1799"/>
      <c r="Z48" s="1799"/>
      <c r="AA48" s="1799"/>
      <c r="AB48" s="1799"/>
      <c r="AC48" s="1732"/>
      <c r="AD48" s="1654"/>
      <c r="AE48" s="1659"/>
      <c r="AF48" s="1660"/>
      <c r="AG48" s="1660"/>
      <c r="AH48" s="1660"/>
      <c r="AI48" s="1660"/>
      <c r="AJ48" s="1660"/>
      <c r="AK48" s="1761"/>
      <c r="AL48" s="1629"/>
      <c r="AM48" s="1634"/>
      <c r="AN48" s="1365"/>
      <c r="AO48" s="1365"/>
      <c r="AP48" s="1365"/>
      <c r="AQ48" s="1365"/>
      <c r="AR48" s="1365"/>
      <c r="AS48" s="1732"/>
      <c r="AT48" s="1709"/>
      <c r="AU48" s="1714"/>
      <c r="AV48" s="1715"/>
      <c r="AW48" s="1715"/>
      <c r="AX48" s="1715"/>
      <c r="AY48" s="1715"/>
      <c r="AZ48" s="1715"/>
      <c r="BA48" s="1732"/>
      <c r="BB48" s="1726"/>
      <c r="BC48" s="1694"/>
      <c r="BD48" s="1695"/>
      <c r="BE48" s="1695"/>
      <c r="BF48" s="1695"/>
      <c r="BG48" s="1695"/>
      <c r="BH48" s="1695"/>
      <c r="BI48" s="1793"/>
      <c r="BJ48" s="1219"/>
      <c r="BK48" s="1220"/>
      <c r="BL48" s="1220"/>
      <c r="BM48" s="1220"/>
      <c r="BN48" s="1220"/>
      <c r="BO48" s="1221"/>
      <c r="BP48" s="255"/>
      <c r="BQ48" s="255"/>
      <c r="BR48" s="255"/>
    </row>
    <row r="49" spans="1:70" ht="15" customHeight="1" thickBot="1">
      <c r="A49" s="1172"/>
      <c r="B49" s="1173"/>
      <c r="C49" s="1173"/>
      <c r="D49" s="1173"/>
      <c r="E49" s="1173"/>
      <c r="F49" s="1173"/>
      <c r="G49" s="1173"/>
      <c r="H49" s="1345"/>
      <c r="I49" s="1174"/>
      <c r="J49" s="1174"/>
      <c r="K49" s="1174"/>
      <c r="L49" s="1174"/>
      <c r="M49" s="1174"/>
      <c r="N49" s="1647"/>
      <c r="O49" s="1651"/>
      <c r="P49" s="1651"/>
      <c r="Q49" s="1651"/>
      <c r="R49" s="1651"/>
      <c r="S49" s="1651"/>
      <c r="T49" s="1651"/>
      <c r="U49" s="1733"/>
      <c r="V49" s="1539"/>
      <c r="W49" s="1800"/>
      <c r="X49" s="1801"/>
      <c r="Y49" s="1801"/>
      <c r="Z49" s="1801"/>
      <c r="AA49" s="1801"/>
      <c r="AB49" s="1801"/>
      <c r="AC49" s="1733"/>
      <c r="AD49" s="1655"/>
      <c r="AE49" s="1662"/>
      <c r="AF49" s="1663"/>
      <c r="AG49" s="1663"/>
      <c r="AH49" s="1663"/>
      <c r="AI49" s="1663"/>
      <c r="AJ49" s="1663"/>
      <c r="AK49" s="1762"/>
      <c r="AL49" s="1630"/>
      <c r="AM49" s="1636"/>
      <c r="AN49" s="1637"/>
      <c r="AO49" s="1637"/>
      <c r="AP49" s="1637"/>
      <c r="AQ49" s="1637"/>
      <c r="AR49" s="1637"/>
      <c r="AS49" s="1733"/>
      <c r="AT49" s="1710"/>
      <c r="AU49" s="1717"/>
      <c r="AV49" s="1718"/>
      <c r="AW49" s="1718"/>
      <c r="AX49" s="1718"/>
      <c r="AY49" s="1718"/>
      <c r="AZ49" s="1718"/>
      <c r="BA49" s="1733"/>
      <c r="BB49" s="1727"/>
      <c r="BC49" s="1697"/>
      <c r="BD49" s="1698"/>
      <c r="BE49" s="1698"/>
      <c r="BF49" s="1698"/>
      <c r="BG49" s="1698"/>
      <c r="BH49" s="1698"/>
      <c r="BI49" s="1794"/>
      <c r="BJ49" s="1337"/>
      <c r="BK49" s="1338"/>
      <c r="BL49" s="1338"/>
      <c r="BM49" s="1338"/>
      <c r="BN49" s="1338"/>
      <c r="BO49" s="1339"/>
      <c r="BP49" s="255"/>
      <c r="BQ49" s="255"/>
      <c r="BR49" s="255"/>
    </row>
    <row r="50" spans="1:70" ht="15" customHeight="1">
      <c r="A50" s="1307">
        <v>1.1000000000000001</v>
      </c>
      <c r="B50" s="1161" t="s">
        <v>941</v>
      </c>
      <c r="C50" s="1162"/>
      <c r="D50" s="1162"/>
      <c r="E50" s="1162"/>
      <c r="F50" s="1162"/>
      <c r="G50" s="1199"/>
      <c r="H50" s="1205" t="str">
        <f>IF(ISBLANK(P$3),"",1)</f>
        <v/>
      </c>
      <c r="I50" s="1205" t="str">
        <f>IF(ISBLANK(T$3),"",1)</f>
        <v/>
      </c>
      <c r="J50" s="1205" t="str">
        <f>IF(ISBLANK(X$3),"",1)</f>
        <v/>
      </c>
      <c r="K50" s="1205" t="str">
        <f>IF(ISBLANK(AB$3),"",1)</f>
        <v/>
      </c>
      <c r="L50" s="1205" t="str">
        <f>IF(ISBLANK(AF$3),"",1)</f>
        <v/>
      </c>
      <c r="M50" s="1205" t="str">
        <f>IF(ISBLANK(AJ$3),"",1)</f>
        <v/>
      </c>
      <c r="N50" s="1303">
        <v>4.4000000000000004</v>
      </c>
      <c r="O50" s="1790" t="s">
        <v>642</v>
      </c>
      <c r="P50" s="1790"/>
      <c r="Q50" s="1790"/>
      <c r="R50" s="1790"/>
      <c r="S50" s="1790"/>
      <c r="T50" s="1790"/>
      <c r="U50" s="1342" t="str">
        <f>IF(ISBLANK(P$3),"",1)</f>
        <v/>
      </c>
      <c r="V50" s="1303">
        <v>4.4000000000000004</v>
      </c>
      <c r="W50" s="1790" t="s">
        <v>340</v>
      </c>
      <c r="X50" s="1790"/>
      <c r="Y50" s="1790"/>
      <c r="Z50" s="1790"/>
      <c r="AA50" s="1790"/>
      <c r="AB50" s="1790"/>
      <c r="AC50" s="1342" t="str">
        <f>IF(ISBLANK(T$3),"",1)</f>
        <v/>
      </c>
      <c r="AD50" s="1303">
        <v>4.4000000000000004</v>
      </c>
      <c r="AE50" s="1684" t="s">
        <v>340</v>
      </c>
      <c r="AF50" s="1684"/>
      <c r="AG50" s="1684"/>
      <c r="AH50" s="1684"/>
      <c r="AI50" s="1684"/>
      <c r="AJ50" s="1684"/>
      <c r="AK50" s="1342" t="str">
        <f>IF(ISBLANK(X$3),"",1)</f>
        <v/>
      </c>
      <c r="AL50" s="1303">
        <v>4.4000000000000004</v>
      </c>
      <c r="AM50" s="1684" t="s">
        <v>341</v>
      </c>
      <c r="AN50" s="1684"/>
      <c r="AO50" s="1684"/>
      <c r="AP50" s="1684"/>
      <c r="AQ50" s="1684"/>
      <c r="AR50" s="1684"/>
      <c r="AS50" s="1342" t="str">
        <f>IF(ISBLANK(AB$3),"",1)</f>
        <v/>
      </c>
      <c r="AT50" s="1303">
        <v>4.4000000000000004</v>
      </c>
      <c r="AU50" s="1684" t="s">
        <v>340</v>
      </c>
      <c r="AV50" s="1684"/>
      <c r="AW50" s="1684"/>
      <c r="AX50" s="1684"/>
      <c r="AY50" s="1684"/>
      <c r="AZ50" s="1684"/>
      <c r="BA50" s="1342" t="str">
        <f>IF(ISBLANK(AF$3),"",1)</f>
        <v/>
      </c>
      <c r="BB50" s="1258">
        <v>4.4000000000000004</v>
      </c>
      <c r="BC50" s="1795" t="s">
        <v>342</v>
      </c>
      <c r="BD50" s="1795"/>
      <c r="BE50" s="1795"/>
      <c r="BF50" s="1795"/>
      <c r="BG50" s="1795"/>
      <c r="BH50" s="1795"/>
      <c r="BI50" s="1788" t="str">
        <f>IF(ISBLANK(AJ$3),"",1)</f>
        <v/>
      </c>
      <c r="BJ50" s="1337"/>
      <c r="BK50" s="1338"/>
      <c r="BL50" s="1338"/>
      <c r="BM50" s="1338"/>
      <c r="BN50" s="1338"/>
      <c r="BO50" s="1339"/>
      <c r="BP50" s="255"/>
      <c r="BQ50" s="255"/>
      <c r="BR50" s="255"/>
    </row>
    <row r="51" spans="1:70" ht="15" customHeight="1">
      <c r="A51" s="1308"/>
      <c r="B51" s="1163"/>
      <c r="C51" s="1164"/>
      <c r="D51" s="1164"/>
      <c r="E51" s="1164"/>
      <c r="F51" s="1164"/>
      <c r="G51" s="1201"/>
      <c r="H51" s="1206"/>
      <c r="I51" s="1206"/>
      <c r="J51" s="1206"/>
      <c r="K51" s="1206"/>
      <c r="L51" s="1206"/>
      <c r="M51" s="1206"/>
      <c r="N51" s="1258"/>
      <c r="O51" s="1684"/>
      <c r="P51" s="1684"/>
      <c r="Q51" s="1684"/>
      <c r="R51" s="1684"/>
      <c r="S51" s="1684"/>
      <c r="T51" s="1684"/>
      <c r="U51" s="1342"/>
      <c r="V51" s="1258"/>
      <c r="W51" s="1684"/>
      <c r="X51" s="1684"/>
      <c r="Y51" s="1684"/>
      <c r="Z51" s="1684"/>
      <c r="AA51" s="1684"/>
      <c r="AB51" s="1684"/>
      <c r="AC51" s="1342"/>
      <c r="AD51" s="1258"/>
      <c r="AE51" s="1684"/>
      <c r="AF51" s="1684"/>
      <c r="AG51" s="1684"/>
      <c r="AH51" s="1684"/>
      <c r="AI51" s="1684"/>
      <c r="AJ51" s="1684"/>
      <c r="AK51" s="1342"/>
      <c r="AL51" s="1258"/>
      <c r="AM51" s="1684"/>
      <c r="AN51" s="1684"/>
      <c r="AO51" s="1684"/>
      <c r="AP51" s="1684"/>
      <c r="AQ51" s="1684"/>
      <c r="AR51" s="1684"/>
      <c r="AS51" s="1342"/>
      <c r="AT51" s="1258"/>
      <c r="AU51" s="1684"/>
      <c r="AV51" s="1684"/>
      <c r="AW51" s="1684"/>
      <c r="AX51" s="1684"/>
      <c r="AY51" s="1684"/>
      <c r="AZ51" s="1684"/>
      <c r="BA51" s="1342"/>
      <c r="BB51" s="1258"/>
      <c r="BC51" s="1795"/>
      <c r="BD51" s="1795"/>
      <c r="BE51" s="1795"/>
      <c r="BF51" s="1795"/>
      <c r="BG51" s="1795"/>
      <c r="BH51" s="1795"/>
      <c r="BI51" s="1788"/>
      <c r="BJ51" s="1337"/>
      <c r="BK51" s="1338"/>
      <c r="BL51" s="1338"/>
      <c r="BM51" s="1338"/>
      <c r="BN51" s="1338"/>
      <c r="BO51" s="1339"/>
      <c r="BP51" s="255"/>
      <c r="BQ51" s="255"/>
      <c r="BR51" s="255"/>
    </row>
    <row r="52" spans="1:70" ht="15" customHeight="1">
      <c r="A52" s="1309"/>
      <c r="B52" s="1165"/>
      <c r="C52" s="1166"/>
      <c r="D52" s="1166"/>
      <c r="E52" s="1166"/>
      <c r="F52" s="1166"/>
      <c r="G52" s="1292"/>
      <c r="H52" s="1207"/>
      <c r="I52" s="1207"/>
      <c r="J52" s="1207"/>
      <c r="K52" s="1207"/>
      <c r="L52" s="1207"/>
      <c r="M52" s="1207"/>
      <c r="N52" s="1258"/>
      <c r="O52" s="1684"/>
      <c r="P52" s="1684"/>
      <c r="Q52" s="1684"/>
      <c r="R52" s="1684"/>
      <c r="S52" s="1684"/>
      <c r="T52" s="1684"/>
      <c r="U52" s="1342"/>
      <c r="V52" s="1258"/>
      <c r="W52" s="1684"/>
      <c r="X52" s="1684"/>
      <c r="Y52" s="1684"/>
      <c r="Z52" s="1684"/>
      <c r="AA52" s="1684"/>
      <c r="AB52" s="1684"/>
      <c r="AC52" s="1342"/>
      <c r="AD52" s="1258"/>
      <c r="AE52" s="1684"/>
      <c r="AF52" s="1684"/>
      <c r="AG52" s="1684"/>
      <c r="AH52" s="1684"/>
      <c r="AI52" s="1684"/>
      <c r="AJ52" s="1684"/>
      <c r="AK52" s="1342"/>
      <c r="AL52" s="1258"/>
      <c r="AM52" s="1684"/>
      <c r="AN52" s="1684"/>
      <c r="AO52" s="1684"/>
      <c r="AP52" s="1684"/>
      <c r="AQ52" s="1684"/>
      <c r="AR52" s="1684"/>
      <c r="AS52" s="1342"/>
      <c r="AT52" s="1258"/>
      <c r="AU52" s="1684"/>
      <c r="AV52" s="1684"/>
      <c r="AW52" s="1684"/>
      <c r="AX52" s="1684"/>
      <c r="AY52" s="1684"/>
      <c r="AZ52" s="1684"/>
      <c r="BA52" s="1342"/>
      <c r="BB52" s="1258"/>
      <c r="BC52" s="1795"/>
      <c r="BD52" s="1795"/>
      <c r="BE52" s="1795"/>
      <c r="BF52" s="1795"/>
      <c r="BG52" s="1795"/>
      <c r="BH52" s="1795"/>
      <c r="BI52" s="1788"/>
      <c r="BJ52" s="1337"/>
      <c r="BK52" s="1338"/>
      <c r="BL52" s="1338"/>
      <c r="BM52" s="1338"/>
      <c r="BN52" s="1338"/>
      <c r="BO52" s="1339"/>
      <c r="BP52" s="255"/>
      <c r="BQ52" s="255"/>
      <c r="BR52" s="255"/>
    </row>
    <row r="53" spans="1:70" ht="15" customHeight="1">
      <c r="A53" s="1304">
        <v>2.4</v>
      </c>
      <c r="B53" s="1161" t="s">
        <v>316</v>
      </c>
      <c r="C53" s="1162"/>
      <c r="D53" s="1162"/>
      <c r="E53" s="1162"/>
      <c r="F53" s="1162"/>
      <c r="G53" s="1199"/>
      <c r="H53" s="1205" t="str">
        <f>IF(ISBLANK(P$3),"",1)</f>
        <v/>
      </c>
      <c r="I53" s="1205" t="str">
        <f>IF(ISBLANK(T$3),"",1)</f>
        <v/>
      </c>
      <c r="J53" s="1205" t="str">
        <f>IF(ISBLANK(X$3),"",1)</f>
        <v/>
      </c>
      <c r="K53" s="1205" t="str">
        <f>IF(ISBLANK(AB$3),"",1)</f>
        <v/>
      </c>
      <c r="L53" s="1205" t="str">
        <f>IF(ISBLANK(AF$3),"",1)</f>
        <v/>
      </c>
      <c r="M53" s="1205" t="str">
        <f t="shared" ref="M53" si="12">IF(ISBLANK(AJ$3),"",1)</f>
        <v/>
      </c>
      <c r="N53" s="1258">
        <v>4.4000000000000004</v>
      </c>
      <c r="O53" s="1684" t="s">
        <v>343</v>
      </c>
      <c r="P53" s="1684"/>
      <c r="Q53" s="1684"/>
      <c r="R53" s="1684"/>
      <c r="S53" s="1684"/>
      <c r="T53" s="1684"/>
      <c r="U53" s="1342" t="str">
        <f t="shared" ref="U53" si="13">IF(ISBLANK(P$3),"",1)</f>
        <v/>
      </c>
      <c r="V53" s="1303">
        <v>4.3</v>
      </c>
      <c r="W53" s="1790" t="s">
        <v>319</v>
      </c>
      <c r="X53" s="1790"/>
      <c r="Y53" s="1790"/>
      <c r="Z53" s="1790"/>
      <c r="AA53" s="1790"/>
      <c r="AB53" s="1790"/>
      <c r="AC53" s="1342" t="str">
        <f t="shared" ref="AC53" si="14">IF(ISBLANK(T$3),"",1)</f>
        <v/>
      </c>
      <c r="AD53" s="1258">
        <v>4.3</v>
      </c>
      <c r="AE53" s="1684" t="s">
        <v>319</v>
      </c>
      <c r="AF53" s="1684"/>
      <c r="AG53" s="1684"/>
      <c r="AH53" s="1684"/>
      <c r="AI53" s="1684"/>
      <c r="AJ53" s="1684"/>
      <c r="AK53" s="1342" t="str">
        <f t="shared" ref="AK53" si="15">IF(ISBLANK(X$3),"",1)</f>
        <v/>
      </c>
      <c r="AL53" s="1258">
        <v>4.4000000000000004</v>
      </c>
      <c r="AM53" s="1684" t="s">
        <v>344</v>
      </c>
      <c r="AN53" s="1684"/>
      <c r="AO53" s="1684"/>
      <c r="AP53" s="1684"/>
      <c r="AQ53" s="1684"/>
      <c r="AR53" s="1684"/>
      <c r="AS53" s="1342" t="str">
        <f t="shared" ref="AS53" si="16">IF(ISBLANK(AB$3),"",1)</f>
        <v/>
      </c>
      <c r="AT53" s="1258">
        <v>4.3</v>
      </c>
      <c r="AU53" s="1684" t="s">
        <v>319</v>
      </c>
      <c r="AV53" s="1684"/>
      <c r="AW53" s="1684"/>
      <c r="AX53" s="1684"/>
      <c r="AY53" s="1684"/>
      <c r="AZ53" s="1684"/>
      <c r="BA53" s="1342" t="str">
        <f t="shared" ref="BA53" si="17">IF(ISBLANK(AF$3),"",1)</f>
        <v/>
      </c>
      <c r="BB53" s="1258">
        <v>4.3</v>
      </c>
      <c r="BC53" s="1684" t="s">
        <v>319</v>
      </c>
      <c r="BD53" s="1684"/>
      <c r="BE53" s="1684"/>
      <c r="BF53" s="1684"/>
      <c r="BG53" s="1684"/>
      <c r="BH53" s="1684"/>
      <c r="BI53" s="1788" t="str">
        <f t="shared" ref="BI53" si="18">IF(ISBLANK(AJ$3),"",1)</f>
        <v/>
      </c>
      <c r="BJ53" s="1337"/>
      <c r="BK53" s="1338"/>
      <c r="BL53" s="1338"/>
      <c r="BM53" s="1338"/>
      <c r="BN53" s="1338"/>
      <c r="BO53" s="1339"/>
      <c r="BP53" s="255"/>
      <c r="BQ53" s="255"/>
      <c r="BR53" s="255"/>
    </row>
    <row r="54" spans="1:70" ht="15" customHeight="1">
      <c r="A54" s="1290"/>
      <c r="B54" s="1163"/>
      <c r="C54" s="1164"/>
      <c r="D54" s="1164"/>
      <c r="E54" s="1164"/>
      <c r="F54" s="1164"/>
      <c r="G54" s="1201"/>
      <c r="H54" s="1206"/>
      <c r="I54" s="1206"/>
      <c r="J54" s="1206"/>
      <c r="K54" s="1206"/>
      <c r="L54" s="1206"/>
      <c r="M54" s="1206"/>
      <c r="N54" s="1258"/>
      <c r="O54" s="1684"/>
      <c r="P54" s="1684"/>
      <c r="Q54" s="1684"/>
      <c r="R54" s="1684"/>
      <c r="S54" s="1684"/>
      <c r="T54" s="1684"/>
      <c r="U54" s="1342"/>
      <c r="V54" s="1258"/>
      <c r="W54" s="1684" t="s">
        <v>644</v>
      </c>
      <c r="X54" s="1684"/>
      <c r="Y54" s="1684"/>
      <c r="Z54" s="1684"/>
      <c r="AA54" s="1684"/>
      <c r="AB54" s="1684"/>
      <c r="AC54" s="1342"/>
      <c r="AD54" s="1258"/>
      <c r="AE54" s="1684"/>
      <c r="AF54" s="1684"/>
      <c r="AG54" s="1684"/>
      <c r="AH54" s="1684"/>
      <c r="AI54" s="1684"/>
      <c r="AJ54" s="1684"/>
      <c r="AK54" s="1342"/>
      <c r="AL54" s="1258"/>
      <c r="AM54" s="1684"/>
      <c r="AN54" s="1684"/>
      <c r="AO54" s="1684"/>
      <c r="AP54" s="1684"/>
      <c r="AQ54" s="1684"/>
      <c r="AR54" s="1684"/>
      <c r="AS54" s="1342"/>
      <c r="AT54" s="1258"/>
      <c r="AU54" s="1684"/>
      <c r="AV54" s="1684"/>
      <c r="AW54" s="1684"/>
      <c r="AX54" s="1684"/>
      <c r="AY54" s="1684"/>
      <c r="AZ54" s="1684"/>
      <c r="BA54" s="1342"/>
      <c r="BB54" s="1258"/>
      <c r="BC54" s="1684"/>
      <c r="BD54" s="1684"/>
      <c r="BE54" s="1684"/>
      <c r="BF54" s="1684"/>
      <c r="BG54" s="1684"/>
      <c r="BH54" s="1684"/>
      <c r="BI54" s="1788"/>
      <c r="BJ54" s="1337"/>
      <c r="BK54" s="1338"/>
      <c r="BL54" s="1338"/>
      <c r="BM54" s="1338"/>
      <c r="BN54" s="1338"/>
      <c r="BO54" s="1339"/>
      <c r="BP54" s="255"/>
      <c r="BQ54" s="255"/>
      <c r="BR54" s="255"/>
    </row>
    <row r="55" spans="1:70" ht="15" customHeight="1">
      <c r="A55" s="1291"/>
      <c r="B55" s="1165"/>
      <c r="C55" s="1166"/>
      <c r="D55" s="1166"/>
      <c r="E55" s="1166"/>
      <c r="F55" s="1166"/>
      <c r="G55" s="1292"/>
      <c r="H55" s="1207"/>
      <c r="I55" s="1207"/>
      <c r="J55" s="1207"/>
      <c r="K55" s="1207"/>
      <c r="L55" s="1207"/>
      <c r="M55" s="1207"/>
      <c r="N55" s="1258"/>
      <c r="O55" s="1684"/>
      <c r="P55" s="1684"/>
      <c r="Q55" s="1684"/>
      <c r="R55" s="1684"/>
      <c r="S55" s="1684"/>
      <c r="T55" s="1684"/>
      <c r="U55" s="1342"/>
      <c r="V55" s="1258"/>
      <c r="W55" s="1684"/>
      <c r="X55" s="1684"/>
      <c r="Y55" s="1684"/>
      <c r="Z55" s="1684"/>
      <c r="AA55" s="1684"/>
      <c r="AB55" s="1684"/>
      <c r="AC55" s="1342"/>
      <c r="AD55" s="1258"/>
      <c r="AE55" s="1684"/>
      <c r="AF55" s="1684"/>
      <c r="AG55" s="1684"/>
      <c r="AH55" s="1684"/>
      <c r="AI55" s="1684"/>
      <c r="AJ55" s="1684"/>
      <c r="AK55" s="1342"/>
      <c r="AL55" s="1258"/>
      <c r="AM55" s="1684"/>
      <c r="AN55" s="1684"/>
      <c r="AO55" s="1684"/>
      <c r="AP55" s="1684"/>
      <c r="AQ55" s="1684"/>
      <c r="AR55" s="1684"/>
      <c r="AS55" s="1342"/>
      <c r="AT55" s="1258"/>
      <c r="AU55" s="1684"/>
      <c r="AV55" s="1684"/>
      <c r="AW55" s="1684"/>
      <c r="AX55" s="1684"/>
      <c r="AY55" s="1684"/>
      <c r="AZ55" s="1684"/>
      <c r="BA55" s="1342"/>
      <c r="BB55" s="1258"/>
      <c r="BC55" s="1684"/>
      <c r="BD55" s="1684"/>
      <c r="BE55" s="1684"/>
      <c r="BF55" s="1684"/>
      <c r="BG55" s="1684"/>
      <c r="BH55" s="1684"/>
      <c r="BI55" s="1788"/>
      <c r="BJ55" s="1337"/>
      <c r="BK55" s="1338"/>
      <c r="BL55" s="1338"/>
      <c r="BM55" s="1338"/>
      <c r="BN55" s="1338"/>
      <c r="BO55" s="1339"/>
      <c r="BP55" s="255"/>
      <c r="BQ55" s="255"/>
      <c r="BR55" s="255"/>
    </row>
    <row r="56" spans="1:70" ht="15" customHeight="1">
      <c r="A56" s="1307">
        <v>1.1000000000000001</v>
      </c>
      <c r="B56" s="1161" t="s">
        <v>320</v>
      </c>
      <c r="C56" s="1162"/>
      <c r="D56" s="1162"/>
      <c r="E56" s="1162"/>
      <c r="F56" s="1162"/>
      <c r="G56" s="1199"/>
      <c r="H56" s="1205" t="str">
        <f>IF(ISBLANK(P$3),"",1)</f>
        <v/>
      </c>
      <c r="I56" s="1205" t="str">
        <f>IF(ISBLANK(T$3),"",1)</f>
        <v/>
      </c>
      <c r="J56" s="1205" t="str">
        <f>IF(ISBLANK(X$3),"",1)</f>
        <v/>
      </c>
      <c r="K56" s="1205" t="str">
        <f>IF(ISBLANK(AB$3),"",1)</f>
        <v/>
      </c>
      <c r="L56" s="1205" t="str">
        <f>IF(ISBLANK(AF$3),"",1)</f>
        <v/>
      </c>
      <c r="M56" s="1205" t="str">
        <f t="shared" ref="M56" si="19">IF(ISBLANK(AJ$3),"",1)</f>
        <v/>
      </c>
      <c r="N56" s="1236">
        <v>1.5</v>
      </c>
      <c r="O56" s="1684" t="s">
        <v>345</v>
      </c>
      <c r="P56" s="1684"/>
      <c r="Q56" s="1684"/>
      <c r="R56" s="1684"/>
      <c r="S56" s="1684"/>
      <c r="T56" s="1684"/>
      <c r="U56" s="1342" t="str">
        <f t="shared" ref="U56" si="20">IF(ISBLANK(P$3),"",1)</f>
        <v/>
      </c>
      <c r="V56" s="1194">
        <v>2.4</v>
      </c>
      <c r="W56" s="1792" t="s">
        <v>367</v>
      </c>
      <c r="X56" s="1790"/>
      <c r="Y56" s="1790"/>
      <c r="Z56" s="1790"/>
      <c r="AA56" s="1790"/>
      <c r="AB56" s="1790"/>
      <c r="AC56" s="1342" t="str">
        <f t="shared" ref="AC56" si="21">IF(ISBLANK(T$3),"",1)</f>
        <v/>
      </c>
      <c r="AD56" s="1194">
        <v>2.4</v>
      </c>
      <c r="AE56" s="1791" t="s">
        <v>346</v>
      </c>
      <c r="AF56" s="1684"/>
      <c r="AG56" s="1684"/>
      <c r="AH56" s="1684"/>
      <c r="AI56" s="1684"/>
      <c r="AJ56" s="1684"/>
      <c r="AK56" s="1342" t="str">
        <f t="shared" ref="AK56" si="22">IF(ISBLANK(X$3),"",1)</f>
        <v/>
      </c>
      <c r="AL56" s="1258">
        <v>4.3</v>
      </c>
      <c r="AM56" s="1749" t="s">
        <v>319</v>
      </c>
      <c r="AN56" s="1396"/>
      <c r="AO56" s="1396"/>
      <c r="AP56" s="1396"/>
      <c r="AQ56" s="1396"/>
      <c r="AR56" s="1396"/>
      <c r="AS56" s="1342" t="str">
        <f t="shared" ref="AS56" si="23">IF(ISBLANK(AB$3),"",1)</f>
        <v/>
      </c>
      <c r="AT56" s="1194">
        <v>2.4</v>
      </c>
      <c r="AU56" s="1791" t="s">
        <v>346</v>
      </c>
      <c r="AV56" s="1684"/>
      <c r="AW56" s="1684"/>
      <c r="AX56" s="1684"/>
      <c r="AY56" s="1684"/>
      <c r="AZ56" s="1684"/>
      <c r="BA56" s="1342" t="str">
        <f t="shared" ref="BA56" si="24">IF(ISBLANK(AF$3),"",1)</f>
        <v/>
      </c>
      <c r="BB56" s="1258">
        <v>4.4000000000000004</v>
      </c>
      <c r="BC56" s="1684" t="s">
        <v>347</v>
      </c>
      <c r="BD56" s="1684"/>
      <c r="BE56" s="1684"/>
      <c r="BF56" s="1684"/>
      <c r="BG56" s="1684"/>
      <c r="BH56" s="1684"/>
      <c r="BI56" s="1788" t="str">
        <f t="shared" ref="BI56" si="25">IF(ISBLANK(AJ$3),"",1)</f>
        <v/>
      </c>
      <c r="BJ56" s="1337"/>
      <c r="BK56" s="1338"/>
      <c r="BL56" s="1338"/>
      <c r="BM56" s="1338"/>
      <c r="BN56" s="1338"/>
      <c r="BO56" s="1339"/>
      <c r="BP56" s="255"/>
      <c r="BQ56" s="255"/>
      <c r="BR56" s="255"/>
    </row>
    <row r="57" spans="1:70" ht="15" customHeight="1">
      <c r="A57" s="1308"/>
      <c r="B57" s="1163"/>
      <c r="C57" s="1164"/>
      <c r="D57" s="1164"/>
      <c r="E57" s="1164"/>
      <c r="F57" s="1164"/>
      <c r="G57" s="1201"/>
      <c r="H57" s="1206"/>
      <c r="I57" s="1206"/>
      <c r="J57" s="1206"/>
      <c r="K57" s="1206"/>
      <c r="L57" s="1206"/>
      <c r="M57" s="1206"/>
      <c r="N57" s="1236"/>
      <c r="O57" s="1684"/>
      <c r="P57" s="1684"/>
      <c r="Q57" s="1684"/>
      <c r="R57" s="1684"/>
      <c r="S57" s="1684"/>
      <c r="T57" s="1684"/>
      <c r="U57" s="1342"/>
      <c r="V57" s="1194"/>
      <c r="W57" s="1684" t="s">
        <v>368</v>
      </c>
      <c r="X57" s="1684"/>
      <c r="Y57" s="1684"/>
      <c r="Z57" s="1684"/>
      <c r="AA57" s="1684"/>
      <c r="AB57" s="1684"/>
      <c r="AC57" s="1342"/>
      <c r="AD57" s="1194"/>
      <c r="AE57" s="1684"/>
      <c r="AF57" s="1684"/>
      <c r="AG57" s="1684"/>
      <c r="AH57" s="1684"/>
      <c r="AI57" s="1684"/>
      <c r="AJ57" s="1684"/>
      <c r="AK57" s="1342"/>
      <c r="AL57" s="1258"/>
      <c r="AM57" s="1200"/>
      <c r="AN57" s="1164"/>
      <c r="AO57" s="1164"/>
      <c r="AP57" s="1164"/>
      <c r="AQ57" s="1164"/>
      <c r="AR57" s="1164"/>
      <c r="AS57" s="1342"/>
      <c r="AT57" s="1194"/>
      <c r="AU57" s="1684"/>
      <c r="AV57" s="1684"/>
      <c r="AW57" s="1684"/>
      <c r="AX57" s="1684"/>
      <c r="AY57" s="1684"/>
      <c r="AZ57" s="1684"/>
      <c r="BA57" s="1342"/>
      <c r="BB57" s="1258"/>
      <c r="BC57" s="1684"/>
      <c r="BD57" s="1684"/>
      <c r="BE57" s="1684"/>
      <c r="BF57" s="1684"/>
      <c r="BG57" s="1684"/>
      <c r="BH57" s="1684"/>
      <c r="BI57" s="1788"/>
      <c r="BJ57" s="1337"/>
      <c r="BK57" s="1338"/>
      <c r="BL57" s="1338"/>
      <c r="BM57" s="1338"/>
      <c r="BN57" s="1338"/>
      <c r="BO57" s="1339"/>
      <c r="BP57" s="255"/>
      <c r="BQ57" s="255"/>
      <c r="BR57" s="255"/>
    </row>
    <row r="58" spans="1:70" ht="15" customHeight="1">
      <c r="A58" s="1309"/>
      <c r="B58" s="1165"/>
      <c r="C58" s="1166"/>
      <c r="D58" s="1166"/>
      <c r="E58" s="1166"/>
      <c r="F58" s="1166"/>
      <c r="G58" s="1292"/>
      <c r="H58" s="1207"/>
      <c r="I58" s="1207"/>
      <c r="J58" s="1207"/>
      <c r="K58" s="1207"/>
      <c r="L58" s="1207"/>
      <c r="M58" s="1207"/>
      <c r="N58" s="1236"/>
      <c r="O58" s="1684"/>
      <c r="P58" s="1684"/>
      <c r="Q58" s="1684"/>
      <c r="R58" s="1684"/>
      <c r="S58" s="1684"/>
      <c r="T58" s="1684"/>
      <c r="U58" s="1342"/>
      <c r="V58" s="1194"/>
      <c r="W58" s="1684" t="s">
        <v>369</v>
      </c>
      <c r="X58" s="1684"/>
      <c r="Y58" s="1684"/>
      <c r="Z58" s="1684"/>
      <c r="AA58" s="1684"/>
      <c r="AB58" s="1684"/>
      <c r="AC58" s="1342"/>
      <c r="AD58" s="1194"/>
      <c r="AE58" s="1684"/>
      <c r="AF58" s="1684"/>
      <c r="AG58" s="1684"/>
      <c r="AH58" s="1684"/>
      <c r="AI58" s="1684"/>
      <c r="AJ58" s="1684"/>
      <c r="AK58" s="1342"/>
      <c r="AL58" s="1258"/>
      <c r="AM58" s="1202"/>
      <c r="AN58" s="1203"/>
      <c r="AO58" s="1203"/>
      <c r="AP58" s="1203"/>
      <c r="AQ58" s="1203"/>
      <c r="AR58" s="1203"/>
      <c r="AS58" s="1342"/>
      <c r="AT58" s="1194"/>
      <c r="AU58" s="1684"/>
      <c r="AV58" s="1684"/>
      <c r="AW58" s="1684"/>
      <c r="AX58" s="1684"/>
      <c r="AY58" s="1684"/>
      <c r="AZ58" s="1684"/>
      <c r="BA58" s="1342"/>
      <c r="BB58" s="1258"/>
      <c r="BC58" s="1684"/>
      <c r="BD58" s="1684"/>
      <c r="BE58" s="1684"/>
      <c r="BF58" s="1684"/>
      <c r="BG58" s="1684"/>
      <c r="BH58" s="1684"/>
      <c r="BI58" s="1788"/>
      <c r="BJ58" s="1337"/>
      <c r="BK58" s="1338"/>
      <c r="BL58" s="1338"/>
      <c r="BM58" s="1338"/>
      <c r="BN58" s="1338"/>
      <c r="BO58" s="1339"/>
      <c r="BP58" s="255"/>
      <c r="BQ58" s="255"/>
      <c r="BR58" s="255"/>
    </row>
    <row r="59" spans="1:70" ht="15" customHeight="1">
      <c r="A59" s="1304">
        <v>2.1</v>
      </c>
      <c r="B59" s="1161" t="s">
        <v>322</v>
      </c>
      <c r="C59" s="1162"/>
      <c r="D59" s="1162"/>
      <c r="E59" s="1162"/>
      <c r="F59" s="1162"/>
      <c r="G59" s="1199"/>
      <c r="H59" s="1205" t="str">
        <f t="shared" ref="H59" si="26">IF(ISBLANK(P$3),"",1)</f>
        <v/>
      </c>
      <c r="I59" s="1205" t="str">
        <f>IF(ISBLANK(T$3),"",1)</f>
        <v/>
      </c>
      <c r="J59" s="1205" t="str">
        <f>IF(ISBLANK(X$3),"",1)</f>
        <v/>
      </c>
      <c r="K59" s="1205" t="str">
        <f>IF(ISBLANK(AB$3),"",1)</f>
        <v/>
      </c>
      <c r="L59" s="1205" t="str">
        <f>IF(ISBLANK(AF$3),"",1)</f>
        <v/>
      </c>
      <c r="M59" s="1205" t="str">
        <f t="shared" ref="M59" si="27">IF(ISBLANK(AJ$3),"",1)</f>
        <v/>
      </c>
      <c r="N59" s="1258">
        <v>4.3</v>
      </c>
      <c r="O59" s="1684" t="s">
        <v>348</v>
      </c>
      <c r="P59" s="1684"/>
      <c r="Q59" s="1684"/>
      <c r="R59" s="1684"/>
      <c r="S59" s="1684"/>
      <c r="T59" s="1684"/>
      <c r="U59" s="1342" t="str">
        <f t="shared" ref="U59" si="28">IF(ISBLANK(P$3),"",1)</f>
        <v/>
      </c>
      <c r="V59" s="1303">
        <v>4.3</v>
      </c>
      <c r="W59" s="1790" t="s">
        <v>321</v>
      </c>
      <c r="X59" s="1790"/>
      <c r="Y59" s="1790"/>
      <c r="Z59" s="1790"/>
      <c r="AA59" s="1790"/>
      <c r="AB59" s="1790"/>
      <c r="AC59" s="1342" t="str">
        <f t="shared" ref="AC59" si="29">IF(ISBLANK(T$3),"",1)</f>
        <v/>
      </c>
      <c r="AD59" s="1258">
        <v>4.3</v>
      </c>
      <c r="AE59" s="1684" t="s">
        <v>321</v>
      </c>
      <c r="AF59" s="1684"/>
      <c r="AG59" s="1684"/>
      <c r="AH59" s="1684"/>
      <c r="AI59" s="1684"/>
      <c r="AJ59" s="1684"/>
      <c r="AK59" s="1342" t="str">
        <f t="shared" ref="AK59" si="30">IF(ISBLANK(X$3),"",1)</f>
        <v/>
      </c>
      <c r="AL59" s="1258">
        <v>4.3</v>
      </c>
      <c r="AM59" s="1684" t="s">
        <v>321</v>
      </c>
      <c r="AN59" s="1684"/>
      <c r="AO59" s="1684"/>
      <c r="AP59" s="1684"/>
      <c r="AQ59" s="1684"/>
      <c r="AR59" s="1684"/>
      <c r="AS59" s="1342" t="str">
        <f t="shared" ref="AS59" si="31">IF(ISBLANK(AB$3),"",1)</f>
        <v/>
      </c>
      <c r="AT59" s="1258">
        <v>4.4000000000000004</v>
      </c>
      <c r="AU59" s="1684" t="s">
        <v>347</v>
      </c>
      <c r="AV59" s="1684"/>
      <c r="AW59" s="1684"/>
      <c r="AX59" s="1684"/>
      <c r="AY59" s="1684"/>
      <c r="AZ59" s="1684"/>
      <c r="BA59" s="1342" t="str">
        <f t="shared" ref="BA59" si="32">IF(ISBLANK(AF$3),"",1)</f>
        <v/>
      </c>
      <c r="BB59" s="1566">
        <v>4.4000000000000004</v>
      </c>
      <c r="BC59" s="1684" t="s">
        <v>349</v>
      </c>
      <c r="BD59" s="1684"/>
      <c r="BE59" s="1684"/>
      <c r="BF59" s="1684"/>
      <c r="BG59" s="1684"/>
      <c r="BH59" s="1684"/>
      <c r="BI59" s="1788" t="str">
        <f t="shared" ref="BI59" si="33">IF(ISBLANK(AJ$3),"",1)</f>
        <v/>
      </c>
      <c r="BJ59" s="1337"/>
      <c r="BK59" s="1338"/>
      <c r="BL59" s="1338"/>
      <c r="BM59" s="1338"/>
      <c r="BN59" s="1338"/>
      <c r="BO59" s="1339"/>
      <c r="BP59" s="255"/>
      <c r="BQ59" s="255"/>
      <c r="BR59" s="255"/>
    </row>
    <row r="60" spans="1:70" ht="15" customHeight="1">
      <c r="A60" s="1290"/>
      <c r="B60" s="1163"/>
      <c r="C60" s="1164"/>
      <c r="D60" s="1164"/>
      <c r="E60" s="1164"/>
      <c r="F60" s="1164"/>
      <c r="G60" s="1201"/>
      <c r="H60" s="1206"/>
      <c r="I60" s="1206"/>
      <c r="J60" s="1206"/>
      <c r="K60" s="1206"/>
      <c r="L60" s="1206"/>
      <c r="M60" s="1206"/>
      <c r="N60" s="1258"/>
      <c r="O60" s="1684"/>
      <c r="P60" s="1684"/>
      <c r="Q60" s="1684"/>
      <c r="R60" s="1684"/>
      <c r="S60" s="1684"/>
      <c r="T60" s="1684"/>
      <c r="U60" s="1342"/>
      <c r="V60" s="1258"/>
      <c r="W60" s="1684"/>
      <c r="X60" s="1684"/>
      <c r="Y60" s="1684"/>
      <c r="Z60" s="1684"/>
      <c r="AA60" s="1684"/>
      <c r="AB60" s="1684"/>
      <c r="AC60" s="1342"/>
      <c r="AD60" s="1258"/>
      <c r="AE60" s="1684"/>
      <c r="AF60" s="1684"/>
      <c r="AG60" s="1684"/>
      <c r="AH60" s="1684"/>
      <c r="AI60" s="1684"/>
      <c r="AJ60" s="1684"/>
      <c r="AK60" s="1342"/>
      <c r="AL60" s="1258"/>
      <c r="AM60" s="1684"/>
      <c r="AN60" s="1684"/>
      <c r="AO60" s="1684"/>
      <c r="AP60" s="1684"/>
      <c r="AQ60" s="1684"/>
      <c r="AR60" s="1684"/>
      <c r="AS60" s="1342"/>
      <c r="AT60" s="1258"/>
      <c r="AU60" s="1684"/>
      <c r="AV60" s="1684"/>
      <c r="AW60" s="1684"/>
      <c r="AX60" s="1684"/>
      <c r="AY60" s="1684"/>
      <c r="AZ60" s="1684"/>
      <c r="BA60" s="1342"/>
      <c r="BB60" s="1566"/>
      <c r="BC60" s="1684"/>
      <c r="BD60" s="1684"/>
      <c r="BE60" s="1684"/>
      <c r="BF60" s="1684"/>
      <c r="BG60" s="1684"/>
      <c r="BH60" s="1684"/>
      <c r="BI60" s="1788"/>
      <c r="BJ60" s="1337"/>
      <c r="BK60" s="1338"/>
      <c r="BL60" s="1338"/>
      <c r="BM60" s="1338"/>
      <c r="BN60" s="1338"/>
      <c r="BO60" s="1339"/>
      <c r="BP60" s="255"/>
      <c r="BQ60" s="255"/>
      <c r="BR60" s="255"/>
    </row>
    <row r="61" spans="1:70" ht="15" customHeight="1">
      <c r="A61" s="1291"/>
      <c r="B61" s="1165"/>
      <c r="C61" s="1166"/>
      <c r="D61" s="1166"/>
      <c r="E61" s="1166"/>
      <c r="F61" s="1166"/>
      <c r="G61" s="1292"/>
      <c r="H61" s="1207"/>
      <c r="I61" s="1207"/>
      <c r="J61" s="1207"/>
      <c r="K61" s="1207"/>
      <c r="L61" s="1207"/>
      <c r="M61" s="1207"/>
      <c r="N61" s="1258"/>
      <c r="O61" s="1684"/>
      <c r="P61" s="1684"/>
      <c r="Q61" s="1684"/>
      <c r="R61" s="1684"/>
      <c r="S61" s="1684"/>
      <c r="T61" s="1684"/>
      <c r="U61" s="1342"/>
      <c r="V61" s="1258"/>
      <c r="W61" s="1684"/>
      <c r="X61" s="1684"/>
      <c r="Y61" s="1684"/>
      <c r="Z61" s="1684"/>
      <c r="AA61" s="1684"/>
      <c r="AB61" s="1684"/>
      <c r="AC61" s="1342"/>
      <c r="AD61" s="1258"/>
      <c r="AE61" s="1684"/>
      <c r="AF61" s="1684"/>
      <c r="AG61" s="1684"/>
      <c r="AH61" s="1684"/>
      <c r="AI61" s="1684"/>
      <c r="AJ61" s="1684"/>
      <c r="AK61" s="1342"/>
      <c r="AL61" s="1258"/>
      <c r="AM61" s="1684"/>
      <c r="AN61" s="1684"/>
      <c r="AO61" s="1684"/>
      <c r="AP61" s="1684"/>
      <c r="AQ61" s="1684"/>
      <c r="AR61" s="1684"/>
      <c r="AS61" s="1342"/>
      <c r="AT61" s="1258"/>
      <c r="AU61" s="1684"/>
      <c r="AV61" s="1684"/>
      <c r="AW61" s="1684"/>
      <c r="AX61" s="1684"/>
      <c r="AY61" s="1684"/>
      <c r="AZ61" s="1684"/>
      <c r="BA61" s="1342"/>
      <c r="BB61" s="1566"/>
      <c r="BC61" s="1684"/>
      <c r="BD61" s="1684"/>
      <c r="BE61" s="1684"/>
      <c r="BF61" s="1684"/>
      <c r="BG61" s="1684"/>
      <c r="BH61" s="1684"/>
      <c r="BI61" s="1788"/>
      <c r="BJ61" s="1337"/>
      <c r="BK61" s="1338"/>
      <c r="BL61" s="1338"/>
      <c r="BM61" s="1338"/>
      <c r="BN61" s="1338"/>
      <c r="BO61" s="1339"/>
      <c r="BP61" s="255"/>
      <c r="BQ61" s="255"/>
      <c r="BR61" s="255"/>
    </row>
    <row r="62" spans="1:70" ht="15" customHeight="1">
      <c r="A62" s="1307">
        <v>1.1000000000000001</v>
      </c>
      <c r="B62" s="1161" t="s">
        <v>940</v>
      </c>
      <c r="C62" s="1162"/>
      <c r="D62" s="1162"/>
      <c r="E62" s="1162"/>
      <c r="F62" s="1162"/>
      <c r="G62" s="1199"/>
      <c r="H62" s="1205" t="str">
        <f t="shared" ref="H62" si="34">IF(ISBLANK(P$3),"",1)</f>
        <v/>
      </c>
      <c r="I62" s="1205" t="str">
        <f>IF(ISBLANK(T$3),"",1)</f>
        <v/>
      </c>
      <c r="J62" s="1205" t="str">
        <f>IF(ISBLANK(X$3),"",1)</f>
        <v/>
      </c>
      <c r="K62" s="1205" t="str">
        <f>IF(ISBLANK(AB$3),"",1)</f>
        <v/>
      </c>
      <c r="L62" s="1205" t="str">
        <f>IF(ISBLANK(AF$3),"",1)</f>
        <v/>
      </c>
      <c r="M62" s="1205" t="str">
        <f t="shared" ref="M62" si="35">IF(ISBLANK(AJ$3),"",1)</f>
        <v/>
      </c>
      <c r="N62" s="1576">
        <v>2.1</v>
      </c>
      <c r="O62" s="1684" t="s">
        <v>350</v>
      </c>
      <c r="P62" s="1684"/>
      <c r="Q62" s="1684"/>
      <c r="R62" s="1684"/>
      <c r="S62" s="1684"/>
      <c r="T62" s="1684"/>
      <c r="U62" s="1342" t="str">
        <f t="shared" ref="U62" si="36">IF(ISBLANK(P$3),"",1)</f>
        <v/>
      </c>
      <c r="V62" s="1258">
        <v>4.3</v>
      </c>
      <c r="W62" s="1684" t="s">
        <v>364</v>
      </c>
      <c r="X62" s="1684"/>
      <c r="Y62" s="1684"/>
      <c r="Z62" s="1684"/>
      <c r="AA62" s="1684"/>
      <c r="AB62" s="1684"/>
      <c r="AC62" s="1342" t="str">
        <f t="shared" ref="AC62" si="37">IF(ISBLANK(T$3),"",1)</f>
        <v/>
      </c>
      <c r="AD62" s="1258">
        <v>4.4000000000000004</v>
      </c>
      <c r="AE62" s="1684" t="s">
        <v>351</v>
      </c>
      <c r="AF62" s="1684"/>
      <c r="AG62" s="1684"/>
      <c r="AH62" s="1684"/>
      <c r="AI62" s="1684"/>
      <c r="AJ62" s="1684"/>
      <c r="AK62" s="1342" t="str">
        <f t="shared" ref="AK62" si="38">IF(ISBLANK(X$3),"",1)</f>
        <v/>
      </c>
      <c r="AL62" s="1258">
        <v>4.3</v>
      </c>
      <c r="AM62" s="1684" t="s">
        <v>352</v>
      </c>
      <c r="AN62" s="1684"/>
      <c r="AO62" s="1684"/>
      <c r="AP62" s="1684"/>
      <c r="AQ62" s="1684"/>
      <c r="AR62" s="1684"/>
      <c r="AS62" s="1342" t="str">
        <f t="shared" ref="AS62" si="39">IF(ISBLANK(AB$3),"",1)</f>
        <v/>
      </c>
      <c r="AT62" s="1194">
        <v>2.4</v>
      </c>
      <c r="AU62" s="1684" t="s">
        <v>353</v>
      </c>
      <c r="AV62" s="1684"/>
      <c r="AW62" s="1684"/>
      <c r="AX62" s="1684"/>
      <c r="AY62" s="1684"/>
      <c r="AZ62" s="1684"/>
      <c r="BA62" s="1342" t="str">
        <f t="shared" ref="BA62" si="40">IF(ISBLANK(AF$3),"",1)</f>
        <v/>
      </c>
      <c r="BB62" s="1566">
        <v>4.4000000000000004</v>
      </c>
      <c r="BC62" s="1684" t="s">
        <v>354</v>
      </c>
      <c r="BD62" s="1684"/>
      <c r="BE62" s="1684"/>
      <c r="BF62" s="1684"/>
      <c r="BG62" s="1684"/>
      <c r="BH62" s="1684"/>
      <c r="BI62" s="1788" t="str">
        <f t="shared" ref="BI62" si="41">IF(ISBLANK(AJ$3),"",1)</f>
        <v/>
      </c>
      <c r="BJ62" s="1337"/>
      <c r="BK62" s="1338"/>
      <c r="BL62" s="1338"/>
      <c r="BM62" s="1338"/>
      <c r="BN62" s="1338"/>
      <c r="BO62" s="1339"/>
      <c r="BP62" s="255"/>
      <c r="BQ62" s="255"/>
      <c r="BR62" s="255"/>
    </row>
    <row r="63" spans="1:70" ht="15" customHeight="1">
      <c r="A63" s="1308"/>
      <c r="B63" s="1163"/>
      <c r="C63" s="1164"/>
      <c r="D63" s="1164"/>
      <c r="E63" s="1164"/>
      <c r="F63" s="1164"/>
      <c r="G63" s="1201"/>
      <c r="H63" s="1206"/>
      <c r="I63" s="1206"/>
      <c r="J63" s="1206"/>
      <c r="K63" s="1206"/>
      <c r="L63" s="1206"/>
      <c r="M63" s="1206"/>
      <c r="N63" s="1576"/>
      <c r="O63" s="1684"/>
      <c r="P63" s="1684"/>
      <c r="Q63" s="1684"/>
      <c r="R63" s="1684"/>
      <c r="S63" s="1684"/>
      <c r="T63" s="1684"/>
      <c r="U63" s="1342"/>
      <c r="V63" s="1258"/>
      <c r="W63" s="1684" t="s">
        <v>370</v>
      </c>
      <c r="X63" s="1684"/>
      <c r="Y63" s="1684"/>
      <c r="Z63" s="1684"/>
      <c r="AA63" s="1684"/>
      <c r="AB63" s="1684"/>
      <c r="AC63" s="1342"/>
      <c r="AD63" s="1258"/>
      <c r="AE63" s="1684"/>
      <c r="AF63" s="1684"/>
      <c r="AG63" s="1684"/>
      <c r="AH63" s="1684"/>
      <c r="AI63" s="1684"/>
      <c r="AJ63" s="1684"/>
      <c r="AK63" s="1342"/>
      <c r="AL63" s="1258"/>
      <c r="AM63" s="1684"/>
      <c r="AN63" s="1684"/>
      <c r="AO63" s="1684"/>
      <c r="AP63" s="1684"/>
      <c r="AQ63" s="1684"/>
      <c r="AR63" s="1684"/>
      <c r="AS63" s="1342"/>
      <c r="AT63" s="1194"/>
      <c r="AU63" s="1684"/>
      <c r="AV63" s="1684"/>
      <c r="AW63" s="1684"/>
      <c r="AX63" s="1684"/>
      <c r="AY63" s="1684"/>
      <c r="AZ63" s="1684"/>
      <c r="BA63" s="1342"/>
      <c r="BB63" s="1566"/>
      <c r="BC63" s="1684"/>
      <c r="BD63" s="1684"/>
      <c r="BE63" s="1684"/>
      <c r="BF63" s="1684"/>
      <c r="BG63" s="1684"/>
      <c r="BH63" s="1684"/>
      <c r="BI63" s="1788"/>
      <c r="BJ63" s="1337"/>
      <c r="BK63" s="1338"/>
      <c r="BL63" s="1338"/>
      <c r="BM63" s="1338"/>
      <c r="BN63" s="1338"/>
      <c r="BO63" s="1339"/>
      <c r="BP63" s="255"/>
      <c r="BQ63" s="255"/>
      <c r="BR63" s="255"/>
    </row>
    <row r="64" spans="1:70" ht="15" customHeight="1">
      <c r="A64" s="1309"/>
      <c r="B64" s="1165"/>
      <c r="C64" s="1166"/>
      <c r="D64" s="1166"/>
      <c r="E64" s="1166"/>
      <c r="F64" s="1166"/>
      <c r="G64" s="1292"/>
      <c r="H64" s="1207"/>
      <c r="I64" s="1207"/>
      <c r="J64" s="1207"/>
      <c r="K64" s="1207"/>
      <c r="L64" s="1207"/>
      <c r="M64" s="1207"/>
      <c r="N64" s="1576"/>
      <c r="O64" s="1684"/>
      <c r="P64" s="1684"/>
      <c r="Q64" s="1684"/>
      <c r="R64" s="1684"/>
      <c r="S64" s="1782"/>
      <c r="T64" s="1782"/>
      <c r="U64" s="1225"/>
      <c r="V64" s="1258"/>
      <c r="W64" s="1787" t="s">
        <v>371</v>
      </c>
      <c r="X64" s="1787"/>
      <c r="Y64" s="1787"/>
      <c r="Z64" s="1787"/>
      <c r="AA64" s="1787"/>
      <c r="AB64" s="1787"/>
      <c r="AC64" s="1342"/>
      <c r="AD64" s="1258"/>
      <c r="AE64" s="1684"/>
      <c r="AF64" s="1684"/>
      <c r="AG64" s="1684"/>
      <c r="AH64" s="1684"/>
      <c r="AI64" s="1684"/>
      <c r="AJ64" s="1684"/>
      <c r="AK64" s="1342"/>
      <c r="AL64" s="1258"/>
      <c r="AM64" s="1684"/>
      <c r="AN64" s="1684"/>
      <c r="AO64" s="1684"/>
      <c r="AP64" s="1684"/>
      <c r="AQ64" s="1684"/>
      <c r="AR64" s="1684"/>
      <c r="AS64" s="1342"/>
      <c r="AT64" s="1194"/>
      <c r="AU64" s="1684"/>
      <c r="AV64" s="1684"/>
      <c r="AW64" s="1684"/>
      <c r="AX64" s="1684"/>
      <c r="AY64" s="1684"/>
      <c r="AZ64" s="1684"/>
      <c r="BA64" s="1342"/>
      <c r="BB64" s="1566"/>
      <c r="BC64" s="1684"/>
      <c r="BD64" s="1684"/>
      <c r="BE64" s="1684"/>
      <c r="BF64" s="1684"/>
      <c r="BG64" s="1684"/>
      <c r="BH64" s="1684"/>
      <c r="BI64" s="1788"/>
      <c r="BJ64" s="1337"/>
      <c r="BK64" s="1338"/>
      <c r="BL64" s="1338"/>
      <c r="BM64" s="1338"/>
      <c r="BN64" s="1338"/>
      <c r="BO64" s="1339"/>
      <c r="BP64" s="255"/>
      <c r="BQ64" s="255"/>
      <c r="BR64" s="255"/>
    </row>
    <row r="65" spans="1:70" ht="15" customHeight="1">
      <c r="A65" s="1307">
        <v>1.1000000000000001</v>
      </c>
      <c r="B65" s="1161" t="s">
        <v>330</v>
      </c>
      <c r="C65" s="1162"/>
      <c r="D65" s="1162"/>
      <c r="E65" s="1162"/>
      <c r="F65" s="1162"/>
      <c r="G65" s="1199"/>
      <c r="H65" s="1205" t="str">
        <f t="shared" ref="H65" si="42">IF(ISBLANK(P$3),"",1)</f>
        <v/>
      </c>
      <c r="I65" s="1205" t="str">
        <f>IF(ISBLANK(T$3),"",1)</f>
        <v/>
      </c>
      <c r="J65" s="1205" t="str">
        <f>IF(ISBLANK(X$3),"",1)</f>
        <v/>
      </c>
      <c r="K65" s="1205" t="str">
        <f>IF(ISBLANK(AB$3),"",1)</f>
        <v/>
      </c>
      <c r="L65" s="1205" t="str">
        <f>IF(ISBLANK(AF$3),"",1)</f>
        <v/>
      </c>
      <c r="M65" s="1205" t="str">
        <f t="shared" ref="M65" si="43">IF(ISBLANK(AJ$3),"",1)</f>
        <v/>
      </c>
      <c r="N65" s="256"/>
      <c r="O65" s="256"/>
      <c r="P65" s="256"/>
      <c r="Q65" s="256"/>
      <c r="R65" s="256"/>
      <c r="S65" s="517">
        <v>1.5</v>
      </c>
      <c r="T65" s="516">
        <f>COUNTIF($N$50:$N$64,S65)</f>
        <v>1</v>
      </c>
      <c r="U65" s="240" t="str">
        <f>IF($P$3=1,SUMIF($N$50:$N$64,S65,$U$50:$U$64),"")</f>
        <v/>
      </c>
      <c r="V65" s="331"/>
      <c r="W65" s="340"/>
      <c r="X65" s="340"/>
      <c r="Y65" s="340"/>
      <c r="Z65" s="340"/>
      <c r="AA65" s="316">
        <v>2.4</v>
      </c>
      <c r="AB65" s="311">
        <f>COUNTIF($V$50:$V$64,AA65)</f>
        <v>1</v>
      </c>
      <c r="AC65" s="245" t="str">
        <f>IF($T$3=1,SUMIF($V$50:$V$64,AA65,$AC$50:$AC$64),"")</f>
        <v/>
      </c>
      <c r="AD65" s="1687">
        <v>2.4</v>
      </c>
      <c r="AE65" s="1395" t="s">
        <v>357</v>
      </c>
      <c r="AF65" s="1396"/>
      <c r="AG65" s="1396"/>
      <c r="AH65" s="1396"/>
      <c r="AI65" s="1396"/>
      <c r="AJ65" s="1396"/>
      <c r="AK65" s="1342" t="str">
        <f t="shared" ref="AK65" si="44">IF(ISBLANK(X$3),"",1)</f>
        <v/>
      </c>
      <c r="AL65" s="1576">
        <v>2.4</v>
      </c>
      <c r="AM65" s="1684" t="s">
        <v>355</v>
      </c>
      <c r="AN65" s="1684"/>
      <c r="AO65" s="1684"/>
      <c r="AP65" s="1684"/>
      <c r="AQ65" s="1684"/>
      <c r="AR65" s="1684"/>
      <c r="AS65" s="1342" t="str">
        <f t="shared" ref="AS65" si="45">IF(ISBLANK(AB$3),"",1)</f>
        <v/>
      </c>
      <c r="AT65" s="1566">
        <v>4.4000000000000004</v>
      </c>
      <c r="AU65" s="1684" t="s">
        <v>356</v>
      </c>
      <c r="AV65" s="1684"/>
      <c r="AW65" s="1684"/>
      <c r="AX65" s="1684"/>
      <c r="AY65" s="1684"/>
      <c r="AZ65" s="1684"/>
      <c r="BA65" s="1342" t="str">
        <f t="shared" ref="BA65" si="46">IF(ISBLANK(AF$3),"",1)</f>
        <v/>
      </c>
      <c r="BB65" s="1576">
        <v>2.4</v>
      </c>
      <c r="BC65" s="1684" t="s">
        <v>335</v>
      </c>
      <c r="BD65" s="1684"/>
      <c r="BE65" s="1684"/>
      <c r="BF65" s="1684"/>
      <c r="BG65" s="1684"/>
      <c r="BH65" s="1684"/>
      <c r="BI65" s="1788" t="str">
        <f t="shared" ref="BI65" si="47">IF(ISBLANK(AJ$3),"",1)</f>
        <v/>
      </c>
      <c r="BJ65" s="1337"/>
      <c r="BK65" s="1338"/>
      <c r="BL65" s="1338"/>
      <c r="BM65" s="1338"/>
      <c r="BN65" s="1338"/>
      <c r="BO65" s="1339"/>
      <c r="BP65" s="255"/>
      <c r="BQ65" s="255"/>
      <c r="BR65" s="255"/>
    </row>
    <row r="66" spans="1:70" ht="15" customHeight="1">
      <c r="A66" s="1308"/>
      <c r="B66" s="1163"/>
      <c r="C66" s="1164"/>
      <c r="D66" s="1164"/>
      <c r="E66" s="1164"/>
      <c r="F66" s="1164"/>
      <c r="G66" s="1201"/>
      <c r="H66" s="1206"/>
      <c r="I66" s="1206"/>
      <c r="J66" s="1206"/>
      <c r="K66" s="1206"/>
      <c r="L66" s="1206"/>
      <c r="M66" s="1206"/>
      <c r="N66" s="256"/>
      <c r="O66" s="256"/>
      <c r="P66" s="256"/>
      <c r="Q66" s="256"/>
      <c r="R66" s="256"/>
      <c r="S66" s="337">
        <v>2.1</v>
      </c>
      <c r="T66" s="347">
        <f t="shared" ref="T66:T68" si="48">COUNTIF($N$50:$N$64,S66)</f>
        <v>1</v>
      </c>
      <c r="U66" s="240" t="str">
        <f>IF($P$3=1,SUMIF($N$50:$N$64,S66,$U$50:$U$64),"")</f>
        <v/>
      </c>
      <c r="V66" s="331"/>
      <c r="W66" s="340"/>
      <c r="X66" s="340"/>
      <c r="Y66" s="340"/>
      <c r="Z66" s="340"/>
      <c r="AA66" s="330">
        <v>4.3</v>
      </c>
      <c r="AB66" s="311">
        <f t="shared" ref="AB66:AB67" si="49">COUNTIF($V$50:$V$64,AA66)</f>
        <v>3</v>
      </c>
      <c r="AC66" s="245" t="str">
        <f>IF($T$3=1,SUMIF($V$50:$V$64,AA66,$AC$50:$AC$64),"")</f>
        <v/>
      </c>
      <c r="AD66" s="1687"/>
      <c r="AE66" s="1163"/>
      <c r="AF66" s="1164"/>
      <c r="AG66" s="1164"/>
      <c r="AH66" s="1164"/>
      <c r="AI66" s="1164"/>
      <c r="AJ66" s="1164"/>
      <c r="AK66" s="1342"/>
      <c r="AL66" s="1576"/>
      <c r="AM66" s="1684"/>
      <c r="AN66" s="1684"/>
      <c r="AO66" s="1684"/>
      <c r="AP66" s="1684"/>
      <c r="AQ66" s="1684"/>
      <c r="AR66" s="1684"/>
      <c r="AS66" s="1342"/>
      <c r="AT66" s="1566"/>
      <c r="AU66" s="1684"/>
      <c r="AV66" s="1684"/>
      <c r="AW66" s="1684"/>
      <c r="AX66" s="1684"/>
      <c r="AY66" s="1684"/>
      <c r="AZ66" s="1684"/>
      <c r="BA66" s="1342"/>
      <c r="BB66" s="1576"/>
      <c r="BC66" s="1684"/>
      <c r="BD66" s="1684"/>
      <c r="BE66" s="1684"/>
      <c r="BF66" s="1684"/>
      <c r="BG66" s="1684"/>
      <c r="BH66" s="1684"/>
      <c r="BI66" s="1788"/>
      <c r="BJ66" s="1337"/>
      <c r="BK66" s="1338"/>
      <c r="BL66" s="1338"/>
      <c r="BM66" s="1338"/>
      <c r="BN66" s="1338"/>
      <c r="BO66" s="1339"/>
      <c r="BP66" s="255"/>
      <c r="BQ66" s="255"/>
      <c r="BR66" s="255"/>
    </row>
    <row r="67" spans="1:70" ht="15" customHeight="1">
      <c r="A67" s="1309"/>
      <c r="B67" s="1165"/>
      <c r="C67" s="1166"/>
      <c r="D67" s="1166"/>
      <c r="E67" s="1166"/>
      <c r="F67" s="1166"/>
      <c r="G67" s="1292"/>
      <c r="H67" s="1207"/>
      <c r="I67" s="1207"/>
      <c r="J67" s="1207"/>
      <c r="K67" s="1207"/>
      <c r="L67" s="1207"/>
      <c r="M67" s="1207"/>
      <c r="N67" s="256"/>
      <c r="O67" s="256"/>
      <c r="P67" s="256"/>
      <c r="Q67" s="256"/>
      <c r="R67" s="256"/>
      <c r="S67" s="335">
        <v>4.3</v>
      </c>
      <c r="T67" s="347">
        <f t="shared" si="48"/>
        <v>1</v>
      </c>
      <c r="U67" s="240" t="str">
        <f>IF($P$3=1,SUMIF($N$50:$N$64,S67,$U$50:$U$64),"")</f>
        <v/>
      </c>
      <c r="V67" s="331"/>
      <c r="W67" s="340"/>
      <c r="X67" s="340"/>
      <c r="Y67" s="340"/>
      <c r="Z67" s="340"/>
      <c r="AA67" s="334">
        <v>4.4000000000000004</v>
      </c>
      <c r="AB67" s="311">
        <f t="shared" si="49"/>
        <v>1</v>
      </c>
      <c r="AC67" s="245" t="str">
        <f>IF($T$3=1,SUMIF($V$50:$V$64,AA67,$AC$50:$AC$64),"")</f>
        <v/>
      </c>
      <c r="AD67" s="1687"/>
      <c r="AE67" s="1552"/>
      <c r="AF67" s="1203"/>
      <c r="AG67" s="1203"/>
      <c r="AH67" s="1203"/>
      <c r="AI67" s="1203"/>
      <c r="AJ67" s="1203"/>
      <c r="AK67" s="1342"/>
      <c r="AL67" s="1576"/>
      <c r="AM67" s="1684"/>
      <c r="AN67" s="1684"/>
      <c r="AO67" s="1684"/>
      <c r="AP67" s="1684"/>
      <c r="AQ67" s="1684"/>
      <c r="AR67" s="1684"/>
      <c r="AS67" s="1342"/>
      <c r="AT67" s="1566"/>
      <c r="AU67" s="1684"/>
      <c r="AV67" s="1684"/>
      <c r="AW67" s="1684"/>
      <c r="AX67" s="1684"/>
      <c r="AY67" s="1684"/>
      <c r="AZ67" s="1684"/>
      <c r="BA67" s="1342"/>
      <c r="BB67" s="1720"/>
      <c r="BC67" s="1782"/>
      <c r="BD67" s="1782"/>
      <c r="BE67" s="1782"/>
      <c r="BF67" s="1782"/>
      <c r="BG67" s="1782"/>
      <c r="BH67" s="1782"/>
      <c r="BI67" s="1789"/>
      <c r="BJ67" s="1337"/>
      <c r="BK67" s="1338"/>
      <c r="BL67" s="1338"/>
      <c r="BM67" s="1338"/>
      <c r="BN67" s="1338"/>
      <c r="BO67" s="1339"/>
      <c r="BP67" s="255"/>
      <c r="BQ67" s="255"/>
      <c r="BR67" s="255"/>
    </row>
    <row r="68" spans="1:70" ht="15" customHeight="1">
      <c r="A68" s="1304">
        <v>1.5</v>
      </c>
      <c r="B68" s="1161" t="s">
        <v>336</v>
      </c>
      <c r="C68" s="1162"/>
      <c r="D68" s="1162"/>
      <c r="E68" s="1162"/>
      <c r="F68" s="1162"/>
      <c r="G68" s="1199"/>
      <c r="H68" s="1205" t="str">
        <f>IF(ISBLANK(P$3),"",1)</f>
        <v/>
      </c>
      <c r="I68" s="1205" t="str">
        <f>IF(ISBLANK(T$3),"",1)</f>
        <v/>
      </c>
      <c r="J68" s="1205" t="str">
        <f>IF(ISBLANK(X$3),"",1)</f>
        <v/>
      </c>
      <c r="K68" s="1205" t="str">
        <f>IF(ISBLANK(AB$3),"",1)</f>
        <v/>
      </c>
      <c r="L68" s="1205" t="str">
        <f>IF(ISBLANK(AF$3),"",1)</f>
        <v/>
      </c>
      <c r="M68" s="1205" t="str">
        <f t="shared" ref="M68" si="50">IF(ISBLANK(AJ$3),"",1)</f>
        <v/>
      </c>
      <c r="N68" s="256"/>
      <c r="O68" s="256"/>
      <c r="P68" s="256"/>
      <c r="Q68" s="256"/>
      <c r="R68" s="256"/>
      <c r="S68" s="336">
        <v>4.4000000000000004</v>
      </c>
      <c r="T68" s="347">
        <f t="shared" si="48"/>
        <v>2</v>
      </c>
      <c r="U68" s="240" t="str">
        <f>IF($P$3=1,SUMIF($N$50:$N$64,S68,$U$50:$U$64),"")</f>
        <v/>
      </c>
      <c r="V68" s="331"/>
      <c r="W68" s="340"/>
      <c r="X68" s="340"/>
      <c r="Y68" s="340"/>
      <c r="Z68" s="340"/>
      <c r="AD68" s="1685">
        <v>4.4000000000000004</v>
      </c>
      <c r="AE68" s="1395" t="s">
        <v>361</v>
      </c>
      <c r="AF68" s="1396"/>
      <c r="AG68" s="1396"/>
      <c r="AH68" s="1396"/>
      <c r="AI68" s="1396"/>
      <c r="AJ68" s="1396"/>
      <c r="AK68" s="1342" t="str">
        <f t="shared" ref="AK68" si="51">IF(ISBLANK(X$3),"",1)</f>
        <v/>
      </c>
      <c r="AL68" s="1576">
        <v>2.4</v>
      </c>
      <c r="AM68" s="1684" t="s">
        <v>358</v>
      </c>
      <c r="AN68" s="1684"/>
      <c r="AO68" s="1684"/>
      <c r="AP68" s="1684"/>
      <c r="AQ68" s="1684"/>
      <c r="AR68" s="1684"/>
      <c r="AS68" s="1342" t="str">
        <f t="shared" ref="AS68" si="52">IF(ISBLANK(AB$3),"",1)</f>
        <v/>
      </c>
      <c r="AT68" s="1194">
        <v>2.4</v>
      </c>
      <c r="AU68" s="1749" t="s">
        <v>359</v>
      </c>
      <c r="AV68" s="1396"/>
      <c r="AW68" s="1396"/>
      <c r="AX68" s="1396"/>
      <c r="AY68" s="1396"/>
      <c r="AZ68" s="1396"/>
      <c r="BA68" s="1342" t="str">
        <f t="shared" ref="BA68:BA71" si="53">IF(ISBLANK(AF$3),"",1)</f>
        <v/>
      </c>
      <c r="BB68" s="1576">
        <v>2.4</v>
      </c>
      <c r="BC68" s="1786" t="s">
        <v>337</v>
      </c>
      <c r="BD68" s="1786"/>
      <c r="BE68" s="1786"/>
      <c r="BF68" s="1786"/>
      <c r="BG68" s="1786"/>
      <c r="BH68" s="1786"/>
      <c r="BI68" s="1788" t="str">
        <f t="shared" ref="BI68" si="54">IF(ISBLANK(AJ$3),"",1)</f>
        <v/>
      </c>
      <c r="BJ68" s="1337"/>
      <c r="BK68" s="1338"/>
      <c r="BL68" s="1338"/>
      <c r="BM68" s="1338"/>
      <c r="BN68" s="1338"/>
      <c r="BO68" s="1339"/>
      <c r="BP68" s="255"/>
      <c r="BQ68" s="255"/>
      <c r="BR68" s="255"/>
    </row>
    <row r="69" spans="1:70" ht="15" customHeight="1">
      <c r="A69" s="1290"/>
      <c r="B69" s="1163"/>
      <c r="C69" s="1164"/>
      <c r="D69" s="1164"/>
      <c r="E69" s="1164"/>
      <c r="F69" s="1164"/>
      <c r="G69" s="1201"/>
      <c r="H69" s="1206"/>
      <c r="I69" s="1206"/>
      <c r="J69" s="1206"/>
      <c r="K69" s="1206"/>
      <c r="L69" s="1206"/>
      <c r="M69" s="1206"/>
      <c r="N69" s="256"/>
      <c r="O69" s="256"/>
      <c r="P69" s="256"/>
      <c r="Q69" s="256"/>
      <c r="R69" s="256"/>
      <c r="S69" s="256"/>
      <c r="T69" s="256"/>
      <c r="U69" s="256"/>
      <c r="V69" s="331"/>
      <c r="W69" s="340"/>
      <c r="X69" s="340"/>
      <c r="Y69" s="340"/>
      <c r="Z69" s="340"/>
      <c r="AA69" s="340"/>
      <c r="AB69" s="340"/>
      <c r="AC69" s="340"/>
      <c r="AD69" s="1685"/>
      <c r="AE69" s="1163"/>
      <c r="AF69" s="1164"/>
      <c r="AG69" s="1164"/>
      <c r="AH69" s="1164"/>
      <c r="AI69" s="1164"/>
      <c r="AJ69" s="1164"/>
      <c r="AK69" s="1342"/>
      <c r="AL69" s="1576"/>
      <c r="AM69" s="1684"/>
      <c r="AN69" s="1684"/>
      <c r="AO69" s="1684"/>
      <c r="AP69" s="1684"/>
      <c r="AQ69" s="1684"/>
      <c r="AR69" s="1684"/>
      <c r="AS69" s="1342"/>
      <c r="AT69" s="1194"/>
      <c r="AU69" s="1200"/>
      <c r="AV69" s="1164"/>
      <c r="AW69" s="1164"/>
      <c r="AX69" s="1164"/>
      <c r="AY69" s="1164"/>
      <c r="AZ69" s="1164"/>
      <c r="BA69" s="1342"/>
      <c r="BB69" s="1576"/>
      <c r="BC69" s="1684"/>
      <c r="BD69" s="1684"/>
      <c r="BE69" s="1684"/>
      <c r="BF69" s="1684"/>
      <c r="BG69" s="1684"/>
      <c r="BH69" s="1684"/>
      <c r="BI69" s="1788"/>
      <c r="BJ69" s="1337"/>
      <c r="BK69" s="1338"/>
      <c r="BL69" s="1338"/>
      <c r="BM69" s="1338"/>
      <c r="BN69" s="1338"/>
      <c r="BO69" s="1339"/>
      <c r="BP69" s="255"/>
      <c r="BQ69" s="255"/>
      <c r="BR69" s="255"/>
    </row>
    <row r="70" spans="1:70" ht="15" customHeight="1">
      <c r="A70" s="1291"/>
      <c r="B70" s="1165"/>
      <c r="C70" s="1166"/>
      <c r="D70" s="1166"/>
      <c r="E70" s="1166"/>
      <c r="F70" s="1166"/>
      <c r="G70" s="1292"/>
      <c r="H70" s="1207"/>
      <c r="I70" s="1207"/>
      <c r="J70" s="1207"/>
      <c r="K70" s="1207"/>
      <c r="L70" s="1207"/>
      <c r="M70" s="1207"/>
      <c r="N70" s="256"/>
      <c r="O70" s="256"/>
      <c r="P70" s="256"/>
      <c r="Q70" s="256"/>
      <c r="R70" s="256"/>
      <c r="S70" s="256"/>
      <c r="T70" s="256"/>
      <c r="U70" s="256"/>
      <c r="V70" s="331"/>
      <c r="W70" s="340"/>
      <c r="X70" s="340"/>
      <c r="Y70" s="340"/>
      <c r="Z70" s="340"/>
      <c r="AA70" s="340"/>
      <c r="AB70" s="340"/>
      <c r="AC70" s="340"/>
      <c r="AD70" s="1685"/>
      <c r="AE70" s="1552"/>
      <c r="AF70" s="1203"/>
      <c r="AG70" s="1203"/>
      <c r="AH70" s="1203"/>
      <c r="AI70" s="1203"/>
      <c r="AJ70" s="1203"/>
      <c r="AK70" s="1342"/>
      <c r="AL70" s="1576"/>
      <c r="AM70" s="1684"/>
      <c r="AN70" s="1684"/>
      <c r="AO70" s="1684"/>
      <c r="AP70" s="1684"/>
      <c r="AQ70" s="1684"/>
      <c r="AR70" s="1684"/>
      <c r="AS70" s="1342"/>
      <c r="AT70" s="1194"/>
      <c r="AU70" s="1202"/>
      <c r="AV70" s="1203"/>
      <c r="AW70" s="1203"/>
      <c r="AX70" s="1203"/>
      <c r="AY70" s="1203"/>
      <c r="AZ70" s="1203"/>
      <c r="BA70" s="1225"/>
      <c r="BB70" s="1576"/>
      <c r="BC70" s="1787"/>
      <c r="BD70" s="1787"/>
      <c r="BE70" s="1787"/>
      <c r="BF70" s="1787"/>
      <c r="BG70" s="1787"/>
      <c r="BH70" s="1787"/>
      <c r="BI70" s="1788"/>
      <c r="BJ70" s="1337"/>
      <c r="BK70" s="1338"/>
      <c r="BL70" s="1338"/>
      <c r="BM70" s="1338"/>
      <c r="BN70" s="1338"/>
      <c r="BO70" s="1339"/>
      <c r="BP70" s="255"/>
      <c r="BQ70" s="255"/>
      <c r="BR70" s="255"/>
    </row>
    <row r="71" spans="1:70" ht="15" customHeight="1">
      <c r="A71" s="1304">
        <v>2.1</v>
      </c>
      <c r="B71" s="1161" t="s">
        <v>360</v>
      </c>
      <c r="C71" s="1162"/>
      <c r="D71" s="1162"/>
      <c r="E71" s="1162"/>
      <c r="F71" s="1162"/>
      <c r="G71" s="1199"/>
      <c r="H71" s="1205" t="str">
        <f>IF(ISBLANK(P$3),"",1)</f>
        <v/>
      </c>
      <c r="I71" s="1205" t="str">
        <f>IF(ISBLANK(T$3),"",1)</f>
        <v/>
      </c>
      <c r="J71" s="1205" t="str">
        <f>IF(ISBLANK(X$3),"",1)</f>
        <v/>
      </c>
      <c r="K71" s="1205" t="str">
        <f>IF(ISBLANK(AB$3),"",1)</f>
        <v/>
      </c>
      <c r="L71" s="1205" t="str">
        <f>IF(ISBLANK(AF$3),"",1)</f>
        <v/>
      </c>
      <c r="M71" s="1205" t="str">
        <f t="shared" ref="M71" si="55">IF(ISBLANK(AJ$3),"",1)</f>
        <v/>
      </c>
      <c r="N71" s="256"/>
      <c r="O71" s="256"/>
      <c r="P71" s="256"/>
      <c r="Q71" s="256"/>
      <c r="R71" s="256"/>
      <c r="S71" s="256"/>
      <c r="T71" s="256"/>
      <c r="U71" s="256"/>
      <c r="V71" s="331"/>
      <c r="W71" s="340"/>
      <c r="X71" s="340"/>
      <c r="Y71" s="340"/>
      <c r="Z71" s="340"/>
      <c r="AA71" s="340"/>
      <c r="AB71" s="340"/>
      <c r="AC71" s="340"/>
      <c r="AD71" s="1685">
        <v>4.3</v>
      </c>
      <c r="AE71" s="1395" t="s">
        <v>364</v>
      </c>
      <c r="AF71" s="1396"/>
      <c r="AG71" s="1396"/>
      <c r="AH71" s="1396"/>
      <c r="AI71" s="1396"/>
      <c r="AJ71" s="1396"/>
      <c r="AK71" s="1342" t="str">
        <f t="shared" ref="AK71" si="56">IF(ISBLANK(X$3),"",1)</f>
        <v/>
      </c>
      <c r="AL71" s="1258">
        <v>4.3</v>
      </c>
      <c r="AM71" s="1684" t="s">
        <v>362</v>
      </c>
      <c r="AN71" s="1684"/>
      <c r="AO71" s="1684"/>
      <c r="AP71" s="1684"/>
      <c r="AQ71" s="1684"/>
      <c r="AR71" s="1684"/>
      <c r="AS71" s="1342" t="str">
        <f t="shared" ref="AS71:AS74" si="57">IF(ISBLANK(AB$3),"",1)</f>
        <v/>
      </c>
      <c r="AT71" s="1194">
        <v>2.4</v>
      </c>
      <c r="AU71" s="1684" t="s">
        <v>363</v>
      </c>
      <c r="AV71" s="1684"/>
      <c r="AW71" s="1684"/>
      <c r="AX71" s="1684"/>
      <c r="AY71" s="1684"/>
      <c r="AZ71" s="1684"/>
      <c r="BA71" s="1783" t="str">
        <f t="shared" si="53"/>
        <v/>
      </c>
      <c r="BB71" s="331"/>
      <c r="BC71" s="340"/>
      <c r="BD71" s="340"/>
      <c r="BE71" s="340"/>
      <c r="BF71" s="340"/>
      <c r="BG71" s="296">
        <v>2.4</v>
      </c>
      <c r="BH71" s="311">
        <f>COUNTIF($BB$50:$BB$70,BG71)</f>
        <v>2</v>
      </c>
      <c r="BI71" s="343" t="str">
        <f>IF($AJ$3=1,SUMIF($BB$50:$BB$70,BG71,$BI$50:$BI$70),"")</f>
        <v/>
      </c>
      <c r="BJ71" s="1337"/>
      <c r="BK71" s="1338"/>
      <c r="BL71" s="1338"/>
      <c r="BM71" s="1338"/>
      <c r="BN71" s="1338"/>
      <c r="BO71" s="1339"/>
      <c r="BP71" s="255"/>
      <c r="BQ71" s="255"/>
      <c r="BR71" s="255"/>
    </row>
    <row r="72" spans="1:70" ht="15" customHeight="1">
      <c r="A72" s="1290"/>
      <c r="B72" s="1163"/>
      <c r="C72" s="1164"/>
      <c r="D72" s="1164"/>
      <c r="E72" s="1164"/>
      <c r="F72" s="1164"/>
      <c r="G72" s="1201"/>
      <c r="H72" s="1206"/>
      <c r="I72" s="1206"/>
      <c r="J72" s="1206"/>
      <c r="K72" s="1206"/>
      <c r="L72" s="1206"/>
      <c r="M72" s="1206"/>
      <c r="N72" s="256"/>
      <c r="O72" s="256"/>
      <c r="P72" s="256"/>
      <c r="Q72" s="256"/>
      <c r="R72" s="256"/>
      <c r="S72" s="256"/>
      <c r="T72" s="256"/>
      <c r="U72" s="256"/>
      <c r="V72" s="331"/>
      <c r="W72" s="340"/>
      <c r="X72" s="340"/>
      <c r="Y72" s="340"/>
      <c r="Z72" s="340"/>
      <c r="AA72" s="340"/>
      <c r="AB72" s="340"/>
      <c r="AC72" s="340"/>
      <c r="AD72" s="1685"/>
      <c r="AE72" s="1163"/>
      <c r="AF72" s="1164"/>
      <c r="AG72" s="1164"/>
      <c r="AH72" s="1164"/>
      <c r="AI72" s="1164"/>
      <c r="AJ72" s="1164"/>
      <c r="AK72" s="1342"/>
      <c r="AL72" s="1258"/>
      <c r="AM72" s="1684"/>
      <c r="AN72" s="1684"/>
      <c r="AO72" s="1684"/>
      <c r="AP72" s="1684"/>
      <c r="AQ72" s="1684"/>
      <c r="AR72" s="1684"/>
      <c r="AS72" s="1342"/>
      <c r="AT72" s="1194"/>
      <c r="AU72" s="1684"/>
      <c r="AV72" s="1684"/>
      <c r="AW72" s="1684"/>
      <c r="AX72" s="1684"/>
      <c r="AY72" s="1684"/>
      <c r="AZ72" s="1684"/>
      <c r="BA72" s="1784"/>
      <c r="BB72" s="331"/>
      <c r="BC72" s="340"/>
      <c r="BD72" s="340"/>
      <c r="BE72" s="340"/>
      <c r="BF72" s="340"/>
      <c r="BG72" s="297">
        <v>4.3</v>
      </c>
      <c r="BH72" s="311">
        <f t="shared" ref="BH72:BH73" si="58">COUNTIF($BB$50:$BB$70,BG72)</f>
        <v>1</v>
      </c>
      <c r="BI72" s="343" t="str">
        <f>IF($AJ$3=1,SUMIF($BB$50:$BB$70,BG72,$BI$50:$BI$70),"")</f>
        <v/>
      </c>
      <c r="BJ72" s="1337"/>
      <c r="BK72" s="1338"/>
      <c r="BL72" s="1338"/>
      <c r="BM72" s="1338"/>
      <c r="BN72" s="1338"/>
      <c r="BO72" s="1339"/>
      <c r="BP72" s="255"/>
      <c r="BQ72" s="255"/>
      <c r="BR72" s="255"/>
    </row>
    <row r="73" spans="1:70" ht="15" customHeight="1">
      <c r="A73" s="1291"/>
      <c r="B73" s="1165"/>
      <c r="C73" s="1166"/>
      <c r="D73" s="1166"/>
      <c r="E73" s="1166"/>
      <c r="F73" s="1166"/>
      <c r="G73" s="1292"/>
      <c r="H73" s="1207"/>
      <c r="I73" s="1207"/>
      <c r="J73" s="1207"/>
      <c r="K73" s="1207"/>
      <c r="L73" s="1207"/>
      <c r="M73" s="1207"/>
      <c r="N73" s="256"/>
      <c r="O73" s="256"/>
      <c r="P73" s="256"/>
      <c r="Q73" s="256"/>
      <c r="R73" s="256"/>
      <c r="S73" s="256"/>
      <c r="T73" s="256"/>
      <c r="U73" s="256"/>
      <c r="V73" s="331"/>
      <c r="W73" s="340"/>
      <c r="X73" s="340"/>
      <c r="Y73" s="340"/>
      <c r="Z73" s="340"/>
      <c r="AA73" s="340"/>
      <c r="AB73" s="340"/>
      <c r="AC73" s="340"/>
      <c r="AD73" s="1685"/>
      <c r="AE73" s="1552"/>
      <c r="AF73" s="1203"/>
      <c r="AG73" s="1203"/>
      <c r="AH73" s="1203"/>
      <c r="AI73" s="1203"/>
      <c r="AJ73" s="1203"/>
      <c r="AK73" s="1342"/>
      <c r="AL73" s="1258"/>
      <c r="AM73" s="1684"/>
      <c r="AN73" s="1684"/>
      <c r="AO73" s="1684"/>
      <c r="AP73" s="1684"/>
      <c r="AQ73" s="1684"/>
      <c r="AR73" s="1684"/>
      <c r="AS73" s="1342"/>
      <c r="AT73" s="1194"/>
      <c r="AU73" s="1684"/>
      <c r="AV73" s="1684"/>
      <c r="AW73" s="1684"/>
      <c r="AX73" s="1684"/>
      <c r="AY73" s="1684"/>
      <c r="AZ73" s="1782"/>
      <c r="BA73" s="1785"/>
      <c r="BB73" s="331"/>
      <c r="BC73" s="340"/>
      <c r="BD73" s="340"/>
      <c r="BE73" s="340"/>
      <c r="BF73" s="340"/>
      <c r="BG73" s="297">
        <v>4.4000000000000004</v>
      </c>
      <c r="BH73" s="311">
        <f t="shared" si="58"/>
        <v>4</v>
      </c>
      <c r="BI73" s="343" t="str">
        <f>IF($AJ$3=1,SUMIF($BB$50:$BB$70,BG73,$BI$50:$BI$70),"")</f>
        <v/>
      </c>
      <c r="BJ73" s="1337"/>
      <c r="BK73" s="1338"/>
      <c r="BL73" s="1338"/>
      <c r="BM73" s="1338"/>
      <c r="BN73" s="1338"/>
      <c r="BO73" s="1339"/>
      <c r="BP73" s="255"/>
      <c r="BQ73" s="255"/>
      <c r="BR73" s="255"/>
    </row>
    <row r="74" spans="1:70" ht="15" customHeight="1">
      <c r="A74" s="1304">
        <v>2.4</v>
      </c>
      <c r="B74" s="1161" t="s">
        <v>942</v>
      </c>
      <c r="C74" s="1162"/>
      <c r="D74" s="1162"/>
      <c r="E74" s="1162"/>
      <c r="F74" s="1162"/>
      <c r="G74" s="1199"/>
      <c r="H74" s="1205" t="str">
        <f>IF(ISBLANK(P$3),"",1)</f>
        <v/>
      </c>
      <c r="I74" s="1205" t="str">
        <f>IF(ISBLANK(T$3),"",1)</f>
        <v/>
      </c>
      <c r="J74" s="1205" t="str">
        <f>IF(ISBLANK(X$3),"",1)</f>
        <v/>
      </c>
      <c r="K74" s="1205" t="str">
        <f>IF(ISBLANK(AB$3),"",1)</f>
        <v/>
      </c>
      <c r="L74" s="1205" t="str">
        <f>IF(ISBLANK(AF$3),"",1)</f>
        <v/>
      </c>
      <c r="M74" s="1205" t="str">
        <f t="shared" ref="M74" si="59">IF(ISBLANK(AJ$3),"",1)</f>
        <v/>
      </c>
      <c r="N74" s="255"/>
      <c r="O74" s="255"/>
      <c r="P74" s="256"/>
      <c r="Q74" s="256"/>
      <c r="R74" s="256"/>
      <c r="S74" s="256"/>
      <c r="T74" s="256"/>
      <c r="U74" s="256"/>
      <c r="V74" s="331"/>
      <c r="W74" s="340"/>
      <c r="X74" s="340"/>
      <c r="Y74" s="340"/>
      <c r="Z74" s="340"/>
      <c r="AA74" s="340"/>
      <c r="AB74" s="340"/>
      <c r="AC74" s="340"/>
      <c r="AD74" s="1685">
        <v>4.3</v>
      </c>
      <c r="AE74" s="1395" t="s">
        <v>382</v>
      </c>
      <c r="AF74" s="1396"/>
      <c r="AG74" s="1396"/>
      <c r="AH74" s="1396"/>
      <c r="AI74" s="1396"/>
      <c r="AJ74" s="1396"/>
      <c r="AK74" s="1342" t="str">
        <f t="shared" ref="AK74" si="60">IF(ISBLANK(X$3),"",1)</f>
        <v/>
      </c>
      <c r="AL74" s="1576">
        <v>2.4</v>
      </c>
      <c r="AM74" s="1756" t="s">
        <v>365</v>
      </c>
      <c r="AN74" s="1527"/>
      <c r="AO74" s="1527"/>
      <c r="AP74" s="1527"/>
      <c r="AQ74" s="1527"/>
      <c r="AR74" s="1527"/>
      <c r="AS74" s="1342" t="str">
        <f t="shared" si="57"/>
        <v/>
      </c>
      <c r="AT74" s="255"/>
      <c r="AU74" s="255"/>
      <c r="AV74" s="255"/>
      <c r="AW74" s="255"/>
      <c r="AX74" s="255"/>
      <c r="AY74" s="298">
        <v>2.4</v>
      </c>
      <c r="AZ74" s="347">
        <f>COUNTIF($AT$50:$AT$73,AY74)</f>
        <v>4</v>
      </c>
      <c r="BA74" s="245" t="str">
        <f>IF($AF$3=1,SUMIF($AT$50:$AT$73,AY74,$BA$50:$BA$73),"")</f>
        <v/>
      </c>
      <c r="BB74" s="331"/>
      <c r="BC74" s="340"/>
      <c r="BD74" s="340"/>
      <c r="BE74" s="340"/>
      <c r="BF74" s="340"/>
      <c r="BG74" s="340"/>
      <c r="BH74" s="340"/>
      <c r="BI74" s="340"/>
      <c r="BJ74" s="1337"/>
      <c r="BK74" s="1338"/>
      <c r="BL74" s="1338"/>
      <c r="BM74" s="1338"/>
      <c r="BN74" s="1338"/>
      <c r="BO74" s="1339"/>
      <c r="BP74" s="255"/>
      <c r="BQ74" s="255"/>
      <c r="BR74" s="255"/>
    </row>
    <row r="75" spans="1:70" ht="15" customHeight="1">
      <c r="A75" s="1290"/>
      <c r="B75" s="1163"/>
      <c r="C75" s="1164"/>
      <c r="D75" s="1164"/>
      <c r="E75" s="1164"/>
      <c r="F75" s="1164"/>
      <c r="G75" s="1201"/>
      <c r="H75" s="1206"/>
      <c r="I75" s="1206"/>
      <c r="J75" s="1206"/>
      <c r="K75" s="1206"/>
      <c r="L75" s="1206"/>
      <c r="M75" s="1206"/>
      <c r="N75" s="255"/>
      <c r="O75" s="255"/>
      <c r="P75" s="256"/>
      <c r="Q75" s="256"/>
      <c r="R75" s="256"/>
      <c r="S75" s="256"/>
      <c r="T75" s="256"/>
      <c r="U75" s="256"/>
      <c r="V75" s="331"/>
      <c r="W75" s="340"/>
      <c r="X75" s="340"/>
      <c r="Y75" s="340"/>
      <c r="Z75" s="340"/>
      <c r="AA75" s="340"/>
      <c r="AB75" s="340"/>
      <c r="AC75" s="340"/>
      <c r="AD75" s="1685"/>
      <c r="AE75" s="1163"/>
      <c r="AF75" s="1164"/>
      <c r="AG75" s="1164"/>
      <c r="AH75" s="1164"/>
      <c r="AI75" s="1164"/>
      <c r="AJ75" s="1164"/>
      <c r="AK75" s="1342"/>
      <c r="AL75" s="1576"/>
      <c r="AM75" s="1295"/>
      <c r="AN75" s="1296"/>
      <c r="AO75" s="1296"/>
      <c r="AP75" s="1296"/>
      <c r="AQ75" s="1296"/>
      <c r="AR75" s="1296"/>
      <c r="AS75" s="1342"/>
      <c r="AT75" s="255"/>
      <c r="AU75" s="255"/>
      <c r="AV75" s="255"/>
      <c r="AW75" s="255"/>
      <c r="AX75" s="255"/>
      <c r="AY75" s="297">
        <v>4.3</v>
      </c>
      <c r="AZ75" s="347">
        <f t="shared" ref="AZ75:AZ76" si="61">COUNTIF($AT$50:$AT$73,AY75)</f>
        <v>1</v>
      </c>
      <c r="BA75" s="240" t="str">
        <f>IF($AF$3=1,SUMIF($AT$50:$AT$73,AY75,$BA$50:$BA$73),"")</f>
        <v/>
      </c>
      <c r="BB75" s="331"/>
      <c r="BC75" s="340"/>
      <c r="BD75" s="340"/>
      <c r="BE75" s="340"/>
      <c r="BF75" s="340"/>
      <c r="BG75" s="340"/>
      <c r="BH75" s="340"/>
      <c r="BI75" s="340"/>
      <c r="BJ75" s="1337"/>
      <c r="BK75" s="1338"/>
      <c r="BL75" s="1338"/>
      <c r="BM75" s="1338"/>
      <c r="BN75" s="1338"/>
      <c r="BO75" s="1339"/>
      <c r="BP75" s="255"/>
      <c r="BQ75" s="255"/>
      <c r="BR75" s="255"/>
    </row>
    <row r="76" spans="1:70" ht="15" customHeight="1">
      <c r="A76" s="1291"/>
      <c r="B76" s="1165"/>
      <c r="C76" s="1166"/>
      <c r="D76" s="1166"/>
      <c r="E76" s="1166"/>
      <c r="F76" s="1166"/>
      <c r="G76" s="1292"/>
      <c r="H76" s="1207"/>
      <c r="I76" s="1207"/>
      <c r="J76" s="1207"/>
      <c r="K76" s="1207"/>
      <c r="L76" s="1207"/>
      <c r="M76" s="1207"/>
      <c r="N76" s="256"/>
      <c r="O76" s="256"/>
      <c r="P76" s="256"/>
      <c r="Q76" s="256"/>
      <c r="R76" s="256"/>
      <c r="S76" s="256"/>
      <c r="T76" s="256"/>
      <c r="U76" s="256"/>
      <c r="V76" s="331"/>
      <c r="W76" s="340"/>
      <c r="X76" s="340"/>
      <c r="Y76" s="340"/>
      <c r="Z76" s="340"/>
      <c r="AA76" s="340"/>
      <c r="AB76" s="340"/>
      <c r="AC76" s="340"/>
      <c r="AD76" s="1685"/>
      <c r="AE76" s="1552"/>
      <c r="AF76" s="1203"/>
      <c r="AG76" s="1203"/>
      <c r="AH76" s="1203"/>
      <c r="AI76" s="1203"/>
      <c r="AJ76" s="1203"/>
      <c r="AK76" s="1342"/>
      <c r="AL76" s="1576"/>
      <c r="AM76" s="1298"/>
      <c r="AN76" s="1299"/>
      <c r="AO76" s="1299"/>
      <c r="AP76" s="1299"/>
      <c r="AQ76" s="1299"/>
      <c r="AR76" s="1299"/>
      <c r="AS76" s="1342"/>
      <c r="AT76" s="255"/>
      <c r="AU76" s="255"/>
      <c r="AV76" s="255"/>
      <c r="AW76" s="255"/>
      <c r="AX76" s="255"/>
      <c r="AY76" s="297">
        <v>4.4000000000000004</v>
      </c>
      <c r="AZ76" s="347">
        <f t="shared" si="61"/>
        <v>3</v>
      </c>
      <c r="BA76" s="240" t="str">
        <f>IF($AF$3=1,SUMIF($AT$50:$AT$73,AY76,$BA$50:$BA$73),"")</f>
        <v/>
      </c>
      <c r="BB76" s="331"/>
      <c r="BC76" s="340"/>
      <c r="BD76" s="340"/>
      <c r="BE76" s="340"/>
      <c r="BF76" s="340"/>
      <c r="BG76" s="340"/>
      <c r="BH76" s="340"/>
      <c r="BI76" s="340"/>
      <c r="BJ76" s="1337"/>
      <c r="BK76" s="1338"/>
      <c r="BL76" s="1338"/>
      <c r="BM76" s="1338"/>
      <c r="BN76" s="1338"/>
      <c r="BO76" s="1339"/>
      <c r="BP76" s="255"/>
      <c r="BQ76" s="255"/>
      <c r="BR76" s="255"/>
    </row>
    <row r="77" spans="1:70" ht="15" customHeight="1">
      <c r="A77" s="252"/>
      <c r="B77" s="243"/>
      <c r="C77" s="242"/>
      <c r="D77" s="242"/>
      <c r="F77" s="278">
        <v>1.1000000000000001</v>
      </c>
      <c r="G77" s="311">
        <f>COUNTIF($A$50:$A$76,F77)</f>
        <v>4</v>
      </c>
      <c r="H77" s="240" t="str">
        <f>IF($P$3=1,SUMIF($A$50:$A$76,$F77,$H$50:$H$76),"")</f>
        <v/>
      </c>
      <c r="I77" s="240" t="str">
        <f>IF($T$3=1,SUMIF($A$50:$A$76,$F77,$I$50:$I$76),"")</f>
        <v/>
      </c>
      <c r="J77" s="240" t="str">
        <f>IF($X$3=1,SUMIF($A$50:$A$76,$F77,$J$50:$J$76),"")</f>
        <v/>
      </c>
      <c r="K77" s="240" t="str">
        <f>IF($AB$3=1,SUMIF($A$50:$A$76,$F77,$K$50:$K$76),"")</f>
        <v/>
      </c>
      <c r="L77" s="240" t="str">
        <f>IF($AF$3=1,SUMIF($A$50:$A$76,$F77,$L$50:$L$76),"")</f>
        <v/>
      </c>
      <c r="M77" s="240" t="str">
        <f>IF($AJ$3=1,SUMIF($A$50:$A$76,$F77,$M$50:$M$76),"")</f>
        <v/>
      </c>
      <c r="N77" s="256"/>
      <c r="O77" s="256"/>
      <c r="P77" s="256"/>
      <c r="Q77" s="256"/>
      <c r="R77" s="256"/>
      <c r="S77" s="256"/>
      <c r="T77" s="256"/>
      <c r="U77" s="256"/>
      <c r="V77" s="331"/>
      <c r="W77" s="340"/>
      <c r="X77" s="340"/>
      <c r="Y77" s="340"/>
      <c r="Z77" s="340"/>
      <c r="AA77" s="340"/>
      <c r="AB77" s="340"/>
      <c r="AC77" s="340"/>
      <c r="AD77" s="255"/>
      <c r="AE77" s="255"/>
      <c r="AF77" s="255"/>
      <c r="AG77" s="255"/>
      <c r="AH77" s="255"/>
      <c r="AI77" s="298">
        <v>2.4</v>
      </c>
      <c r="AJ77" s="312">
        <f>COUNTIF($AD$50:$AD$76,AI77)</f>
        <v>2</v>
      </c>
      <c r="AK77" s="240" t="str">
        <f>IF($X$3=1,SUMIF($AD$50:$AD$76,AI77,$AK$50:$AK$76),"")</f>
        <v/>
      </c>
      <c r="AL77" s="255"/>
      <c r="AM77" s="255"/>
      <c r="AN77" s="255"/>
      <c r="AO77" s="255"/>
      <c r="AP77" s="255"/>
      <c r="AQ77" s="298">
        <v>2.4</v>
      </c>
      <c r="AR77" s="312">
        <f>COUNTIF($AL$50:$AL$76,AQ77)</f>
        <v>3</v>
      </c>
      <c r="AS77" s="240" t="str">
        <f>IF($AB$3=1,SUMIF($AL$50:$AL$76,AQ77,$AS$50:$AS$76),"")</f>
        <v/>
      </c>
      <c r="AT77" s="255"/>
      <c r="AU77" s="255"/>
      <c r="AV77" s="255"/>
      <c r="AW77" s="255"/>
      <c r="AX77" s="255"/>
      <c r="AY77" s="255"/>
      <c r="AZ77" s="255"/>
      <c r="BA77" s="255"/>
      <c r="BB77" s="331"/>
      <c r="BC77" s="340"/>
      <c r="BD77" s="340"/>
      <c r="BE77" s="340"/>
      <c r="BF77" s="340"/>
      <c r="BG77" s="340"/>
      <c r="BH77" s="340"/>
      <c r="BI77" s="340"/>
      <c r="BJ77" s="1337"/>
      <c r="BK77" s="1338"/>
      <c r="BL77" s="1338"/>
      <c r="BM77" s="1338"/>
      <c r="BN77" s="1338"/>
      <c r="BO77" s="1339"/>
      <c r="BP77" s="255"/>
      <c r="BQ77" s="255"/>
      <c r="BR77" s="255"/>
    </row>
    <row r="78" spans="1:70" ht="15" customHeight="1">
      <c r="A78" s="252"/>
      <c r="B78" s="243"/>
      <c r="C78" s="242"/>
      <c r="D78" s="242"/>
      <c r="F78" s="278">
        <v>1.5</v>
      </c>
      <c r="G78" s="311">
        <f t="shared" ref="G78:G80" si="62">COUNTIF($A$50:$A$76,F78)</f>
        <v>1</v>
      </c>
      <c r="H78" s="240" t="str">
        <f t="shared" ref="H78:H80" si="63">IF($P$3=1,SUMIF($A$50:$A$76,$F78,$H$50:$H$76),"")</f>
        <v/>
      </c>
      <c r="I78" s="240" t="str">
        <f t="shared" ref="I78:I80" si="64">IF($T$3=1,SUMIF($A$50:$A$76,$F78,$I$50:$I$76),"")</f>
        <v/>
      </c>
      <c r="J78" s="240" t="str">
        <f t="shared" ref="J78:J80" si="65">IF($X$3=1,SUMIF($A$50:$A$76,$F78,$J$50:$J$76),"")</f>
        <v/>
      </c>
      <c r="K78" s="240" t="str">
        <f t="shared" ref="K78:K80" si="66">IF($AB$3=1,SUMIF($A$50:$A$76,$F78,$K$50:$K$76),"")</f>
        <v/>
      </c>
      <c r="L78" s="240" t="str">
        <f t="shared" ref="L78:L80" si="67">IF($AF$3=1,SUMIF($A$50:$A$76,$F78,$L$50:$L$76),"")</f>
        <v/>
      </c>
      <c r="M78" s="240" t="str">
        <f t="shared" ref="M78:M80" si="68">IF($AJ$3=1,SUMIF($A$50:$A$76,$F78,$M$50:$M$76),"")</f>
        <v/>
      </c>
      <c r="N78" s="256"/>
      <c r="O78" s="256"/>
      <c r="P78" s="256"/>
      <c r="Q78" s="256"/>
      <c r="R78" s="256"/>
      <c r="S78" s="256"/>
      <c r="T78" s="256"/>
      <c r="U78" s="256"/>
      <c r="V78" s="331"/>
      <c r="W78" s="340"/>
      <c r="X78" s="340"/>
      <c r="Y78" s="340"/>
      <c r="Z78" s="340"/>
      <c r="AA78" s="340"/>
      <c r="AB78" s="340"/>
      <c r="AC78" s="340"/>
      <c r="AD78" s="255"/>
      <c r="AE78" s="255"/>
      <c r="AF78" s="255"/>
      <c r="AG78" s="255"/>
      <c r="AH78" s="255"/>
      <c r="AI78" s="297">
        <v>4.3</v>
      </c>
      <c r="AJ78" s="312">
        <f t="shared" ref="AJ78:AJ79" si="69">COUNTIF($AD$50:$AD$76,AI78)</f>
        <v>4</v>
      </c>
      <c r="AK78" s="240" t="str">
        <f>IF($X$3=1,SUMIF($AD$50:$AD$76,AI78,$AK$50:$AK$76),"")</f>
        <v/>
      </c>
      <c r="AL78" s="255"/>
      <c r="AM78" s="255"/>
      <c r="AN78" s="255"/>
      <c r="AO78" s="255"/>
      <c r="AP78" s="255"/>
      <c r="AQ78" s="297">
        <v>4.3</v>
      </c>
      <c r="AR78" s="312">
        <f>COUNTIF($AL$50:$AL$76,AQ78)</f>
        <v>4</v>
      </c>
      <c r="AS78" s="240" t="str">
        <f>IF($AB$3=1,SUMIF($AL$50:$AL$76,AQ78,$AS$50:$AS$76),"")</f>
        <v/>
      </c>
      <c r="AT78" s="255"/>
      <c r="AU78" s="255"/>
      <c r="AV78" s="255"/>
      <c r="AW78" s="255"/>
      <c r="AX78" s="255"/>
      <c r="AY78" s="255"/>
      <c r="AZ78" s="255"/>
      <c r="BA78" s="255"/>
      <c r="BB78" s="331"/>
      <c r="BC78" s="340"/>
      <c r="BD78" s="340"/>
      <c r="BE78" s="340"/>
      <c r="BF78" s="340"/>
      <c r="BG78" s="340"/>
      <c r="BH78" s="340"/>
      <c r="BI78" s="340"/>
      <c r="BJ78" s="1222"/>
      <c r="BK78" s="1223"/>
      <c r="BL78" s="1223"/>
      <c r="BM78" s="1223"/>
      <c r="BN78" s="1223"/>
      <c r="BO78" s="1224"/>
      <c r="BP78" s="255"/>
      <c r="BQ78" s="255"/>
      <c r="BR78" s="255"/>
    </row>
    <row r="79" spans="1:70" ht="15" customHeight="1">
      <c r="A79" s="249"/>
      <c r="B79" s="249"/>
      <c r="C79" s="249"/>
      <c r="D79" s="249"/>
      <c r="F79" s="277">
        <v>2.1</v>
      </c>
      <c r="G79" s="311">
        <f t="shared" si="62"/>
        <v>2</v>
      </c>
      <c r="H79" s="240" t="str">
        <f t="shared" si="63"/>
        <v/>
      </c>
      <c r="I79" s="240" t="str">
        <f t="shared" si="64"/>
        <v/>
      </c>
      <c r="J79" s="240" t="str">
        <f t="shared" si="65"/>
        <v/>
      </c>
      <c r="K79" s="240" t="str">
        <f t="shared" si="66"/>
        <v/>
      </c>
      <c r="L79" s="240" t="str">
        <f t="shared" si="67"/>
        <v/>
      </c>
      <c r="M79" s="240" t="str">
        <f t="shared" si="68"/>
        <v/>
      </c>
      <c r="N79" s="256"/>
      <c r="O79" s="256"/>
      <c r="P79" s="256"/>
      <c r="Q79" s="256"/>
      <c r="R79" s="256"/>
      <c r="S79" s="256"/>
      <c r="T79" s="256"/>
      <c r="U79" s="256"/>
      <c r="V79" s="331"/>
      <c r="W79" s="340"/>
      <c r="X79" s="340"/>
      <c r="Y79" s="340"/>
      <c r="Z79" s="340"/>
      <c r="AA79" s="340"/>
      <c r="AB79" s="340"/>
      <c r="AC79" s="340"/>
      <c r="AD79" s="255"/>
      <c r="AE79" s="255"/>
      <c r="AF79" s="255"/>
      <c r="AG79" s="255"/>
      <c r="AH79" s="255"/>
      <c r="AI79" s="297">
        <v>4.4000000000000004</v>
      </c>
      <c r="AJ79" s="312">
        <f t="shared" si="69"/>
        <v>3</v>
      </c>
      <c r="AK79" s="240" t="str">
        <f>IF($X$3=1,SUMIF($AD$50:$AD$76,AI79,$AK$50:$AK$76),"")</f>
        <v/>
      </c>
      <c r="AL79" s="255"/>
      <c r="AM79" s="255"/>
      <c r="AN79" s="255"/>
      <c r="AO79" s="255"/>
      <c r="AP79" s="255"/>
      <c r="AQ79" s="297">
        <v>4.4000000000000004</v>
      </c>
      <c r="AR79" s="312">
        <f>COUNTIF($AL$50:$AL$76,AQ79)</f>
        <v>2</v>
      </c>
      <c r="AS79" s="240" t="str">
        <f>IF($AB$3=1,SUMIF($AL$50:$AL$76,AQ79,$AS$50:$AS$76),"")</f>
        <v/>
      </c>
      <c r="AT79" s="255"/>
      <c r="AU79" s="255"/>
      <c r="AV79" s="255"/>
      <c r="AW79" s="255"/>
      <c r="AX79" s="255"/>
      <c r="AY79" s="255"/>
      <c r="AZ79" s="255"/>
      <c r="BA79" s="255"/>
      <c r="BB79" s="331"/>
      <c r="BC79" s="340"/>
      <c r="BD79" s="340"/>
      <c r="BE79" s="340"/>
      <c r="BF79" s="340"/>
      <c r="BG79" s="340"/>
      <c r="BH79" s="340"/>
      <c r="BI79" s="340"/>
      <c r="BJ79" s="255"/>
      <c r="BK79" s="255"/>
      <c r="BL79" s="255"/>
      <c r="BM79" s="255"/>
      <c r="BN79" s="255"/>
      <c r="BO79" s="255"/>
      <c r="BP79" s="255"/>
      <c r="BQ79" s="255"/>
      <c r="BR79" s="255"/>
    </row>
    <row r="80" spans="1:70" ht="15" customHeight="1">
      <c r="F80" s="277">
        <v>2.4</v>
      </c>
      <c r="G80" s="311">
        <f t="shared" si="62"/>
        <v>2</v>
      </c>
      <c r="H80" s="240" t="str">
        <f t="shared" si="63"/>
        <v/>
      </c>
      <c r="I80" s="240" t="str">
        <f t="shared" si="64"/>
        <v/>
      </c>
      <c r="J80" s="240" t="str">
        <f t="shared" si="65"/>
        <v/>
      </c>
      <c r="K80" s="240" t="str">
        <f t="shared" si="66"/>
        <v/>
      </c>
      <c r="L80" s="240" t="str">
        <f t="shared" si="67"/>
        <v/>
      </c>
      <c r="M80" s="240" t="str">
        <f t="shared" si="68"/>
        <v/>
      </c>
      <c r="N80" s="256"/>
      <c r="O80" s="256"/>
      <c r="P80" s="256"/>
      <c r="Q80" s="256"/>
      <c r="R80" s="256"/>
      <c r="S80" s="256"/>
      <c r="T80" s="256"/>
      <c r="U80" s="256"/>
      <c r="V80" s="331"/>
      <c r="W80" s="340"/>
      <c r="X80" s="340"/>
      <c r="Y80" s="340"/>
      <c r="Z80" s="340"/>
      <c r="AA80" s="340"/>
      <c r="AB80" s="340"/>
      <c r="AC80" s="340"/>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J80" s="255"/>
      <c r="BK80" s="255"/>
      <c r="BL80" s="255"/>
      <c r="BM80" s="255"/>
      <c r="BN80" s="255"/>
      <c r="BO80" s="255"/>
      <c r="BP80" s="255"/>
      <c r="BQ80" s="255"/>
      <c r="BR80" s="255"/>
    </row>
    <row r="81" spans="1:70" ht="15" customHeight="1">
      <c r="N81" s="339"/>
      <c r="O81" s="339"/>
      <c r="P81" s="255"/>
      <c r="Q81" s="256"/>
      <c r="R81" s="256"/>
      <c r="S81" s="256"/>
      <c r="T81" s="256"/>
      <c r="U81" s="256"/>
      <c r="V81" s="331"/>
      <c r="W81" s="340"/>
      <c r="X81" s="340"/>
      <c r="Y81" s="340"/>
      <c r="Z81" s="340"/>
      <c r="AA81" s="340"/>
      <c r="AB81" s="340"/>
      <c r="AC81" s="340"/>
      <c r="AD81" s="255"/>
      <c r="AE81" s="255"/>
      <c r="AF81" s="255"/>
      <c r="AG81" s="255"/>
      <c r="AH81" s="255"/>
      <c r="AI81" s="255"/>
      <c r="AJ81" s="255"/>
      <c r="AK81" s="255"/>
      <c r="AL81" s="255"/>
      <c r="AM81" s="255"/>
      <c r="AN81" s="255"/>
      <c r="AO81" s="255"/>
      <c r="AP81" s="255"/>
      <c r="AQ81" s="255"/>
      <c r="AR81" s="255"/>
      <c r="AS81" s="255"/>
      <c r="AT81" s="255"/>
      <c r="AU81" s="255"/>
      <c r="AV81" s="255"/>
      <c r="AW81" s="255"/>
      <c r="AX81" s="255"/>
      <c r="AY81" s="255"/>
      <c r="AZ81" s="255"/>
      <c r="BA81" s="255"/>
      <c r="BB81" s="255"/>
      <c r="BC81" s="255"/>
      <c r="BD81" s="255"/>
      <c r="BE81" s="255"/>
      <c r="BF81" s="255"/>
      <c r="BJ81" s="332"/>
      <c r="BK81" s="332"/>
      <c r="BL81" s="332"/>
      <c r="BM81" s="332"/>
      <c r="BN81" s="255"/>
      <c r="BO81" s="255"/>
      <c r="BP81" s="255"/>
      <c r="BQ81" s="255"/>
      <c r="BR81" s="255"/>
    </row>
    <row r="82" spans="1:70" ht="15" customHeight="1">
      <c r="A82" s="1209"/>
      <c r="B82" s="1210" t="s">
        <v>609</v>
      </c>
      <c r="C82" s="1211"/>
      <c r="D82" s="1211"/>
      <c r="E82" s="1211"/>
      <c r="F82" s="1211"/>
      <c r="G82" s="1211"/>
      <c r="H82" s="1174">
        <v>1</v>
      </c>
      <c r="I82" s="1174">
        <v>2</v>
      </c>
      <c r="J82" s="1174">
        <v>3</v>
      </c>
      <c r="K82" s="1174">
        <v>4</v>
      </c>
      <c r="L82" s="1174">
        <v>5</v>
      </c>
      <c r="M82" s="1174">
        <v>6</v>
      </c>
      <c r="N82" s="339"/>
      <c r="O82" s="339"/>
      <c r="P82" s="255"/>
      <c r="Q82" s="256"/>
      <c r="R82" s="256"/>
      <c r="S82" s="256"/>
      <c r="T82" s="256"/>
      <c r="U82" s="256"/>
      <c r="V82" s="331"/>
      <c r="W82" s="340"/>
      <c r="X82" s="340"/>
      <c r="Y82" s="340"/>
      <c r="Z82" s="340"/>
      <c r="AA82" s="340"/>
      <c r="AB82" s="340"/>
      <c r="AC82" s="340"/>
      <c r="AD82" s="255"/>
      <c r="AH82" s="255"/>
      <c r="AI82" s="255"/>
      <c r="AJ82" s="255"/>
      <c r="AK82" s="255"/>
      <c r="AL82" s="255"/>
      <c r="AM82" s="255"/>
      <c r="AN82" s="255"/>
      <c r="AO82" s="255"/>
      <c r="AP82" s="255"/>
      <c r="AQ82" s="255"/>
      <c r="AR82" s="255"/>
      <c r="AS82" s="255"/>
      <c r="AT82" s="255"/>
      <c r="AU82" s="255"/>
      <c r="AV82" s="255"/>
      <c r="AW82" s="255"/>
      <c r="AX82" s="255"/>
      <c r="AY82" s="255"/>
      <c r="AZ82" s="255"/>
      <c r="BA82" s="255"/>
      <c r="BB82" s="255"/>
      <c r="BC82" s="255"/>
      <c r="BD82" s="255"/>
      <c r="BE82" s="255"/>
      <c r="BF82" s="255"/>
      <c r="BJ82" s="332"/>
      <c r="BK82" s="332"/>
      <c r="BL82" s="332"/>
      <c r="BM82" s="332"/>
      <c r="BN82" s="255"/>
      <c r="BO82" s="255"/>
      <c r="BP82" s="255"/>
    </row>
    <row r="83" spans="1:70" ht="15" customHeight="1">
      <c r="A83" s="1209"/>
      <c r="B83" s="1340"/>
      <c r="C83" s="1341"/>
      <c r="D83" s="1341"/>
      <c r="E83" s="1341"/>
      <c r="F83" s="1341"/>
      <c r="G83" s="1341"/>
      <c r="H83" s="1174"/>
      <c r="I83" s="1174"/>
      <c r="J83" s="1174"/>
      <c r="K83" s="1174"/>
      <c r="L83" s="1174"/>
      <c r="M83" s="1174"/>
      <c r="N83" s="339"/>
      <c r="O83" s="339"/>
      <c r="P83" s="255"/>
      <c r="Q83" s="255"/>
      <c r="R83" s="255"/>
      <c r="S83" s="255"/>
      <c r="T83" s="255"/>
      <c r="U83" s="256"/>
      <c r="V83" s="342"/>
      <c r="W83" s="340"/>
      <c r="X83" s="340"/>
      <c r="Y83" s="340"/>
      <c r="Z83" s="340"/>
      <c r="AA83" s="340"/>
      <c r="AB83" s="340"/>
      <c r="AC83" s="340"/>
      <c r="AD83" s="255"/>
      <c r="AH83" s="255"/>
      <c r="AI83" s="255"/>
      <c r="AJ83" s="255"/>
      <c r="AK83" s="255"/>
      <c r="AL83" s="255"/>
      <c r="AM83" s="255"/>
      <c r="AN83" s="255"/>
      <c r="AO83" s="255"/>
      <c r="AP83" s="255"/>
      <c r="AQ83" s="255"/>
      <c r="AR83" s="255"/>
      <c r="AS83" s="255"/>
      <c r="AT83" s="255"/>
      <c r="AU83" s="255"/>
      <c r="AV83" s="255"/>
      <c r="AW83" s="255"/>
      <c r="AX83" s="255"/>
      <c r="AY83" s="255"/>
      <c r="AZ83" s="255"/>
      <c r="BA83" s="255"/>
      <c r="BB83" s="255"/>
      <c r="BC83" s="255"/>
      <c r="BD83" s="255"/>
      <c r="BE83" s="255"/>
      <c r="BF83" s="255"/>
      <c r="BG83" s="255"/>
      <c r="BH83" s="255"/>
      <c r="BI83" s="255"/>
      <c r="BP83" s="255"/>
    </row>
    <row r="84" spans="1:70" ht="15" customHeight="1">
      <c r="A84" s="1209"/>
      <c r="B84" s="1212"/>
      <c r="C84" s="1213"/>
      <c r="D84" s="1213"/>
      <c r="E84" s="1213"/>
      <c r="F84" s="1213"/>
      <c r="G84" s="1213"/>
      <c r="H84" s="1174"/>
      <c r="I84" s="1174"/>
      <c r="J84" s="1174"/>
      <c r="K84" s="1174"/>
      <c r="L84" s="1174"/>
      <c r="M84" s="1174"/>
      <c r="N84" s="339"/>
      <c r="O84" s="339"/>
      <c r="P84" s="256"/>
      <c r="Q84" s="256"/>
      <c r="R84" s="256"/>
      <c r="S84" s="256"/>
      <c r="T84" s="256"/>
      <c r="U84" s="256"/>
      <c r="V84" s="342"/>
      <c r="W84" s="340"/>
      <c r="X84" s="340"/>
      <c r="Y84" s="340"/>
      <c r="Z84" s="340"/>
      <c r="AA84" s="340"/>
      <c r="AB84" s="340"/>
      <c r="AC84" s="340"/>
      <c r="AD84" s="255"/>
      <c r="AH84" s="255"/>
      <c r="AI84" s="255"/>
      <c r="AJ84" s="255"/>
      <c r="AK84" s="255"/>
      <c r="AL84" s="255"/>
      <c r="AM84" s="255"/>
      <c r="AN84" s="255"/>
      <c r="AO84" s="255"/>
      <c r="AP84" s="255"/>
      <c r="AQ84" s="255"/>
      <c r="AR84" s="255"/>
      <c r="AS84" s="255"/>
      <c r="AT84" s="255"/>
      <c r="AU84" s="255"/>
      <c r="AV84" s="255"/>
      <c r="AW84" s="255"/>
      <c r="AX84" s="255"/>
      <c r="AY84" s="255"/>
      <c r="AZ84" s="255"/>
      <c r="BA84" s="255"/>
      <c r="BB84" s="255"/>
      <c r="BC84" s="255"/>
      <c r="BD84" s="255"/>
      <c r="BE84" s="255"/>
      <c r="BF84" s="255"/>
      <c r="BG84" s="255"/>
      <c r="BH84" s="255"/>
      <c r="BI84" s="255"/>
      <c r="BP84" s="255"/>
    </row>
    <row r="85" spans="1:70" ht="15" customHeight="1">
      <c r="A85" s="1336">
        <v>3.1</v>
      </c>
      <c r="B85" s="1198" t="s">
        <v>366</v>
      </c>
      <c r="C85" s="1162"/>
      <c r="D85" s="1162"/>
      <c r="E85" s="1162"/>
      <c r="F85" s="1162"/>
      <c r="G85" s="1265"/>
      <c r="H85" s="1205" t="str">
        <f>IF(ISBLANK(P$3),"",1)</f>
        <v/>
      </c>
      <c r="I85" s="1205" t="str">
        <f>IF(ISBLANK(T$3),"",1)</f>
        <v/>
      </c>
      <c r="J85" s="1205" t="str">
        <f>IF(ISBLANK(X$3),"",1)</f>
        <v/>
      </c>
      <c r="K85" s="1205" t="str">
        <f>IF(ISBLANK(AB$3),"",1)</f>
        <v/>
      </c>
      <c r="L85" s="1205" t="str">
        <f>IF(ISBLANK(AF$3),"",1)</f>
        <v/>
      </c>
      <c r="M85" s="1205" t="str">
        <f t="shared" ref="M85" si="70">IF(ISBLANK(AJ$3),"",1)</f>
        <v/>
      </c>
      <c r="N85" s="339"/>
      <c r="O85" s="339"/>
      <c r="P85" s="256"/>
      <c r="Q85" s="256"/>
      <c r="R85" s="256"/>
      <c r="S85" s="256"/>
      <c r="T85" s="256"/>
      <c r="U85" s="256"/>
      <c r="V85" s="342"/>
      <c r="W85" s="616"/>
      <c r="X85" s="616"/>
      <c r="Y85" s="616"/>
      <c r="Z85" s="616"/>
      <c r="AA85" s="616"/>
      <c r="AB85" s="616"/>
      <c r="AC85" s="616"/>
      <c r="AD85" s="255"/>
      <c r="AH85" s="255"/>
      <c r="AI85" s="255"/>
      <c r="AJ85" s="255"/>
      <c r="AK85" s="255"/>
      <c r="AL85" s="255"/>
      <c r="AM85" s="255"/>
      <c r="AN85" s="255"/>
      <c r="AO85" s="255"/>
      <c r="AP85" s="255"/>
      <c r="AQ85" s="255"/>
      <c r="AR85" s="255"/>
      <c r="AS85" s="255"/>
      <c r="AT85" s="255"/>
      <c r="AU85" s="255"/>
      <c r="AV85" s="255"/>
      <c r="AW85" s="255"/>
      <c r="AX85" s="255"/>
      <c r="AY85" s="255"/>
      <c r="AZ85" s="255"/>
      <c r="BA85" s="255"/>
      <c r="BB85" s="255"/>
      <c r="BC85" s="255"/>
      <c r="BD85" s="255"/>
      <c r="BE85" s="255"/>
      <c r="BF85" s="255"/>
      <c r="BG85" s="255"/>
      <c r="BH85" s="255"/>
      <c r="BI85" s="255"/>
      <c r="BP85" s="255"/>
    </row>
    <row r="86" spans="1:70" ht="15" customHeight="1">
      <c r="A86" s="1159"/>
      <c r="B86" s="1200"/>
      <c r="C86" s="1164"/>
      <c r="D86" s="1164"/>
      <c r="E86" s="1164"/>
      <c r="F86" s="1164"/>
      <c r="G86" s="1266"/>
      <c r="H86" s="1206"/>
      <c r="I86" s="1206"/>
      <c r="J86" s="1206"/>
      <c r="K86" s="1206"/>
      <c r="L86" s="1206"/>
      <c r="M86" s="1206"/>
      <c r="N86" s="339"/>
      <c r="O86" s="339"/>
      <c r="P86" s="256"/>
      <c r="Q86" s="256"/>
      <c r="R86" s="256"/>
      <c r="S86" s="256"/>
      <c r="T86" s="256"/>
      <c r="U86" s="256"/>
      <c r="V86" s="342"/>
      <c r="W86" s="616"/>
      <c r="X86" s="616"/>
      <c r="Y86" s="616"/>
      <c r="Z86" s="616"/>
      <c r="AA86" s="616"/>
      <c r="AB86" s="616"/>
      <c r="AC86" s="616"/>
      <c r="AD86" s="255"/>
      <c r="AH86" s="255"/>
      <c r="AI86" s="255"/>
      <c r="AJ86" s="255"/>
      <c r="AK86" s="255"/>
      <c r="AL86" s="255"/>
      <c r="AM86" s="255"/>
      <c r="AN86" s="255"/>
      <c r="AO86" s="255"/>
      <c r="AP86" s="255"/>
      <c r="AQ86" s="255"/>
      <c r="AR86" s="255"/>
      <c r="AS86" s="255"/>
      <c r="AT86" s="255"/>
      <c r="AU86" s="255"/>
      <c r="AV86" s="255"/>
      <c r="AW86" s="255"/>
      <c r="AX86" s="255"/>
      <c r="AY86" s="255"/>
      <c r="AZ86" s="255"/>
      <c r="BA86" s="255"/>
      <c r="BB86" s="255"/>
      <c r="BC86" s="255"/>
      <c r="BD86" s="255"/>
      <c r="BE86" s="255"/>
      <c r="BF86" s="255"/>
      <c r="BG86" s="255"/>
      <c r="BH86" s="255"/>
      <c r="BI86" s="255"/>
      <c r="BP86" s="255"/>
    </row>
    <row r="87" spans="1:70" ht="15" customHeight="1">
      <c r="A87" s="1160"/>
      <c r="B87" s="1200"/>
      <c r="C87" s="1164"/>
      <c r="D87" s="1164"/>
      <c r="E87" s="1164"/>
      <c r="F87" s="1164"/>
      <c r="G87" s="1266"/>
      <c r="H87" s="1207"/>
      <c r="I87" s="1207"/>
      <c r="J87" s="1207"/>
      <c r="K87" s="1207"/>
      <c r="L87" s="1207"/>
      <c r="M87" s="1207"/>
      <c r="N87" s="339"/>
      <c r="O87" s="339"/>
      <c r="P87" s="256"/>
      <c r="Q87" s="256"/>
      <c r="R87" s="256"/>
      <c r="S87" s="256"/>
      <c r="T87" s="256"/>
      <c r="U87" s="256"/>
      <c r="V87" s="342"/>
      <c r="W87" s="616"/>
      <c r="X87" s="616"/>
      <c r="Y87" s="616"/>
      <c r="Z87" s="616"/>
      <c r="AA87" s="616"/>
      <c r="AB87" s="616"/>
      <c r="AC87" s="616"/>
      <c r="AD87" s="255"/>
      <c r="AH87" s="255"/>
      <c r="AI87" s="255"/>
      <c r="AJ87" s="255"/>
      <c r="AK87" s="255"/>
      <c r="AL87" s="255"/>
      <c r="AM87" s="255"/>
      <c r="AN87" s="255"/>
      <c r="AO87" s="255"/>
      <c r="AP87" s="255"/>
      <c r="AQ87" s="255"/>
      <c r="AR87" s="255"/>
      <c r="AS87" s="255"/>
      <c r="AT87" s="255"/>
      <c r="AU87" s="255"/>
      <c r="AV87" s="255"/>
      <c r="AW87" s="255"/>
      <c r="AX87" s="255"/>
      <c r="AY87" s="255"/>
      <c r="AZ87" s="255"/>
      <c r="BA87" s="255"/>
      <c r="BB87" s="255"/>
      <c r="BC87" s="255"/>
      <c r="BD87" s="255"/>
      <c r="BE87" s="255"/>
      <c r="BF87" s="255"/>
      <c r="BG87" s="255"/>
      <c r="BH87" s="255"/>
      <c r="BI87" s="255"/>
      <c r="BP87" s="255"/>
    </row>
    <row r="88" spans="1:70" ht="15" customHeight="1">
      <c r="A88" s="1336">
        <v>1.4</v>
      </c>
      <c r="B88" s="1198" t="s">
        <v>943</v>
      </c>
      <c r="C88" s="1162"/>
      <c r="D88" s="1162"/>
      <c r="E88" s="1162"/>
      <c r="F88" s="1162"/>
      <c r="G88" s="1265"/>
      <c r="H88" s="1205" t="str">
        <f>IF(ISBLANK(P$3),"",1)</f>
        <v/>
      </c>
      <c r="I88" s="1205" t="str">
        <f>IF(ISBLANK(T$3),"",1)</f>
        <v/>
      </c>
      <c r="J88" s="1205" t="str">
        <f>IF(ISBLANK(X$3),"",1)</f>
        <v/>
      </c>
      <c r="K88" s="1205" t="str">
        <f>IF(ISBLANK(AB$3),"",1)</f>
        <v/>
      </c>
      <c r="L88" s="1205" t="str">
        <f>IF(ISBLANK(AF$3),"",1)</f>
        <v/>
      </c>
      <c r="M88" s="1205" t="str">
        <f t="shared" ref="M88" si="71">IF(ISBLANK(AJ$3),"",1)</f>
        <v/>
      </c>
      <c r="N88" s="339"/>
      <c r="O88" s="339"/>
      <c r="P88" s="256"/>
      <c r="Q88" s="256"/>
      <c r="R88" s="256"/>
      <c r="S88" s="256"/>
      <c r="T88" s="256"/>
      <c r="U88" s="256"/>
      <c r="V88" s="342"/>
      <c r="W88" s="616"/>
      <c r="X88" s="616"/>
      <c r="Y88" s="616"/>
      <c r="Z88" s="616"/>
      <c r="AA88" s="616"/>
      <c r="AB88" s="616"/>
      <c r="AC88" s="616"/>
      <c r="AD88" s="255"/>
      <c r="AH88" s="255"/>
      <c r="AI88" s="255"/>
      <c r="AJ88" s="255"/>
      <c r="AK88" s="255"/>
      <c r="AL88" s="255"/>
      <c r="AM88" s="255"/>
      <c r="AN88" s="255"/>
      <c r="AO88" s="255"/>
      <c r="AP88" s="255"/>
      <c r="AQ88" s="255"/>
      <c r="AR88" s="255"/>
      <c r="AS88" s="255"/>
      <c r="AT88" s="255"/>
      <c r="AU88" s="255"/>
      <c r="AV88" s="255"/>
      <c r="AW88" s="255"/>
      <c r="AX88" s="255"/>
      <c r="AY88" s="255"/>
      <c r="AZ88" s="255"/>
      <c r="BA88" s="255"/>
      <c r="BB88" s="255"/>
      <c r="BC88" s="255"/>
      <c r="BD88" s="255"/>
      <c r="BE88" s="255"/>
      <c r="BF88" s="255"/>
      <c r="BG88" s="255"/>
      <c r="BH88" s="255"/>
      <c r="BI88" s="255"/>
      <c r="BP88" s="255"/>
    </row>
    <row r="89" spans="1:70" ht="15" customHeight="1">
      <c r="A89" s="1159"/>
      <c r="B89" s="1200"/>
      <c r="C89" s="1164"/>
      <c r="D89" s="1164"/>
      <c r="E89" s="1164"/>
      <c r="F89" s="1164"/>
      <c r="G89" s="1266"/>
      <c r="H89" s="1206"/>
      <c r="I89" s="1206"/>
      <c r="J89" s="1206"/>
      <c r="K89" s="1206"/>
      <c r="L89" s="1206"/>
      <c r="M89" s="1206"/>
      <c r="N89" s="339"/>
      <c r="O89" s="339"/>
      <c r="P89" s="256"/>
      <c r="Q89" s="256"/>
      <c r="R89" s="256"/>
      <c r="S89" s="256"/>
      <c r="T89" s="256"/>
      <c r="U89" s="256"/>
      <c r="V89" s="342"/>
      <c r="W89" s="616"/>
      <c r="X89" s="616"/>
      <c r="Y89" s="616"/>
      <c r="Z89" s="616"/>
      <c r="AA89" s="616"/>
      <c r="AB89" s="616"/>
      <c r="AC89" s="616"/>
      <c r="AD89" s="255"/>
      <c r="AH89" s="255"/>
      <c r="AI89" s="255"/>
      <c r="AJ89" s="255"/>
      <c r="AK89" s="255"/>
      <c r="AL89" s="255"/>
      <c r="AM89" s="255"/>
      <c r="AN89" s="255"/>
      <c r="AO89" s="255"/>
      <c r="AP89" s="255"/>
      <c r="AQ89" s="255"/>
      <c r="AR89" s="255"/>
      <c r="AS89" s="255"/>
      <c r="AT89" s="255"/>
      <c r="AU89" s="255"/>
      <c r="AV89" s="255"/>
      <c r="AW89" s="255"/>
      <c r="AX89" s="255"/>
      <c r="AY89" s="255"/>
      <c r="AZ89" s="255"/>
      <c r="BA89" s="255"/>
      <c r="BB89" s="255"/>
      <c r="BC89" s="255"/>
      <c r="BD89" s="255"/>
      <c r="BE89" s="255"/>
      <c r="BF89" s="255"/>
      <c r="BG89" s="255"/>
      <c r="BH89" s="255"/>
      <c r="BI89" s="255"/>
      <c r="BP89" s="255"/>
    </row>
    <row r="90" spans="1:70" ht="15" customHeight="1">
      <c r="A90" s="1160"/>
      <c r="B90" s="1200"/>
      <c r="C90" s="1164"/>
      <c r="D90" s="1164"/>
      <c r="E90" s="1164"/>
      <c r="F90" s="1164"/>
      <c r="G90" s="1266"/>
      <c r="H90" s="1207"/>
      <c r="I90" s="1207"/>
      <c r="J90" s="1207"/>
      <c r="K90" s="1207"/>
      <c r="L90" s="1207"/>
      <c r="M90" s="1207"/>
      <c r="N90" s="339"/>
      <c r="O90" s="339"/>
      <c r="P90" s="256"/>
      <c r="Q90" s="256"/>
      <c r="R90" s="256"/>
      <c r="S90" s="256"/>
      <c r="T90" s="256"/>
      <c r="U90" s="256"/>
      <c r="V90" s="342"/>
      <c r="W90" s="616"/>
      <c r="X90" s="616"/>
      <c r="Y90" s="616"/>
      <c r="Z90" s="616"/>
      <c r="AA90" s="616"/>
      <c r="AB90" s="616"/>
      <c r="AC90" s="616"/>
      <c r="AD90" s="255"/>
      <c r="AH90" s="255"/>
      <c r="AI90" s="255"/>
      <c r="AJ90" s="255"/>
      <c r="AK90" s="255"/>
      <c r="AL90" s="255"/>
      <c r="AM90" s="255"/>
      <c r="AN90" s="255"/>
      <c r="AO90" s="255"/>
      <c r="AP90" s="255"/>
      <c r="AQ90" s="255"/>
      <c r="AR90" s="255"/>
      <c r="AS90" s="255"/>
      <c r="AT90" s="255"/>
      <c r="AU90" s="255"/>
      <c r="AV90" s="255"/>
      <c r="AW90" s="255"/>
      <c r="AX90" s="255"/>
      <c r="AY90" s="255"/>
      <c r="AZ90" s="255"/>
      <c r="BA90" s="255"/>
      <c r="BB90" s="255"/>
      <c r="BC90" s="255"/>
      <c r="BD90" s="255"/>
      <c r="BE90" s="255"/>
      <c r="BF90" s="255"/>
      <c r="BG90" s="255"/>
      <c r="BH90" s="255"/>
      <c r="BI90" s="255"/>
      <c r="BP90" s="255"/>
    </row>
    <row r="91" spans="1:70" ht="15" customHeight="1">
      <c r="A91" s="1168" t="s">
        <v>637</v>
      </c>
      <c r="B91" s="1168"/>
      <c r="C91" s="1168"/>
      <c r="D91" s="1168"/>
      <c r="E91" s="1169"/>
      <c r="F91" s="617">
        <v>3.1</v>
      </c>
      <c r="G91" s="620">
        <f>COUNTIF($A$85:$A$90,F91)</f>
        <v>1</v>
      </c>
      <c r="H91" s="240" t="str">
        <f>IF($P$3=1,SUMIF($A$85:$A$90,$F91,$H$85:$H$90),"")</f>
        <v/>
      </c>
      <c r="I91" s="240" t="str">
        <f>IF($T$3=1,SUMIF($A$85:$A$90,$F91,$I$85:$I$90),"")</f>
        <v/>
      </c>
      <c r="J91" s="240" t="str">
        <f>IF($X$3=1,SUMIF($A$85:$A$90,$F91,$J$85:$J$90),"")</f>
        <v/>
      </c>
      <c r="K91" s="240" t="str">
        <f>IF($AB$3=1,SUMIF($A$85:$A$90,$F91,$K$85:$K$90),"")</f>
        <v/>
      </c>
      <c r="L91" s="240" t="str">
        <f>IF($AF$3=1,SUMIF($A$85:$A$90,$F91,$L$85:$L$90),"")</f>
        <v/>
      </c>
      <c r="M91" s="240" t="str">
        <f>IF($AJ$3=1,SUMIF($A$85:$A$90,$F91,$M$85:$M$90),"")</f>
        <v/>
      </c>
      <c r="N91" s="339"/>
      <c r="O91" s="339"/>
      <c r="P91" s="256"/>
      <c r="Q91" s="256"/>
      <c r="R91" s="256"/>
      <c r="S91" s="256"/>
      <c r="T91" s="256"/>
      <c r="U91" s="256"/>
      <c r="V91" s="342"/>
      <c r="W91" s="616"/>
      <c r="X91" s="616"/>
      <c r="Y91" s="616"/>
      <c r="Z91" s="616"/>
      <c r="AA91" s="616"/>
      <c r="AB91" s="616"/>
      <c r="AC91" s="616"/>
      <c r="AD91" s="255"/>
      <c r="AH91" s="255"/>
      <c r="AI91" s="255"/>
      <c r="AJ91" s="255"/>
      <c r="AK91" s="255"/>
      <c r="AL91" s="255"/>
      <c r="AM91" s="255"/>
      <c r="AN91" s="255"/>
      <c r="AO91" s="255"/>
      <c r="AP91" s="255"/>
      <c r="AQ91" s="255"/>
      <c r="AR91" s="255"/>
      <c r="AS91" s="255"/>
      <c r="AT91" s="255"/>
      <c r="AU91" s="255"/>
      <c r="AV91" s="255"/>
      <c r="AW91" s="255"/>
      <c r="AX91" s="255"/>
      <c r="AY91" s="255"/>
      <c r="AZ91" s="255"/>
      <c r="BA91" s="255"/>
      <c r="BB91" s="255"/>
      <c r="BC91" s="255"/>
      <c r="BD91" s="255"/>
      <c r="BE91" s="255"/>
      <c r="BF91" s="255"/>
      <c r="BG91" s="255"/>
      <c r="BH91" s="255"/>
      <c r="BI91" s="255"/>
      <c r="BP91" s="255"/>
    </row>
    <row r="92" spans="1:70" ht="15" customHeight="1">
      <c r="F92" s="617">
        <v>1.4</v>
      </c>
      <c r="G92" s="620">
        <f>COUNTIF($A$85:$A$90,F92)</f>
        <v>1</v>
      </c>
      <c r="H92" s="240" t="str">
        <f>IF($P$3=1,SUMIF($A$85:$A$90,$F92,$H$85:$H$90),"")</f>
        <v/>
      </c>
      <c r="I92" s="240" t="str">
        <f>IF($T$3=1,SUMIF($A$85:$A$90,$F92,$I$85:$I$90),"")</f>
        <v/>
      </c>
      <c r="J92" s="240" t="str">
        <f>IF($X$3=1,SUMIF($A$85:$A$90,$F92,$J$85:$J$90),"")</f>
        <v/>
      </c>
      <c r="K92" s="240" t="str">
        <f>IF($AB$3=1,SUMIF($A$85:$A$90,$F92,$K$85:$K$90),"")</f>
        <v/>
      </c>
      <c r="L92" s="240" t="str">
        <f>IF($AF$3=1,SUMIF($A$85:$A$90,$F92,$L$85:$L$90),"")</f>
        <v/>
      </c>
      <c r="M92" s="240" t="str">
        <f>IF($AJ$3=1,SUMIF($A$85:$A$90,$F92,$M$85:$M$90),"")</f>
        <v/>
      </c>
      <c r="N92" s="339"/>
      <c r="O92" s="339"/>
      <c r="P92" s="256"/>
      <c r="Q92" s="256"/>
      <c r="R92" s="256"/>
      <c r="S92" s="256"/>
      <c r="T92" s="256"/>
      <c r="U92" s="256"/>
      <c r="V92" s="342"/>
      <c r="W92" s="616"/>
      <c r="X92" s="616"/>
      <c r="Y92" s="616"/>
      <c r="Z92" s="616"/>
      <c r="AA92" s="616"/>
      <c r="AB92" s="616"/>
      <c r="AC92" s="616"/>
      <c r="AD92" s="255"/>
      <c r="AH92" s="255"/>
      <c r="AI92" s="255"/>
      <c r="AJ92" s="255"/>
      <c r="AK92" s="255"/>
      <c r="AL92" s="255"/>
      <c r="AM92" s="255"/>
      <c r="AN92" s="255"/>
      <c r="AO92" s="255"/>
      <c r="AP92" s="255"/>
      <c r="AQ92" s="255"/>
      <c r="AR92" s="255"/>
      <c r="AS92" s="255"/>
      <c r="AT92" s="255"/>
      <c r="AU92" s="255"/>
      <c r="AV92" s="255"/>
      <c r="AW92" s="255"/>
      <c r="AX92" s="255"/>
      <c r="AY92" s="255"/>
      <c r="AZ92" s="255"/>
      <c r="BA92" s="255"/>
      <c r="BB92" s="255"/>
      <c r="BC92" s="255"/>
      <c r="BD92" s="255"/>
      <c r="BE92" s="255"/>
      <c r="BF92" s="255"/>
      <c r="BG92" s="255"/>
      <c r="BH92" s="255"/>
      <c r="BI92" s="255"/>
      <c r="BP92" s="255"/>
    </row>
    <row r="93" spans="1:70" ht="15" customHeight="1">
      <c r="A93" s="1171" t="s">
        <v>17</v>
      </c>
      <c r="B93" s="1171"/>
      <c r="C93" s="1171"/>
      <c r="D93" s="1171"/>
      <c r="E93" s="1171"/>
      <c r="F93" s="1171"/>
      <c r="G93" s="1171"/>
      <c r="H93" s="1171"/>
      <c r="I93" s="1171"/>
      <c r="J93" s="1171"/>
      <c r="K93" s="1171"/>
      <c r="L93" s="1171"/>
      <c r="M93" s="1171"/>
      <c r="N93" s="1171"/>
      <c r="O93" s="1171"/>
      <c r="P93" s="1171"/>
      <c r="Q93" s="1171"/>
      <c r="R93" s="1171"/>
      <c r="S93" s="1171"/>
      <c r="T93" s="1171"/>
      <c r="U93" s="1171"/>
      <c r="V93" s="1171"/>
      <c r="W93" s="1171"/>
      <c r="X93" s="1171"/>
      <c r="Y93" s="1171"/>
      <c r="Z93" s="1171"/>
      <c r="AA93" s="1171"/>
      <c r="AB93" s="1171"/>
      <c r="AC93" s="1171"/>
      <c r="AD93" s="1171"/>
      <c r="AE93" s="1171"/>
      <c r="AF93" s="1171"/>
      <c r="AG93" s="1171"/>
      <c r="AH93" s="1171"/>
      <c r="AI93" s="117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P93" s="255"/>
    </row>
    <row r="94" spans="1:70" ht="15" customHeight="1">
      <c r="A94" s="1275"/>
      <c r="B94" s="1275"/>
      <c r="C94" s="1275"/>
      <c r="D94" s="1275"/>
      <c r="E94" s="1275"/>
      <c r="F94" s="1275"/>
      <c r="G94" s="1275"/>
      <c r="H94" s="1275"/>
      <c r="I94" s="1275"/>
      <c r="J94" s="1275"/>
      <c r="K94" s="1275"/>
      <c r="L94" s="1275"/>
      <c r="M94" s="1275"/>
      <c r="N94" s="1275"/>
      <c r="O94" s="1275"/>
      <c r="P94" s="1275"/>
      <c r="Q94" s="1275"/>
      <c r="R94" s="1275"/>
      <c r="S94" s="1275"/>
      <c r="T94" s="1275"/>
      <c r="U94" s="1275"/>
      <c r="V94" s="1275"/>
      <c r="W94" s="1275"/>
      <c r="X94" s="1275"/>
      <c r="Y94" s="1275"/>
      <c r="Z94" s="1275"/>
      <c r="AA94" s="1275"/>
      <c r="AB94" s="1275"/>
      <c r="AC94" s="1275"/>
      <c r="AD94" s="1275"/>
      <c r="AE94" s="1275"/>
      <c r="AF94" s="1275"/>
      <c r="AG94" s="1275"/>
      <c r="AH94" s="1275"/>
      <c r="AI94" s="1275"/>
      <c r="AJ94" s="1275"/>
      <c r="AK94" s="1275"/>
      <c r="AL94" s="1275"/>
      <c r="AM94" s="1275"/>
      <c r="AN94" s="1275"/>
      <c r="AO94" s="1275"/>
      <c r="AP94" s="1275"/>
      <c r="AQ94" s="1275"/>
      <c r="AR94" s="1275"/>
      <c r="AS94" s="1275"/>
      <c r="AT94" s="1275"/>
      <c r="AU94" s="1275"/>
      <c r="AV94" s="1275"/>
      <c r="AW94" s="1275"/>
      <c r="AX94" s="1275"/>
      <c r="AY94" s="1275"/>
      <c r="AZ94" s="1275"/>
      <c r="BA94" s="1275"/>
      <c r="BB94" s="1275"/>
      <c r="BC94" s="1275"/>
      <c r="BD94" s="1275"/>
      <c r="BE94" s="1275"/>
      <c r="BF94" s="1275"/>
      <c r="BG94" s="1275"/>
      <c r="BH94" s="1275"/>
      <c r="BI94" s="1275"/>
      <c r="BJ94" s="1275"/>
      <c r="BK94" s="1275"/>
      <c r="BL94" s="1275"/>
      <c r="BM94" s="1275"/>
    </row>
    <row r="95" spans="1:70" ht="15" customHeight="1">
      <c r="A95" s="1172"/>
      <c r="B95" s="1173" t="s">
        <v>608</v>
      </c>
      <c r="C95" s="1173"/>
      <c r="D95" s="1173"/>
      <c r="E95" s="1173"/>
      <c r="F95" s="1173"/>
      <c r="G95" s="1173"/>
      <c r="H95" s="1343">
        <v>1</v>
      </c>
      <c r="I95" s="1174">
        <v>2</v>
      </c>
      <c r="J95" s="1174">
        <v>3</v>
      </c>
      <c r="K95" s="1174">
        <v>4</v>
      </c>
      <c r="L95" s="1174">
        <v>5</v>
      </c>
      <c r="M95" s="1343">
        <v>6</v>
      </c>
      <c r="N95" s="1277"/>
      <c r="O95" s="1516" t="s">
        <v>432</v>
      </c>
      <c r="P95" s="1517"/>
      <c r="Q95" s="1517"/>
      <c r="R95" s="1517"/>
      <c r="S95" s="1517"/>
      <c r="T95" s="1517"/>
      <c r="U95" s="1518"/>
      <c r="V95" s="1281"/>
      <c r="W95" s="1464" t="s">
        <v>881</v>
      </c>
      <c r="X95" s="1465"/>
      <c r="Y95" s="1465"/>
      <c r="Z95" s="1465"/>
      <c r="AA95" s="1465"/>
      <c r="AB95" s="1465"/>
      <c r="AC95" s="1466"/>
      <c r="AD95" s="1473"/>
      <c r="AE95" s="1496" t="s">
        <v>911</v>
      </c>
      <c r="AF95" s="1497"/>
      <c r="AG95" s="1497"/>
      <c r="AH95" s="1497"/>
      <c r="AI95" s="1497"/>
      <c r="AJ95" s="1497"/>
      <c r="AK95" s="1498"/>
      <c r="AL95" s="1505"/>
      <c r="AM95" s="1476" t="s">
        <v>912</v>
      </c>
      <c r="AN95" s="1477"/>
      <c r="AO95" s="1477"/>
      <c r="AP95" s="1477"/>
      <c r="AQ95" s="1477"/>
      <c r="AR95" s="1477"/>
      <c r="AS95" s="1478"/>
      <c r="AT95" s="1485"/>
      <c r="AU95" s="1506" t="s">
        <v>913</v>
      </c>
      <c r="AV95" s="1507"/>
      <c r="AW95" s="1507"/>
      <c r="AX95" s="1507"/>
      <c r="AY95" s="1507"/>
      <c r="AZ95" s="1507"/>
      <c r="BA95" s="1508"/>
      <c r="BB95" s="1515"/>
      <c r="BC95" s="1487" t="s">
        <v>914</v>
      </c>
      <c r="BD95" s="1488"/>
      <c r="BE95" s="1488"/>
      <c r="BF95" s="1488"/>
      <c r="BG95" s="1488"/>
      <c r="BH95" s="1488"/>
      <c r="BI95" s="1489"/>
      <c r="BJ95" s="1182" t="s">
        <v>263</v>
      </c>
      <c r="BK95" s="1183"/>
      <c r="BL95" s="1183"/>
      <c r="BM95" s="1183"/>
      <c r="BN95" s="1183"/>
      <c r="BO95" s="1184"/>
    </row>
    <row r="96" spans="1:70" ht="15" customHeight="1">
      <c r="A96" s="1172"/>
      <c r="B96" s="1173"/>
      <c r="C96" s="1173"/>
      <c r="D96" s="1173"/>
      <c r="E96" s="1173"/>
      <c r="F96" s="1173"/>
      <c r="G96" s="1173"/>
      <c r="H96" s="1344"/>
      <c r="I96" s="1174"/>
      <c r="J96" s="1174"/>
      <c r="K96" s="1174"/>
      <c r="L96" s="1174"/>
      <c r="M96" s="1344"/>
      <c r="N96" s="1277"/>
      <c r="O96" s="1519"/>
      <c r="P96" s="1520"/>
      <c r="Q96" s="1520"/>
      <c r="R96" s="1520"/>
      <c r="S96" s="1520"/>
      <c r="T96" s="1520"/>
      <c r="U96" s="1521"/>
      <c r="V96" s="1281"/>
      <c r="W96" s="1467"/>
      <c r="X96" s="1468"/>
      <c r="Y96" s="1468"/>
      <c r="Z96" s="1468"/>
      <c r="AA96" s="1468"/>
      <c r="AB96" s="1468"/>
      <c r="AC96" s="1469"/>
      <c r="AD96" s="1474"/>
      <c r="AE96" s="1499"/>
      <c r="AF96" s="1500"/>
      <c r="AG96" s="1500"/>
      <c r="AH96" s="1500"/>
      <c r="AI96" s="1500"/>
      <c r="AJ96" s="1500"/>
      <c r="AK96" s="1501"/>
      <c r="AL96" s="1505"/>
      <c r="AM96" s="1479"/>
      <c r="AN96" s="1480"/>
      <c r="AO96" s="1480"/>
      <c r="AP96" s="1480"/>
      <c r="AQ96" s="1480"/>
      <c r="AR96" s="1480"/>
      <c r="AS96" s="1481"/>
      <c r="AT96" s="1485"/>
      <c r="AU96" s="1509"/>
      <c r="AV96" s="1510"/>
      <c r="AW96" s="1510"/>
      <c r="AX96" s="1510"/>
      <c r="AY96" s="1510"/>
      <c r="AZ96" s="1510"/>
      <c r="BA96" s="1511"/>
      <c r="BB96" s="1515"/>
      <c r="BC96" s="1490"/>
      <c r="BD96" s="1491"/>
      <c r="BE96" s="1491"/>
      <c r="BF96" s="1491"/>
      <c r="BG96" s="1491"/>
      <c r="BH96" s="1491"/>
      <c r="BI96" s="1492"/>
      <c r="BJ96" s="1219"/>
      <c r="BK96" s="1220"/>
      <c r="BL96" s="1220"/>
      <c r="BM96" s="1220"/>
      <c r="BN96" s="1220"/>
      <c r="BO96" s="1221"/>
    </row>
    <row r="97" spans="1:67" ht="15" customHeight="1" thickBot="1">
      <c r="A97" s="1172"/>
      <c r="B97" s="1173"/>
      <c r="C97" s="1173"/>
      <c r="D97" s="1173"/>
      <c r="E97" s="1173"/>
      <c r="F97" s="1173"/>
      <c r="G97" s="1173"/>
      <c r="H97" s="1345"/>
      <c r="I97" s="1174"/>
      <c r="J97" s="1174"/>
      <c r="K97" s="1174"/>
      <c r="L97" s="1174"/>
      <c r="M97" s="1486"/>
      <c r="N97" s="1277"/>
      <c r="O97" s="1522"/>
      <c r="P97" s="1523"/>
      <c r="Q97" s="1523"/>
      <c r="R97" s="1523"/>
      <c r="S97" s="1523"/>
      <c r="T97" s="1523"/>
      <c r="U97" s="1524"/>
      <c r="V97" s="1281"/>
      <c r="W97" s="1470"/>
      <c r="X97" s="1471"/>
      <c r="Y97" s="1471"/>
      <c r="Z97" s="1471"/>
      <c r="AA97" s="1471"/>
      <c r="AB97" s="1471"/>
      <c r="AC97" s="1472"/>
      <c r="AD97" s="1475"/>
      <c r="AE97" s="1502"/>
      <c r="AF97" s="1503"/>
      <c r="AG97" s="1503"/>
      <c r="AH97" s="1503"/>
      <c r="AI97" s="1503"/>
      <c r="AJ97" s="1503"/>
      <c r="AK97" s="1504"/>
      <c r="AL97" s="1505"/>
      <c r="AM97" s="1482"/>
      <c r="AN97" s="1483"/>
      <c r="AO97" s="1483"/>
      <c r="AP97" s="1483"/>
      <c r="AQ97" s="1483"/>
      <c r="AR97" s="1483"/>
      <c r="AS97" s="1484"/>
      <c r="AT97" s="1485"/>
      <c r="AU97" s="1512"/>
      <c r="AV97" s="1513"/>
      <c r="AW97" s="1513"/>
      <c r="AX97" s="1513"/>
      <c r="AY97" s="1513"/>
      <c r="AZ97" s="1513"/>
      <c r="BA97" s="1514"/>
      <c r="BB97" s="1515"/>
      <c r="BC97" s="1493"/>
      <c r="BD97" s="1494"/>
      <c r="BE97" s="1494"/>
      <c r="BF97" s="1494"/>
      <c r="BG97" s="1494"/>
      <c r="BH97" s="1494"/>
      <c r="BI97" s="1495"/>
      <c r="BJ97" s="1337"/>
      <c r="BK97" s="1338"/>
      <c r="BL97" s="1338"/>
      <c r="BM97" s="1338"/>
      <c r="BN97" s="1338"/>
      <c r="BO97" s="1339"/>
    </row>
    <row r="98" spans="1:67" ht="15" customHeight="1">
      <c r="A98" s="1307">
        <v>1.1000000000000001</v>
      </c>
      <c r="B98" s="1161" t="s">
        <v>941</v>
      </c>
      <c r="C98" s="1162"/>
      <c r="D98" s="1162"/>
      <c r="E98" s="1162"/>
      <c r="F98" s="1162"/>
      <c r="G98" s="1199"/>
      <c r="H98" s="1268" t="str">
        <f>IF(ISBLANK(D$5),"",1)</f>
        <v/>
      </c>
      <c r="I98" s="1205" t="str">
        <f>IF(ISBLANK(H$5),"",1)</f>
        <v/>
      </c>
      <c r="J98" s="1205" t="str">
        <f>IF(ISBLANK(L$5),"",1)</f>
        <v/>
      </c>
      <c r="K98" s="1205" t="str">
        <f>IF(ISBLANK(P$5),"",1)</f>
        <v/>
      </c>
      <c r="L98" s="1205" t="str">
        <f>IF(ISBLANK(T$5),"",1)</f>
        <v/>
      </c>
      <c r="M98" s="1248" t="str">
        <f>IF(ISBLANK(X$5),"",1)</f>
        <v/>
      </c>
      <c r="N98" s="1525">
        <v>4.3</v>
      </c>
      <c r="O98" s="1526" t="s">
        <v>629</v>
      </c>
      <c r="P98" s="1527"/>
      <c r="Q98" s="1527"/>
      <c r="R98" s="1527"/>
      <c r="S98" s="1527"/>
      <c r="T98" s="1528"/>
      <c r="U98" s="1399" t="str">
        <f>IF(ISBLANK(D$5),"",1)</f>
        <v/>
      </c>
      <c r="V98" s="1258">
        <v>4.3</v>
      </c>
      <c r="W98" s="1161" t="s">
        <v>404</v>
      </c>
      <c r="X98" s="1162"/>
      <c r="Y98" s="1162"/>
      <c r="Z98" s="1162"/>
      <c r="AA98" s="1162"/>
      <c r="AB98" s="1199"/>
      <c r="AC98" s="1399" t="str">
        <f>IF(ISBLANK(H$5),"",1)</f>
        <v/>
      </c>
      <c r="AD98" s="1258">
        <v>4.3</v>
      </c>
      <c r="AE98" s="1198" t="s">
        <v>387</v>
      </c>
      <c r="AF98" s="1162"/>
      <c r="AG98" s="1162"/>
      <c r="AH98" s="1162"/>
      <c r="AI98" s="1162"/>
      <c r="AJ98" s="1199"/>
      <c r="AK98" s="1226" t="str">
        <f>IF(ISBLANK(L$5),"",1)</f>
        <v/>
      </c>
      <c r="AL98" s="1196">
        <v>4.3</v>
      </c>
      <c r="AM98" s="1198" t="s">
        <v>404</v>
      </c>
      <c r="AN98" s="1162"/>
      <c r="AO98" s="1162"/>
      <c r="AP98" s="1162"/>
      <c r="AQ98" s="1162"/>
      <c r="AR98" s="1199"/>
      <c r="AS98" s="1226" t="str">
        <f>IF(ISBLANK(P$5),"",1)</f>
        <v/>
      </c>
      <c r="AT98" s="1258">
        <v>4.3</v>
      </c>
      <c r="AU98" s="1198" t="s">
        <v>398</v>
      </c>
      <c r="AV98" s="1162"/>
      <c r="AW98" s="1162"/>
      <c r="AX98" s="1162"/>
      <c r="AY98" s="1162"/>
      <c r="AZ98" s="1199"/>
      <c r="BA98" s="1226" t="str">
        <f>IF(ISBLANK(T$5),"",1)</f>
        <v/>
      </c>
      <c r="BB98" s="1258">
        <v>4.3</v>
      </c>
      <c r="BC98" s="1198" t="s">
        <v>398</v>
      </c>
      <c r="BD98" s="1162"/>
      <c r="BE98" s="1162"/>
      <c r="BF98" s="1162"/>
      <c r="BG98" s="1162"/>
      <c r="BH98" s="1199"/>
      <c r="BI98" s="1226" t="str">
        <f>IF(ISBLANK(X$5),"",1)</f>
        <v/>
      </c>
      <c r="BJ98" s="1337"/>
      <c r="BK98" s="1338"/>
      <c r="BL98" s="1338"/>
      <c r="BM98" s="1338"/>
      <c r="BN98" s="1338"/>
      <c r="BO98" s="1339"/>
    </row>
    <row r="99" spans="1:67" ht="15" customHeight="1">
      <c r="A99" s="1308"/>
      <c r="B99" s="1163"/>
      <c r="C99" s="1164"/>
      <c r="D99" s="1164"/>
      <c r="E99" s="1164"/>
      <c r="F99" s="1164"/>
      <c r="G99" s="1201"/>
      <c r="H99" s="1269"/>
      <c r="I99" s="1206"/>
      <c r="J99" s="1206"/>
      <c r="K99" s="1206"/>
      <c r="L99" s="1206"/>
      <c r="M99" s="1206"/>
      <c r="N99" s="1302"/>
      <c r="O99" s="1317"/>
      <c r="P99" s="1296"/>
      <c r="Q99" s="1296"/>
      <c r="R99" s="1296"/>
      <c r="S99" s="1296"/>
      <c r="T99" s="1318"/>
      <c r="U99" s="1269"/>
      <c r="V99" s="1258"/>
      <c r="W99" s="1163"/>
      <c r="X99" s="1164"/>
      <c r="Y99" s="1164"/>
      <c r="Z99" s="1164"/>
      <c r="AA99" s="1164"/>
      <c r="AB99" s="1201"/>
      <c r="AC99" s="1269"/>
      <c r="AD99" s="1258"/>
      <c r="AE99" s="1200"/>
      <c r="AF99" s="1164"/>
      <c r="AG99" s="1164"/>
      <c r="AH99" s="1164"/>
      <c r="AI99" s="1164"/>
      <c r="AJ99" s="1201"/>
      <c r="AK99" s="1342"/>
      <c r="AL99" s="1197"/>
      <c r="AM99" s="1200"/>
      <c r="AN99" s="1164"/>
      <c r="AO99" s="1164"/>
      <c r="AP99" s="1164"/>
      <c r="AQ99" s="1164"/>
      <c r="AR99" s="1201"/>
      <c r="AS99" s="1342"/>
      <c r="AT99" s="1258"/>
      <c r="AU99" s="1200"/>
      <c r="AV99" s="1164"/>
      <c r="AW99" s="1164"/>
      <c r="AX99" s="1164"/>
      <c r="AY99" s="1164"/>
      <c r="AZ99" s="1201"/>
      <c r="BA99" s="1342"/>
      <c r="BB99" s="1258"/>
      <c r="BC99" s="1200"/>
      <c r="BD99" s="1164"/>
      <c r="BE99" s="1164"/>
      <c r="BF99" s="1164"/>
      <c r="BG99" s="1164"/>
      <c r="BH99" s="1201"/>
      <c r="BI99" s="1342"/>
      <c r="BJ99" s="1337"/>
      <c r="BK99" s="1338"/>
      <c r="BL99" s="1338"/>
      <c r="BM99" s="1338"/>
      <c r="BN99" s="1338"/>
      <c r="BO99" s="1339"/>
    </row>
    <row r="100" spans="1:67" ht="15" customHeight="1">
      <c r="A100" s="1309"/>
      <c r="B100" s="1165"/>
      <c r="C100" s="1166"/>
      <c r="D100" s="1166"/>
      <c r="E100" s="1166"/>
      <c r="F100" s="1166"/>
      <c r="G100" s="1292"/>
      <c r="H100" s="1270"/>
      <c r="I100" s="1207"/>
      <c r="J100" s="1207"/>
      <c r="K100" s="1207"/>
      <c r="L100" s="1207"/>
      <c r="M100" s="1207"/>
      <c r="N100" s="1303"/>
      <c r="O100" s="1319"/>
      <c r="P100" s="1320"/>
      <c r="Q100" s="1320"/>
      <c r="R100" s="1320"/>
      <c r="S100" s="1320"/>
      <c r="T100" s="1321"/>
      <c r="U100" s="1270"/>
      <c r="V100" s="1258"/>
      <c r="W100" s="1165"/>
      <c r="X100" s="1166"/>
      <c r="Y100" s="1166"/>
      <c r="Z100" s="1166"/>
      <c r="AA100" s="1166"/>
      <c r="AB100" s="1292"/>
      <c r="AC100" s="1270"/>
      <c r="AD100" s="1258"/>
      <c r="AE100" s="1202"/>
      <c r="AF100" s="1203"/>
      <c r="AG100" s="1203"/>
      <c r="AH100" s="1203"/>
      <c r="AI100" s="1203"/>
      <c r="AJ100" s="1204"/>
      <c r="AK100" s="1342"/>
      <c r="AL100" s="1197"/>
      <c r="AM100" s="1202"/>
      <c r="AN100" s="1203"/>
      <c r="AO100" s="1203"/>
      <c r="AP100" s="1203"/>
      <c r="AQ100" s="1203"/>
      <c r="AR100" s="1204"/>
      <c r="AS100" s="1342"/>
      <c r="AT100" s="1258"/>
      <c r="AU100" s="1202"/>
      <c r="AV100" s="1203"/>
      <c r="AW100" s="1203"/>
      <c r="AX100" s="1203"/>
      <c r="AY100" s="1203"/>
      <c r="AZ100" s="1204"/>
      <c r="BA100" s="1342"/>
      <c r="BB100" s="1258"/>
      <c r="BC100" s="1202"/>
      <c r="BD100" s="1203"/>
      <c r="BE100" s="1203"/>
      <c r="BF100" s="1203"/>
      <c r="BG100" s="1203"/>
      <c r="BH100" s="1204"/>
      <c r="BI100" s="1342"/>
      <c r="BJ100" s="1337"/>
      <c r="BK100" s="1338"/>
      <c r="BL100" s="1338"/>
      <c r="BM100" s="1338"/>
      <c r="BN100" s="1338"/>
      <c r="BO100" s="1339"/>
    </row>
    <row r="101" spans="1:67" ht="15" customHeight="1">
      <c r="A101" s="1304">
        <v>2.4</v>
      </c>
      <c r="B101" s="1161" t="s">
        <v>316</v>
      </c>
      <c r="C101" s="1162"/>
      <c r="D101" s="1162"/>
      <c r="E101" s="1162"/>
      <c r="F101" s="1162"/>
      <c r="G101" s="1199"/>
      <c r="H101" s="1268" t="str">
        <f t="shared" ref="H101" si="72">IF(ISBLANK(D$5),"",1)</f>
        <v/>
      </c>
      <c r="I101" s="1205" t="str">
        <f t="shared" ref="I101" si="73">IF(ISBLANK(H$5),"",1)</f>
        <v/>
      </c>
      <c r="J101" s="1205" t="str">
        <f t="shared" ref="J101" si="74">IF(ISBLANK(L$5),"",1)</f>
        <v/>
      </c>
      <c r="K101" s="1205" t="str">
        <f t="shared" ref="K101" si="75">IF(ISBLANK(P$5),"",1)</f>
        <v/>
      </c>
      <c r="L101" s="1205" t="str">
        <f t="shared" ref="L101" si="76">IF(ISBLANK(T$5),"",1)</f>
        <v/>
      </c>
      <c r="M101" s="1248" t="str">
        <f t="shared" ref="M101" si="77">IF(ISBLANK(X$5),"",1)</f>
        <v/>
      </c>
      <c r="N101" s="1304">
        <v>4.3</v>
      </c>
      <c r="O101" s="1161" t="s">
        <v>399</v>
      </c>
      <c r="P101" s="1162"/>
      <c r="Q101" s="1162"/>
      <c r="R101" s="1162"/>
      <c r="S101" s="1162"/>
      <c r="T101" s="1199"/>
      <c r="U101" s="1399" t="str">
        <f t="shared" ref="U101" si="78">IF(ISBLANK(D$5),"",1)</f>
        <v/>
      </c>
      <c r="V101" s="1304">
        <v>4.3</v>
      </c>
      <c r="W101" s="1161" t="s">
        <v>405</v>
      </c>
      <c r="X101" s="1162"/>
      <c r="Y101" s="1162"/>
      <c r="Z101" s="1162"/>
      <c r="AA101" s="1162"/>
      <c r="AB101" s="1199"/>
      <c r="AC101" s="1399" t="str">
        <f t="shared" ref="AC101" si="79">IF(ISBLANK(H$5),"",1)</f>
        <v/>
      </c>
      <c r="AD101" s="1304">
        <v>4.3</v>
      </c>
      <c r="AE101" s="1198" t="s">
        <v>405</v>
      </c>
      <c r="AF101" s="1162"/>
      <c r="AG101" s="1162"/>
      <c r="AH101" s="1162"/>
      <c r="AI101" s="1162"/>
      <c r="AJ101" s="1199"/>
      <c r="AK101" s="1226" t="str">
        <f t="shared" ref="AK101" si="80">IF(ISBLANK(L$5),"",1)</f>
        <v/>
      </c>
      <c r="AL101" s="1304">
        <v>4.3</v>
      </c>
      <c r="AM101" s="1198" t="s">
        <v>891</v>
      </c>
      <c r="AN101" s="1162"/>
      <c r="AO101" s="1162"/>
      <c r="AP101" s="1162"/>
      <c r="AQ101" s="1162"/>
      <c r="AR101" s="1199"/>
      <c r="AS101" s="1226" t="str">
        <f t="shared" ref="AS101" si="81">IF(ISBLANK(P$5),"",1)</f>
        <v/>
      </c>
      <c r="AT101" s="1304">
        <v>4.3</v>
      </c>
      <c r="AU101" s="1198" t="s">
        <v>891</v>
      </c>
      <c r="AV101" s="1162"/>
      <c r="AW101" s="1162"/>
      <c r="AX101" s="1162"/>
      <c r="AY101" s="1162"/>
      <c r="AZ101" s="1199"/>
      <c r="BA101" s="1226" t="str">
        <f t="shared" ref="BA101" si="82">IF(ISBLANK(T$5),"",1)</f>
        <v/>
      </c>
      <c r="BB101" s="1304">
        <v>4.3</v>
      </c>
      <c r="BC101" s="1198" t="s">
        <v>891</v>
      </c>
      <c r="BD101" s="1162"/>
      <c r="BE101" s="1162"/>
      <c r="BF101" s="1162"/>
      <c r="BG101" s="1162"/>
      <c r="BH101" s="1199"/>
      <c r="BI101" s="1226" t="str">
        <f t="shared" ref="BI101" si="83">IF(ISBLANK(X$5),"",1)</f>
        <v/>
      </c>
      <c r="BJ101" s="1337"/>
      <c r="BK101" s="1338"/>
      <c r="BL101" s="1338"/>
      <c r="BM101" s="1338"/>
      <c r="BN101" s="1338"/>
      <c r="BO101" s="1339"/>
    </row>
    <row r="102" spans="1:67" ht="15" customHeight="1">
      <c r="A102" s="1290"/>
      <c r="B102" s="1163"/>
      <c r="C102" s="1164"/>
      <c r="D102" s="1164"/>
      <c r="E102" s="1164"/>
      <c r="F102" s="1164"/>
      <c r="G102" s="1201"/>
      <c r="H102" s="1269"/>
      <c r="I102" s="1206"/>
      <c r="J102" s="1206"/>
      <c r="K102" s="1206"/>
      <c r="L102" s="1206"/>
      <c r="M102" s="1206"/>
      <c r="N102" s="1290"/>
      <c r="O102" s="1163"/>
      <c r="P102" s="1164"/>
      <c r="Q102" s="1164"/>
      <c r="R102" s="1164"/>
      <c r="S102" s="1164"/>
      <c r="T102" s="1201"/>
      <c r="U102" s="1269"/>
      <c r="V102" s="1290"/>
      <c r="W102" s="1163"/>
      <c r="X102" s="1164"/>
      <c r="Y102" s="1164"/>
      <c r="Z102" s="1164"/>
      <c r="AA102" s="1164"/>
      <c r="AB102" s="1201"/>
      <c r="AC102" s="1269"/>
      <c r="AD102" s="1290"/>
      <c r="AE102" s="1200"/>
      <c r="AF102" s="1164"/>
      <c r="AG102" s="1164"/>
      <c r="AH102" s="1164"/>
      <c r="AI102" s="1164"/>
      <c r="AJ102" s="1201"/>
      <c r="AK102" s="1342"/>
      <c r="AL102" s="1290"/>
      <c r="AM102" s="1200"/>
      <c r="AN102" s="1164"/>
      <c r="AO102" s="1164"/>
      <c r="AP102" s="1164"/>
      <c r="AQ102" s="1164"/>
      <c r="AR102" s="1201"/>
      <c r="AS102" s="1342"/>
      <c r="AT102" s="1290"/>
      <c r="AU102" s="1200"/>
      <c r="AV102" s="1164"/>
      <c r="AW102" s="1164"/>
      <c r="AX102" s="1164"/>
      <c r="AY102" s="1164"/>
      <c r="AZ102" s="1201"/>
      <c r="BA102" s="1342"/>
      <c r="BB102" s="1290"/>
      <c r="BC102" s="1200"/>
      <c r="BD102" s="1164"/>
      <c r="BE102" s="1164"/>
      <c r="BF102" s="1164"/>
      <c r="BG102" s="1164"/>
      <c r="BH102" s="1201"/>
      <c r="BI102" s="1342"/>
      <c r="BJ102" s="1337"/>
      <c r="BK102" s="1338"/>
      <c r="BL102" s="1338"/>
      <c r="BM102" s="1338"/>
      <c r="BN102" s="1338"/>
      <c r="BO102" s="1339"/>
    </row>
    <row r="103" spans="1:67" ht="15" customHeight="1">
      <c r="A103" s="1291"/>
      <c r="B103" s="1165"/>
      <c r="C103" s="1166"/>
      <c r="D103" s="1166"/>
      <c r="E103" s="1166"/>
      <c r="F103" s="1166"/>
      <c r="G103" s="1292"/>
      <c r="H103" s="1270"/>
      <c r="I103" s="1207"/>
      <c r="J103" s="1207"/>
      <c r="K103" s="1207"/>
      <c r="L103" s="1207"/>
      <c r="M103" s="1207"/>
      <c r="N103" s="1291"/>
      <c r="O103" s="1165"/>
      <c r="P103" s="1166"/>
      <c r="Q103" s="1166"/>
      <c r="R103" s="1166"/>
      <c r="S103" s="1166"/>
      <c r="T103" s="1292"/>
      <c r="U103" s="1270"/>
      <c r="V103" s="1291"/>
      <c r="W103" s="1165"/>
      <c r="X103" s="1166"/>
      <c r="Y103" s="1166"/>
      <c r="Z103" s="1166"/>
      <c r="AA103" s="1166"/>
      <c r="AB103" s="1292"/>
      <c r="AC103" s="1270"/>
      <c r="AD103" s="1291"/>
      <c r="AE103" s="1202"/>
      <c r="AF103" s="1203"/>
      <c r="AG103" s="1203"/>
      <c r="AH103" s="1203"/>
      <c r="AI103" s="1203"/>
      <c r="AJ103" s="1204"/>
      <c r="AK103" s="1342"/>
      <c r="AL103" s="1291"/>
      <c r="AM103" s="1202"/>
      <c r="AN103" s="1203"/>
      <c r="AO103" s="1203"/>
      <c r="AP103" s="1203"/>
      <c r="AQ103" s="1203"/>
      <c r="AR103" s="1204"/>
      <c r="AS103" s="1342"/>
      <c r="AT103" s="1291"/>
      <c r="AU103" s="1202"/>
      <c r="AV103" s="1203"/>
      <c r="AW103" s="1203"/>
      <c r="AX103" s="1203"/>
      <c r="AY103" s="1203"/>
      <c r="AZ103" s="1204"/>
      <c r="BA103" s="1342"/>
      <c r="BB103" s="1291"/>
      <c r="BC103" s="1202"/>
      <c r="BD103" s="1203"/>
      <c r="BE103" s="1203"/>
      <c r="BF103" s="1203"/>
      <c r="BG103" s="1203"/>
      <c r="BH103" s="1204"/>
      <c r="BI103" s="1342"/>
      <c r="BJ103" s="1337"/>
      <c r="BK103" s="1338"/>
      <c r="BL103" s="1338"/>
      <c r="BM103" s="1338"/>
      <c r="BN103" s="1338"/>
      <c r="BO103" s="1339"/>
    </row>
    <row r="104" spans="1:67" ht="15" customHeight="1">
      <c r="A104" s="1307">
        <v>1.1000000000000001</v>
      </c>
      <c r="B104" s="1161" t="s">
        <v>320</v>
      </c>
      <c r="C104" s="1162"/>
      <c r="D104" s="1162"/>
      <c r="E104" s="1162"/>
      <c r="F104" s="1162"/>
      <c r="G104" s="1199"/>
      <c r="H104" s="1268" t="str">
        <f t="shared" ref="H104" si="84">IF(ISBLANK(D$5),"",1)</f>
        <v/>
      </c>
      <c r="I104" s="1205" t="str">
        <f t="shared" ref="I104" si="85">IF(ISBLANK(H$5),"",1)</f>
        <v/>
      </c>
      <c r="J104" s="1205" t="str">
        <f t="shared" ref="J104" si="86">IF(ISBLANK(L$5),"",1)</f>
        <v/>
      </c>
      <c r="K104" s="1205" t="str">
        <f t="shared" ref="K104" si="87">IF(ISBLANK(P$5),"",1)</f>
        <v/>
      </c>
      <c r="L104" s="1205" t="str">
        <f t="shared" ref="L104" si="88">IF(ISBLANK(T$5),"",1)</f>
        <v/>
      </c>
      <c r="M104" s="1248" t="str">
        <f t="shared" ref="M104" si="89">IF(ISBLANK(X$5),"",1)</f>
        <v/>
      </c>
      <c r="N104" s="1301">
        <v>4.3</v>
      </c>
      <c r="O104" s="1161" t="s">
        <v>388</v>
      </c>
      <c r="P104" s="1162"/>
      <c r="Q104" s="1162"/>
      <c r="R104" s="1162"/>
      <c r="S104" s="1162"/>
      <c r="T104" s="1199"/>
      <c r="U104" s="1399" t="str">
        <f t="shared" ref="U104" si="90">IF(ISBLANK(D$5),"",1)</f>
        <v/>
      </c>
      <c r="V104" s="1258">
        <v>4.3</v>
      </c>
      <c r="W104" s="1161" t="s">
        <v>406</v>
      </c>
      <c r="X104" s="1162"/>
      <c r="Y104" s="1162"/>
      <c r="Z104" s="1162"/>
      <c r="AA104" s="1162"/>
      <c r="AB104" s="1199"/>
      <c r="AC104" s="1399" t="str">
        <f t="shared" ref="AC104" si="91">IF(ISBLANK(H$5),"",1)</f>
        <v/>
      </c>
      <c r="AD104" s="1258">
        <v>4.3</v>
      </c>
      <c r="AE104" s="1198" t="s">
        <v>406</v>
      </c>
      <c r="AF104" s="1162"/>
      <c r="AG104" s="1162"/>
      <c r="AH104" s="1162"/>
      <c r="AI104" s="1162"/>
      <c r="AJ104" s="1199"/>
      <c r="AK104" s="1226" t="str">
        <f t="shared" ref="AK104" si="92">IF(ISBLANK(L$5),"",1)</f>
        <v/>
      </c>
      <c r="AL104" s="1196">
        <v>4.3</v>
      </c>
      <c r="AM104" s="1198" t="s">
        <v>406</v>
      </c>
      <c r="AN104" s="1162"/>
      <c r="AO104" s="1162"/>
      <c r="AP104" s="1162"/>
      <c r="AQ104" s="1162"/>
      <c r="AR104" s="1199"/>
      <c r="AS104" s="1226" t="str">
        <f t="shared" ref="AS104" si="93">IF(ISBLANK(P$5),"",1)</f>
        <v/>
      </c>
      <c r="AT104" s="1258">
        <v>4.3</v>
      </c>
      <c r="AU104" s="1198" t="s">
        <v>406</v>
      </c>
      <c r="AV104" s="1162"/>
      <c r="AW104" s="1162"/>
      <c r="AX104" s="1162"/>
      <c r="AY104" s="1162"/>
      <c r="AZ104" s="1199"/>
      <c r="BA104" s="1226" t="str">
        <f>IF(ISBLANK(T$5),"",1)</f>
        <v/>
      </c>
      <c r="BB104" s="1258">
        <v>4.3</v>
      </c>
      <c r="BC104" s="1198" t="s">
        <v>406</v>
      </c>
      <c r="BD104" s="1162"/>
      <c r="BE104" s="1162"/>
      <c r="BF104" s="1162"/>
      <c r="BG104" s="1162"/>
      <c r="BH104" s="1199"/>
      <c r="BI104" s="1226" t="str">
        <f t="shared" ref="BI104" si="94">IF(ISBLANK(X$5),"",1)</f>
        <v/>
      </c>
      <c r="BJ104" s="1337"/>
      <c r="BK104" s="1338"/>
      <c r="BL104" s="1338"/>
      <c r="BM104" s="1338"/>
      <c r="BN104" s="1338"/>
      <c r="BO104" s="1339"/>
    </row>
    <row r="105" spans="1:67" ht="15" customHeight="1">
      <c r="A105" s="1308"/>
      <c r="B105" s="1163"/>
      <c r="C105" s="1164"/>
      <c r="D105" s="1164"/>
      <c r="E105" s="1164"/>
      <c r="F105" s="1164"/>
      <c r="G105" s="1201"/>
      <c r="H105" s="1269"/>
      <c r="I105" s="1206"/>
      <c r="J105" s="1206"/>
      <c r="K105" s="1206"/>
      <c r="L105" s="1206"/>
      <c r="M105" s="1206"/>
      <c r="N105" s="1302"/>
      <c r="O105" s="1163"/>
      <c r="P105" s="1164"/>
      <c r="Q105" s="1164"/>
      <c r="R105" s="1164"/>
      <c r="S105" s="1164"/>
      <c r="T105" s="1201"/>
      <c r="U105" s="1269"/>
      <c r="V105" s="1258"/>
      <c r="W105" s="1163"/>
      <c r="X105" s="1164"/>
      <c r="Y105" s="1164"/>
      <c r="Z105" s="1164"/>
      <c r="AA105" s="1164"/>
      <c r="AB105" s="1201"/>
      <c r="AC105" s="1269"/>
      <c r="AD105" s="1258"/>
      <c r="AE105" s="1200"/>
      <c r="AF105" s="1164"/>
      <c r="AG105" s="1164"/>
      <c r="AH105" s="1164"/>
      <c r="AI105" s="1164"/>
      <c r="AJ105" s="1201"/>
      <c r="AK105" s="1342"/>
      <c r="AL105" s="1197"/>
      <c r="AM105" s="1200"/>
      <c r="AN105" s="1164"/>
      <c r="AO105" s="1164"/>
      <c r="AP105" s="1164"/>
      <c r="AQ105" s="1164"/>
      <c r="AR105" s="1201"/>
      <c r="AS105" s="1342"/>
      <c r="AT105" s="1258"/>
      <c r="AU105" s="1200"/>
      <c r="AV105" s="1164"/>
      <c r="AW105" s="1164"/>
      <c r="AX105" s="1164"/>
      <c r="AY105" s="1164"/>
      <c r="AZ105" s="1201"/>
      <c r="BA105" s="1342"/>
      <c r="BB105" s="1258"/>
      <c r="BC105" s="1200"/>
      <c r="BD105" s="1164"/>
      <c r="BE105" s="1164"/>
      <c r="BF105" s="1164"/>
      <c r="BG105" s="1164"/>
      <c r="BH105" s="1201"/>
      <c r="BI105" s="1342"/>
      <c r="BJ105" s="1337"/>
      <c r="BK105" s="1338"/>
      <c r="BL105" s="1338"/>
      <c r="BM105" s="1338"/>
      <c r="BN105" s="1338"/>
      <c r="BO105" s="1339"/>
    </row>
    <row r="106" spans="1:67" ht="15" customHeight="1">
      <c r="A106" s="1309"/>
      <c r="B106" s="1165"/>
      <c r="C106" s="1166"/>
      <c r="D106" s="1166"/>
      <c r="E106" s="1166"/>
      <c r="F106" s="1166"/>
      <c r="G106" s="1292"/>
      <c r="H106" s="1270"/>
      <c r="I106" s="1207"/>
      <c r="J106" s="1207"/>
      <c r="K106" s="1207"/>
      <c r="L106" s="1207"/>
      <c r="M106" s="1207"/>
      <c r="N106" s="1303"/>
      <c r="O106" s="1165"/>
      <c r="P106" s="1166"/>
      <c r="Q106" s="1166"/>
      <c r="R106" s="1166"/>
      <c r="S106" s="1166"/>
      <c r="T106" s="1292"/>
      <c r="U106" s="1270"/>
      <c r="V106" s="1258"/>
      <c r="W106" s="1165"/>
      <c r="X106" s="1166"/>
      <c r="Y106" s="1166"/>
      <c r="Z106" s="1166"/>
      <c r="AA106" s="1166"/>
      <c r="AB106" s="1292"/>
      <c r="AC106" s="1270"/>
      <c r="AD106" s="1258"/>
      <c r="AE106" s="1202"/>
      <c r="AF106" s="1203"/>
      <c r="AG106" s="1203"/>
      <c r="AH106" s="1203"/>
      <c r="AI106" s="1203"/>
      <c r="AJ106" s="1204"/>
      <c r="AK106" s="1342"/>
      <c r="AL106" s="1197"/>
      <c r="AM106" s="1202"/>
      <c r="AN106" s="1203"/>
      <c r="AO106" s="1203"/>
      <c r="AP106" s="1203"/>
      <c r="AQ106" s="1203"/>
      <c r="AR106" s="1204"/>
      <c r="AS106" s="1342"/>
      <c r="AT106" s="1258"/>
      <c r="AU106" s="1202"/>
      <c r="AV106" s="1203"/>
      <c r="AW106" s="1203"/>
      <c r="AX106" s="1203"/>
      <c r="AY106" s="1203"/>
      <c r="AZ106" s="1204"/>
      <c r="BA106" s="1342"/>
      <c r="BB106" s="1258"/>
      <c r="BC106" s="1202"/>
      <c r="BD106" s="1203"/>
      <c r="BE106" s="1203"/>
      <c r="BF106" s="1203"/>
      <c r="BG106" s="1203"/>
      <c r="BH106" s="1204"/>
      <c r="BI106" s="1342"/>
      <c r="BJ106" s="1337"/>
      <c r="BK106" s="1338"/>
      <c r="BL106" s="1338"/>
      <c r="BM106" s="1338"/>
      <c r="BN106" s="1338"/>
      <c r="BO106" s="1339"/>
    </row>
    <row r="107" spans="1:67" ht="15" customHeight="1">
      <c r="A107" s="1304">
        <v>2.1</v>
      </c>
      <c r="B107" s="1161" t="s">
        <v>322</v>
      </c>
      <c r="C107" s="1162"/>
      <c r="D107" s="1162"/>
      <c r="E107" s="1162"/>
      <c r="F107" s="1162"/>
      <c r="G107" s="1199"/>
      <c r="H107" s="1268" t="str">
        <f t="shared" ref="H107" si="95">IF(ISBLANK(D$5),"",1)</f>
        <v/>
      </c>
      <c r="I107" s="1205" t="str">
        <f t="shared" ref="I107" si="96">IF(ISBLANK(H$5),"",1)</f>
        <v/>
      </c>
      <c r="J107" s="1205" t="str">
        <f t="shared" ref="J107" si="97">IF(ISBLANK(L$5),"",1)</f>
        <v/>
      </c>
      <c r="K107" s="1205" t="str">
        <f t="shared" ref="K107" si="98">IF(ISBLANK(P$5),"",1)</f>
        <v/>
      </c>
      <c r="L107" s="1205" t="str">
        <f t="shared" ref="L107" si="99">IF(ISBLANK(T$5),"",1)</f>
        <v/>
      </c>
      <c r="M107" s="1248" t="str">
        <f t="shared" ref="M107" si="100">IF(ISBLANK(X$5),"",1)</f>
        <v/>
      </c>
      <c r="N107" s="1301">
        <v>4.4000000000000004</v>
      </c>
      <c r="O107" s="1161" t="s">
        <v>400</v>
      </c>
      <c r="P107" s="1162"/>
      <c r="Q107" s="1162"/>
      <c r="R107" s="1162"/>
      <c r="S107" s="1162"/>
      <c r="T107" s="1199"/>
      <c r="U107" s="1399" t="str">
        <f t="shared" ref="U107" si="101">IF(ISBLANK(D$5),"",1)</f>
        <v/>
      </c>
      <c r="V107" s="1258">
        <v>4.3</v>
      </c>
      <c r="W107" s="1161" t="s">
        <v>388</v>
      </c>
      <c r="X107" s="1162"/>
      <c r="Y107" s="1162"/>
      <c r="Z107" s="1162"/>
      <c r="AA107" s="1162"/>
      <c r="AB107" s="1199"/>
      <c r="AC107" s="1399" t="str">
        <f t="shared" ref="AC107" si="102">IF(ISBLANK(H$5),"",1)</f>
        <v/>
      </c>
      <c r="AD107" s="1258">
        <v>4.3</v>
      </c>
      <c r="AE107" s="1198" t="s">
        <v>388</v>
      </c>
      <c r="AF107" s="1162"/>
      <c r="AG107" s="1162"/>
      <c r="AH107" s="1162"/>
      <c r="AI107" s="1162"/>
      <c r="AJ107" s="1199"/>
      <c r="AK107" s="1226" t="str">
        <f t="shared" ref="AK107" si="103">IF(ISBLANK(L$5),"",1)</f>
        <v/>
      </c>
      <c r="AL107" s="1196">
        <v>4.3</v>
      </c>
      <c r="AM107" s="1198" t="s">
        <v>388</v>
      </c>
      <c r="AN107" s="1162"/>
      <c r="AO107" s="1162"/>
      <c r="AP107" s="1162"/>
      <c r="AQ107" s="1162"/>
      <c r="AR107" s="1199"/>
      <c r="AS107" s="1226" t="str">
        <f t="shared" ref="AS107" si="104">IF(ISBLANK(P$5),"",1)</f>
        <v/>
      </c>
      <c r="AT107" s="1258">
        <v>4.3</v>
      </c>
      <c r="AU107" s="1198" t="s">
        <v>388</v>
      </c>
      <c r="AV107" s="1162"/>
      <c r="AW107" s="1162"/>
      <c r="AX107" s="1162"/>
      <c r="AY107" s="1162"/>
      <c r="AZ107" s="1199"/>
      <c r="BA107" s="1226" t="str">
        <f t="shared" ref="BA107" si="105">IF(ISBLANK(T$5),"",1)</f>
        <v/>
      </c>
      <c r="BB107" s="1258">
        <v>4.3</v>
      </c>
      <c r="BC107" s="1198" t="s">
        <v>388</v>
      </c>
      <c r="BD107" s="1162"/>
      <c r="BE107" s="1162"/>
      <c r="BF107" s="1162"/>
      <c r="BG107" s="1162"/>
      <c r="BH107" s="1199"/>
      <c r="BI107" s="1226" t="str">
        <f t="shared" ref="BI107" si="106">IF(ISBLANK(X$5),"",1)</f>
        <v/>
      </c>
      <c r="BJ107" s="1337"/>
      <c r="BK107" s="1338"/>
      <c r="BL107" s="1338"/>
      <c r="BM107" s="1338"/>
      <c r="BN107" s="1338"/>
      <c r="BO107" s="1339"/>
    </row>
    <row r="108" spans="1:67" ht="15" customHeight="1">
      <c r="A108" s="1290"/>
      <c r="B108" s="1163"/>
      <c r="C108" s="1164"/>
      <c r="D108" s="1164"/>
      <c r="E108" s="1164"/>
      <c r="F108" s="1164"/>
      <c r="G108" s="1201"/>
      <c r="H108" s="1269"/>
      <c r="I108" s="1206"/>
      <c r="J108" s="1206"/>
      <c r="K108" s="1206"/>
      <c r="L108" s="1206"/>
      <c r="M108" s="1206"/>
      <c r="N108" s="1302"/>
      <c r="O108" s="1163"/>
      <c r="P108" s="1164"/>
      <c r="Q108" s="1164"/>
      <c r="R108" s="1164"/>
      <c r="S108" s="1164"/>
      <c r="T108" s="1201"/>
      <c r="U108" s="1269"/>
      <c r="V108" s="1258"/>
      <c r="W108" s="1163"/>
      <c r="X108" s="1164"/>
      <c r="Y108" s="1164"/>
      <c r="Z108" s="1164"/>
      <c r="AA108" s="1164"/>
      <c r="AB108" s="1201"/>
      <c r="AC108" s="1269"/>
      <c r="AD108" s="1258"/>
      <c r="AE108" s="1200"/>
      <c r="AF108" s="1164"/>
      <c r="AG108" s="1164"/>
      <c r="AH108" s="1164"/>
      <c r="AI108" s="1164"/>
      <c r="AJ108" s="1201"/>
      <c r="AK108" s="1342"/>
      <c r="AL108" s="1197"/>
      <c r="AM108" s="1200"/>
      <c r="AN108" s="1164"/>
      <c r="AO108" s="1164"/>
      <c r="AP108" s="1164"/>
      <c r="AQ108" s="1164"/>
      <c r="AR108" s="1201"/>
      <c r="AS108" s="1342"/>
      <c r="AT108" s="1258"/>
      <c r="AU108" s="1200"/>
      <c r="AV108" s="1164"/>
      <c r="AW108" s="1164"/>
      <c r="AX108" s="1164"/>
      <c r="AY108" s="1164"/>
      <c r="AZ108" s="1201"/>
      <c r="BA108" s="1342"/>
      <c r="BB108" s="1258"/>
      <c r="BC108" s="1200"/>
      <c r="BD108" s="1164"/>
      <c r="BE108" s="1164"/>
      <c r="BF108" s="1164"/>
      <c r="BG108" s="1164"/>
      <c r="BH108" s="1201"/>
      <c r="BI108" s="1342"/>
      <c r="BJ108" s="1337"/>
      <c r="BK108" s="1338"/>
      <c r="BL108" s="1338"/>
      <c r="BM108" s="1338"/>
      <c r="BN108" s="1338"/>
      <c r="BO108" s="1339"/>
    </row>
    <row r="109" spans="1:67" ht="15" customHeight="1">
      <c r="A109" s="1291"/>
      <c r="B109" s="1165"/>
      <c r="C109" s="1166"/>
      <c r="D109" s="1166"/>
      <c r="E109" s="1166"/>
      <c r="F109" s="1166"/>
      <c r="G109" s="1292"/>
      <c r="H109" s="1270"/>
      <c r="I109" s="1207"/>
      <c r="J109" s="1207"/>
      <c r="K109" s="1207"/>
      <c r="L109" s="1207"/>
      <c r="M109" s="1207"/>
      <c r="N109" s="1303"/>
      <c r="O109" s="1165"/>
      <c r="P109" s="1166"/>
      <c r="Q109" s="1166"/>
      <c r="R109" s="1166"/>
      <c r="S109" s="1166"/>
      <c r="T109" s="1292"/>
      <c r="U109" s="1270"/>
      <c r="V109" s="1258"/>
      <c r="W109" s="1165"/>
      <c r="X109" s="1166"/>
      <c r="Y109" s="1166"/>
      <c r="Z109" s="1166"/>
      <c r="AA109" s="1166"/>
      <c r="AB109" s="1292"/>
      <c r="AC109" s="1270"/>
      <c r="AD109" s="1258"/>
      <c r="AE109" s="1202"/>
      <c r="AF109" s="1203"/>
      <c r="AG109" s="1203"/>
      <c r="AH109" s="1203"/>
      <c r="AI109" s="1203"/>
      <c r="AJ109" s="1204"/>
      <c r="AK109" s="1342"/>
      <c r="AL109" s="1197"/>
      <c r="AM109" s="1202"/>
      <c r="AN109" s="1203"/>
      <c r="AO109" s="1203"/>
      <c r="AP109" s="1203"/>
      <c r="AQ109" s="1203"/>
      <c r="AR109" s="1204"/>
      <c r="AS109" s="1342"/>
      <c r="AT109" s="1258"/>
      <c r="AU109" s="1202"/>
      <c r="AV109" s="1203"/>
      <c r="AW109" s="1203"/>
      <c r="AX109" s="1203"/>
      <c r="AY109" s="1203"/>
      <c r="AZ109" s="1204"/>
      <c r="BA109" s="1342"/>
      <c r="BB109" s="1258"/>
      <c r="BC109" s="1202"/>
      <c r="BD109" s="1203"/>
      <c r="BE109" s="1203"/>
      <c r="BF109" s="1203"/>
      <c r="BG109" s="1203"/>
      <c r="BH109" s="1204"/>
      <c r="BI109" s="1342"/>
      <c r="BJ109" s="1337"/>
      <c r="BK109" s="1338"/>
      <c r="BL109" s="1338"/>
      <c r="BM109" s="1338"/>
      <c r="BN109" s="1338"/>
      <c r="BO109" s="1339"/>
    </row>
    <row r="110" spans="1:67" ht="15" customHeight="1">
      <c r="A110" s="1307">
        <v>1.1000000000000001</v>
      </c>
      <c r="B110" s="1161" t="s">
        <v>940</v>
      </c>
      <c r="C110" s="1162"/>
      <c r="D110" s="1162"/>
      <c r="E110" s="1162"/>
      <c r="F110" s="1162"/>
      <c r="G110" s="1199"/>
      <c r="H110" s="1268" t="str">
        <f t="shared" ref="H110" si="107">IF(ISBLANK(D$5),"",1)</f>
        <v/>
      </c>
      <c r="I110" s="1205" t="str">
        <f t="shared" ref="I110" si="108">IF(ISBLANK(H$5),"",1)</f>
        <v/>
      </c>
      <c r="J110" s="1205" t="str">
        <f t="shared" ref="J110" si="109">IF(ISBLANK(L$5),"",1)</f>
        <v/>
      </c>
      <c r="K110" s="1205" t="str">
        <f t="shared" ref="K110" si="110">IF(ISBLANK(P$5),"",1)</f>
        <v/>
      </c>
      <c r="L110" s="1205" t="str">
        <f t="shared" ref="L110" si="111">IF(ISBLANK(T$5),"",1)</f>
        <v/>
      </c>
      <c r="M110" s="1248" t="str">
        <f t="shared" ref="M110" si="112">IF(ISBLANK(X$5),"",1)</f>
        <v/>
      </c>
      <c r="N110" s="1301">
        <v>4.4000000000000004</v>
      </c>
      <c r="O110" s="1161" t="s">
        <v>401</v>
      </c>
      <c r="P110" s="1162"/>
      <c r="Q110" s="1162"/>
      <c r="R110" s="1162"/>
      <c r="S110" s="1162"/>
      <c r="T110" s="1199"/>
      <c r="U110" s="1399" t="str">
        <f t="shared" ref="U110" si="113">IF(ISBLANK(D$5),"",1)</f>
        <v/>
      </c>
      <c r="V110" s="1258">
        <v>4.4000000000000004</v>
      </c>
      <c r="W110" s="1161" t="s">
        <v>407</v>
      </c>
      <c r="X110" s="1162"/>
      <c r="Y110" s="1162"/>
      <c r="Z110" s="1162"/>
      <c r="AA110" s="1162"/>
      <c r="AB110" s="1199"/>
      <c r="AC110" s="1399" t="str">
        <f t="shared" ref="AC110" si="114">IF(ISBLANK(H$5),"",1)</f>
        <v/>
      </c>
      <c r="AD110" s="1258">
        <v>4.3</v>
      </c>
      <c r="AE110" s="1198" t="s">
        <v>390</v>
      </c>
      <c r="AF110" s="1162"/>
      <c r="AG110" s="1162"/>
      <c r="AH110" s="1162"/>
      <c r="AI110" s="1162"/>
      <c r="AJ110" s="1199"/>
      <c r="AK110" s="1226" t="str">
        <f t="shared" ref="AK110" si="115">IF(ISBLANK(L$5),"",1)</f>
        <v/>
      </c>
      <c r="AL110" s="1304">
        <v>4.4000000000000004</v>
      </c>
      <c r="AM110" s="1198" t="s">
        <v>407</v>
      </c>
      <c r="AN110" s="1162"/>
      <c r="AO110" s="1162"/>
      <c r="AP110" s="1162"/>
      <c r="AQ110" s="1162"/>
      <c r="AR110" s="1199"/>
      <c r="AS110" s="1226" t="str">
        <f t="shared" ref="AS110" si="116">IF(ISBLANK(P$5),"",1)</f>
        <v/>
      </c>
      <c r="AT110" s="1258">
        <v>4.3</v>
      </c>
      <c r="AU110" s="1198" t="s">
        <v>390</v>
      </c>
      <c r="AV110" s="1162"/>
      <c r="AW110" s="1162"/>
      <c r="AX110" s="1162"/>
      <c r="AY110" s="1162"/>
      <c r="AZ110" s="1199"/>
      <c r="BA110" s="1226" t="str">
        <f t="shared" ref="BA110" si="117">IF(ISBLANK(T$5),"",1)</f>
        <v/>
      </c>
      <c r="BB110" s="1258">
        <v>4.3</v>
      </c>
      <c r="BC110" s="1198" t="s">
        <v>390</v>
      </c>
      <c r="BD110" s="1162"/>
      <c r="BE110" s="1162"/>
      <c r="BF110" s="1162"/>
      <c r="BG110" s="1162"/>
      <c r="BH110" s="1199"/>
      <c r="BI110" s="1226" t="str">
        <f t="shared" ref="BI110" si="118">IF(ISBLANK(X$5),"",1)</f>
        <v/>
      </c>
      <c r="BJ110" s="1337"/>
      <c r="BK110" s="1338"/>
      <c r="BL110" s="1338"/>
      <c r="BM110" s="1338"/>
      <c r="BN110" s="1338"/>
      <c r="BO110" s="1339"/>
    </row>
    <row r="111" spans="1:67" ht="15" customHeight="1">
      <c r="A111" s="1308"/>
      <c r="B111" s="1163"/>
      <c r="C111" s="1164"/>
      <c r="D111" s="1164"/>
      <c r="E111" s="1164"/>
      <c r="F111" s="1164"/>
      <c r="G111" s="1201"/>
      <c r="H111" s="1269"/>
      <c r="I111" s="1206"/>
      <c r="J111" s="1206"/>
      <c r="K111" s="1206"/>
      <c r="L111" s="1206"/>
      <c r="M111" s="1206"/>
      <c r="N111" s="1302"/>
      <c r="O111" s="1163"/>
      <c r="P111" s="1164"/>
      <c r="Q111" s="1164"/>
      <c r="R111" s="1164"/>
      <c r="S111" s="1164"/>
      <c r="T111" s="1201"/>
      <c r="U111" s="1269"/>
      <c r="V111" s="1258"/>
      <c r="W111" s="1163"/>
      <c r="X111" s="1164"/>
      <c r="Y111" s="1164"/>
      <c r="Z111" s="1164"/>
      <c r="AA111" s="1164"/>
      <c r="AB111" s="1201"/>
      <c r="AC111" s="1269"/>
      <c r="AD111" s="1258"/>
      <c r="AE111" s="1200"/>
      <c r="AF111" s="1164"/>
      <c r="AG111" s="1164"/>
      <c r="AH111" s="1164"/>
      <c r="AI111" s="1164"/>
      <c r="AJ111" s="1201"/>
      <c r="AK111" s="1342"/>
      <c r="AL111" s="1290"/>
      <c r="AM111" s="1200"/>
      <c r="AN111" s="1164"/>
      <c r="AO111" s="1164"/>
      <c r="AP111" s="1164"/>
      <c r="AQ111" s="1164"/>
      <c r="AR111" s="1201"/>
      <c r="AS111" s="1342"/>
      <c r="AT111" s="1258"/>
      <c r="AU111" s="1200"/>
      <c r="AV111" s="1164"/>
      <c r="AW111" s="1164"/>
      <c r="AX111" s="1164"/>
      <c r="AY111" s="1164"/>
      <c r="AZ111" s="1201"/>
      <c r="BA111" s="1342"/>
      <c r="BB111" s="1258"/>
      <c r="BC111" s="1200"/>
      <c r="BD111" s="1164"/>
      <c r="BE111" s="1164"/>
      <c r="BF111" s="1164"/>
      <c r="BG111" s="1164"/>
      <c r="BH111" s="1201"/>
      <c r="BI111" s="1342"/>
      <c r="BJ111" s="1337"/>
      <c r="BK111" s="1338"/>
      <c r="BL111" s="1338"/>
      <c r="BM111" s="1338"/>
      <c r="BN111" s="1338"/>
      <c r="BO111" s="1339"/>
    </row>
    <row r="112" spans="1:67" ht="15" customHeight="1">
      <c r="A112" s="1309"/>
      <c r="B112" s="1165"/>
      <c r="C112" s="1166"/>
      <c r="D112" s="1166"/>
      <c r="E112" s="1166"/>
      <c r="F112" s="1166"/>
      <c r="G112" s="1292"/>
      <c r="H112" s="1270"/>
      <c r="I112" s="1207"/>
      <c r="J112" s="1207"/>
      <c r="K112" s="1207"/>
      <c r="L112" s="1207"/>
      <c r="M112" s="1207"/>
      <c r="N112" s="1303"/>
      <c r="O112" s="1165"/>
      <c r="P112" s="1166"/>
      <c r="Q112" s="1166"/>
      <c r="R112" s="1166"/>
      <c r="S112" s="1166"/>
      <c r="T112" s="1292"/>
      <c r="U112" s="1270"/>
      <c r="V112" s="1258"/>
      <c r="W112" s="1165"/>
      <c r="X112" s="1166"/>
      <c r="Y112" s="1166"/>
      <c r="Z112" s="1166"/>
      <c r="AA112" s="1166"/>
      <c r="AB112" s="1292"/>
      <c r="AC112" s="1270"/>
      <c r="AD112" s="1258"/>
      <c r="AE112" s="1202"/>
      <c r="AF112" s="1203"/>
      <c r="AG112" s="1203"/>
      <c r="AH112" s="1203"/>
      <c r="AI112" s="1203"/>
      <c r="AJ112" s="1204"/>
      <c r="AK112" s="1342"/>
      <c r="AL112" s="1291"/>
      <c r="AM112" s="1202"/>
      <c r="AN112" s="1203"/>
      <c r="AO112" s="1203"/>
      <c r="AP112" s="1203"/>
      <c r="AQ112" s="1203"/>
      <c r="AR112" s="1204"/>
      <c r="AS112" s="1342"/>
      <c r="AT112" s="1258"/>
      <c r="AU112" s="1202"/>
      <c r="AV112" s="1203"/>
      <c r="AW112" s="1203"/>
      <c r="AX112" s="1203"/>
      <c r="AY112" s="1203"/>
      <c r="AZ112" s="1204"/>
      <c r="BA112" s="1342"/>
      <c r="BB112" s="1258"/>
      <c r="BC112" s="1202"/>
      <c r="BD112" s="1203"/>
      <c r="BE112" s="1203"/>
      <c r="BF112" s="1203"/>
      <c r="BG112" s="1203"/>
      <c r="BH112" s="1204"/>
      <c r="BI112" s="1342"/>
      <c r="BJ112" s="1337"/>
      <c r="BK112" s="1338"/>
      <c r="BL112" s="1338"/>
      <c r="BM112" s="1338"/>
      <c r="BN112" s="1338"/>
      <c r="BO112" s="1339"/>
    </row>
    <row r="113" spans="1:67" ht="15" customHeight="1">
      <c r="A113" s="1307">
        <v>1.1000000000000001</v>
      </c>
      <c r="B113" s="1161" t="s">
        <v>330</v>
      </c>
      <c r="C113" s="1162"/>
      <c r="D113" s="1162"/>
      <c r="E113" s="1162"/>
      <c r="F113" s="1162"/>
      <c r="G113" s="1199"/>
      <c r="H113" s="1268" t="str">
        <f t="shared" ref="H113" si="119">IF(ISBLANK(D$5),"",1)</f>
        <v/>
      </c>
      <c r="I113" s="1205" t="str">
        <f t="shared" ref="I113" si="120">IF(ISBLANK(H$5),"",1)</f>
        <v/>
      </c>
      <c r="J113" s="1205" t="str">
        <f t="shared" ref="J113" si="121">IF(ISBLANK(L$5),"",1)</f>
        <v/>
      </c>
      <c r="K113" s="1205" t="str">
        <f t="shared" ref="K113" si="122">IF(ISBLANK(P$5),"",1)</f>
        <v/>
      </c>
      <c r="L113" s="1205" t="str">
        <f t="shared" ref="L113" si="123">IF(ISBLANK(T$5),"",1)</f>
        <v/>
      </c>
      <c r="M113" s="1248" t="str">
        <f t="shared" ref="M113" si="124">IF(ISBLANK(X$5),"",1)</f>
        <v/>
      </c>
      <c r="N113" s="1304">
        <v>4.4000000000000004</v>
      </c>
      <c r="O113" s="1161" t="s">
        <v>402</v>
      </c>
      <c r="P113" s="1162"/>
      <c r="Q113" s="1162"/>
      <c r="R113" s="1162"/>
      <c r="S113" s="1162"/>
      <c r="T113" s="1199"/>
      <c r="U113" s="1399" t="str">
        <f t="shared" ref="U113" si="125">IF(ISBLANK(D$5),"",1)</f>
        <v/>
      </c>
      <c r="V113" s="1258">
        <v>4.4000000000000004</v>
      </c>
      <c r="W113" s="1161" t="s">
        <v>393</v>
      </c>
      <c r="X113" s="1162"/>
      <c r="Y113" s="1162"/>
      <c r="Z113" s="1162"/>
      <c r="AA113" s="1162"/>
      <c r="AB113" s="1199"/>
      <c r="AC113" s="1399" t="str">
        <f t="shared" ref="AC113" si="126">IF(ISBLANK(H$5),"",1)</f>
        <v/>
      </c>
      <c r="AD113" s="1258">
        <v>4.4000000000000004</v>
      </c>
      <c r="AE113" s="1198" t="s">
        <v>415</v>
      </c>
      <c r="AF113" s="1162"/>
      <c r="AG113" s="1162"/>
      <c r="AH113" s="1162"/>
      <c r="AI113" s="1162"/>
      <c r="AJ113" s="1199"/>
      <c r="AK113" s="1226" t="str">
        <f t="shared" ref="AK113" si="127">IF(ISBLANK(L$5),"",1)</f>
        <v/>
      </c>
      <c r="AL113" s="1304">
        <v>4.4000000000000004</v>
      </c>
      <c r="AM113" s="1198" t="s">
        <v>393</v>
      </c>
      <c r="AN113" s="1162"/>
      <c r="AO113" s="1162"/>
      <c r="AP113" s="1162"/>
      <c r="AQ113" s="1162"/>
      <c r="AR113" s="1199"/>
      <c r="AS113" s="1226" t="str">
        <f t="shared" ref="AS113" si="128">IF(ISBLANK(P$5),"",1)</f>
        <v/>
      </c>
      <c r="AT113" s="1258">
        <v>4.4000000000000004</v>
      </c>
      <c r="AU113" s="1198" t="s">
        <v>892</v>
      </c>
      <c r="AV113" s="1162"/>
      <c r="AW113" s="1162"/>
      <c r="AX113" s="1162"/>
      <c r="AY113" s="1162"/>
      <c r="AZ113" s="1199"/>
      <c r="BA113" s="1226" t="str">
        <f t="shared" ref="BA113" si="129">IF(ISBLANK(T$5),"",1)</f>
        <v/>
      </c>
      <c r="BB113" s="1258">
        <v>4.4000000000000004</v>
      </c>
      <c r="BC113" s="1198" t="s">
        <v>892</v>
      </c>
      <c r="BD113" s="1162"/>
      <c r="BE113" s="1162"/>
      <c r="BF113" s="1162"/>
      <c r="BG113" s="1162"/>
      <c r="BH113" s="1199"/>
      <c r="BI113" s="1226" t="str">
        <f t="shared" ref="BI113" si="130">IF(ISBLANK(X$5),"",1)</f>
        <v/>
      </c>
      <c r="BJ113" s="1337"/>
      <c r="BK113" s="1338"/>
      <c r="BL113" s="1338"/>
      <c r="BM113" s="1338"/>
      <c r="BN113" s="1338"/>
      <c r="BO113" s="1339"/>
    </row>
    <row r="114" spans="1:67" ht="15" customHeight="1">
      <c r="A114" s="1308"/>
      <c r="B114" s="1163"/>
      <c r="C114" s="1164"/>
      <c r="D114" s="1164"/>
      <c r="E114" s="1164"/>
      <c r="F114" s="1164"/>
      <c r="G114" s="1201"/>
      <c r="H114" s="1269"/>
      <c r="I114" s="1206"/>
      <c r="J114" s="1206"/>
      <c r="K114" s="1206"/>
      <c r="L114" s="1206"/>
      <c r="M114" s="1206"/>
      <c r="N114" s="1290"/>
      <c r="O114" s="1163"/>
      <c r="P114" s="1164"/>
      <c r="Q114" s="1164"/>
      <c r="R114" s="1164"/>
      <c r="S114" s="1164"/>
      <c r="T114" s="1201"/>
      <c r="U114" s="1269"/>
      <c r="V114" s="1258"/>
      <c r="W114" s="1163"/>
      <c r="X114" s="1164"/>
      <c r="Y114" s="1164"/>
      <c r="Z114" s="1164"/>
      <c r="AA114" s="1164"/>
      <c r="AB114" s="1201"/>
      <c r="AC114" s="1269"/>
      <c r="AD114" s="1258"/>
      <c r="AE114" s="1200"/>
      <c r="AF114" s="1164"/>
      <c r="AG114" s="1164"/>
      <c r="AH114" s="1164"/>
      <c r="AI114" s="1164"/>
      <c r="AJ114" s="1201"/>
      <c r="AK114" s="1342"/>
      <c r="AL114" s="1290"/>
      <c r="AM114" s="1200"/>
      <c r="AN114" s="1164"/>
      <c r="AO114" s="1164"/>
      <c r="AP114" s="1164"/>
      <c r="AQ114" s="1164"/>
      <c r="AR114" s="1201"/>
      <c r="AS114" s="1342"/>
      <c r="AT114" s="1258"/>
      <c r="AU114" s="1200"/>
      <c r="AV114" s="1164"/>
      <c r="AW114" s="1164"/>
      <c r="AX114" s="1164"/>
      <c r="AY114" s="1164"/>
      <c r="AZ114" s="1201"/>
      <c r="BA114" s="1342"/>
      <c r="BB114" s="1258"/>
      <c r="BC114" s="1200"/>
      <c r="BD114" s="1164"/>
      <c r="BE114" s="1164"/>
      <c r="BF114" s="1164"/>
      <c r="BG114" s="1164"/>
      <c r="BH114" s="1201"/>
      <c r="BI114" s="1342"/>
      <c r="BJ114" s="1337"/>
      <c r="BK114" s="1338"/>
      <c r="BL114" s="1338"/>
      <c r="BM114" s="1338"/>
      <c r="BN114" s="1338"/>
      <c r="BO114" s="1339"/>
    </row>
    <row r="115" spans="1:67" ht="15" customHeight="1">
      <c r="A115" s="1309"/>
      <c r="B115" s="1165"/>
      <c r="C115" s="1166"/>
      <c r="D115" s="1166"/>
      <c r="E115" s="1166"/>
      <c r="F115" s="1166"/>
      <c r="G115" s="1292"/>
      <c r="H115" s="1270"/>
      <c r="I115" s="1207"/>
      <c r="J115" s="1207"/>
      <c r="K115" s="1207"/>
      <c r="L115" s="1207"/>
      <c r="M115" s="1207"/>
      <c r="N115" s="1291"/>
      <c r="O115" s="1165"/>
      <c r="P115" s="1166"/>
      <c r="Q115" s="1166"/>
      <c r="R115" s="1166"/>
      <c r="S115" s="1166"/>
      <c r="T115" s="1292"/>
      <c r="U115" s="1270"/>
      <c r="V115" s="1258"/>
      <c r="W115" s="1165"/>
      <c r="X115" s="1166"/>
      <c r="Y115" s="1166"/>
      <c r="Z115" s="1166"/>
      <c r="AA115" s="1166"/>
      <c r="AB115" s="1292"/>
      <c r="AC115" s="1270"/>
      <c r="AD115" s="1258"/>
      <c r="AE115" s="1202"/>
      <c r="AF115" s="1203"/>
      <c r="AG115" s="1203"/>
      <c r="AH115" s="1203"/>
      <c r="AI115" s="1203"/>
      <c r="AJ115" s="1204"/>
      <c r="AK115" s="1342"/>
      <c r="AL115" s="1291"/>
      <c r="AM115" s="1202"/>
      <c r="AN115" s="1203"/>
      <c r="AO115" s="1203"/>
      <c r="AP115" s="1203"/>
      <c r="AQ115" s="1203"/>
      <c r="AR115" s="1204"/>
      <c r="AS115" s="1342"/>
      <c r="AT115" s="1258"/>
      <c r="AU115" s="1202"/>
      <c r="AV115" s="1203"/>
      <c r="AW115" s="1203"/>
      <c r="AX115" s="1203"/>
      <c r="AY115" s="1203"/>
      <c r="AZ115" s="1204"/>
      <c r="BA115" s="1342"/>
      <c r="BB115" s="1258"/>
      <c r="BC115" s="1202"/>
      <c r="BD115" s="1203"/>
      <c r="BE115" s="1203"/>
      <c r="BF115" s="1203"/>
      <c r="BG115" s="1203"/>
      <c r="BH115" s="1204"/>
      <c r="BI115" s="1342"/>
      <c r="BJ115" s="1337"/>
      <c r="BK115" s="1338"/>
      <c r="BL115" s="1338"/>
      <c r="BM115" s="1338"/>
      <c r="BN115" s="1338"/>
      <c r="BO115" s="1339"/>
    </row>
    <row r="116" spans="1:67" ht="15" customHeight="1">
      <c r="A116" s="1304">
        <v>1.5</v>
      </c>
      <c r="B116" s="1161" t="s">
        <v>336</v>
      </c>
      <c r="C116" s="1162"/>
      <c r="D116" s="1162"/>
      <c r="E116" s="1162"/>
      <c r="F116" s="1162"/>
      <c r="G116" s="1199"/>
      <c r="H116" s="1268" t="str">
        <f t="shared" ref="H116" si="131">IF(ISBLANK(D$5),"",1)</f>
        <v/>
      </c>
      <c r="I116" s="1205" t="str">
        <f t="shared" ref="I116" si="132">IF(ISBLANK(H$5),"",1)</f>
        <v/>
      </c>
      <c r="J116" s="1205" t="str">
        <f t="shared" ref="J116" si="133">IF(ISBLANK(L$5),"",1)</f>
        <v/>
      </c>
      <c r="K116" s="1205" t="str">
        <f t="shared" ref="K116" si="134">IF(ISBLANK(P$5),"",1)</f>
        <v/>
      </c>
      <c r="L116" s="1205" t="str">
        <f t="shared" ref="L116" si="135">IF(ISBLANK(T$5),"",1)</f>
        <v/>
      </c>
      <c r="M116" s="1248" t="str">
        <f t="shared" ref="M116" si="136">IF(ISBLANK(X$5),"",1)</f>
        <v/>
      </c>
      <c r="N116" s="1304">
        <v>4.4000000000000004</v>
      </c>
      <c r="O116" s="1161" t="s">
        <v>403</v>
      </c>
      <c r="P116" s="1162"/>
      <c r="Q116" s="1162"/>
      <c r="R116" s="1162"/>
      <c r="S116" s="1162"/>
      <c r="T116" s="1199"/>
      <c r="U116" s="1399" t="str">
        <f t="shared" ref="U116" si="137">IF(ISBLANK(D$5),"",1)</f>
        <v/>
      </c>
      <c r="V116" s="1304">
        <v>4.4000000000000004</v>
      </c>
      <c r="W116" s="1161" t="s">
        <v>359</v>
      </c>
      <c r="X116" s="1162"/>
      <c r="Y116" s="1162"/>
      <c r="Z116" s="1162"/>
      <c r="AA116" s="1162"/>
      <c r="AB116" s="1199"/>
      <c r="AC116" s="1399" t="str">
        <f t="shared" ref="AC116" si="138">IF(ISBLANK(H$5),"",1)</f>
        <v/>
      </c>
      <c r="AD116" s="1304">
        <v>4.3</v>
      </c>
      <c r="AE116" s="1310" t="s">
        <v>879</v>
      </c>
      <c r="AF116" s="1311"/>
      <c r="AG116" s="1311"/>
      <c r="AH116" s="1311"/>
      <c r="AI116" s="1311"/>
      <c r="AJ116" s="1316"/>
      <c r="AK116" s="1226" t="str">
        <f t="shared" ref="AK116" si="139">IF(ISBLANK(L$5),"",1)</f>
        <v/>
      </c>
      <c r="AL116" s="1196">
        <v>4.4000000000000004</v>
      </c>
      <c r="AM116" s="1198" t="s">
        <v>890</v>
      </c>
      <c r="AN116" s="1162"/>
      <c r="AO116" s="1162"/>
      <c r="AP116" s="1162"/>
      <c r="AQ116" s="1162"/>
      <c r="AR116" s="1199"/>
      <c r="AS116" s="1226" t="str">
        <f t="shared" ref="AS116" si="140">IF(ISBLANK(P$5),"",1)</f>
        <v/>
      </c>
      <c r="AT116" s="1258">
        <v>4.3</v>
      </c>
      <c r="AU116" s="1198" t="s">
        <v>879</v>
      </c>
      <c r="AV116" s="1162"/>
      <c r="AW116" s="1162"/>
      <c r="AX116" s="1162"/>
      <c r="AY116" s="1162"/>
      <c r="AZ116" s="1199"/>
      <c r="BA116" s="1226" t="str">
        <f t="shared" ref="BA116" si="141">IF(ISBLANK(T$5),"",1)</f>
        <v/>
      </c>
      <c r="BB116" s="1258">
        <v>4.3</v>
      </c>
      <c r="BC116" s="1198" t="s">
        <v>879</v>
      </c>
      <c r="BD116" s="1162"/>
      <c r="BE116" s="1162"/>
      <c r="BF116" s="1162"/>
      <c r="BG116" s="1162"/>
      <c r="BH116" s="1199"/>
      <c r="BI116" s="1226" t="str">
        <f t="shared" ref="BI116" si="142">IF(ISBLANK(X$5),"",1)</f>
        <v/>
      </c>
      <c r="BJ116" s="1337"/>
      <c r="BK116" s="1338"/>
      <c r="BL116" s="1338"/>
      <c r="BM116" s="1338"/>
      <c r="BN116" s="1338"/>
      <c r="BO116" s="1339"/>
    </row>
    <row r="117" spans="1:67" ht="15" customHeight="1">
      <c r="A117" s="1290"/>
      <c r="B117" s="1163"/>
      <c r="C117" s="1164"/>
      <c r="D117" s="1164"/>
      <c r="E117" s="1164"/>
      <c r="F117" s="1164"/>
      <c r="G117" s="1201"/>
      <c r="H117" s="1269"/>
      <c r="I117" s="1206"/>
      <c r="J117" s="1206"/>
      <c r="K117" s="1206"/>
      <c r="L117" s="1206"/>
      <c r="M117" s="1206"/>
      <c r="N117" s="1290"/>
      <c r="O117" s="1163"/>
      <c r="P117" s="1164"/>
      <c r="Q117" s="1164"/>
      <c r="R117" s="1164"/>
      <c r="S117" s="1164"/>
      <c r="T117" s="1201"/>
      <c r="U117" s="1269"/>
      <c r="V117" s="1290"/>
      <c r="W117" s="1163"/>
      <c r="X117" s="1164"/>
      <c r="Y117" s="1164"/>
      <c r="Z117" s="1164"/>
      <c r="AA117" s="1164"/>
      <c r="AB117" s="1201"/>
      <c r="AC117" s="1269"/>
      <c r="AD117" s="1290"/>
      <c r="AE117" s="1295"/>
      <c r="AF117" s="1296"/>
      <c r="AG117" s="1296"/>
      <c r="AH117" s="1296"/>
      <c r="AI117" s="1296"/>
      <c r="AJ117" s="1318"/>
      <c r="AK117" s="1342"/>
      <c r="AL117" s="1197"/>
      <c r="AM117" s="1200"/>
      <c r="AN117" s="1164"/>
      <c r="AO117" s="1164"/>
      <c r="AP117" s="1164"/>
      <c r="AQ117" s="1164"/>
      <c r="AR117" s="1201"/>
      <c r="AS117" s="1342"/>
      <c r="AT117" s="1258"/>
      <c r="AU117" s="1200"/>
      <c r="AV117" s="1164"/>
      <c r="AW117" s="1164"/>
      <c r="AX117" s="1164"/>
      <c r="AY117" s="1164"/>
      <c r="AZ117" s="1201"/>
      <c r="BA117" s="1342"/>
      <c r="BB117" s="1258"/>
      <c r="BC117" s="1200"/>
      <c r="BD117" s="1164"/>
      <c r="BE117" s="1164"/>
      <c r="BF117" s="1164"/>
      <c r="BG117" s="1164"/>
      <c r="BH117" s="1201"/>
      <c r="BI117" s="1342"/>
      <c r="BJ117" s="1337"/>
      <c r="BK117" s="1338"/>
      <c r="BL117" s="1338"/>
      <c r="BM117" s="1338"/>
      <c r="BN117" s="1338"/>
      <c r="BO117" s="1339"/>
    </row>
    <row r="118" spans="1:67" ht="15" customHeight="1">
      <c r="A118" s="1291"/>
      <c r="B118" s="1165"/>
      <c r="C118" s="1166"/>
      <c r="D118" s="1166"/>
      <c r="E118" s="1166"/>
      <c r="F118" s="1166"/>
      <c r="G118" s="1292"/>
      <c r="H118" s="1270"/>
      <c r="I118" s="1207"/>
      <c r="J118" s="1207"/>
      <c r="K118" s="1207"/>
      <c r="L118" s="1207"/>
      <c r="M118" s="1207"/>
      <c r="N118" s="1291"/>
      <c r="O118" s="1165"/>
      <c r="P118" s="1166"/>
      <c r="Q118" s="1166"/>
      <c r="R118" s="1166"/>
      <c r="S118" s="1166"/>
      <c r="T118" s="1292"/>
      <c r="U118" s="1270"/>
      <c r="V118" s="1291"/>
      <c r="W118" s="1165"/>
      <c r="X118" s="1166"/>
      <c r="Y118" s="1166"/>
      <c r="Z118" s="1166"/>
      <c r="AA118" s="1166"/>
      <c r="AB118" s="1292"/>
      <c r="AC118" s="1270"/>
      <c r="AD118" s="1291"/>
      <c r="AE118" s="1298"/>
      <c r="AF118" s="1299"/>
      <c r="AG118" s="1299"/>
      <c r="AH118" s="1299"/>
      <c r="AI118" s="1299"/>
      <c r="AJ118" s="1335"/>
      <c r="AK118" s="1342"/>
      <c r="AL118" s="1197"/>
      <c r="AM118" s="1202"/>
      <c r="AN118" s="1203"/>
      <c r="AO118" s="1203"/>
      <c r="AP118" s="1203"/>
      <c r="AQ118" s="1203"/>
      <c r="AR118" s="1204"/>
      <c r="AS118" s="1342"/>
      <c r="AT118" s="1258"/>
      <c r="AU118" s="1202"/>
      <c r="AV118" s="1203"/>
      <c r="AW118" s="1203"/>
      <c r="AX118" s="1203"/>
      <c r="AY118" s="1203"/>
      <c r="AZ118" s="1204"/>
      <c r="BA118" s="1342"/>
      <c r="BB118" s="1258"/>
      <c r="BC118" s="1202"/>
      <c r="BD118" s="1203"/>
      <c r="BE118" s="1203"/>
      <c r="BF118" s="1203"/>
      <c r="BG118" s="1203"/>
      <c r="BH118" s="1204"/>
      <c r="BI118" s="1342"/>
      <c r="BJ118" s="1337"/>
      <c r="BK118" s="1338"/>
      <c r="BL118" s="1338"/>
      <c r="BM118" s="1338"/>
      <c r="BN118" s="1338"/>
      <c r="BO118" s="1339"/>
    </row>
    <row r="119" spans="1:67" ht="15" customHeight="1">
      <c r="A119" s="1304">
        <v>2.1</v>
      </c>
      <c r="B119" s="1161" t="s">
        <v>360</v>
      </c>
      <c r="C119" s="1162"/>
      <c r="D119" s="1162"/>
      <c r="E119" s="1162"/>
      <c r="F119" s="1162"/>
      <c r="G119" s="1199"/>
      <c r="H119" s="1268" t="str">
        <f t="shared" ref="H119" si="143">IF(ISBLANK(D$5),"",1)</f>
        <v/>
      </c>
      <c r="I119" s="1205" t="str">
        <f t="shared" ref="I119" si="144">IF(ISBLANK(H$5),"",1)</f>
        <v/>
      </c>
      <c r="J119" s="1205" t="str">
        <f t="shared" ref="J119" si="145">IF(ISBLANK(L$5),"",1)</f>
        <v/>
      </c>
      <c r="K119" s="1205" t="str">
        <f t="shared" ref="K119" si="146">IF(ISBLANK(P$5),"",1)</f>
        <v/>
      </c>
      <c r="L119" s="1205" t="str">
        <f t="shared" ref="L119" si="147">IF(ISBLANK(T$5),"",1)</f>
        <v/>
      </c>
      <c r="M119" s="1248" t="str">
        <f t="shared" ref="M119" si="148">IF(ISBLANK(X$5),"",1)</f>
        <v/>
      </c>
      <c r="N119" s="1304">
        <v>4.4000000000000004</v>
      </c>
      <c r="O119" s="1161" t="s">
        <v>359</v>
      </c>
      <c r="P119" s="1162"/>
      <c r="Q119" s="1162"/>
      <c r="R119" s="1162"/>
      <c r="S119" s="1162"/>
      <c r="T119" s="1199"/>
      <c r="U119" s="1399" t="str">
        <f t="shared" ref="U119" si="149">IF(ISBLANK(D$5),"",1)</f>
        <v/>
      </c>
      <c r="V119" s="1322">
        <v>4.4000000000000004</v>
      </c>
      <c r="W119" s="1161" t="s">
        <v>395</v>
      </c>
      <c r="X119" s="1162"/>
      <c r="Y119" s="1162"/>
      <c r="Z119" s="1162"/>
      <c r="AA119" s="1162"/>
      <c r="AB119" s="1199"/>
      <c r="AC119" s="1399" t="str">
        <f t="shared" ref="AC119" si="150">IF(ISBLANK(H$5),"",1)</f>
        <v/>
      </c>
      <c r="AD119" s="1258">
        <v>4.4000000000000004</v>
      </c>
      <c r="AE119" s="1198" t="s">
        <v>882</v>
      </c>
      <c r="AF119" s="1162"/>
      <c r="AG119" s="1162"/>
      <c r="AH119" s="1162"/>
      <c r="AI119" s="1162"/>
      <c r="AJ119" s="1199"/>
      <c r="AK119" s="1226" t="str">
        <f t="shared" ref="AK119" si="151">IF(ISBLANK(L$5),"",1)</f>
        <v/>
      </c>
      <c r="AL119" s="1196">
        <v>4.4000000000000004</v>
      </c>
      <c r="AM119" s="1198" t="s">
        <v>886</v>
      </c>
      <c r="AN119" s="1162"/>
      <c r="AO119" s="1162"/>
      <c r="AP119" s="1162"/>
      <c r="AQ119" s="1162"/>
      <c r="AR119" s="1199"/>
      <c r="AS119" s="1226" t="str">
        <f t="shared" ref="AS119" si="152">IF(ISBLANK(P$5),"",1)</f>
        <v/>
      </c>
      <c r="AT119" s="1258">
        <v>4.4000000000000004</v>
      </c>
      <c r="AU119" s="1198" t="s">
        <v>888</v>
      </c>
      <c r="AV119" s="1162"/>
      <c r="AW119" s="1162"/>
      <c r="AX119" s="1162"/>
      <c r="AY119" s="1162"/>
      <c r="AZ119" s="1199"/>
      <c r="BA119" s="1226" t="str">
        <f t="shared" ref="BA119" si="153">IF(ISBLANK(T$5),"",1)</f>
        <v/>
      </c>
      <c r="BB119" s="1258">
        <v>4.4000000000000004</v>
      </c>
      <c r="BC119" s="1198" t="s">
        <v>889</v>
      </c>
      <c r="BD119" s="1162"/>
      <c r="BE119" s="1162"/>
      <c r="BF119" s="1162"/>
      <c r="BG119" s="1162"/>
      <c r="BH119" s="1199"/>
      <c r="BI119" s="1226" t="str">
        <f t="shared" ref="BI119" si="154">IF(ISBLANK(X$5),"",1)</f>
        <v/>
      </c>
      <c r="BJ119" s="1337"/>
      <c r="BK119" s="1338"/>
      <c r="BL119" s="1338"/>
      <c r="BM119" s="1338"/>
      <c r="BN119" s="1338"/>
      <c r="BO119" s="1339"/>
    </row>
    <row r="120" spans="1:67" ht="15" customHeight="1">
      <c r="A120" s="1290"/>
      <c r="B120" s="1163"/>
      <c r="C120" s="1164"/>
      <c r="D120" s="1164"/>
      <c r="E120" s="1164"/>
      <c r="F120" s="1164"/>
      <c r="G120" s="1201"/>
      <c r="H120" s="1269"/>
      <c r="I120" s="1206"/>
      <c r="J120" s="1206"/>
      <c r="K120" s="1206"/>
      <c r="L120" s="1206"/>
      <c r="M120" s="1206"/>
      <c r="N120" s="1290"/>
      <c r="O120" s="1163"/>
      <c r="P120" s="1164"/>
      <c r="Q120" s="1164"/>
      <c r="R120" s="1164"/>
      <c r="S120" s="1164"/>
      <c r="T120" s="1201"/>
      <c r="U120" s="1269"/>
      <c r="V120" s="1293"/>
      <c r="W120" s="1163"/>
      <c r="X120" s="1164"/>
      <c r="Y120" s="1164"/>
      <c r="Z120" s="1164"/>
      <c r="AA120" s="1164"/>
      <c r="AB120" s="1201"/>
      <c r="AC120" s="1269"/>
      <c r="AD120" s="1258"/>
      <c r="AE120" s="1200"/>
      <c r="AF120" s="1164"/>
      <c r="AG120" s="1164"/>
      <c r="AH120" s="1164"/>
      <c r="AI120" s="1164"/>
      <c r="AJ120" s="1201"/>
      <c r="AK120" s="1342"/>
      <c r="AL120" s="1197"/>
      <c r="AM120" s="1200"/>
      <c r="AN120" s="1164"/>
      <c r="AO120" s="1164"/>
      <c r="AP120" s="1164"/>
      <c r="AQ120" s="1164"/>
      <c r="AR120" s="1201"/>
      <c r="AS120" s="1342"/>
      <c r="AT120" s="1258"/>
      <c r="AU120" s="1200"/>
      <c r="AV120" s="1164"/>
      <c r="AW120" s="1164"/>
      <c r="AX120" s="1164"/>
      <c r="AY120" s="1164"/>
      <c r="AZ120" s="1201"/>
      <c r="BA120" s="1342"/>
      <c r="BB120" s="1258"/>
      <c r="BC120" s="1200"/>
      <c r="BD120" s="1164"/>
      <c r="BE120" s="1164"/>
      <c r="BF120" s="1164"/>
      <c r="BG120" s="1164"/>
      <c r="BH120" s="1201"/>
      <c r="BI120" s="1342"/>
      <c r="BJ120" s="1337"/>
      <c r="BK120" s="1338"/>
      <c r="BL120" s="1338"/>
      <c r="BM120" s="1338"/>
      <c r="BN120" s="1338"/>
      <c r="BO120" s="1339"/>
    </row>
    <row r="121" spans="1:67" ht="15" customHeight="1">
      <c r="A121" s="1291"/>
      <c r="B121" s="1165"/>
      <c r="C121" s="1166"/>
      <c r="D121" s="1166"/>
      <c r="E121" s="1166"/>
      <c r="F121" s="1166"/>
      <c r="G121" s="1292"/>
      <c r="H121" s="1270"/>
      <c r="I121" s="1207"/>
      <c r="J121" s="1207"/>
      <c r="K121" s="1207"/>
      <c r="L121" s="1207"/>
      <c r="M121" s="1207"/>
      <c r="N121" s="1291"/>
      <c r="O121" s="1165"/>
      <c r="P121" s="1166"/>
      <c r="Q121" s="1166"/>
      <c r="R121" s="1166"/>
      <c r="S121" s="1166"/>
      <c r="T121" s="1292"/>
      <c r="U121" s="1270"/>
      <c r="V121" s="1294"/>
      <c r="W121" s="1165"/>
      <c r="X121" s="1166"/>
      <c r="Y121" s="1166"/>
      <c r="Z121" s="1166"/>
      <c r="AA121" s="1166"/>
      <c r="AB121" s="1292"/>
      <c r="AC121" s="1270"/>
      <c r="AD121" s="1258"/>
      <c r="AE121" s="1202"/>
      <c r="AF121" s="1203"/>
      <c r="AG121" s="1203"/>
      <c r="AH121" s="1203"/>
      <c r="AI121" s="1203"/>
      <c r="AJ121" s="1204"/>
      <c r="AK121" s="1342"/>
      <c r="AL121" s="1197"/>
      <c r="AM121" s="1202"/>
      <c r="AN121" s="1203"/>
      <c r="AO121" s="1203"/>
      <c r="AP121" s="1203"/>
      <c r="AQ121" s="1203"/>
      <c r="AR121" s="1204"/>
      <c r="AS121" s="1342"/>
      <c r="AT121" s="1258"/>
      <c r="AU121" s="1202"/>
      <c r="AV121" s="1203"/>
      <c r="AW121" s="1203"/>
      <c r="AX121" s="1203"/>
      <c r="AY121" s="1203"/>
      <c r="AZ121" s="1204"/>
      <c r="BA121" s="1342"/>
      <c r="BB121" s="1258"/>
      <c r="BC121" s="1202"/>
      <c r="BD121" s="1203"/>
      <c r="BE121" s="1203"/>
      <c r="BF121" s="1203"/>
      <c r="BG121" s="1203"/>
      <c r="BH121" s="1204"/>
      <c r="BI121" s="1342"/>
      <c r="BJ121" s="1337"/>
      <c r="BK121" s="1338"/>
      <c r="BL121" s="1338"/>
      <c r="BM121" s="1338"/>
      <c r="BN121" s="1338"/>
      <c r="BO121" s="1339"/>
    </row>
    <row r="122" spans="1:67" ht="15" customHeight="1">
      <c r="A122" s="1304">
        <v>2.4</v>
      </c>
      <c r="B122" s="1161" t="s">
        <v>942</v>
      </c>
      <c r="C122" s="1162"/>
      <c r="D122" s="1162"/>
      <c r="E122" s="1162"/>
      <c r="F122" s="1162"/>
      <c r="G122" s="1199"/>
      <c r="H122" s="1268" t="str">
        <f t="shared" ref="H122" si="155">IF(ISBLANK(D$5),"",1)</f>
        <v/>
      </c>
      <c r="I122" s="1205" t="str">
        <f t="shared" ref="I122" si="156">IF(ISBLANK(H$5),"",1)</f>
        <v/>
      </c>
      <c r="J122" s="1205" t="str">
        <f t="shared" ref="J122" si="157">IF(ISBLANK(L$5),"",1)</f>
        <v/>
      </c>
      <c r="K122" s="1205" t="str">
        <f t="shared" ref="K122" si="158">IF(ISBLANK(P$5),"",1)</f>
        <v/>
      </c>
      <c r="L122" s="1205" t="str">
        <f t="shared" ref="L122" si="159">IF(ISBLANK(T$5),"",1)</f>
        <v/>
      </c>
      <c r="M122" s="1248" t="str">
        <f t="shared" ref="M122" si="160">IF(ISBLANK(X$5),"",1)</f>
        <v/>
      </c>
      <c r="N122" s="1301">
        <v>4.4000000000000004</v>
      </c>
      <c r="O122" s="1161" t="s">
        <v>395</v>
      </c>
      <c r="P122" s="1162"/>
      <c r="Q122" s="1162"/>
      <c r="R122" s="1162"/>
      <c r="S122" s="1162"/>
      <c r="T122" s="1199"/>
      <c r="U122" s="1399" t="str">
        <f t="shared" ref="U122" si="161">IF(ISBLANK(D$5),"",1)</f>
        <v/>
      </c>
      <c r="V122" s="1304">
        <v>4.4000000000000004</v>
      </c>
      <c r="W122" s="1161" t="s">
        <v>878</v>
      </c>
      <c r="X122" s="1162"/>
      <c r="Y122" s="1162"/>
      <c r="Z122" s="1162"/>
      <c r="AA122" s="1162"/>
      <c r="AB122" s="1199"/>
      <c r="AC122" s="1399" t="str">
        <f t="shared" ref="AC122" si="162">IF(ISBLANK(H$5),"",1)</f>
        <v/>
      </c>
      <c r="AD122" s="1258">
        <v>4.4000000000000004</v>
      </c>
      <c r="AE122" s="1198" t="s">
        <v>417</v>
      </c>
      <c r="AF122" s="1162"/>
      <c r="AG122" s="1162"/>
      <c r="AH122" s="1162"/>
      <c r="AI122" s="1162"/>
      <c r="AJ122" s="1199"/>
      <c r="AK122" s="1226" t="str">
        <f t="shared" ref="AK122" si="163">IF(ISBLANK(L$5),"",1)</f>
        <v/>
      </c>
      <c r="AL122" s="1196">
        <v>4.4000000000000004</v>
      </c>
      <c r="AM122" s="1198" t="s">
        <v>359</v>
      </c>
      <c r="AN122" s="1162"/>
      <c r="AO122" s="1162"/>
      <c r="AP122" s="1162"/>
      <c r="AQ122" s="1162"/>
      <c r="AR122" s="1199"/>
      <c r="AS122" s="1226" t="str">
        <f t="shared" ref="AS122" si="164">IF(ISBLANK(P$5),"",1)</f>
        <v/>
      </c>
      <c r="AT122" s="1258">
        <v>4.4000000000000004</v>
      </c>
      <c r="AU122" s="1198" t="s">
        <v>417</v>
      </c>
      <c r="AV122" s="1162"/>
      <c r="AW122" s="1162"/>
      <c r="AX122" s="1162"/>
      <c r="AY122" s="1162"/>
      <c r="AZ122" s="1199"/>
      <c r="BA122" s="1226" t="str">
        <f t="shared" ref="BA122" si="165">IF(ISBLANK(T$5),"",1)</f>
        <v/>
      </c>
      <c r="BB122" s="1258">
        <v>4.4000000000000004</v>
      </c>
      <c r="BC122" s="1198" t="s">
        <v>417</v>
      </c>
      <c r="BD122" s="1162"/>
      <c r="BE122" s="1162"/>
      <c r="BF122" s="1162"/>
      <c r="BG122" s="1162"/>
      <c r="BH122" s="1199"/>
      <c r="BI122" s="1226" t="str">
        <f t="shared" ref="BI122" si="166">IF(ISBLANK(X$5),"",1)</f>
        <v/>
      </c>
      <c r="BJ122" s="1337"/>
      <c r="BK122" s="1338"/>
      <c r="BL122" s="1338"/>
      <c r="BM122" s="1338"/>
      <c r="BN122" s="1338"/>
      <c r="BO122" s="1339"/>
    </row>
    <row r="123" spans="1:67" ht="15" customHeight="1">
      <c r="A123" s="1290"/>
      <c r="B123" s="1163"/>
      <c r="C123" s="1164"/>
      <c r="D123" s="1164"/>
      <c r="E123" s="1164"/>
      <c r="F123" s="1164"/>
      <c r="G123" s="1201"/>
      <c r="H123" s="1269"/>
      <c r="I123" s="1206"/>
      <c r="J123" s="1206"/>
      <c r="K123" s="1206"/>
      <c r="L123" s="1206"/>
      <c r="M123" s="1206"/>
      <c r="N123" s="1302"/>
      <c r="O123" s="1163"/>
      <c r="P123" s="1164"/>
      <c r="Q123" s="1164"/>
      <c r="R123" s="1164"/>
      <c r="S123" s="1164"/>
      <c r="T123" s="1201"/>
      <c r="U123" s="1269"/>
      <c r="V123" s="1290"/>
      <c r="W123" s="1163"/>
      <c r="X123" s="1164"/>
      <c r="Y123" s="1164"/>
      <c r="Z123" s="1164"/>
      <c r="AA123" s="1164"/>
      <c r="AB123" s="1201"/>
      <c r="AC123" s="1269"/>
      <c r="AD123" s="1258"/>
      <c r="AE123" s="1200"/>
      <c r="AF123" s="1164"/>
      <c r="AG123" s="1164"/>
      <c r="AH123" s="1164"/>
      <c r="AI123" s="1164"/>
      <c r="AJ123" s="1201"/>
      <c r="AK123" s="1342"/>
      <c r="AL123" s="1197"/>
      <c r="AM123" s="1200"/>
      <c r="AN123" s="1164"/>
      <c r="AO123" s="1164"/>
      <c r="AP123" s="1164"/>
      <c r="AQ123" s="1164"/>
      <c r="AR123" s="1201"/>
      <c r="AS123" s="1342"/>
      <c r="AT123" s="1258"/>
      <c r="AU123" s="1200"/>
      <c r="AV123" s="1164"/>
      <c r="AW123" s="1164"/>
      <c r="AX123" s="1164"/>
      <c r="AY123" s="1164"/>
      <c r="AZ123" s="1201"/>
      <c r="BA123" s="1342"/>
      <c r="BB123" s="1258"/>
      <c r="BC123" s="1200"/>
      <c r="BD123" s="1164"/>
      <c r="BE123" s="1164"/>
      <c r="BF123" s="1164"/>
      <c r="BG123" s="1164"/>
      <c r="BH123" s="1201"/>
      <c r="BI123" s="1342"/>
      <c r="BJ123" s="1337"/>
      <c r="BK123" s="1338"/>
      <c r="BL123" s="1338"/>
      <c r="BM123" s="1338"/>
      <c r="BN123" s="1338"/>
      <c r="BO123" s="1339"/>
    </row>
    <row r="124" spans="1:67" ht="15" customHeight="1">
      <c r="A124" s="1291"/>
      <c r="B124" s="1165"/>
      <c r="C124" s="1166"/>
      <c r="D124" s="1166"/>
      <c r="E124" s="1166"/>
      <c r="F124" s="1166"/>
      <c r="G124" s="1292"/>
      <c r="H124" s="1270"/>
      <c r="I124" s="1207"/>
      <c r="J124" s="1207"/>
      <c r="K124" s="1207"/>
      <c r="L124" s="1207"/>
      <c r="M124" s="1207"/>
      <c r="N124" s="1303"/>
      <c r="O124" s="1165"/>
      <c r="P124" s="1166"/>
      <c r="Q124" s="1166"/>
      <c r="R124" s="1166"/>
      <c r="S124" s="1166"/>
      <c r="T124" s="1292"/>
      <c r="U124" s="1270"/>
      <c r="V124" s="1291"/>
      <c r="W124" s="1165"/>
      <c r="X124" s="1166"/>
      <c r="Y124" s="1166"/>
      <c r="Z124" s="1166"/>
      <c r="AA124" s="1166"/>
      <c r="AB124" s="1292"/>
      <c r="AC124" s="1270"/>
      <c r="AD124" s="1258"/>
      <c r="AE124" s="1202"/>
      <c r="AF124" s="1203"/>
      <c r="AG124" s="1203"/>
      <c r="AH124" s="1203"/>
      <c r="AI124" s="1203"/>
      <c r="AJ124" s="1204"/>
      <c r="AK124" s="1342"/>
      <c r="AL124" s="1197"/>
      <c r="AM124" s="1202"/>
      <c r="AN124" s="1203"/>
      <c r="AO124" s="1203"/>
      <c r="AP124" s="1203"/>
      <c r="AQ124" s="1203"/>
      <c r="AR124" s="1204"/>
      <c r="AS124" s="1342"/>
      <c r="AT124" s="1258"/>
      <c r="AU124" s="1202"/>
      <c r="AV124" s="1203"/>
      <c r="AW124" s="1203"/>
      <c r="AX124" s="1203"/>
      <c r="AY124" s="1203"/>
      <c r="AZ124" s="1204"/>
      <c r="BA124" s="1342"/>
      <c r="BB124" s="1258"/>
      <c r="BC124" s="1202"/>
      <c r="BD124" s="1203"/>
      <c r="BE124" s="1203"/>
      <c r="BF124" s="1203"/>
      <c r="BG124" s="1203"/>
      <c r="BH124" s="1204"/>
      <c r="BI124" s="1342"/>
      <c r="BJ124" s="1337"/>
      <c r="BK124" s="1338"/>
      <c r="BL124" s="1338"/>
      <c r="BM124" s="1338"/>
      <c r="BN124" s="1338"/>
      <c r="BO124" s="1339"/>
    </row>
    <row r="125" spans="1:67" ht="15" customHeight="1">
      <c r="A125" s="252"/>
      <c r="B125" s="243"/>
      <c r="C125" s="242"/>
      <c r="D125" s="242"/>
      <c r="F125" s="278">
        <v>1.1000000000000001</v>
      </c>
      <c r="G125" s="311">
        <f>COUNTIF($A$98:$A$124,F125)</f>
        <v>4</v>
      </c>
      <c r="H125" s="240" t="str">
        <f>IF($D$5=1,SUMIF($A$98:$A$124,$F125,$H$98:$H$124),"")</f>
        <v/>
      </c>
      <c r="I125" s="240" t="str">
        <f>IF($H$5=1,SUMIF($A$98:$A$124,$F125,$I$98:$I$124),"")</f>
        <v/>
      </c>
      <c r="J125" s="240" t="str">
        <f>IF($L$5=1,SUMIF($A$98:$A$124,$F125,$J$98:$J$124),"")</f>
        <v/>
      </c>
      <c r="K125" s="240" t="str">
        <f>IF($P$5=1,SUMIF($A$98:$A$124,$F125,$K$98:$K$124),"")</f>
        <v/>
      </c>
      <c r="L125" s="240" t="str">
        <f>IF($T$5=1,SUMIF($A$98:$A$124,$F125,$L$98:$L$124),"")</f>
        <v/>
      </c>
      <c r="M125" s="240" t="str">
        <f>IF($X$5=1,SUMIF($A$98:$A$124,$F125,$M$98:$M$124),"")</f>
        <v/>
      </c>
      <c r="N125" s="1304">
        <v>4.4000000000000004</v>
      </c>
      <c r="O125" s="1161" t="s">
        <v>878</v>
      </c>
      <c r="P125" s="1162"/>
      <c r="Q125" s="1162"/>
      <c r="R125" s="1162"/>
      <c r="S125" s="1162"/>
      <c r="T125" s="1199"/>
      <c r="U125" s="1399" t="str">
        <f t="shared" ref="U125" si="167">IF(ISBLANK(D$5),"",1)</f>
        <v/>
      </c>
      <c r="V125" s="1307">
        <v>1.5</v>
      </c>
      <c r="W125" s="1315" t="s">
        <v>373</v>
      </c>
      <c r="X125" s="1311"/>
      <c r="Y125" s="1311"/>
      <c r="Z125" s="1311"/>
      <c r="AA125" s="1311"/>
      <c r="AB125" s="1316"/>
      <c r="AC125" s="1399" t="str">
        <f t="shared" ref="AC125" si="168">IF(ISBLANK(H$5),"",1)</f>
        <v/>
      </c>
      <c r="AD125" s="1304">
        <v>4.4000000000000004</v>
      </c>
      <c r="AE125" s="1198" t="s">
        <v>359</v>
      </c>
      <c r="AF125" s="1162"/>
      <c r="AG125" s="1162"/>
      <c r="AH125" s="1162"/>
      <c r="AI125" s="1162"/>
      <c r="AJ125" s="1199"/>
      <c r="AK125" s="1226" t="str">
        <f t="shared" ref="AK125" si="169">IF(ISBLANK(L$5),"",1)</f>
        <v/>
      </c>
      <c r="AL125" s="1196">
        <v>4.4000000000000004</v>
      </c>
      <c r="AM125" s="1198" t="s">
        <v>887</v>
      </c>
      <c r="AN125" s="1162"/>
      <c r="AO125" s="1162"/>
      <c r="AP125" s="1162"/>
      <c r="AQ125" s="1162"/>
      <c r="AR125" s="1199"/>
      <c r="AS125" s="1226" t="str">
        <f t="shared" ref="AS125" si="170">IF(ISBLANK(P$5),"",1)</f>
        <v/>
      </c>
      <c r="AT125" s="1304">
        <v>4.4000000000000004</v>
      </c>
      <c r="AU125" s="1198" t="s">
        <v>359</v>
      </c>
      <c r="AV125" s="1162"/>
      <c r="AW125" s="1162"/>
      <c r="AX125" s="1162"/>
      <c r="AY125" s="1162"/>
      <c r="AZ125" s="1199"/>
      <c r="BA125" s="1226" t="str">
        <f t="shared" ref="BA125" si="171">IF(ISBLANK(T$5),"",1)</f>
        <v/>
      </c>
      <c r="BB125" s="1304">
        <v>4.4000000000000004</v>
      </c>
      <c r="BC125" s="1198" t="s">
        <v>359</v>
      </c>
      <c r="BD125" s="1162"/>
      <c r="BE125" s="1162"/>
      <c r="BF125" s="1162"/>
      <c r="BG125" s="1162"/>
      <c r="BH125" s="1199"/>
      <c r="BI125" s="1226" t="str">
        <f t="shared" ref="BI125" si="172">IF(ISBLANK(X$5),"",1)</f>
        <v/>
      </c>
      <c r="BJ125" s="1337"/>
      <c r="BK125" s="1338"/>
      <c r="BL125" s="1338"/>
      <c r="BM125" s="1338"/>
      <c r="BN125" s="1338"/>
      <c r="BO125" s="1339"/>
    </row>
    <row r="126" spans="1:67" ht="15" customHeight="1">
      <c r="A126" s="252"/>
      <c r="B126" s="243"/>
      <c r="C126" s="242"/>
      <c r="D126" s="242"/>
      <c r="F126" s="278">
        <v>1.5</v>
      </c>
      <c r="G126" s="311">
        <f t="shared" ref="G126:G128" si="173">COUNTIF($A$98:$A$124,F126)</f>
        <v>1</v>
      </c>
      <c r="H126" s="240" t="str">
        <f t="shared" ref="H126:H128" si="174">IF($D$5=1,SUMIF($A$98:$A$124,$F126,$H$98:$H$124),"")</f>
        <v/>
      </c>
      <c r="I126" s="240" t="str">
        <f t="shared" ref="I126:I128" si="175">IF($H$5=1,SUMIF($A$98:$A$124,$F126,$I$98:$I$124),"")</f>
        <v/>
      </c>
      <c r="J126" s="240" t="str">
        <f t="shared" ref="J126:J128" si="176">IF($L$5=1,SUMIF($A$98:$A$124,$F126,$J$98:$J$124),"")</f>
        <v/>
      </c>
      <c r="K126" s="240" t="str">
        <f t="shared" ref="K126:K128" si="177">IF($P$5=1,SUMIF($A$98:$A$124,$F126,$K$98:$K$124),"")</f>
        <v/>
      </c>
      <c r="L126" s="240" t="str">
        <f t="shared" ref="L126:L128" si="178">IF($T$5=1,SUMIF($A$98:$A$124,$F126,$L$98:$L$124),"")</f>
        <v/>
      </c>
      <c r="M126" s="240" t="str">
        <f t="shared" ref="M126:M127" si="179">IF($X$5=1,SUMIF($A$98:$A$124,$F126,$M$98:$M$124),"")</f>
        <v/>
      </c>
      <c r="N126" s="1290"/>
      <c r="O126" s="1163"/>
      <c r="P126" s="1164"/>
      <c r="Q126" s="1164"/>
      <c r="R126" s="1164"/>
      <c r="S126" s="1164"/>
      <c r="T126" s="1201"/>
      <c r="U126" s="1269"/>
      <c r="V126" s="1308"/>
      <c r="W126" s="1317"/>
      <c r="X126" s="1296"/>
      <c r="Y126" s="1296"/>
      <c r="Z126" s="1296"/>
      <c r="AA126" s="1296"/>
      <c r="AB126" s="1318"/>
      <c r="AC126" s="1269"/>
      <c r="AD126" s="1290"/>
      <c r="AE126" s="1200"/>
      <c r="AF126" s="1164"/>
      <c r="AG126" s="1164"/>
      <c r="AH126" s="1164"/>
      <c r="AI126" s="1164"/>
      <c r="AJ126" s="1201"/>
      <c r="AK126" s="1342"/>
      <c r="AL126" s="1197"/>
      <c r="AM126" s="1200"/>
      <c r="AN126" s="1164"/>
      <c r="AO126" s="1164"/>
      <c r="AP126" s="1164"/>
      <c r="AQ126" s="1164"/>
      <c r="AR126" s="1201"/>
      <c r="AS126" s="1342"/>
      <c r="AT126" s="1290"/>
      <c r="AU126" s="1200"/>
      <c r="AV126" s="1164"/>
      <c r="AW126" s="1164"/>
      <c r="AX126" s="1164"/>
      <c r="AY126" s="1164"/>
      <c r="AZ126" s="1201"/>
      <c r="BA126" s="1342"/>
      <c r="BB126" s="1290"/>
      <c r="BC126" s="1200"/>
      <c r="BD126" s="1164"/>
      <c r="BE126" s="1164"/>
      <c r="BF126" s="1164"/>
      <c r="BG126" s="1164"/>
      <c r="BH126" s="1201"/>
      <c r="BI126" s="1342"/>
      <c r="BJ126" s="1222"/>
      <c r="BK126" s="1223"/>
      <c r="BL126" s="1223"/>
      <c r="BM126" s="1223"/>
      <c r="BN126" s="1223"/>
      <c r="BO126" s="1224"/>
    </row>
    <row r="127" spans="1:67" ht="15" customHeight="1">
      <c r="A127" s="249"/>
      <c r="B127" s="249"/>
      <c r="C127" s="249"/>
      <c r="D127" s="249"/>
      <c r="F127" s="277">
        <v>2.1</v>
      </c>
      <c r="G127" s="311">
        <f t="shared" si="173"/>
        <v>2</v>
      </c>
      <c r="H127" s="240" t="str">
        <f t="shared" si="174"/>
        <v/>
      </c>
      <c r="I127" s="240" t="str">
        <f t="shared" si="175"/>
        <v/>
      </c>
      <c r="J127" s="240" t="str">
        <f t="shared" si="176"/>
        <v/>
      </c>
      <c r="K127" s="240" t="str">
        <f t="shared" si="177"/>
        <v/>
      </c>
      <c r="L127" s="240" t="str">
        <f t="shared" si="178"/>
        <v/>
      </c>
      <c r="M127" s="240" t="str">
        <f t="shared" si="179"/>
        <v/>
      </c>
      <c r="N127" s="1291"/>
      <c r="O127" s="1165"/>
      <c r="P127" s="1166"/>
      <c r="Q127" s="1166"/>
      <c r="R127" s="1166"/>
      <c r="S127" s="1166"/>
      <c r="T127" s="1292"/>
      <c r="U127" s="1270"/>
      <c r="V127" s="1309"/>
      <c r="W127" s="1319"/>
      <c r="X127" s="1320"/>
      <c r="Y127" s="1320"/>
      <c r="Z127" s="1320"/>
      <c r="AA127" s="1320"/>
      <c r="AB127" s="1321"/>
      <c r="AC127" s="1270"/>
      <c r="AD127" s="1291"/>
      <c r="AE127" s="1202"/>
      <c r="AF127" s="1203"/>
      <c r="AG127" s="1203"/>
      <c r="AH127" s="1203"/>
      <c r="AI127" s="1203"/>
      <c r="AJ127" s="1204"/>
      <c r="AK127" s="1342"/>
      <c r="AL127" s="1197"/>
      <c r="AM127" s="1202"/>
      <c r="AN127" s="1203"/>
      <c r="AO127" s="1203"/>
      <c r="AP127" s="1203"/>
      <c r="AQ127" s="1203"/>
      <c r="AR127" s="1204"/>
      <c r="AS127" s="1342"/>
      <c r="AT127" s="1291"/>
      <c r="AU127" s="1202"/>
      <c r="AV127" s="1203"/>
      <c r="AW127" s="1203"/>
      <c r="AX127" s="1203"/>
      <c r="AY127" s="1203"/>
      <c r="AZ127" s="1204"/>
      <c r="BA127" s="1342"/>
      <c r="BB127" s="1291"/>
      <c r="BC127" s="1202"/>
      <c r="BD127" s="1203"/>
      <c r="BE127" s="1203"/>
      <c r="BF127" s="1203"/>
      <c r="BG127" s="1203"/>
      <c r="BH127" s="1204"/>
      <c r="BI127" s="1342"/>
    </row>
    <row r="128" spans="1:67" ht="15" customHeight="1">
      <c r="F128" s="277">
        <v>2.4</v>
      </c>
      <c r="G128" s="311">
        <f t="shared" si="173"/>
        <v>2</v>
      </c>
      <c r="H128" s="240" t="str">
        <f t="shared" si="174"/>
        <v/>
      </c>
      <c r="I128" s="240" t="str">
        <f t="shared" si="175"/>
        <v/>
      </c>
      <c r="J128" s="240" t="str">
        <f t="shared" si="176"/>
        <v/>
      </c>
      <c r="K128" s="240" t="str">
        <f t="shared" si="177"/>
        <v/>
      </c>
      <c r="L128" s="240" t="str">
        <f t="shared" si="178"/>
        <v/>
      </c>
      <c r="M128" s="240" t="str">
        <f>IF($X$5=1,SUMIF($A$98:$A$124,$F128,$M$98:$M$124),"")</f>
        <v/>
      </c>
      <c r="N128" s="1307">
        <v>1.5</v>
      </c>
      <c r="O128" s="1315" t="s">
        <v>373</v>
      </c>
      <c r="P128" s="1311"/>
      <c r="Q128" s="1311"/>
      <c r="R128" s="1311"/>
      <c r="S128" s="1311"/>
      <c r="T128" s="1316"/>
      <c r="U128" s="1399" t="str">
        <f t="shared" ref="U128" si="180">IF(ISBLANK(D$5),"",1)</f>
        <v/>
      </c>
      <c r="V128" s="1322">
        <v>4.4000000000000004</v>
      </c>
      <c r="W128" s="1161" t="s">
        <v>397</v>
      </c>
      <c r="X128" s="1162"/>
      <c r="Y128" s="1162"/>
      <c r="Z128" s="1162"/>
      <c r="AA128" s="1162"/>
      <c r="AB128" s="1199"/>
      <c r="AC128" s="1399" t="str">
        <f t="shared" ref="AC128" si="181">IF(ISBLANK(H$5),"",1)</f>
        <v/>
      </c>
      <c r="AD128" s="1258">
        <v>4.4000000000000004</v>
      </c>
      <c r="AE128" s="1198" t="s">
        <v>395</v>
      </c>
      <c r="AF128" s="1162"/>
      <c r="AG128" s="1162"/>
      <c r="AH128" s="1162"/>
      <c r="AI128" s="1162"/>
      <c r="AJ128" s="1199"/>
      <c r="AK128" s="1226" t="str">
        <f t="shared" ref="AK128" si="182">IF(ISBLANK(L$5),"",1)</f>
        <v/>
      </c>
      <c r="AL128" s="1304">
        <v>4.4000000000000004</v>
      </c>
      <c r="AM128" s="1198" t="s">
        <v>395</v>
      </c>
      <c r="AN128" s="1162"/>
      <c r="AO128" s="1162"/>
      <c r="AP128" s="1162"/>
      <c r="AQ128" s="1162"/>
      <c r="AR128" s="1199"/>
      <c r="AS128" s="1226" t="str">
        <f t="shared" ref="AS128" si="183">IF(ISBLANK(P$5),"",1)</f>
        <v/>
      </c>
      <c r="AT128" s="1258">
        <v>4.4000000000000004</v>
      </c>
      <c r="AU128" s="1198" t="s">
        <v>395</v>
      </c>
      <c r="AV128" s="1162"/>
      <c r="AW128" s="1162"/>
      <c r="AX128" s="1162"/>
      <c r="AY128" s="1162"/>
      <c r="AZ128" s="1199"/>
      <c r="BA128" s="1226" t="str">
        <f t="shared" ref="BA128" si="184">IF(ISBLANK(T$5),"",1)</f>
        <v/>
      </c>
      <c r="BB128" s="1258">
        <v>4.4000000000000004</v>
      </c>
      <c r="BC128" s="1198" t="s">
        <v>395</v>
      </c>
      <c r="BD128" s="1162"/>
      <c r="BE128" s="1162"/>
      <c r="BF128" s="1162"/>
      <c r="BG128" s="1162"/>
      <c r="BH128" s="1199"/>
      <c r="BI128" s="1226" t="str">
        <f t="shared" ref="BI128" si="185">IF(ISBLANK(X$5),"",1)</f>
        <v/>
      </c>
    </row>
    <row r="129" spans="1:65" ht="15" customHeight="1">
      <c r="N129" s="1308"/>
      <c r="O129" s="1317"/>
      <c r="P129" s="1296"/>
      <c r="Q129" s="1296"/>
      <c r="R129" s="1296"/>
      <c r="S129" s="1296"/>
      <c r="T129" s="1318"/>
      <c r="U129" s="1269"/>
      <c r="V129" s="1293"/>
      <c r="W129" s="1163"/>
      <c r="X129" s="1164"/>
      <c r="Y129" s="1164"/>
      <c r="Z129" s="1164"/>
      <c r="AA129" s="1164"/>
      <c r="AB129" s="1201"/>
      <c r="AC129" s="1269"/>
      <c r="AD129" s="1258"/>
      <c r="AE129" s="1200"/>
      <c r="AF129" s="1164"/>
      <c r="AG129" s="1164"/>
      <c r="AH129" s="1164"/>
      <c r="AI129" s="1164"/>
      <c r="AJ129" s="1201"/>
      <c r="AK129" s="1342"/>
      <c r="AL129" s="1290"/>
      <c r="AM129" s="1200"/>
      <c r="AN129" s="1164"/>
      <c r="AO129" s="1164"/>
      <c r="AP129" s="1164"/>
      <c r="AQ129" s="1164"/>
      <c r="AR129" s="1201"/>
      <c r="AS129" s="1342"/>
      <c r="AT129" s="1258"/>
      <c r="AU129" s="1200"/>
      <c r="AV129" s="1164"/>
      <c r="AW129" s="1164"/>
      <c r="AX129" s="1164"/>
      <c r="AY129" s="1164"/>
      <c r="AZ129" s="1201"/>
      <c r="BA129" s="1342"/>
      <c r="BB129" s="1258"/>
      <c r="BC129" s="1200"/>
      <c r="BD129" s="1164"/>
      <c r="BE129" s="1164"/>
      <c r="BF129" s="1164"/>
      <c r="BG129" s="1164"/>
      <c r="BH129" s="1201"/>
      <c r="BI129" s="1342"/>
    </row>
    <row r="130" spans="1:65" ht="15" customHeight="1">
      <c r="A130" s="1209"/>
      <c r="B130" s="1210" t="s">
        <v>609</v>
      </c>
      <c r="C130" s="1211"/>
      <c r="D130" s="1211"/>
      <c r="E130" s="1211"/>
      <c r="F130" s="1211"/>
      <c r="G130" s="1211"/>
      <c r="H130" s="1174">
        <v>1</v>
      </c>
      <c r="I130" s="1174">
        <v>2</v>
      </c>
      <c r="J130" s="1174">
        <v>3</v>
      </c>
      <c r="K130" s="1174">
        <v>4</v>
      </c>
      <c r="L130" s="1174">
        <v>5</v>
      </c>
      <c r="M130" s="1174">
        <v>6</v>
      </c>
      <c r="N130" s="1309"/>
      <c r="O130" s="1319"/>
      <c r="P130" s="1320"/>
      <c r="Q130" s="1320"/>
      <c r="R130" s="1320"/>
      <c r="S130" s="1320"/>
      <c r="T130" s="1321"/>
      <c r="U130" s="1270"/>
      <c r="V130" s="1306"/>
      <c r="W130" s="1165"/>
      <c r="X130" s="1166"/>
      <c r="Y130" s="1166"/>
      <c r="Z130" s="1166"/>
      <c r="AA130" s="1166"/>
      <c r="AB130" s="1292"/>
      <c r="AC130" s="1270"/>
      <c r="AD130" s="1258"/>
      <c r="AE130" s="1202"/>
      <c r="AF130" s="1203"/>
      <c r="AG130" s="1203"/>
      <c r="AH130" s="1203"/>
      <c r="AI130" s="1203"/>
      <c r="AJ130" s="1204"/>
      <c r="AK130" s="1342"/>
      <c r="AL130" s="1291"/>
      <c r="AM130" s="1202"/>
      <c r="AN130" s="1203"/>
      <c r="AO130" s="1203"/>
      <c r="AP130" s="1203"/>
      <c r="AQ130" s="1203"/>
      <c r="AR130" s="1204"/>
      <c r="AS130" s="1342"/>
      <c r="AT130" s="1258"/>
      <c r="AU130" s="1202"/>
      <c r="AV130" s="1203"/>
      <c r="AW130" s="1203"/>
      <c r="AX130" s="1203"/>
      <c r="AY130" s="1203"/>
      <c r="AZ130" s="1204"/>
      <c r="BA130" s="1342"/>
      <c r="BB130" s="1258"/>
      <c r="BC130" s="1202"/>
      <c r="BD130" s="1203"/>
      <c r="BE130" s="1203"/>
      <c r="BF130" s="1203"/>
      <c r="BG130" s="1203"/>
      <c r="BH130" s="1204"/>
      <c r="BI130" s="1342"/>
    </row>
    <row r="131" spans="1:65" ht="15" customHeight="1">
      <c r="A131" s="1209"/>
      <c r="B131" s="1212"/>
      <c r="C131" s="1213"/>
      <c r="D131" s="1213"/>
      <c r="E131" s="1213"/>
      <c r="F131" s="1213"/>
      <c r="G131" s="1213"/>
      <c r="H131" s="1174"/>
      <c r="I131" s="1174"/>
      <c r="J131" s="1174"/>
      <c r="K131" s="1174"/>
      <c r="L131" s="1174"/>
      <c r="M131" s="1174"/>
      <c r="N131" s="1301">
        <v>4.4000000000000004</v>
      </c>
      <c r="O131" s="1161" t="s">
        <v>397</v>
      </c>
      <c r="P131" s="1162"/>
      <c r="Q131" s="1162"/>
      <c r="R131" s="1162"/>
      <c r="S131" s="1162"/>
      <c r="T131" s="1199"/>
      <c r="U131" s="1399" t="str">
        <f t="shared" ref="U131" si="186">IF(ISBLANK(D$5),"",1)</f>
        <v/>
      </c>
      <c r="V131" s="247"/>
      <c r="W131" s="52"/>
      <c r="AA131" s="273">
        <v>1.5</v>
      </c>
      <c r="AB131" s="240">
        <f>COUNTIF(V98:V130,AA131)</f>
        <v>1</v>
      </c>
      <c r="AC131" s="240" t="str">
        <f>IF($H$5=1,SUMIF($V$98:$V$130,AA131,$AC$98:$AC$130),"")</f>
        <v/>
      </c>
      <c r="AD131" s="1304">
        <v>4.4000000000000004</v>
      </c>
      <c r="AE131" s="1198" t="s">
        <v>878</v>
      </c>
      <c r="AF131" s="1162"/>
      <c r="AG131" s="1162"/>
      <c r="AH131" s="1162"/>
      <c r="AI131" s="1162"/>
      <c r="AJ131" s="1199"/>
      <c r="AK131" s="1226" t="str">
        <f t="shared" ref="AK131" si="187">IF(ISBLANK(L$5),"",1)</f>
        <v/>
      </c>
      <c r="AL131" s="1196">
        <v>4.4000000000000004</v>
      </c>
      <c r="AM131" s="1198" t="s">
        <v>878</v>
      </c>
      <c r="AN131" s="1162"/>
      <c r="AO131" s="1162"/>
      <c r="AP131" s="1162"/>
      <c r="AQ131" s="1162"/>
      <c r="AR131" s="1199"/>
      <c r="AS131" s="1226" t="str">
        <f t="shared" ref="AS131" si="188">IF(ISBLANK(P$5),"",1)</f>
        <v/>
      </c>
      <c r="AT131" s="1304">
        <v>4.4000000000000004</v>
      </c>
      <c r="AU131" s="1198" t="s">
        <v>878</v>
      </c>
      <c r="AV131" s="1162"/>
      <c r="AW131" s="1162"/>
      <c r="AX131" s="1162"/>
      <c r="AY131" s="1162"/>
      <c r="AZ131" s="1199"/>
      <c r="BA131" s="1226" t="str">
        <f t="shared" ref="BA131" si="189">IF(ISBLANK(T$5),"",1)</f>
        <v/>
      </c>
      <c r="BB131" s="1304">
        <v>4.4000000000000004</v>
      </c>
      <c r="BC131" s="1198" t="s">
        <v>878</v>
      </c>
      <c r="BD131" s="1162"/>
      <c r="BE131" s="1162"/>
      <c r="BF131" s="1162"/>
      <c r="BG131" s="1162"/>
      <c r="BH131" s="1199"/>
      <c r="BI131" s="1226" t="str">
        <f t="shared" ref="BI131" si="190">IF(ISBLANK(X$5),"",1)</f>
        <v/>
      </c>
    </row>
    <row r="132" spans="1:65" ht="15" customHeight="1">
      <c r="A132" s="1336">
        <v>3.1</v>
      </c>
      <c r="B132" s="1198" t="s">
        <v>366</v>
      </c>
      <c r="C132" s="1162"/>
      <c r="D132" s="1162"/>
      <c r="E132" s="1162"/>
      <c r="F132" s="1162"/>
      <c r="G132" s="1265"/>
      <c r="H132" s="1268" t="str">
        <f t="shared" ref="H132" si="191">IF(ISBLANK(D$5),"",1)</f>
        <v/>
      </c>
      <c r="I132" s="1205" t="str">
        <f t="shared" ref="I132" si="192">IF(ISBLANK(H$5),"",1)</f>
        <v/>
      </c>
      <c r="J132" s="1205" t="str">
        <f t="shared" ref="J132" si="193">IF(ISBLANK(L$5),"",1)</f>
        <v/>
      </c>
      <c r="K132" s="1205" t="str">
        <f t="shared" ref="K132" si="194">IF(ISBLANK(P$5),"",1)</f>
        <v/>
      </c>
      <c r="L132" s="1205" t="str">
        <f t="shared" ref="L132" si="195">IF(ISBLANK(T$5),"",1)</f>
        <v/>
      </c>
      <c r="M132" s="1248" t="str">
        <f t="shared" ref="M132" si="196">IF(ISBLANK(X$5),"",1)</f>
        <v/>
      </c>
      <c r="N132" s="1302"/>
      <c r="O132" s="1163"/>
      <c r="P132" s="1164"/>
      <c r="Q132" s="1164"/>
      <c r="R132" s="1164"/>
      <c r="S132" s="1164"/>
      <c r="T132" s="1201"/>
      <c r="U132" s="1269"/>
      <c r="V132" s="248"/>
      <c r="W132" s="52"/>
      <c r="AA132" s="275">
        <v>4.3</v>
      </c>
      <c r="AB132" s="240">
        <f>COUNTIF(V98:V130,AA132)</f>
        <v>4</v>
      </c>
      <c r="AC132" s="240" t="str">
        <f>IF($H$5=1,SUMIF($V$98:$V$130,AA132,$AC$98:$AC$130),"")</f>
        <v/>
      </c>
      <c r="AD132" s="1290"/>
      <c r="AE132" s="1200"/>
      <c r="AF132" s="1164"/>
      <c r="AG132" s="1164"/>
      <c r="AH132" s="1164"/>
      <c r="AI132" s="1164"/>
      <c r="AJ132" s="1201"/>
      <c r="AK132" s="1342"/>
      <c r="AL132" s="1197"/>
      <c r="AM132" s="1200"/>
      <c r="AN132" s="1164"/>
      <c r="AO132" s="1164"/>
      <c r="AP132" s="1164"/>
      <c r="AQ132" s="1164"/>
      <c r="AR132" s="1201"/>
      <c r="AS132" s="1342"/>
      <c r="AT132" s="1290"/>
      <c r="AU132" s="1200"/>
      <c r="AV132" s="1164"/>
      <c r="AW132" s="1164"/>
      <c r="AX132" s="1164"/>
      <c r="AY132" s="1164"/>
      <c r="AZ132" s="1201"/>
      <c r="BA132" s="1342"/>
      <c r="BB132" s="1290"/>
      <c r="BC132" s="1200"/>
      <c r="BD132" s="1164"/>
      <c r="BE132" s="1164"/>
      <c r="BF132" s="1164"/>
      <c r="BG132" s="1164"/>
      <c r="BH132" s="1201"/>
      <c r="BI132" s="1342"/>
    </row>
    <row r="133" spans="1:65" ht="15" customHeight="1">
      <c r="A133" s="1159"/>
      <c r="B133" s="1200"/>
      <c r="C133" s="1164"/>
      <c r="D133" s="1164"/>
      <c r="E133" s="1164"/>
      <c r="F133" s="1164"/>
      <c r="G133" s="1266"/>
      <c r="H133" s="1269"/>
      <c r="I133" s="1206"/>
      <c r="J133" s="1206"/>
      <c r="K133" s="1206"/>
      <c r="L133" s="1206"/>
      <c r="M133" s="1206"/>
      <c r="N133" s="1303"/>
      <c r="O133" s="1165"/>
      <c r="P133" s="1166"/>
      <c r="Q133" s="1166"/>
      <c r="R133" s="1166"/>
      <c r="S133" s="1166"/>
      <c r="T133" s="1292"/>
      <c r="U133" s="1270"/>
      <c r="V133" s="248"/>
      <c r="W133" s="52"/>
      <c r="AA133" s="276">
        <v>4.4000000000000004</v>
      </c>
      <c r="AB133" s="240">
        <f>COUNTIF(V98:V130,AA133)</f>
        <v>6</v>
      </c>
      <c r="AC133" s="240" t="str">
        <f>IF($H$5=1,SUMIF($V$98:$V$130,AA133,$AC$98:$AC$130),"")</f>
        <v/>
      </c>
      <c r="AD133" s="1291"/>
      <c r="AE133" s="1202"/>
      <c r="AF133" s="1203"/>
      <c r="AG133" s="1203"/>
      <c r="AH133" s="1203"/>
      <c r="AI133" s="1203"/>
      <c r="AJ133" s="1204"/>
      <c r="AK133" s="1342"/>
      <c r="AL133" s="1197"/>
      <c r="AM133" s="1202"/>
      <c r="AN133" s="1203"/>
      <c r="AO133" s="1203"/>
      <c r="AP133" s="1203"/>
      <c r="AQ133" s="1203"/>
      <c r="AR133" s="1204"/>
      <c r="AS133" s="1342"/>
      <c r="AT133" s="1291"/>
      <c r="AU133" s="1202"/>
      <c r="AV133" s="1203"/>
      <c r="AW133" s="1203"/>
      <c r="AX133" s="1203"/>
      <c r="AY133" s="1203"/>
      <c r="AZ133" s="1204"/>
      <c r="BA133" s="1342"/>
      <c r="BB133" s="1291"/>
      <c r="BC133" s="1202"/>
      <c r="BD133" s="1203"/>
      <c r="BE133" s="1203"/>
      <c r="BF133" s="1203"/>
      <c r="BG133" s="1203"/>
      <c r="BH133" s="1204"/>
      <c r="BI133" s="1342"/>
    </row>
    <row r="134" spans="1:65" ht="15" customHeight="1">
      <c r="A134" s="1160"/>
      <c r="B134" s="1200"/>
      <c r="C134" s="1164"/>
      <c r="D134" s="1164"/>
      <c r="E134" s="1164"/>
      <c r="F134" s="1164"/>
      <c r="G134" s="1266"/>
      <c r="H134" s="1270"/>
      <c r="I134" s="1207"/>
      <c r="J134" s="1207"/>
      <c r="K134" s="1207"/>
      <c r="L134" s="1207"/>
      <c r="M134" s="1207"/>
      <c r="N134" s="242"/>
      <c r="O134" s="52"/>
      <c r="Q134" s="247"/>
      <c r="S134" s="273">
        <v>1.5</v>
      </c>
      <c r="T134" s="240">
        <f>COUNTIF(N98:N133,S134)</f>
        <v>1</v>
      </c>
      <c r="U134" s="240" t="str">
        <f>IF($D$5=1,SUMIF($N$98:$N$133,S134,$U$98:$U$133),"")</f>
        <v/>
      </c>
      <c r="V134" s="242"/>
      <c r="W134" s="52"/>
      <c r="AD134" s="1307">
        <v>1.5</v>
      </c>
      <c r="AE134" s="1198" t="s">
        <v>373</v>
      </c>
      <c r="AF134" s="1162"/>
      <c r="AG134" s="1162"/>
      <c r="AH134" s="1162"/>
      <c r="AI134" s="1162"/>
      <c r="AJ134" s="1199"/>
      <c r="AK134" s="1226" t="str">
        <f t="shared" ref="AK134" si="197">IF(ISBLANK(L$5),"",1)</f>
        <v/>
      </c>
      <c r="AL134" s="1304">
        <v>1.5</v>
      </c>
      <c r="AM134" s="1198" t="s">
        <v>373</v>
      </c>
      <c r="AN134" s="1162"/>
      <c r="AO134" s="1162"/>
      <c r="AP134" s="1162"/>
      <c r="AQ134" s="1162"/>
      <c r="AR134" s="1199"/>
      <c r="AS134" s="1226" t="str">
        <f t="shared" ref="AS134" si="198">IF(ISBLANK(P$5),"",1)</f>
        <v/>
      </c>
      <c r="AT134" s="1307">
        <v>1.5</v>
      </c>
      <c r="AU134" s="1198" t="s">
        <v>373</v>
      </c>
      <c r="AV134" s="1162"/>
      <c r="AW134" s="1162"/>
      <c r="AX134" s="1162"/>
      <c r="AY134" s="1162"/>
      <c r="AZ134" s="1199"/>
      <c r="BA134" s="1226" t="str">
        <f t="shared" ref="BA134" si="199">IF(ISBLANK(T$5),"",1)</f>
        <v/>
      </c>
      <c r="BB134" s="1307">
        <v>1.5</v>
      </c>
      <c r="BC134" s="1198" t="s">
        <v>373</v>
      </c>
      <c r="BD134" s="1162"/>
      <c r="BE134" s="1162"/>
      <c r="BF134" s="1162"/>
      <c r="BG134" s="1162"/>
      <c r="BH134" s="1199"/>
      <c r="BI134" s="1226" t="str">
        <f t="shared" ref="BI134" si="200">IF(ISBLANK(X$5),"",1)</f>
        <v/>
      </c>
    </row>
    <row r="135" spans="1:65" ht="15" customHeight="1">
      <c r="A135" s="1336">
        <v>1.4</v>
      </c>
      <c r="B135" s="1198" t="s">
        <v>943</v>
      </c>
      <c r="C135" s="1162"/>
      <c r="D135" s="1162"/>
      <c r="E135" s="1162"/>
      <c r="F135" s="1162"/>
      <c r="G135" s="1265"/>
      <c r="H135" s="1268" t="str">
        <f t="shared" ref="H135" si="201">IF(ISBLANK(D$5),"",1)</f>
        <v/>
      </c>
      <c r="I135" s="1205" t="str">
        <f t="shared" ref="I135" si="202">IF(ISBLANK(H$5),"",1)</f>
        <v/>
      </c>
      <c r="J135" s="1205" t="str">
        <f t="shared" ref="J135" si="203">IF(ISBLANK(L$5),"",1)</f>
        <v/>
      </c>
      <c r="K135" s="1205" t="str">
        <f t="shared" ref="K135" si="204">IF(ISBLANK(P$5),"",1)</f>
        <v/>
      </c>
      <c r="L135" s="1205" t="str">
        <f t="shared" ref="L135" si="205">IF(ISBLANK(T$5),"",1)</f>
        <v/>
      </c>
      <c r="M135" s="1248" t="str">
        <f t="shared" ref="M135" si="206">IF(ISBLANK(X$5),"",1)</f>
        <v/>
      </c>
      <c r="N135" s="242"/>
      <c r="O135" s="52"/>
      <c r="Q135" s="248"/>
      <c r="S135" s="275">
        <v>4.3</v>
      </c>
      <c r="T135" s="240">
        <f>COUNTIF(N98:N133,S135)</f>
        <v>3</v>
      </c>
      <c r="U135" s="240" t="str">
        <f>IF($D$5=1,SUMIF($N$98:$N$133,S135,$U$98:$U$133),"")</f>
        <v/>
      </c>
      <c r="V135" s="242"/>
      <c r="W135" s="52"/>
      <c r="AD135" s="1308"/>
      <c r="AE135" s="1200"/>
      <c r="AF135" s="1164"/>
      <c r="AG135" s="1164"/>
      <c r="AH135" s="1164"/>
      <c r="AI135" s="1164"/>
      <c r="AJ135" s="1201"/>
      <c r="AK135" s="1342"/>
      <c r="AL135" s="1290"/>
      <c r="AM135" s="1200"/>
      <c r="AN135" s="1164"/>
      <c r="AO135" s="1164"/>
      <c r="AP135" s="1164"/>
      <c r="AQ135" s="1164"/>
      <c r="AR135" s="1201"/>
      <c r="AS135" s="1342"/>
      <c r="AT135" s="1308"/>
      <c r="AU135" s="1200"/>
      <c r="AV135" s="1164"/>
      <c r="AW135" s="1164"/>
      <c r="AX135" s="1164"/>
      <c r="AY135" s="1164"/>
      <c r="AZ135" s="1201"/>
      <c r="BA135" s="1342"/>
      <c r="BB135" s="1308"/>
      <c r="BC135" s="1200"/>
      <c r="BD135" s="1164"/>
      <c r="BE135" s="1164"/>
      <c r="BF135" s="1164"/>
      <c r="BG135" s="1164"/>
      <c r="BH135" s="1201"/>
      <c r="BI135" s="1342"/>
    </row>
    <row r="136" spans="1:65" ht="15" customHeight="1">
      <c r="A136" s="1159"/>
      <c r="B136" s="1200"/>
      <c r="C136" s="1164"/>
      <c r="D136" s="1164"/>
      <c r="E136" s="1164"/>
      <c r="F136" s="1164"/>
      <c r="G136" s="1266"/>
      <c r="H136" s="1269"/>
      <c r="I136" s="1206"/>
      <c r="J136" s="1206"/>
      <c r="K136" s="1206"/>
      <c r="L136" s="1206"/>
      <c r="M136" s="1206"/>
      <c r="N136" s="242"/>
      <c r="O136" s="52"/>
      <c r="Q136" s="248"/>
      <c r="S136" s="276">
        <v>4.4000000000000004</v>
      </c>
      <c r="T136" s="240">
        <f>COUNTIF(N98:N133,S136)</f>
        <v>8</v>
      </c>
      <c r="U136" s="240" t="str">
        <f>IF($D$5=1,SUMIF($N$98:$N$133,S136,$U$98:$U$133),"")</f>
        <v/>
      </c>
      <c r="W136" s="52"/>
      <c r="AD136" s="1309"/>
      <c r="AE136" s="1202"/>
      <c r="AF136" s="1203"/>
      <c r="AG136" s="1203"/>
      <c r="AH136" s="1203"/>
      <c r="AI136" s="1203"/>
      <c r="AJ136" s="1204"/>
      <c r="AK136" s="1342"/>
      <c r="AL136" s="1291"/>
      <c r="AM136" s="1202"/>
      <c r="AN136" s="1203"/>
      <c r="AO136" s="1203"/>
      <c r="AP136" s="1203"/>
      <c r="AQ136" s="1203"/>
      <c r="AR136" s="1204"/>
      <c r="AS136" s="1342"/>
      <c r="AT136" s="1309"/>
      <c r="AU136" s="1202"/>
      <c r="AV136" s="1203"/>
      <c r="AW136" s="1203"/>
      <c r="AX136" s="1203"/>
      <c r="AY136" s="1203"/>
      <c r="AZ136" s="1204"/>
      <c r="BA136" s="1342"/>
      <c r="BB136" s="1309"/>
      <c r="BC136" s="1202"/>
      <c r="BD136" s="1203"/>
      <c r="BE136" s="1203"/>
      <c r="BF136" s="1203"/>
      <c r="BG136" s="1203"/>
      <c r="BH136" s="1204"/>
      <c r="BI136" s="1342"/>
    </row>
    <row r="137" spans="1:65" ht="15" customHeight="1">
      <c r="A137" s="1160"/>
      <c r="B137" s="1200"/>
      <c r="C137" s="1164"/>
      <c r="D137" s="1164"/>
      <c r="E137" s="1164"/>
      <c r="F137" s="1164"/>
      <c r="G137" s="1266"/>
      <c r="H137" s="1270"/>
      <c r="I137" s="1207"/>
      <c r="J137" s="1207"/>
      <c r="K137" s="1207"/>
      <c r="L137" s="1207"/>
      <c r="M137" s="1207"/>
      <c r="N137" s="242"/>
      <c r="O137" s="52"/>
      <c r="Q137" s="248"/>
      <c r="S137" s="332"/>
      <c r="T137" s="332"/>
      <c r="U137" s="332"/>
      <c r="W137" s="52"/>
      <c r="AD137" s="1307">
        <v>4.4000000000000004</v>
      </c>
      <c r="AE137" s="1198" t="s">
        <v>397</v>
      </c>
      <c r="AF137" s="1162"/>
      <c r="AG137" s="1162"/>
      <c r="AH137" s="1162"/>
      <c r="AI137" s="1162"/>
      <c r="AJ137" s="1199"/>
      <c r="AK137" s="1226" t="str">
        <f t="shared" ref="AK137" si="207">IF(ISBLANK(L$5),"",1)</f>
        <v/>
      </c>
      <c r="AM137" s="242"/>
      <c r="AO137" s="52"/>
      <c r="AQ137" s="273">
        <v>1.5</v>
      </c>
      <c r="AR137" s="240">
        <f>COUNTIF($AL$98:$AL$136,AQ137)</f>
        <v>1</v>
      </c>
      <c r="AS137" s="240" t="str">
        <f>IF($P$5=1,SUMIF($AL$98:$AL$136,AQ137,$AS$98:$AS$136),"")</f>
        <v/>
      </c>
      <c r="AT137" s="1307">
        <v>4.4000000000000004</v>
      </c>
      <c r="AU137" s="1198" t="s">
        <v>397</v>
      </c>
      <c r="AV137" s="1162"/>
      <c r="AW137" s="1162"/>
      <c r="AX137" s="1162"/>
      <c r="AY137" s="1162"/>
      <c r="AZ137" s="1199"/>
      <c r="BA137" s="1226" t="str">
        <f t="shared" ref="BA137" si="208">IF(ISBLANK(T$5),"",1)</f>
        <v/>
      </c>
      <c r="BB137" s="1307">
        <v>4.4000000000000004</v>
      </c>
      <c r="BC137" s="1198" t="s">
        <v>397</v>
      </c>
      <c r="BD137" s="1162"/>
      <c r="BE137" s="1162"/>
      <c r="BF137" s="1162"/>
      <c r="BG137" s="1162"/>
      <c r="BH137" s="1199"/>
      <c r="BI137" s="1226" t="str">
        <f t="shared" ref="BI137" si="209">IF(ISBLANK(X$5),"",1)</f>
        <v/>
      </c>
    </row>
    <row r="138" spans="1:65" ht="15" customHeight="1">
      <c r="A138" s="1168" t="s">
        <v>637</v>
      </c>
      <c r="B138" s="1168"/>
      <c r="C138" s="1168"/>
      <c r="D138" s="1168"/>
      <c r="E138" s="1169"/>
      <c r="F138" s="617">
        <v>3.1</v>
      </c>
      <c r="G138" s="620">
        <f>COUNTIF($A$132:$A$137,F138)</f>
        <v>1</v>
      </c>
      <c r="H138" s="240" t="str">
        <f>IF($D$5=1,SUMIF($A$132:$A$137,$F138,H132:H137),"")</f>
        <v/>
      </c>
      <c r="I138" s="240" t="str">
        <f>IF($H$5=1,SUMIF($A$132:$A$137,$F138,$I$132:$I$137),"")</f>
        <v/>
      </c>
      <c r="J138" s="240" t="str">
        <f>IF($L$5=1,SUMIF($A$132:$A$137,$F138,$J$132:$J$137),"")</f>
        <v/>
      </c>
      <c r="K138" s="240" t="str">
        <f>IF($P$5=1,SUMIF($A$132:$A$137,$F138,$K$132:$K$137),"")</f>
        <v/>
      </c>
      <c r="L138" s="240" t="str">
        <f>IF($T$5=1,SUMIF($A$132:$A$137,$F138,$L$132:$L$137),"")</f>
        <v/>
      </c>
      <c r="M138" s="240" t="str">
        <f>IF($X$5=1,SUMIF($A$132:$A$137,$F138,$M$132:$M$137),"")</f>
        <v/>
      </c>
      <c r="N138" s="332"/>
      <c r="O138" s="332"/>
      <c r="P138" s="332"/>
      <c r="Q138" s="332"/>
      <c r="R138" s="332"/>
      <c r="S138" s="332"/>
      <c r="T138" s="332"/>
      <c r="U138" s="332"/>
      <c r="W138" s="52"/>
      <c r="AD138" s="1308"/>
      <c r="AE138" s="1200"/>
      <c r="AF138" s="1164"/>
      <c r="AG138" s="1164"/>
      <c r="AH138" s="1164"/>
      <c r="AI138" s="1164"/>
      <c r="AJ138" s="1201"/>
      <c r="AK138" s="1342"/>
      <c r="AM138" s="242"/>
      <c r="AO138" s="52"/>
      <c r="AQ138" s="274">
        <v>4.3</v>
      </c>
      <c r="AR138" s="240">
        <f t="shared" ref="AR138:AR139" si="210">COUNTIF($AL$98:$AL$136,AQ138)</f>
        <v>4</v>
      </c>
      <c r="AS138" s="240" t="str">
        <f>IF($P$5=1,SUMIF($AL$98:$AL$136,AQ138,$AS$98:$AS$136),"")</f>
        <v/>
      </c>
      <c r="AT138" s="1308"/>
      <c r="AU138" s="1200"/>
      <c r="AV138" s="1164"/>
      <c r="AW138" s="1164"/>
      <c r="AX138" s="1164"/>
      <c r="AY138" s="1164"/>
      <c r="AZ138" s="1201"/>
      <c r="BA138" s="1342"/>
      <c r="BB138" s="1308"/>
      <c r="BC138" s="1200"/>
      <c r="BD138" s="1164"/>
      <c r="BE138" s="1164"/>
      <c r="BF138" s="1164"/>
      <c r="BG138" s="1164"/>
      <c r="BH138" s="1201"/>
      <c r="BI138" s="1342"/>
    </row>
    <row r="139" spans="1:65" ht="15" customHeight="1">
      <c r="F139" s="617">
        <v>1.4</v>
      </c>
      <c r="G139" s="620">
        <f>COUNTIF($A$132:$A$137,F139)</f>
        <v>1</v>
      </c>
      <c r="H139" s="240" t="str">
        <f>IF($D$5=1,SUMIF($A$132:$A$137,$F139,H133:H138),"")</f>
        <v/>
      </c>
      <c r="I139" s="240" t="str">
        <f>IF($H$5=1,SUMIF($A$132:$A$137,$F139,$I$132:$I$137),"")</f>
        <v/>
      </c>
      <c r="J139" s="240" t="str">
        <f>IF($L$5=1,SUMIF($A$132:$A$137,$F139,$J$132:$J$137),"")</f>
        <v/>
      </c>
      <c r="K139" s="240" t="str">
        <f>IF($P$5=1,SUMIF($A$132:$A$137,$F139,$K$132:$K$137),"")</f>
        <v/>
      </c>
      <c r="L139" s="240" t="str">
        <f>IF($T$5=1,SUMIF($A$132:$A$137,$F139,$L$132:$L$137),"")</f>
        <v/>
      </c>
      <c r="M139" s="240" t="str">
        <f>IF($X$5=1,SUMIF($A$132:$A$137,$F139,$M$132:$M$137),"")</f>
        <v/>
      </c>
      <c r="N139" s="332"/>
      <c r="O139" s="332"/>
      <c r="P139" s="332"/>
      <c r="Q139" s="332"/>
      <c r="R139" s="332"/>
      <c r="S139" s="332"/>
      <c r="T139" s="332"/>
      <c r="U139" s="332"/>
      <c r="W139" s="52"/>
      <c r="AD139" s="1309"/>
      <c r="AE139" s="1202"/>
      <c r="AF139" s="1203"/>
      <c r="AG139" s="1203"/>
      <c r="AH139" s="1203"/>
      <c r="AI139" s="1203"/>
      <c r="AJ139" s="1204"/>
      <c r="AK139" s="1342"/>
      <c r="AM139" s="242"/>
      <c r="AO139" s="52"/>
      <c r="AQ139" s="274">
        <v>4.4000000000000004</v>
      </c>
      <c r="AR139" s="240">
        <f t="shared" si="210"/>
        <v>8</v>
      </c>
      <c r="AS139" s="240" t="str">
        <f>IF($P$5=1,SUMIF($AL$98:$AL$136,AQ139,$AS$98:$AS$136),"")</f>
        <v/>
      </c>
      <c r="AT139" s="1309"/>
      <c r="AU139" s="1202"/>
      <c r="AV139" s="1203"/>
      <c r="AW139" s="1203"/>
      <c r="AX139" s="1203"/>
      <c r="AY139" s="1203"/>
      <c r="AZ139" s="1204"/>
      <c r="BA139" s="1342"/>
      <c r="BB139" s="1309"/>
      <c r="BC139" s="1202"/>
      <c r="BD139" s="1203"/>
      <c r="BE139" s="1203"/>
      <c r="BF139" s="1203"/>
      <c r="BG139" s="1203"/>
      <c r="BH139" s="1204"/>
      <c r="BI139" s="1342"/>
    </row>
    <row r="140" spans="1:65" ht="15" customHeight="1">
      <c r="N140" s="332"/>
      <c r="O140" s="332"/>
      <c r="P140" s="332"/>
      <c r="Q140" s="332"/>
      <c r="R140" s="332"/>
      <c r="S140" s="332"/>
      <c r="T140" s="332"/>
      <c r="U140" s="332"/>
      <c r="W140" s="52"/>
      <c r="AD140" s="242"/>
      <c r="AF140" s="52"/>
      <c r="AG140" s="247"/>
      <c r="AI140" s="273">
        <v>1.5</v>
      </c>
      <c r="AJ140" s="240">
        <f>COUNTIF(AD98:AD139,AI140)</f>
        <v>1</v>
      </c>
      <c r="AK140" s="240" t="str">
        <f>IF($L$5=1,SUMIF($AD$98:$AD$139,AI140,$AK$98:$AK$139),"")</f>
        <v/>
      </c>
      <c r="AM140" s="242"/>
      <c r="AO140" s="52"/>
      <c r="AV140" s="242"/>
      <c r="AY140" s="273">
        <v>1.5</v>
      </c>
      <c r="AZ140" s="240">
        <f>COUNTIF($AT$98:$AT$139,AY140)</f>
        <v>1</v>
      </c>
      <c r="BA140" s="240" t="str">
        <f>IF($T$5=1,SUMIF($AT$98:$AT$139,AY140,$BA$98:$BA$139),"")</f>
        <v/>
      </c>
      <c r="BE140" s="242"/>
      <c r="BG140" s="273">
        <v>1.5</v>
      </c>
      <c r="BH140" s="240">
        <f>COUNTIF($BB$98:$BB$139,BG140)</f>
        <v>1</v>
      </c>
      <c r="BI140" s="240" t="str">
        <f>IF($X$5=1,SUMIF($BB$98:$BB$139,BG140,$BI$98:$BI$139),"")</f>
        <v/>
      </c>
    </row>
    <row r="141" spans="1:65" ht="15" customHeight="1">
      <c r="N141" s="332"/>
      <c r="O141" s="332"/>
      <c r="P141" s="332"/>
      <c r="Q141" s="332"/>
      <c r="R141" s="332"/>
      <c r="S141" s="332"/>
      <c r="T141" s="332"/>
      <c r="U141" s="332"/>
      <c r="W141" s="52"/>
      <c r="AD141" s="242"/>
      <c r="AF141" s="52"/>
      <c r="AG141" s="248"/>
      <c r="AI141" s="274">
        <v>4.3</v>
      </c>
      <c r="AJ141" s="240">
        <f>COUNTIF(AD98:AD139,AI141)</f>
        <v>6</v>
      </c>
      <c r="AK141" s="240" t="str">
        <f>IF($L$5=1,SUMIF($AD$98:$AD$139,AI141,$AK$98:$AK$139),"")</f>
        <v/>
      </c>
      <c r="AM141" s="242"/>
      <c r="AO141" s="52"/>
      <c r="AV141" s="242"/>
      <c r="AY141" s="274">
        <v>4.3</v>
      </c>
      <c r="AZ141" s="240">
        <f t="shared" ref="AZ141:AZ142" si="211">COUNTIF($AT$98:$AT$139,AY141)</f>
        <v>6</v>
      </c>
      <c r="BA141" s="240" t="str">
        <f>IF($T$5=1,SUMIF($AT$98:$AT$139,AY141,$BA$98:$BA$139),"")</f>
        <v/>
      </c>
      <c r="BE141" s="242"/>
      <c r="BG141" s="274">
        <v>4.3</v>
      </c>
      <c r="BH141" s="240">
        <f t="shared" ref="BH141:BH142" si="212">COUNTIF($BB$98:$BB$139,BG141)</f>
        <v>6</v>
      </c>
      <c r="BI141" s="240" t="str">
        <f>IF($X$5=1,SUMIF($BB$98:$BB$139,BG141,$BI$98:$BI$139),"")</f>
        <v/>
      </c>
    </row>
    <row r="142" spans="1:65" ht="15" customHeight="1">
      <c r="N142" s="332"/>
      <c r="O142" s="332"/>
      <c r="P142" s="332"/>
      <c r="Q142" s="332"/>
      <c r="R142" s="332"/>
      <c r="S142" s="332"/>
      <c r="T142" s="332"/>
      <c r="U142" s="332"/>
      <c r="W142" s="52"/>
      <c r="AD142" s="242"/>
      <c r="AF142" s="52"/>
      <c r="AG142" s="248"/>
      <c r="AI142" s="274">
        <v>4.4000000000000004</v>
      </c>
      <c r="AJ142" s="240">
        <f>COUNTIF(AD98:AD139,AI142)</f>
        <v>7</v>
      </c>
      <c r="AK142" s="240" t="str">
        <f>IF($L$5=1,SUMIF($AD$98:$AD$139,AI142,$AK$98:$AK$139),"")</f>
        <v/>
      </c>
      <c r="AM142" s="242"/>
      <c r="AO142" s="52"/>
      <c r="AV142" s="242"/>
      <c r="AY142" s="274">
        <v>4.4000000000000004</v>
      </c>
      <c r="AZ142" s="240">
        <f t="shared" si="211"/>
        <v>7</v>
      </c>
      <c r="BA142" s="240" t="str">
        <f>IF($T$5=1,SUMIF($AT$98:$AT$139,AY142,$BA$98:$BA$139),"")</f>
        <v/>
      </c>
      <c r="BE142" s="242"/>
      <c r="BG142" s="274">
        <v>4.4000000000000004</v>
      </c>
      <c r="BH142" s="240">
        <f t="shared" si="212"/>
        <v>7</v>
      </c>
      <c r="BI142" s="240" t="str">
        <f>IF($X$5=1,SUMIF($BB$98:$BB$139,BG142,$BI$98:$BI$139),"")</f>
        <v/>
      </c>
    </row>
    <row r="143" spans="1:65" ht="15" customHeight="1">
      <c r="A143" s="1171" t="s">
        <v>17</v>
      </c>
      <c r="B143" s="1171"/>
      <c r="C143" s="1171"/>
      <c r="D143" s="1171"/>
      <c r="E143" s="1171"/>
      <c r="F143" s="1171"/>
      <c r="G143" s="1171"/>
      <c r="H143" s="1171"/>
      <c r="I143" s="1171"/>
      <c r="J143" s="1171"/>
      <c r="K143" s="1171"/>
      <c r="L143" s="1171"/>
      <c r="M143" s="1171"/>
      <c r="N143" s="1171"/>
      <c r="O143" s="1171"/>
      <c r="P143" s="1171"/>
      <c r="Q143" s="1171"/>
      <c r="R143" s="1171"/>
      <c r="S143" s="1171"/>
      <c r="T143" s="1171"/>
      <c r="U143" s="1171"/>
      <c r="V143" s="1171"/>
      <c r="W143" s="1171"/>
      <c r="X143" s="1171"/>
      <c r="Y143" s="1171"/>
      <c r="Z143" s="1171"/>
      <c r="AA143" s="1171"/>
      <c r="AB143" s="1171"/>
      <c r="AC143" s="1171"/>
      <c r="AD143" s="117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row>
    <row r="144" spans="1:65" ht="15" customHeight="1">
      <c r="A144" s="1275"/>
      <c r="B144" s="1275"/>
      <c r="C144" s="1275"/>
      <c r="D144" s="1275"/>
      <c r="E144" s="1275"/>
      <c r="F144" s="1275"/>
      <c r="G144" s="1275"/>
      <c r="H144" s="1275"/>
      <c r="I144" s="1275"/>
      <c r="J144" s="1275"/>
      <c r="K144" s="1275"/>
      <c r="L144" s="1275"/>
      <c r="M144" s="1275"/>
      <c r="N144" s="1275"/>
      <c r="O144" s="1275"/>
      <c r="P144" s="1275"/>
      <c r="Q144" s="1275"/>
      <c r="R144" s="1275"/>
      <c r="S144" s="1275"/>
      <c r="T144" s="1275"/>
      <c r="U144" s="1275"/>
      <c r="V144" s="1275"/>
      <c r="W144" s="1275"/>
      <c r="X144" s="1275"/>
      <c r="Y144" s="1275"/>
      <c r="Z144" s="1275"/>
      <c r="AA144" s="1275"/>
      <c r="AB144" s="1275"/>
      <c r="AC144" s="1275"/>
      <c r="AD144" s="1275"/>
      <c r="AE144" s="1275"/>
      <c r="AF144" s="1275"/>
      <c r="AG144" s="1275"/>
      <c r="AH144" s="1275"/>
      <c r="AI144" s="1275"/>
      <c r="AJ144" s="1275"/>
      <c r="AK144" s="1275"/>
      <c r="AL144" s="1275"/>
      <c r="AM144" s="1275"/>
      <c r="AN144" s="1275"/>
      <c r="AO144" s="1275"/>
      <c r="AP144" s="1275"/>
      <c r="AQ144" s="1275"/>
      <c r="AR144" s="1275"/>
      <c r="AS144" s="1275"/>
      <c r="AT144" s="1275"/>
      <c r="AU144" s="1275"/>
      <c r="AV144" s="1275"/>
      <c r="AW144" s="1275"/>
      <c r="AX144" s="1275"/>
      <c r="AY144" s="1275"/>
      <c r="AZ144" s="1275"/>
      <c r="BA144" s="1275"/>
      <c r="BB144" s="1275"/>
      <c r="BC144" s="1275"/>
      <c r="BD144" s="1275"/>
      <c r="BE144" s="1275"/>
      <c r="BF144" s="1275"/>
      <c r="BG144" s="1275"/>
      <c r="BH144" s="1275"/>
      <c r="BI144" s="1275"/>
      <c r="BJ144" s="1275"/>
      <c r="BK144" s="1275"/>
      <c r="BL144" s="1275"/>
      <c r="BM144" s="1275"/>
    </row>
    <row r="145" spans="1:67" ht="15" customHeight="1">
      <c r="A145" s="1172"/>
      <c r="B145" s="1173" t="s">
        <v>608</v>
      </c>
      <c r="C145" s="1173"/>
      <c r="D145" s="1173"/>
      <c r="E145" s="1173"/>
      <c r="F145" s="1173"/>
      <c r="G145" s="1173"/>
      <c r="H145" s="1343">
        <v>7</v>
      </c>
      <c r="I145" s="1174">
        <v>8</v>
      </c>
      <c r="J145" s="1343">
        <v>9</v>
      </c>
      <c r="K145" s="1174">
        <v>10</v>
      </c>
      <c r="L145" s="1343">
        <v>11</v>
      </c>
      <c r="M145" s="1174">
        <v>12</v>
      </c>
      <c r="N145" s="1283"/>
      <c r="O145" s="1446" t="s">
        <v>915</v>
      </c>
      <c r="P145" s="1447"/>
      <c r="Q145" s="1447"/>
      <c r="R145" s="1447"/>
      <c r="S145" s="1447"/>
      <c r="T145" s="1447"/>
      <c r="U145" s="1448"/>
      <c r="V145" s="1285"/>
      <c r="W145" s="1437" t="s">
        <v>916</v>
      </c>
      <c r="X145" s="1438"/>
      <c r="Y145" s="1438"/>
      <c r="Z145" s="1438"/>
      <c r="AA145" s="1438"/>
      <c r="AB145" s="1438"/>
      <c r="AC145" s="1439"/>
      <c r="AD145" s="1287"/>
      <c r="AE145" s="1400" t="s">
        <v>917</v>
      </c>
      <c r="AF145" s="1401"/>
      <c r="AG145" s="1401"/>
      <c r="AH145" s="1401"/>
      <c r="AI145" s="1401"/>
      <c r="AJ145" s="1401"/>
      <c r="AK145" s="1402"/>
      <c r="AL145" s="1278"/>
      <c r="AM145" s="1409" t="s">
        <v>918</v>
      </c>
      <c r="AN145" s="1410"/>
      <c r="AO145" s="1410"/>
      <c r="AP145" s="1410"/>
      <c r="AQ145" s="1410"/>
      <c r="AR145" s="1410"/>
      <c r="AS145" s="1411"/>
      <c r="AT145" s="1418"/>
      <c r="AU145" s="1611" t="s">
        <v>919</v>
      </c>
      <c r="AV145" s="1612"/>
      <c r="AW145" s="1612"/>
      <c r="AX145" s="1612"/>
      <c r="AY145" s="1612"/>
      <c r="AZ145" s="1612"/>
      <c r="BA145" s="1613"/>
      <c r="BB145" s="1421"/>
      <c r="BC145" s="1424" t="s">
        <v>920</v>
      </c>
      <c r="BD145" s="1425"/>
      <c r="BE145" s="1425"/>
      <c r="BF145" s="1425"/>
      <c r="BG145" s="1425"/>
      <c r="BH145" s="1425"/>
      <c r="BI145" s="1426"/>
      <c r="BJ145" s="1182" t="s">
        <v>263</v>
      </c>
      <c r="BK145" s="1183"/>
      <c r="BL145" s="1183"/>
      <c r="BM145" s="1183"/>
      <c r="BN145" s="1183"/>
      <c r="BO145" s="1184"/>
    </row>
    <row r="146" spans="1:67" ht="15" customHeight="1">
      <c r="A146" s="1172"/>
      <c r="B146" s="1173"/>
      <c r="C146" s="1173"/>
      <c r="D146" s="1173"/>
      <c r="E146" s="1173"/>
      <c r="F146" s="1173"/>
      <c r="G146" s="1173"/>
      <c r="H146" s="1344"/>
      <c r="I146" s="1174"/>
      <c r="J146" s="1344"/>
      <c r="K146" s="1174"/>
      <c r="L146" s="1344"/>
      <c r="M146" s="1174"/>
      <c r="N146" s="1283"/>
      <c r="O146" s="1449"/>
      <c r="P146" s="1450"/>
      <c r="Q146" s="1450"/>
      <c r="R146" s="1450"/>
      <c r="S146" s="1450"/>
      <c r="T146" s="1450"/>
      <c r="U146" s="1451"/>
      <c r="V146" s="1285"/>
      <c r="W146" s="1440"/>
      <c r="X146" s="1441"/>
      <c r="Y146" s="1441"/>
      <c r="Z146" s="1441"/>
      <c r="AA146" s="1441"/>
      <c r="AB146" s="1441"/>
      <c r="AC146" s="1442"/>
      <c r="AD146" s="1287"/>
      <c r="AE146" s="1403"/>
      <c r="AF146" s="1404"/>
      <c r="AG146" s="1404"/>
      <c r="AH146" s="1404"/>
      <c r="AI146" s="1404"/>
      <c r="AJ146" s="1404"/>
      <c r="AK146" s="1405"/>
      <c r="AL146" s="1278"/>
      <c r="AM146" s="1412"/>
      <c r="AN146" s="1413"/>
      <c r="AO146" s="1413"/>
      <c r="AP146" s="1413"/>
      <c r="AQ146" s="1413"/>
      <c r="AR146" s="1413"/>
      <c r="AS146" s="1414"/>
      <c r="AT146" s="1419"/>
      <c r="AU146" s="1614"/>
      <c r="AV146" s="1615"/>
      <c r="AW146" s="1615"/>
      <c r="AX146" s="1615"/>
      <c r="AY146" s="1615"/>
      <c r="AZ146" s="1615"/>
      <c r="BA146" s="1616"/>
      <c r="BB146" s="1422"/>
      <c r="BC146" s="1427"/>
      <c r="BD146" s="1428"/>
      <c r="BE146" s="1428"/>
      <c r="BF146" s="1428"/>
      <c r="BG146" s="1428"/>
      <c r="BH146" s="1428"/>
      <c r="BI146" s="1429"/>
      <c r="BJ146" s="1219"/>
      <c r="BK146" s="1220"/>
      <c r="BL146" s="1220"/>
      <c r="BM146" s="1220"/>
      <c r="BN146" s="1220"/>
      <c r="BO146" s="1221"/>
    </row>
    <row r="147" spans="1:67" ht="15" customHeight="1">
      <c r="A147" s="1172"/>
      <c r="B147" s="1173"/>
      <c r="C147" s="1173"/>
      <c r="D147" s="1173"/>
      <c r="E147" s="1173"/>
      <c r="F147" s="1173"/>
      <c r="G147" s="1173"/>
      <c r="H147" s="1345"/>
      <c r="I147" s="1174"/>
      <c r="J147" s="1345"/>
      <c r="K147" s="1174"/>
      <c r="L147" s="1345"/>
      <c r="M147" s="1174"/>
      <c r="N147" s="1283"/>
      <c r="O147" s="1452"/>
      <c r="P147" s="1453"/>
      <c r="Q147" s="1453"/>
      <c r="R147" s="1453"/>
      <c r="S147" s="1453"/>
      <c r="T147" s="1453"/>
      <c r="U147" s="1454"/>
      <c r="V147" s="1285"/>
      <c r="W147" s="1443"/>
      <c r="X147" s="1444"/>
      <c r="Y147" s="1444"/>
      <c r="Z147" s="1444"/>
      <c r="AA147" s="1444"/>
      <c r="AB147" s="1444"/>
      <c r="AC147" s="1445"/>
      <c r="AD147" s="1287"/>
      <c r="AE147" s="1406"/>
      <c r="AF147" s="1407"/>
      <c r="AG147" s="1407"/>
      <c r="AH147" s="1407"/>
      <c r="AI147" s="1407"/>
      <c r="AJ147" s="1407"/>
      <c r="AK147" s="1408"/>
      <c r="AL147" s="1278"/>
      <c r="AM147" s="1415"/>
      <c r="AN147" s="1416"/>
      <c r="AO147" s="1416"/>
      <c r="AP147" s="1416"/>
      <c r="AQ147" s="1416"/>
      <c r="AR147" s="1416"/>
      <c r="AS147" s="1417"/>
      <c r="AT147" s="1420"/>
      <c r="AU147" s="1617"/>
      <c r="AV147" s="1618"/>
      <c r="AW147" s="1618"/>
      <c r="AX147" s="1618"/>
      <c r="AY147" s="1618"/>
      <c r="AZ147" s="1618"/>
      <c r="BA147" s="1619"/>
      <c r="BB147" s="1423"/>
      <c r="BC147" s="1430"/>
      <c r="BD147" s="1431"/>
      <c r="BE147" s="1431"/>
      <c r="BF147" s="1431"/>
      <c r="BG147" s="1431"/>
      <c r="BH147" s="1431"/>
      <c r="BI147" s="1432"/>
      <c r="BJ147" s="1337"/>
      <c r="BK147" s="1338"/>
      <c r="BL147" s="1338"/>
      <c r="BM147" s="1338"/>
      <c r="BN147" s="1338"/>
      <c r="BO147" s="1339"/>
    </row>
    <row r="148" spans="1:67" ht="15" customHeight="1">
      <c r="A148" s="1307">
        <v>1.1000000000000001</v>
      </c>
      <c r="B148" s="1161" t="s">
        <v>941</v>
      </c>
      <c r="C148" s="1162"/>
      <c r="D148" s="1162"/>
      <c r="E148" s="1162"/>
      <c r="F148" s="1162"/>
      <c r="G148" s="1199"/>
      <c r="H148" s="1205" t="str">
        <f>IF(ISBLANK(AB$5),"",1)</f>
        <v/>
      </c>
      <c r="I148" s="1205" t="str">
        <f>IF(ISBLANK(AF$5),"",1)</f>
        <v/>
      </c>
      <c r="J148" s="1205" t="str">
        <f>IF(ISBLANK(AJ$5),"",1)</f>
        <v/>
      </c>
      <c r="K148" s="1205" t="str">
        <f>IF(ISBLANK(AN$5),"",1)</f>
        <v/>
      </c>
      <c r="L148" s="1205" t="str">
        <f>IF(ISBLANK(AR$5),"",1)</f>
        <v/>
      </c>
      <c r="M148" s="1205" t="str">
        <f>IF(ISBLANK(AV$5),"",1)</f>
        <v/>
      </c>
      <c r="N148" s="1322">
        <v>4.3</v>
      </c>
      <c r="O148" s="1198" t="s">
        <v>387</v>
      </c>
      <c r="P148" s="1162"/>
      <c r="Q148" s="1162"/>
      <c r="R148" s="1162"/>
      <c r="S148" s="1162"/>
      <c r="T148" s="1265"/>
      <c r="U148" s="1205" t="str">
        <f>IF(ISBLANK(AB$5),"",1)</f>
        <v/>
      </c>
      <c r="V148" s="1322">
        <v>4.3</v>
      </c>
      <c r="W148" s="1198" t="s">
        <v>387</v>
      </c>
      <c r="X148" s="1162"/>
      <c r="Y148" s="1162"/>
      <c r="Z148" s="1162"/>
      <c r="AA148" s="1162"/>
      <c r="AB148" s="1265"/>
      <c r="AC148" s="1205" t="str">
        <f>IF(ISBLANK(AF$5),"",1)</f>
        <v/>
      </c>
      <c r="AD148" s="1258">
        <v>4.3</v>
      </c>
      <c r="AE148" s="1198" t="s">
        <v>409</v>
      </c>
      <c r="AF148" s="1162"/>
      <c r="AG148" s="1162"/>
      <c r="AH148" s="1162"/>
      <c r="AI148" s="1162"/>
      <c r="AJ148" s="1265"/>
      <c r="AK148" s="1205" t="str">
        <f>IF(ISBLANK(AJ$5),"",1)</f>
        <v/>
      </c>
      <c r="AL148" s="1258">
        <v>4.3</v>
      </c>
      <c r="AM148" s="1198" t="s">
        <v>387</v>
      </c>
      <c r="AN148" s="1162"/>
      <c r="AO148" s="1162"/>
      <c r="AP148" s="1162"/>
      <c r="AQ148" s="1162"/>
      <c r="AR148" s="1265"/>
      <c r="AS148" s="1205" t="str">
        <f>IF(ISBLANK(AN$5),"",1)</f>
        <v/>
      </c>
      <c r="AT148" s="1258">
        <v>4.3</v>
      </c>
      <c r="AU148" s="1198" t="s">
        <v>398</v>
      </c>
      <c r="AV148" s="1162"/>
      <c r="AW148" s="1162"/>
      <c r="AX148" s="1162"/>
      <c r="AY148" s="1162"/>
      <c r="AZ148" s="1199"/>
      <c r="BA148" s="1226" t="str">
        <f>IF(ISBLANK(AR$5),"",1)</f>
        <v/>
      </c>
      <c r="BB148" s="1258">
        <v>4.3</v>
      </c>
      <c r="BC148" s="1198" t="s">
        <v>398</v>
      </c>
      <c r="BD148" s="1162"/>
      <c r="BE148" s="1162"/>
      <c r="BF148" s="1162"/>
      <c r="BG148" s="1162"/>
      <c r="BH148" s="1199"/>
      <c r="BI148" s="1226" t="str">
        <f>IF(ISBLANK(AV$5),"",1)</f>
        <v/>
      </c>
      <c r="BJ148" s="1337"/>
      <c r="BK148" s="1338"/>
      <c r="BL148" s="1338"/>
      <c r="BM148" s="1338"/>
      <c r="BN148" s="1338"/>
      <c r="BO148" s="1339"/>
    </row>
    <row r="149" spans="1:67" ht="15" customHeight="1">
      <c r="A149" s="1308"/>
      <c r="B149" s="1163"/>
      <c r="C149" s="1164"/>
      <c r="D149" s="1164"/>
      <c r="E149" s="1164"/>
      <c r="F149" s="1164"/>
      <c r="G149" s="1201"/>
      <c r="H149" s="1206"/>
      <c r="I149" s="1206"/>
      <c r="J149" s="1206"/>
      <c r="K149" s="1206"/>
      <c r="L149" s="1206"/>
      <c r="M149" s="1206"/>
      <c r="N149" s="1293"/>
      <c r="O149" s="1200"/>
      <c r="P149" s="1164"/>
      <c r="Q149" s="1164"/>
      <c r="R149" s="1164"/>
      <c r="S149" s="1164"/>
      <c r="T149" s="1266"/>
      <c r="U149" s="1206"/>
      <c r="V149" s="1293"/>
      <c r="W149" s="1200"/>
      <c r="X149" s="1164"/>
      <c r="Y149" s="1164"/>
      <c r="Z149" s="1164"/>
      <c r="AA149" s="1164"/>
      <c r="AB149" s="1266"/>
      <c r="AC149" s="1206"/>
      <c r="AD149" s="1258"/>
      <c r="AE149" s="1200"/>
      <c r="AF149" s="1164"/>
      <c r="AG149" s="1164"/>
      <c r="AH149" s="1164"/>
      <c r="AI149" s="1164"/>
      <c r="AJ149" s="1266"/>
      <c r="AK149" s="1206"/>
      <c r="AL149" s="1258"/>
      <c r="AM149" s="1200"/>
      <c r="AN149" s="1164"/>
      <c r="AO149" s="1164"/>
      <c r="AP149" s="1164"/>
      <c r="AQ149" s="1164"/>
      <c r="AR149" s="1266"/>
      <c r="AS149" s="1206"/>
      <c r="AT149" s="1258"/>
      <c r="AU149" s="1200"/>
      <c r="AV149" s="1164"/>
      <c r="AW149" s="1164"/>
      <c r="AX149" s="1164"/>
      <c r="AY149" s="1164"/>
      <c r="AZ149" s="1201"/>
      <c r="BA149" s="1342"/>
      <c r="BB149" s="1258"/>
      <c r="BC149" s="1200"/>
      <c r="BD149" s="1164"/>
      <c r="BE149" s="1164"/>
      <c r="BF149" s="1164"/>
      <c r="BG149" s="1164"/>
      <c r="BH149" s="1201"/>
      <c r="BI149" s="1342"/>
      <c r="BJ149" s="1337"/>
      <c r="BK149" s="1338"/>
      <c r="BL149" s="1338"/>
      <c r="BM149" s="1338"/>
      <c r="BN149" s="1338"/>
      <c r="BO149" s="1339"/>
    </row>
    <row r="150" spans="1:67" ht="15" customHeight="1">
      <c r="A150" s="1309"/>
      <c r="B150" s="1165"/>
      <c r="C150" s="1166"/>
      <c r="D150" s="1166"/>
      <c r="E150" s="1166"/>
      <c r="F150" s="1166"/>
      <c r="G150" s="1292"/>
      <c r="H150" s="1207"/>
      <c r="I150" s="1207"/>
      <c r="J150" s="1207"/>
      <c r="K150" s="1207"/>
      <c r="L150" s="1207"/>
      <c r="M150" s="1207"/>
      <c r="N150" s="1294"/>
      <c r="O150" s="1202"/>
      <c r="P150" s="1203"/>
      <c r="Q150" s="1203"/>
      <c r="R150" s="1203"/>
      <c r="S150" s="1203"/>
      <c r="T150" s="1305"/>
      <c r="U150" s="1207"/>
      <c r="V150" s="1294"/>
      <c r="W150" s="1202"/>
      <c r="X150" s="1203"/>
      <c r="Y150" s="1203"/>
      <c r="Z150" s="1203"/>
      <c r="AA150" s="1203"/>
      <c r="AB150" s="1305"/>
      <c r="AC150" s="1207"/>
      <c r="AD150" s="1258"/>
      <c r="AE150" s="1202"/>
      <c r="AF150" s="1203"/>
      <c r="AG150" s="1203"/>
      <c r="AH150" s="1203"/>
      <c r="AI150" s="1203"/>
      <c r="AJ150" s="1305"/>
      <c r="AK150" s="1207"/>
      <c r="AL150" s="1258"/>
      <c r="AM150" s="1202"/>
      <c r="AN150" s="1203"/>
      <c r="AO150" s="1203"/>
      <c r="AP150" s="1203"/>
      <c r="AQ150" s="1203"/>
      <c r="AR150" s="1305"/>
      <c r="AS150" s="1207"/>
      <c r="AT150" s="1258"/>
      <c r="AU150" s="1202"/>
      <c r="AV150" s="1203"/>
      <c r="AW150" s="1203"/>
      <c r="AX150" s="1203"/>
      <c r="AY150" s="1203"/>
      <c r="AZ150" s="1204"/>
      <c r="BA150" s="1342"/>
      <c r="BB150" s="1258"/>
      <c r="BC150" s="1202"/>
      <c r="BD150" s="1203"/>
      <c r="BE150" s="1203"/>
      <c r="BF150" s="1203"/>
      <c r="BG150" s="1203"/>
      <c r="BH150" s="1204"/>
      <c r="BI150" s="1342"/>
      <c r="BJ150" s="1337"/>
      <c r="BK150" s="1338"/>
      <c r="BL150" s="1338"/>
      <c r="BM150" s="1338"/>
      <c r="BN150" s="1338"/>
      <c r="BO150" s="1339"/>
    </row>
    <row r="151" spans="1:67" ht="15" customHeight="1">
      <c r="A151" s="1304">
        <v>2.4</v>
      </c>
      <c r="B151" s="1161" t="s">
        <v>316</v>
      </c>
      <c r="C151" s="1162"/>
      <c r="D151" s="1162"/>
      <c r="E151" s="1162"/>
      <c r="F151" s="1162"/>
      <c r="G151" s="1199"/>
      <c r="H151" s="1205" t="str">
        <f t="shared" ref="H151" si="213">IF(ISBLANK(AB$5),"",1)</f>
        <v/>
      </c>
      <c r="I151" s="1205" t="str">
        <f t="shared" ref="I151" si="214">IF(ISBLANK(AF$5),"",1)</f>
        <v/>
      </c>
      <c r="J151" s="1205" t="str">
        <f t="shared" ref="J151" si="215">IF(ISBLANK(AJ$5),"",1)</f>
        <v/>
      </c>
      <c r="K151" s="1205" t="str">
        <f t="shared" ref="K151" si="216">IF(ISBLANK(AN$5),"",1)</f>
        <v/>
      </c>
      <c r="L151" s="1205" t="str">
        <f t="shared" ref="L151" si="217">IF(ISBLANK(AR$5),"",1)</f>
        <v/>
      </c>
      <c r="M151" s="1205" t="str">
        <f t="shared" ref="M151" si="218">IF(ISBLANK(AV$5),"",1)</f>
        <v/>
      </c>
      <c r="N151" s="1322">
        <v>4.3</v>
      </c>
      <c r="O151" s="1198" t="s">
        <v>388</v>
      </c>
      <c r="P151" s="1162"/>
      <c r="Q151" s="1162"/>
      <c r="R151" s="1162"/>
      <c r="S151" s="1162"/>
      <c r="T151" s="1265"/>
      <c r="U151" s="1205" t="str">
        <f t="shared" ref="U151" si="219">IF(ISBLANK(AB$5),"",1)</f>
        <v/>
      </c>
      <c r="V151" s="1322">
        <v>4.3</v>
      </c>
      <c r="W151" s="1198" t="s">
        <v>388</v>
      </c>
      <c r="X151" s="1162"/>
      <c r="Y151" s="1162"/>
      <c r="Z151" s="1162"/>
      <c r="AA151" s="1162"/>
      <c r="AB151" s="1265"/>
      <c r="AC151" s="1205" t="str">
        <f t="shared" ref="AC151" si="220">IF(ISBLANK(AF$5),"",1)</f>
        <v/>
      </c>
      <c r="AD151" s="1304">
        <v>4.3</v>
      </c>
      <c r="AE151" s="1455" t="s">
        <v>639</v>
      </c>
      <c r="AF151" s="1456"/>
      <c r="AG151" s="1456"/>
      <c r="AH151" s="1456"/>
      <c r="AI151" s="1456"/>
      <c r="AJ151" s="1457"/>
      <c r="AK151" s="1205" t="str">
        <f t="shared" ref="AK151" si="221">IF(ISBLANK(AJ$5),"",1)</f>
        <v/>
      </c>
      <c r="AL151" s="1258">
        <v>4.4000000000000004</v>
      </c>
      <c r="AM151" s="1198" t="s">
        <v>388</v>
      </c>
      <c r="AN151" s="1162"/>
      <c r="AO151" s="1162"/>
      <c r="AP151" s="1162"/>
      <c r="AQ151" s="1162"/>
      <c r="AR151" s="1265"/>
      <c r="AS151" s="1205" t="str">
        <f t="shared" ref="AS151" si="222">IF(ISBLANK(AN$5),"",1)</f>
        <v/>
      </c>
      <c r="AT151" s="1258">
        <v>4.3</v>
      </c>
      <c r="AU151" s="1198" t="s">
        <v>388</v>
      </c>
      <c r="AV151" s="1162"/>
      <c r="AW151" s="1162"/>
      <c r="AX151" s="1162"/>
      <c r="AY151" s="1162"/>
      <c r="AZ151" s="1199"/>
      <c r="BA151" s="1226" t="str">
        <f t="shared" ref="BA151" si="223">IF(ISBLANK(AR$5),"",1)</f>
        <v/>
      </c>
      <c r="BB151" s="1258">
        <v>4.3</v>
      </c>
      <c r="BC151" s="1198" t="s">
        <v>388</v>
      </c>
      <c r="BD151" s="1162"/>
      <c r="BE151" s="1162"/>
      <c r="BF151" s="1162"/>
      <c r="BG151" s="1162"/>
      <c r="BH151" s="1199"/>
      <c r="BI151" s="1226" t="str">
        <f t="shared" ref="BI151" si="224">IF(ISBLANK(AV$5),"",1)</f>
        <v/>
      </c>
      <c r="BJ151" s="1337"/>
      <c r="BK151" s="1338"/>
      <c r="BL151" s="1338"/>
      <c r="BM151" s="1338"/>
      <c r="BN151" s="1338"/>
      <c r="BO151" s="1339"/>
    </row>
    <row r="152" spans="1:67" ht="15" customHeight="1">
      <c r="A152" s="1290"/>
      <c r="B152" s="1163"/>
      <c r="C152" s="1164"/>
      <c r="D152" s="1164"/>
      <c r="E152" s="1164"/>
      <c r="F152" s="1164"/>
      <c r="G152" s="1201"/>
      <c r="H152" s="1206"/>
      <c r="I152" s="1206"/>
      <c r="J152" s="1206"/>
      <c r="K152" s="1206"/>
      <c r="L152" s="1206"/>
      <c r="M152" s="1206"/>
      <c r="N152" s="1293"/>
      <c r="O152" s="1200" t="s">
        <v>389</v>
      </c>
      <c r="P152" s="1164"/>
      <c r="Q152" s="1164"/>
      <c r="R152" s="1164"/>
      <c r="S152" s="1164"/>
      <c r="T152" s="1266"/>
      <c r="U152" s="1206"/>
      <c r="V152" s="1293"/>
      <c r="W152" s="1200"/>
      <c r="X152" s="1164"/>
      <c r="Y152" s="1164"/>
      <c r="Z152" s="1164"/>
      <c r="AA152" s="1164"/>
      <c r="AB152" s="1266"/>
      <c r="AC152" s="1206"/>
      <c r="AD152" s="1290"/>
      <c r="AE152" s="1458"/>
      <c r="AF152" s="1459"/>
      <c r="AG152" s="1459"/>
      <c r="AH152" s="1459"/>
      <c r="AI152" s="1459"/>
      <c r="AJ152" s="1460"/>
      <c r="AK152" s="1206"/>
      <c r="AL152" s="1258"/>
      <c r="AM152" s="1200"/>
      <c r="AN152" s="1164"/>
      <c r="AO152" s="1164"/>
      <c r="AP152" s="1164"/>
      <c r="AQ152" s="1164"/>
      <c r="AR152" s="1266"/>
      <c r="AS152" s="1206"/>
      <c r="AT152" s="1258"/>
      <c r="AU152" s="1200"/>
      <c r="AV152" s="1164"/>
      <c r="AW152" s="1164"/>
      <c r="AX152" s="1164"/>
      <c r="AY152" s="1164"/>
      <c r="AZ152" s="1201"/>
      <c r="BA152" s="1342"/>
      <c r="BB152" s="1258"/>
      <c r="BC152" s="1200"/>
      <c r="BD152" s="1164"/>
      <c r="BE152" s="1164"/>
      <c r="BF152" s="1164"/>
      <c r="BG152" s="1164"/>
      <c r="BH152" s="1201"/>
      <c r="BI152" s="1342"/>
      <c r="BJ152" s="1337"/>
      <c r="BK152" s="1338"/>
      <c r="BL152" s="1338"/>
      <c r="BM152" s="1338"/>
      <c r="BN152" s="1338"/>
      <c r="BO152" s="1339"/>
    </row>
    <row r="153" spans="1:67" ht="15" customHeight="1">
      <c r="A153" s="1291"/>
      <c r="B153" s="1165"/>
      <c r="C153" s="1166"/>
      <c r="D153" s="1166"/>
      <c r="E153" s="1166"/>
      <c r="F153" s="1166"/>
      <c r="G153" s="1292"/>
      <c r="H153" s="1207"/>
      <c r="I153" s="1207"/>
      <c r="J153" s="1207"/>
      <c r="K153" s="1207"/>
      <c r="L153" s="1207"/>
      <c r="M153" s="1207"/>
      <c r="N153" s="1294"/>
      <c r="O153" s="1202"/>
      <c r="P153" s="1203"/>
      <c r="Q153" s="1203"/>
      <c r="R153" s="1203"/>
      <c r="S153" s="1203"/>
      <c r="T153" s="1305"/>
      <c r="U153" s="1207"/>
      <c r="V153" s="1294"/>
      <c r="W153" s="1202"/>
      <c r="X153" s="1203"/>
      <c r="Y153" s="1203"/>
      <c r="Z153" s="1203"/>
      <c r="AA153" s="1203"/>
      <c r="AB153" s="1305"/>
      <c r="AC153" s="1207"/>
      <c r="AD153" s="1291"/>
      <c r="AE153" s="1461"/>
      <c r="AF153" s="1462"/>
      <c r="AG153" s="1462"/>
      <c r="AH153" s="1462"/>
      <c r="AI153" s="1462"/>
      <c r="AJ153" s="1463"/>
      <c r="AK153" s="1207"/>
      <c r="AL153" s="1258"/>
      <c r="AM153" s="1202"/>
      <c r="AN153" s="1203"/>
      <c r="AO153" s="1203"/>
      <c r="AP153" s="1203"/>
      <c r="AQ153" s="1203"/>
      <c r="AR153" s="1305"/>
      <c r="AS153" s="1207"/>
      <c r="AT153" s="1258"/>
      <c r="AU153" s="1202"/>
      <c r="AV153" s="1203"/>
      <c r="AW153" s="1203"/>
      <c r="AX153" s="1203"/>
      <c r="AY153" s="1203"/>
      <c r="AZ153" s="1204"/>
      <c r="BA153" s="1342"/>
      <c r="BB153" s="1258"/>
      <c r="BC153" s="1202"/>
      <c r="BD153" s="1203"/>
      <c r="BE153" s="1203"/>
      <c r="BF153" s="1203"/>
      <c r="BG153" s="1203"/>
      <c r="BH153" s="1204"/>
      <c r="BI153" s="1342"/>
      <c r="BJ153" s="1337"/>
      <c r="BK153" s="1338"/>
      <c r="BL153" s="1338"/>
      <c r="BM153" s="1338"/>
      <c r="BN153" s="1338"/>
      <c r="BO153" s="1339"/>
    </row>
    <row r="154" spans="1:67" ht="15" customHeight="1">
      <c r="A154" s="1307">
        <v>1.1000000000000001</v>
      </c>
      <c r="B154" s="1161" t="s">
        <v>320</v>
      </c>
      <c r="C154" s="1162"/>
      <c r="D154" s="1162"/>
      <c r="E154" s="1162"/>
      <c r="F154" s="1162"/>
      <c r="G154" s="1199"/>
      <c r="H154" s="1205" t="str">
        <f t="shared" ref="H154" si="225">IF(ISBLANK(AB$5),"",1)</f>
        <v/>
      </c>
      <c r="I154" s="1205" t="str">
        <f t="shared" ref="I154" si="226">IF(ISBLANK(AF$5),"",1)</f>
        <v/>
      </c>
      <c r="J154" s="1205" t="str">
        <f t="shared" ref="J154" si="227">IF(ISBLANK(AJ$5),"",1)</f>
        <v/>
      </c>
      <c r="K154" s="1205" t="str">
        <f t="shared" ref="K154" si="228">IF(ISBLANK(AN$5),"",1)</f>
        <v/>
      </c>
      <c r="L154" s="1205" t="str">
        <f t="shared" ref="L154" si="229">IF(ISBLANK(AR$5),"",1)</f>
        <v/>
      </c>
      <c r="M154" s="1205" t="str">
        <f t="shared" ref="M154" si="230">IF(ISBLANK(AV$5),"",1)</f>
        <v/>
      </c>
      <c r="N154" s="1322">
        <v>4.3</v>
      </c>
      <c r="O154" s="1198" t="s">
        <v>423</v>
      </c>
      <c r="P154" s="1162"/>
      <c r="Q154" s="1162"/>
      <c r="R154" s="1162"/>
      <c r="S154" s="1162"/>
      <c r="T154" s="1265"/>
      <c r="U154" s="1205" t="str">
        <f t="shared" ref="U154" si="231">IF(ISBLANK(AB$5),"",1)</f>
        <v/>
      </c>
      <c r="V154" s="1322">
        <v>4.3</v>
      </c>
      <c r="W154" s="1198" t="s">
        <v>390</v>
      </c>
      <c r="X154" s="1162"/>
      <c r="Y154" s="1162"/>
      <c r="Z154" s="1162"/>
      <c r="AA154" s="1162"/>
      <c r="AB154" s="1265"/>
      <c r="AC154" s="1205" t="str">
        <f t="shared" ref="AC154" si="232">IF(ISBLANK(AF$5),"",1)</f>
        <v/>
      </c>
      <c r="AD154" s="1398">
        <v>4.4000000000000004</v>
      </c>
      <c r="AE154" s="1198" t="s">
        <v>410</v>
      </c>
      <c r="AF154" s="1162"/>
      <c r="AG154" s="1162"/>
      <c r="AH154" s="1162"/>
      <c r="AI154" s="1162"/>
      <c r="AJ154" s="1265"/>
      <c r="AK154" s="1205" t="str">
        <f t="shared" ref="AK154" si="233">IF(ISBLANK(AJ$5),"",1)</f>
        <v/>
      </c>
      <c r="AL154" s="1322">
        <v>4.4000000000000004</v>
      </c>
      <c r="AM154" s="1198" t="s">
        <v>408</v>
      </c>
      <c r="AN154" s="1162"/>
      <c r="AO154" s="1162"/>
      <c r="AP154" s="1162"/>
      <c r="AQ154" s="1162"/>
      <c r="AR154" s="1265"/>
      <c r="AS154" s="1205" t="str">
        <f t="shared" ref="AS154" si="234">IF(ISBLANK(AN$5),"",1)</f>
        <v/>
      </c>
      <c r="AT154" s="1258">
        <v>4.3</v>
      </c>
      <c r="AU154" s="1198" t="s">
        <v>390</v>
      </c>
      <c r="AV154" s="1162"/>
      <c r="AW154" s="1162"/>
      <c r="AX154" s="1162"/>
      <c r="AY154" s="1162"/>
      <c r="AZ154" s="1199"/>
      <c r="BA154" s="1226" t="str">
        <f t="shared" ref="BA154" si="235">IF(ISBLANK(AR$5),"",1)</f>
        <v/>
      </c>
      <c r="BB154" s="1258">
        <v>4.3</v>
      </c>
      <c r="BC154" s="1198" t="s">
        <v>390</v>
      </c>
      <c r="BD154" s="1162"/>
      <c r="BE154" s="1162"/>
      <c r="BF154" s="1162"/>
      <c r="BG154" s="1162"/>
      <c r="BH154" s="1199"/>
      <c r="BI154" s="1226" t="str">
        <f t="shared" ref="BI154" si="236">IF(ISBLANK(AV$5),"",1)</f>
        <v/>
      </c>
      <c r="BJ154" s="1337"/>
      <c r="BK154" s="1338"/>
      <c r="BL154" s="1338"/>
      <c r="BM154" s="1338"/>
      <c r="BN154" s="1338"/>
      <c r="BO154" s="1339"/>
    </row>
    <row r="155" spans="1:67" ht="15" customHeight="1">
      <c r="A155" s="1308"/>
      <c r="B155" s="1163"/>
      <c r="C155" s="1164"/>
      <c r="D155" s="1164"/>
      <c r="E155" s="1164"/>
      <c r="F155" s="1164"/>
      <c r="G155" s="1201"/>
      <c r="H155" s="1206"/>
      <c r="I155" s="1206"/>
      <c r="J155" s="1206"/>
      <c r="K155" s="1206"/>
      <c r="L155" s="1206"/>
      <c r="M155" s="1206"/>
      <c r="N155" s="1293"/>
      <c r="O155" s="1200" t="s">
        <v>389</v>
      </c>
      <c r="P155" s="1164"/>
      <c r="Q155" s="1164"/>
      <c r="R155" s="1164"/>
      <c r="S155" s="1164"/>
      <c r="T155" s="1266"/>
      <c r="U155" s="1206"/>
      <c r="V155" s="1293"/>
      <c r="W155" s="1200"/>
      <c r="X155" s="1164"/>
      <c r="Y155" s="1164"/>
      <c r="Z155" s="1164"/>
      <c r="AA155" s="1164"/>
      <c r="AB155" s="1266"/>
      <c r="AC155" s="1206"/>
      <c r="AD155" s="1293"/>
      <c r="AE155" s="1200"/>
      <c r="AF155" s="1164"/>
      <c r="AG155" s="1164"/>
      <c r="AH155" s="1164"/>
      <c r="AI155" s="1164"/>
      <c r="AJ155" s="1266"/>
      <c r="AK155" s="1206"/>
      <c r="AL155" s="1293"/>
      <c r="AM155" s="1200"/>
      <c r="AN155" s="1164"/>
      <c r="AO155" s="1164"/>
      <c r="AP155" s="1164"/>
      <c r="AQ155" s="1164"/>
      <c r="AR155" s="1266"/>
      <c r="AS155" s="1206"/>
      <c r="AT155" s="1258"/>
      <c r="AU155" s="1200"/>
      <c r="AV155" s="1164"/>
      <c r="AW155" s="1164"/>
      <c r="AX155" s="1164"/>
      <c r="AY155" s="1164"/>
      <c r="AZ155" s="1201"/>
      <c r="BA155" s="1342"/>
      <c r="BB155" s="1258"/>
      <c r="BC155" s="1200"/>
      <c r="BD155" s="1164"/>
      <c r="BE155" s="1164"/>
      <c r="BF155" s="1164"/>
      <c r="BG155" s="1164"/>
      <c r="BH155" s="1201"/>
      <c r="BI155" s="1342"/>
      <c r="BJ155" s="1337"/>
      <c r="BK155" s="1338"/>
      <c r="BL155" s="1338"/>
      <c r="BM155" s="1338"/>
      <c r="BN155" s="1338"/>
      <c r="BO155" s="1339"/>
    </row>
    <row r="156" spans="1:67" ht="15" customHeight="1">
      <c r="A156" s="1309"/>
      <c r="B156" s="1165"/>
      <c r="C156" s="1166"/>
      <c r="D156" s="1166"/>
      <c r="E156" s="1166"/>
      <c r="F156" s="1166"/>
      <c r="G156" s="1292"/>
      <c r="H156" s="1207"/>
      <c r="I156" s="1207"/>
      <c r="J156" s="1207"/>
      <c r="K156" s="1207"/>
      <c r="L156" s="1207"/>
      <c r="M156" s="1207"/>
      <c r="N156" s="1294"/>
      <c r="O156" s="1202"/>
      <c r="P156" s="1203"/>
      <c r="Q156" s="1203"/>
      <c r="R156" s="1203"/>
      <c r="S156" s="1203"/>
      <c r="T156" s="1305"/>
      <c r="U156" s="1207"/>
      <c r="V156" s="1294"/>
      <c r="W156" s="1202"/>
      <c r="X156" s="1203"/>
      <c r="Y156" s="1203"/>
      <c r="Z156" s="1203"/>
      <c r="AA156" s="1203"/>
      <c r="AB156" s="1305"/>
      <c r="AC156" s="1207"/>
      <c r="AD156" s="1294"/>
      <c r="AE156" s="1202"/>
      <c r="AF156" s="1203"/>
      <c r="AG156" s="1203"/>
      <c r="AH156" s="1203"/>
      <c r="AI156" s="1203"/>
      <c r="AJ156" s="1305"/>
      <c r="AK156" s="1207"/>
      <c r="AL156" s="1306"/>
      <c r="AM156" s="1202"/>
      <c r="AN156" s="1203"/>
      <c r="AO156" s="1203"/>
      <c r="AP156" s="1203"/>
      <c r="AQ156" s="1203"/>
      <c r="AR156" s="1305"/>
      <c r="AS156" s="1207"/>
      <c r="AT156" s="1258"/>
      <c r="AU156" s="1202"/>
      <c r="AV156" s="1203"/>
      <c r="AW156" s="1203"/>
      <c r="AX156" s="1203"/>
      <c r="AY156" s="1203"/>
      <c r="AZ156" s="1204"/>
      <c r="BA156" s="1342"/>
      <c r="BB156" s="1258"/>
      <c r="BC156" s="1202"/>
      <c r="BD156" s="1203"/>
      <c r="BE156" s="1203"/>
      <c r="BF156" s="1203"/>
      <c r="BG156" s="1203"/>
      <c r="BH156" s="1204"/>
      <c r="BI156" s="1342"/>
      <c r="BJ156" s="1337"/>
      <c r="BK156" s="1338"/>
      <c r="BL156" s="1338"/>
      <c r="BM156" s="1338"/>
      <c r="BN156" s="1338"/>
      <c r="BO156" s="1339"/>
    </row>
    <row r="157" spans="1:67" ht="15" customHeight="1">
      <c r="A157" s="1304">
        <v>2.1</v>
      </c>
      <c r="B157" s="1161" t="s">
        <v>322</v>
      </c>
      <c r="C157" s="1162"/>
      <c r="D157" s="1162"/>
      <c r="E157" s="1162"/>
      <c r="F157" s="1162"/>
      <c r="G157" s="1199"/>
      <c r="H157" s="1205" t="str">
        <f t="shared" ref="H157" si="237">IF(ISBLANK(AB$5),"",1)</f>
        <v/>
      </c>
      <c r="I157" s="1205" t="str">
        <f t="shared" ref="I157" si="238">IF(ISBLANK(AF$5),"",1)</f>
        <v/>
      </c>
      <c r="J157" s="1205" t="str">
        <f t="shared" ref="J157" si="239">IF(ISBLANK(AJ$5),"",1)</f>
        <v/>
      </c>
      <c r="K157" s="1205" t="str">
        <f t="shared" ref="K157" si="240">IF(ISBLANK(AN$5),"",1)</f>
        <v/>
      </c>
      <c r="L157" s="1205" t="str">
        <f t="shared" ref="L157" si="241">IF(ISBLANK(AR$5),"",1)</f>
        <v/>
      </c>
      <c r="M157" s="1205" t="str">
        <f t="shared" ref="M157" si="242">IF(ISBLANK(AV$5),"",1)</f>
        <v/>
      </c>
      <c r="N157" s="1322">
        <v>4.4000000000000004</v>
      </c>
      <c r="O157" s="1198" t="s">
        <v>407</v>
      </c>
      <c r="P157" s="1162"/>
      <c r="Q157" s="1162"/>
      <c r="R157" s="1162"/>
      <c r="S157" s="1162"/>
      <c r="T157" s="1265"/>
      <c r="U157" s="1205" t="str">
        <f t="shared" ref="U157" si="243">IF(ISBLANK(AB$5),"",1)</f>
        <v/>
      </c>
      <c r="V157" s="1322">
        <v>4.4000000000000004</v>
      </c>
      <c r="W157" s="1198" t="s">
        <v>391</v>
      </c>
      <c r="X157" s="1162"/>
      <c r="Y157" s="1162"/>
      <c r="Z157" s="1162"/>
      <c r="AA157" s="1162"/>
      <c r="AB157" s="1265"/>
      <c r="AC157" s="1205" t="str">
        <f t="shared" ref="AC157" si="244">IF(ISBLANK(AF$5),"",1)</f>
        <v/>
      </c>
      <c r="AD157" s="1322">
        <v>4.4000000000000004</v>
      </c>
      <c r="AE157" s="1198" t="s">
        <v>411</v>
      </c>
      <c r="AF157" s="1162"/>
      <c r="AG157" s="1162"/>
      <c r="AH157" s="1162"/>
      <c r="AI157" s="1162"/>
      <c r="AJ157" s="1265"/>
      <c r="AK157" s="1205" t="str">
        <f t="shared" ref="AK157" si="245">IF(ISBLANK(AJ$5),"",1)</f>
        <v/>
      </c>
      <c r="AL157" s="1322">
        <v>4.4000000000000004</v>
      </c>
      <c r="AM157" s="1198" t="s">
        <v>393</v>
      </c>
      <c r="AN157" s="1162"/>
      <c r="AO157" s="1162"/>
      <c r="AP157" s="1162"/>
      <c r="AQ157" s="1162"/>
      <c r="AR157" s="1265"/>
      <c r="AS157" s="1205" t="str">
        <f t="shared" ref="AS157" si="246">IF(ISBLANK(AN$5),"",1)</f>
        <v/>
      </c>
      <c r="AT157" s="1258">
        <v>4.4000000000000004</v>
      </c>
      <c r="AU157" s="1198" t="s">
        <v>407</v>
      </c>
      <c r="AV157" s="1162"/>
      <c r="AW157" s="1162"/>
      <c r="AX157" s="1162"/>
      <c r="AY157" s="1162"/>
      <c r="AZ157" s="1199"/>
      <c r="BA157" s="1226" t="str">
        <f t="shared" ref="BA157" si="247">IF(ISBLANK(AR$5),"",1)</f>
        <v/>
      </c>
      <c r="BB157" s="1258">
        <v>4.4000000000000004</v>
      </c>
      <c r="BC157" s="1198" t="s">
        <v>407</v>
      </c>
      <c r="BD157" s="1162"/>
      <c r="BE157" s="1162"/>
      <c r="BF157" s="1162"/>
      <c r="BG157" s="1162"/>
      <c r="BH157" s="1199"/>
      <c r="BI157" s="1226" t="str">
        <f t="shared" ref="BI157" si="248">IF(ISBLANK(AV$5),"",1)</f>
        <v/>
      </c>
      <c r="BJ157" s="1337"/>
      <c r="BK157" s="1338"/>
      <c r="BL157" s="1338"/>
      <c r="BM157" s="1338"/>
      <c r="BN157" s="1338"/>
      <c r="BO157" s="1339"/>
    </row>
    <row r="158" spans="1:67" ht="15" customHeight="1">
      <c r="A158" s="1290"/>
      <c r="B158" s="1163"/>
      <c r="C158" s="1164"/>
      <c r="D158" s="1164"/>
      <c r="E158" s="1164"/>
      <c r="F158" s="1164"/>
      <c r="G158" s="1201"/>
      <c r="H158" s="1206"/>
      <c r="I158" s="1206"/>
      <c r="J158" s="1206"/>
      <c r="K158" s="1206"/>
      <c r="L158" s="1206"/>
      <c r="M158" s="1206"/>
      <c r="N158" s="1293"/>
      <c r="O158" s="1200" t="s">
        <v>368</v>
      </c>
      <c r="P158" s="1164"/>
      <c r="Q158" s="1164"/>
      <c r="R158" s="1164"/>
      <c r="S158" s="1164"/>
      <c r="T158" s="1266"/>
      <c r="U158" s="1206"/>
      <c r="V158" s="1293"/>
      <c r="W158" s="1200"/>
      <c r="X158" s="1164"/>
      <c r="Y158" s="1164"/>
      <c r="Z158" s="1164"/>
      <c r="AA158" s="1164"/>
      <c r="AB158" s="1266"/>
      <c r="AC158" s="1206"/>
      <c r="AD158" s="1293"/>
      <c r="AE158" s="1200"/>
      <c r="AF158" s="1164"/>
      <c r="AG158" s="1164"/>
      <c r="AH158" s="1164"/>
      <c r="AI158" s="1164"/>
      <c r="AJ158" s="1266"/>
      <c r="AK158" s="1206"/>
      <c r="AL158" s="1293"/>
      <c r="AM158" s="1200"/>
      <c r="AN158" s="1164"/>
      <c r="AO158" s="1164"/>
      <c r="AP158" s="1164"/>
      <c r="AQ158" s="1164"/>
      <c r="AR158" s="1266"/>
      <c r="AS158" s="1206"/>
      <c r="AT158" s="1258"/>
      <c r="AU158" s="1200"/>
      <c r="AV158" s="1164"/>
      <c r="AW158" s="1164"/>
      <c r="AX158" s="1164"/>
      <c r="AY158" s="1164"/>
      <c r="AZ158" s="1201"/>
      <c r="BA158" s="1342"/>
      <c r="BB158" s="1258"/>
      <c r="BC158" s="1200"/>
      <c r="BD158" s="1164"/>
      <c r="BE158" s="1164"/>
      <c r="BF158" s="1164"/>
      <c r="BG158" s="1164"/>
      <c r="BH158" s="1201"/>
      <c r="BI158" s="1342"/>
      <c r="BJ158" s="1337"/>
      <c r="BK158" s="1338"/>
      <c r="BL158" s="1338"/>
      <c r="BM158" s="1338"/>
      <c r="BN158" s="1338"/>
      <c r="BO158" s="1339"/>
    </row>
    <row r="159" spans="1:67" ht="15" customHeight="1">
      <c r="A159" s="1291"/>
      <c r="B159" s="1165"/>
      <c r="C159" s="1166"/>
      <c r="D159" s="1166"/>
      <c r="E159" s="1166"/>
      <c r="F159" s="1166"/>
      <c r="G159" s="1292"/>
      <c r="H159" s="1207"/>
      <c r="I159" s="1207"/>
      <c r="J159" s="1207"/>
      <c r="K159" s="1207"/>
      <c r="L159" s="1207"/>
      <c r="M159" s="1207"/>
      <c r="N159" s="1294"/>
      <c r="O159" s="1202" t="s">
        <v>392</v>
      </c>
      <c r="P159" s="1203"/>
      <c r="Q159" s="1203"/>
      <c r="R159" s="1203"/>
      <c r="S159" s="1203"/>
      <c r="T159" s="1305"/>
      <c r="U159" s="1207"/>
      <c r="V159" s="1294"/>
      <c r="W159" s="1202"/>
      <c r="X159" s="1203"/>
      <c r="Y159" s="1203"/>
      <c r="Z159" s="1203"/>
      <c r="AA159" s="1203"/>
      <c r="AB159" s="1305"/>
      <c r="AC159" s="1207"/>
      <c r="AD159" s="1294"/>
      <c r="AE159" s="1202"/>
      <c r="AF159" s="1203"/>
      <c r="AG159" s="1203"/>
      <c r="AH159" s="1203"/>
      <c r="AI159" s="1203"/>
      <c r="AJ159" s="1305"/>
      <c r="AK159" s="1207"/>
      <c r="AL159" s="1306"/>
      <c r="AM159" s="1202"/>
      <c r="AN159" s="1203"/>
      <c r="AO159" s="1203"/>
      <c r="AP159" s="1203"/>
      <c r="AQ159" s="1203"/>
      <c r="AR159" s="1305"/>
      <c r="AS159" s="1207"/>
      <c r="AT159" s="1258"/>
      <c r="AU159" s="1202"/>
      <c r="AV159" s="1203"/>
      <c r="AW159" s="1203"/>
      <c r="AX159" s="1203"/>
      <c r="AY159" s="1203"/>
      <c r="AZ159" s="1204"/>
      <c r="BA159" s="1342"/>
      <c r="BB159" s="1258"/>
      <c r="BC159" s="1202"/>
      <c r="BD159" s="1203"/>
      <c r="BE159" s="1203"/>
      <c r="BF159" s="1203"/>
      <c r="BG159" s="1203"/>
      <c r="BH159" s="1204"/>
      <c r="BI159" s="1342"/>
      <c r="BJ159" s="1337"/>
      <c r="BK159" s="1338"/>
      <c r="BL159" s="1338"/>
      <c r="BM159" s="1338"/>
      <c r="BN159" s="1338"/>
      <c r="BO159" s="1339"/>
    </row>
    <row r="160" spans="1:67" ht="15" customHeight="1">
      <c r="A160" s="1307">
        <v>1.1000000000000001</v>
      </c>
      <c r="B160" s="1161" t="s">
        <v>940</v>
      </c>
      <c r="C160" s="1162"/>
      <c r="D160" s="1162"/>
      <c r="E160" s="1162"/>
      <c r="F160" s="1162"/>
      <c r="G160" s="1199"/>
      <c r="H160" s="1205" t="str">
        <f t="shared" ref="H160" si="249">IF(ISBLANK(AB$5),"",1)</f>
        <v/>
      </c>
      <c r="I160" s="1205" t="str">
        <f t="shared" ref="I160" si="250">IF(ISBLANK(AF$5),"",1)</f>
        <v/>
      </c>
      <c r="J160" s="1205" t="str">
        <f t="shared" ref="J160" si="251">IF(ISBLANK(AJ$5),"",1)</f>
        <v/>
      </c>
      <c r="K160" s="1205" t="str">
        <f t="shared" ref="K160" si="252">IF(ISBLANK(AN$5),"",1)</f>
        <v/>
      </c>
      <c r="L160" s="1205" t="str">
        <f t="shared" ref="L160" si="253">IF(ISBLANK(AR$5),"",1)</f>
        <v/>
      </c>
      <c r="M160" s="1205" t="str">
        <f t="shared" ref="M160" si="254">IF(ISBLANK(AV$5),"",1)</f>
        <v/>
      </c>
      <c r="N160" s="1391">
        <v>4.3</v>
      </c>
      <c r="O160" s="1310" t="s">
        <v>879</v>
      </c>
      <c r="P160" s="1311"/>
      <c r="Q160" s="1311"/>
      <c r="R160" s="1311"/>
      <c r="S160" s="1311"/>
      <c r="T160" s="1312"/>
      <c r="U160" s="1205" t="str">
        <f t="shared" ref="U160" si="255">IF(ISBLANK(AB$5),"",1)</f>
        <v/>
      </c>
      <c r="V160" s="1322">
        <v>4.4000000000000004</v>
      </c>
      <c r="W160" s="1198" t="s">
        <v>880</v>
      </c>
      <c r="X160" s="1162"/>
      <c r="Y160" s="1162"/>
      <c r="Z160" s="1162"/>
      <c r="AA160" s="1162"/>
      <c r="AB160" s="1265"/>
      <c r="AC160" s="1205" t="str">
        <f t="shared" ref="AC160" si="256">IF(ISBLANK(AF$5),"",1)</f>
        <v/>
      </c>
      <c r="AD160" s="1322">
        <v>4.4000000000000004</v>
      </c>
      <c r="AE160" s="1198" t="s">
        <v>412</v>
      </c>
      <c r="AF160" s="1162"/>
      <c r="AG160" s="1162"/>
      <c r="AH160" s="1162"/>
      <c r="AI160" s="1162"/>
      <c r="AJ160" s="1265"/>
      <c r="AK160" s="1205" t="str">
        <f t="shared" ref="AK160" si="257">IF(ISBLANK(AJ$5),"",1)</f>
        <v/>
      </c>
      <c r="AL160" s="1304">
        <v>4.4000000000000004</v>
      </c>
      <c r="AM160" s="1198" t="s">
        <v>359</v>
      </c>
      <c r="AN160" s="1162"/>
      <c r="AO160" s="1162"/>
      <c r="AP160" s="1162"/>
      <c r="AQ160" s="1162"/>
      <c r="AR160" s="1265"/>
      <c r="AS160" s="1205" t="str">
        <f t="shared" ref="AS160" si="258">IF(ISBLANK(AN$5),"",1)</f>
        <v/>
      </c>
      <c r="AT160" s="1304">
        <v>4.3</v>
      </c>
      <c r="AU160" s="1310" t="s">
        <v>879</v>
      </c>
      <c r="AV160" s="1311"/>
      <c r="AW160" s="1311"/>
      <c r="AX160" s="1311"/>
      <c r="AY160" s="1311"/>
      <c r="AZ160" s="1316"/>
      <c r="BA160" s="1226" t="str">
        <f t="shared" ref="BA160" si="259">IF(ISBLANK(AR$5),"",1)</f>
        <v/>
      </c>
      <c r="BB160" s="1304">
        <v>4.3</v>
      </c>
      <c r="BC160" s="1310" t="s">
        <v>879</v>
      </c>
      <c r="BD160" s="1311"/>
      <c r="BE160" s="1311"/>
      <c r="BF160" s="1311"/>
      <c r="BG160" s="1311"/>
      <c r="BH160" s="1316"/>
      <c r="BI160" s="1226" t="str">
        <f t="shared" ref="BI160" si="260">IF(ISBLANK(AV$5),"",1)</f>
        <v/>
      </c>
      <c r="BJ160" s="1337"/>
      <c r="BK160" s="1338"/>
      <c r="BL160" s="1338"/>
      <c r="BM160" s="1338"/>
      <c r="BN160" s="1338"/>
      <c r="BO160" s="1339"/>
    </row>
    <row r="161" spans="1:67" ht="15" customHeight="1">
      <c r="A161" s="1308"/>
      <c r="B161" s="1163"/>
      <c r="C161" s="1164"/>
      <c r="D161" s="1164"/>
      <c r="E161" s="1164"/>
      <c r="F161" s="1164"/>
      <c r="G161" s="1201"/>
      <c r="H161" s="1206"/>
      <c r="I161" s="1206"/>
      <c r="J161" s="1206"/>
      <c r="K161" s="1206"/>
      <c r="L161" s="1206"/>
      <c r="M161" s="1206"/>
      <c r="N161" s="1392"/>
      <c r="O161" s="1295" t="s">
        <v>368</v>
      </c>
      <c r="P161" s="1296"/>
      <c r="Q161" s="1296"/>
      <c r="R161" s="1296"/>
      <c r="S161" s="1296"/>
      <c r="T161" s="1297"/>
      <c r="U161" s="1206"/>
      <c r="V161" s="1293"/>
      <c r="W161" s="1200"/>
      <c r="X161" s="1164"/>
      <c r="Y161" s="1164"/>
      <c r="Z161" s="1164"/>
      <c r="AA161" s="1164"/>
      <c r="AB161" s="1266"/>
      <c r="AC161" s="1206"/>
      <c r="AD161" s="1293"/>
      <c r="AE161" s="1200"/>
      <c r="AF161" s="1164"/>
      <c r="AG161" s="1164"/>
      <c r="AH161" s="1164"/>
      <c r="AI161" s="1164"/>
      <c r="AJ161" s="1266"/>
      <c r="AK161" s="1206"/>
      <c r="AL161" s="1290"/>
      <c r="AM161" s="1200"/>
      <c r="AN161" s="1164"/>
      <c r="AO161" s="1164"/>
      <c r="AP161" s="1164"/>
      <c r="AQ161" s="1164"/>
      <c r="AR161" s="1266"/>
      <c r="AS161" s="1206"/>
      <c r="AT161" s="1290"/>
      <c r="AU161" s="1295"/>
      <c r="AV161" s="1296"/>
      <c r="AW161" s="1296"/>
      <c r="AX161" s="1296"/>
      <c r="AY161" s="1296"/>
      <c r="AZ161" s="1318"/>
      <c r="BA161" s="1342"/>
      <c r="BB161" s="1290"/>
      <c r="BC161" s="1295"/>
      <c r="BD161" s="1296"/>
      <c r="BE161" s="1296"/>
      <c r="BF161" s="1296"/>
      <c r="BG161" s="1296"/>
      <c r="BH161" s="1318"/>
      <c r="BI161" s="1342"/>
      <c r="BJ161" s="1337"/>
      <c r="BK161" s="1338"/>
      <c r="BL161" s="1338"/>
      <c r="BM161" s="1338"/>
      <c r="BN161" s="1338"/>
      <c r="BO161" s="1339"/>
    </row>
    <row r="162" spans="1:67" ht="15" customHeight="1">
      <c r="A162" s="1309"/>
      <c r="B162" s="1165"/>
      <c r="C162" s="1166"/>
      <c r="D162" s="1166"/>
      <c r="E162" s="1166"/>
      <c r="F162" s="1166"/>
      <c r="G162" s="1292"/>
      <c r="H162" s="1207"/>
      <c r="I162" s="1207"/>
      <c r="J162" s="1207"/>
      <c r="K162" s="1207"/>
      <c r="L162" s="1207"/>
      <c r="M162" s="1207"/>
      <c r="N162" s="1393"/>
      <c r="O162" s="1298" t="s">
        <v>416</v>
      </c>
      <c r="P162" s="1299"/>
      <c r="Q162" s="1299"/>
      <c r="R162" s="1299"/>
      <c r="S162" s="1299"/>
      <c r="T162" s="1300"/>
      <c r="U162" s="1207"/>
      <c r="V162" s="1294"/>
      <c r="W162" s="1202"/>
      <c r="X162" s="1203"/>
      <c r="Y162" s="1203"/>
      <c r="Z162" s="1203"/>
      <c r="AA162" s="1203"/>
      <c r="AB162" s="1305"/>
      <c r="AC162" s="1207"/>
      <c r="AD162" s="1294"/>
      <c r="AE162" s="1202"/>
      <c r="AF162" s="1203"/>
      <c r="AG162" s="1203"/>
      <c r="AH162" s="1203"/>
      <c r="AI162" s="1203"/>
      <c r="AJ162" s="1305"/>
      <c r="AK162" s="1207"/>
      <c r="AL162" s="1291"/>
      <c r="AM162" s="1202"/>
      <c r="AN162" s="1203"/>
      <c r="AO162" s="1203"/>
      <c r="AP162" s="1203"/>
      <c r="AQ162" s="1203"/>
      <c r="AR162" s="1305"/>
      <c r="AS162" s="1207"/>
      <c r="AT162" s="1291"/>
      <c r="AU162" s="1298"/>
      <c r="AV162" s="1299"/>
      <c r="AW162" s="1299"/>
      <c r="AX162" s="1299"/>
      <c r="AY162" s="1299"/>
      <c r="AZ162" s="1335"/>
      <c r="BA162" s="1342"/>
      <c r="BB162" s="1291"/>
      <c r="BC162" s="1298"/>
      <c r="BD162" s="1299"/>
      <c r="BE162" s="1299"/>
      <c r="BF162" s="1299"/>
      <c r="BG162" s="1299"/>
      <c r="BH162" s="1335"/>
      <c r="BI162" s="1342"/>
      <c r="BJ162" s="1337"/>
      <c r="BK162" s="1338"/>
      <c r="BL162" s="1338"/>
      <c r="BM162" s="1338"/>
      <c r="BN162" s="1338"/>
      <c r="BO162" s="1339"/>
    </row>
    <row r="163" spans="1:67" ht="15" customHeight="1">
      <c r="A163" s="1307">
        <v>1.1000000000000001</v>
      </c>
      <c r="B163" s="1161" t="s">
        <v>330</v>
      </c>
      <c r="C163" s="1162"/>
      <c r="D163" s="1162"/>
      <c r="E163" s="1162"/>
      <c r="F163" s="1162"/>
      <c r="G163" s="1199"/>
      <c r="H163" s="1205" t="str">
        <f t="shared" ref="H163" si="261">IF(ISBLANK(AB$5),"",1)</f>
        <v/>
      </c>
      <c r="I163" s="1205" t="str">
        <f t="shared" ref="I163" si="262">IF(ISBLANK(AF$5),"",1)</f>
        <v/>
      </c>
      <c r="J163" s="1205" t="str">
        <f t="shared" ref="J163" si="263">IF(ISBLANK(AJ$5),"",1)</f>
        <v/>
      </c>
      <c r="K163" s="1205" t="str">
        <f t="shared" ref="K163" si="264">IF(ISBLANK(AN$5),"",1)</f>
        <v/>
      </c>
      <c r="L163" s="1205" t="str">
        <f t="shared" ref="L163" si="265">IF(ISBLANK(AR$5),"",1)</f>
        <v/>
      </c>
      <c r="M163" s="1205" t="str">
        <f t="shared" ref="M163" si="266">IF(ISBLANK(AV$5),"",1)</f>
        <v/>
      </c>
      <c r="N163" s="1322">
        <v>4.4000000000000004</v>
      </c>
      <c r="O163" s="1198" t="s">
        <v>393</v>
      </c>
      <c r="P163" s="1162"/>
      <c r="Q163" s="1162"/>
      <c r="R163" s="1162"/>
      <c r="S163" s="1162"/>
      <c r="T163" s="1265"/>
      <c r="U163" s="1205" t="str">
        <f t="shared" ref="U163" si="267">IF(ISBLANK(AB$5),"",1)</f>
        <v/>
      </c>
      <c r="V163" s="1304">
        <v>4.4000000000000004</v>
      </c>
      <c r="W163" s="1395" t="s">
        <v>359</v>
      </c>
      <c r="X163" s="1396"/>
      <c r="Y163" s="1396"/>
      <c r="Z163" s="1396"/>
      <c r="AA163" s="1396"/>
      <c r="AB163" s="1397"/>
      <c r="AC163" s="1205" t="str">
        <f t="shared" ref="AC163" si="268">IF(ISBLANK(AF$5),"",1)</f>
        <v/>
      </c>
      <c r="AD163" s="1322">
        <v>4.4000000000000004</v>
      </c>
      <c r="AE163" s="1198" t="s">
        <v>413</v>
      </c>
      <c r="AF163" s="1162"/>
      <c r="AG163" s="1162"/>
      <c r="AH163" s="1162"/>
      <c r="AI163" s="1162"/>
      <c r="AJ163" s="1265"/>
      <c r="AK163" s="1205" t="str">
        <f t="shared" ref="AK163" si="269">IF(ISBLANK(AJ$5),"",1)</f>
        <v/>
      </c>
      <c r="AL163" s="1322">
        <v>4.3</v>
      </c>
      <c r="AM163" s="1198" t="s">
        <v>395</v>
      </c>
      <c r="AN163" s="1162"/>
      <c r="AO163" s="1162"/>
      <c r="AP163" s="1162"/>
      <c r="AQ163" s="1162"/>
      <c r="AR163" s="1265"/>
      <c r="AS163" s="1205" t="str">
        <f t="shared" ref="AS163" si="270">IF(ISBLANK(AN$5),"",1)</f>
        <v/>
      </c>
      <c r="AT163" s="1258">
        <v>4.4000000000000004</v>
      </c>
      <c r="AU163" s="1198" t="s">
        <v>418</v>
      </c>
      <c r="AV163" s="1162"/>
      <c r="AW163" s="1162"/>
      <c r="AX163" s="1162"/>
      <c r="AY163" s="1162"/>
      <c r="AZ163" s="1199"/>
      <c r="BA163" s="1226" t="str">
        <f t="shared" ref="BA163" si="271">IF(ISBLANK(AR$5),"",1)</f>
        <v/>
      </c>
      <c r="BB163" s="1258">
        <v>4.3</v>
      </c>
      <c r="BC163" s="1198" t="s">
        <v>418</v>
      </c>
      <c r="BD163" s="1162"/>
      <c r="BE163" s="1162"/>
      <c r="BF163" s="1162"/>
      <c r="BG163" s="1162"/>
      <c r="BH163" s="1199"/>
      <c r="BI163" s="1226" t="str">
        <f t="shared" ref="BI163" si="272">IF(ISBLANK(AV$5),"",1)</f>
        <v/>
      </c>
      <c r="BJ163" s="1337"/>
      <c r="BK163" s="1338"/>
      <c r="BL163" s="1338"/>
      <c r="BM163" s="1338"/>
      <c r="BN163" s="1338"/>
      <c r="BO163" s="1339"/>
    </row>
    <row r="164" spans="1:67" ht="15" customHeight="1">
      <c r="A164" s="1308"/>
      <c r="B164" s="1163"/>
      <c r="C164" s="1164"/>
      <c r="D164" s="1164"/>
      <c r="E164" s="1164"/>
      <c r="F164" s="1164"/>
      <c r="G164" s="1201"/>
      <c r="H164" s="1206"/>
      <c r="I164" s="1206"/>
      <c r="J164" s="1206"/>
      <c r="K164" s="1206"/>
      <c r="L164" s="1206"/>
      <c r="M164" s="1206"/>
      <c r="N164" s="1293"/>
      <c r="O164" s="1200"/>
      <c r="P164" s="1164"/>
      <c r="Q164" s="1164"/>
      <c r="R164" s="1164"/>
      <c r="S164" s="1164"/>
      <c r="T164" s="1266"/>
      <c r="U164" s="1206"/>
      <c r="V164" s="1290"/>
      <c r="W164" s="1163"/>
      <c r="X164" s="1164"/>
      <c r="Y164" s="1164"/>
      <c r="Z164" s="1164"/>
      <c r="AA164" s="1164"/>
      <c r="AB164" s="1201"/>
      <c r="AC164" s="1206"/>
      <c r="AD164" s="1293"/>
      <c r="AE164" s="1200"/>
      <c r="AF164" s="1164"/>
      <c r="AG164" s="1164"/>
      <c r="AH164" s="1164"/>
      <c r="AI164" s="1164"/>
      <c r="AJ164" s="1266"/>
      <c r="AK164" s="1206"/>
      <c r="AL164" s="1293"/>
      <c r="AM164" s="1200"/>
      <c r="AN164" s="1164"/>
      <c r="AO164" s="1164"/>
      <c r="AP164" s="1164"/>
      <c r="AQ164" s="1164"/>
      <c r="AR164" s="1266"/>
      <c r="AS164" s="1206"/>
      <c r="AT164" s="1258"/>
      <c r="AU164" s="1200"/>
      <c r="AV164" s="1164"/>
      <c r="AW164" s="1164"/>
      <c r="AX164" s="1164"/>
      <c r="AY164" s="1164"/>
      <c r="AZ164" s="1201"/>
      <c r="BA164" s="1342"/>
      <c r="BB164" s="1258"/>
      <c r="BC164" s="1200"/>
      <c r="BD164" s="1164"/>
      <c r="BE164" s="1164"/>
      <c r="BF164" s="1164"/>
      <c r="BG164" s="1164"/>
      <c r="BH164" s="1201"/>
      <c r="BI164" s="1342"/>
      <c r="BJ164" s="1337"/>
      <c r="BK164" s="1338"/>
      <c r="BL164" s="1338"/>
      <c r="BM164" s="1338"/>
      <c r="BN164" s="1338"/>
      <c r="BO164" s="1339"/>
    </row>
    <row r="165" spans="1:67" ht="15" customHeight="1">
      <c r="A165" s="1309"/>
      <c r="B165" s="1165"/>
      <c r="C165" s="1166"/>
      <c r="D165" s="1166"/>
      <c r="E165" s="1166"/>
      <c r="F165" s="1166"/>
      <c r="G165" s="1292"/>
      <c r="H165" s="1207"/>
      <c r="I165" s="1207"/>
      <c r="J165" s="1207"/>
      <c r="K165" s="1207"/>
      <c r="L165" s="1207"/>
      <c r="M165" s="1207"/>
      <c r="N165" s="1294"/>
      <c r="O165" s="1202" t="s">
        <v>394</v>
      </c>
      <c r="P165" s="1203"/>
      <c r="Q165" s="1203"/>
      <c r="R165" s="1203"/>
      <c r="S165" s="1203"/>
      <c r="T165" s="1305"/>
      <c r="U165" s="1207"/>
      <c r="V165" s="1291"/>
      <c r="W165" s="1165"/>
      <c r="X165" s="1166"/>
      <c r="Y165" s="1166"/>
      <c r="Z165" s="1166"/>
      <c r="AA165" s="1166"/>
      <c r="AB165" s="1292"/>
      <c r="AC165" s="1207"/>
      <c r="AD165" s="1294"/>
      <c r="AE165" s="1202"/>
      <c r="AF165" s="1203"/>
      <c r="AG165" s="1203"/>
      <c r="AH165" s="1203"/>
      <c r="AI165" s="1203"/>
      <c r="AJ165" s="1305"/>
      <c r="AK165" s="1207"/>
      <c r="AL165" s="1306"/>
      <c r="AM165" s="1202"/>
      <c r="AN165" s="1203"/>
      <c r="AO165" s="1203"/>
      <c r="AP165" s="1203"/>
      <c r="AQ165" s="1203"/>
      <c r="AR165" s="1305"/>
      <c r="AS165" s="1207"/>
      <c r="AT165" s="1258"/>
      <c r="AU165" s="1202"/>
      <c r="AV165" s="1203"/>
      <c r="AW165" s="1203"/>
      <c r="AX165" s="1203"/>
      <c r="AY165" s="1203"/>
      <c r="AZ165" s="1204"/>
      <c r="BA165" s="1342"/>
      <c r="BB165" s="1258"/>
      <c r="BC165" s="1202"/>
      <c r="BD165" s="1203"/>
      <c r="BE165" s="1203"/>
      <c r="BF165" s="1203"/>
      <c r="BG165" s="1203"/>
      <c r="BH165" s="1204"/>
      <c r="BI165" s="1342"/>
      <c r="BJ165" s="1337"/>
      <c r="BK165" s="1338"/>
      <c r="BL165" s="1338"/>
      <c r="BM165" s="1338"/>
      <c r="BN165" s="1338"/>
      <c r="BO165" s="1339"/>
    </row>
    <row r="166" spans="1:67" ht="15" customHeight="1">
      <c r="A166" s="1304">
        <v>1.5</v>
      </c>
      <c r="B166" s="1161" t="s">
        <v>336</v>
      </c>
      <c r="C166" s="1162"/>
      <c r="D166" s="1162"/>
      <c r="E166" s="1162"/>
      <c r="F166" s="1162"/>
      <c r="G166" s="1199"/>
      <c r="H166" s="1205" t="str">
        <f t="shared" ref="H166" si="273">IF(ISBLANK(AB$5),"",1)</f>
        <v/>
      </c>
      <c r="I166" s="1205" t="str">
        <f t="shared" ref="I166" si="274">IF(ISBLANK(AF$5),"",1)</f>
        <v/>
      </c>
      <c r="J166" s="1205" t="str">
        <f t="shared" ref="J166" si="275">IF(ISBLANK(AJ$5),"",1)</f>
        <v/>
      </c>
      <c r="K166" s="1205" t="str">
        <f t="shared" ref="K166" si="276">IF(ISBLANK(AN$5),"",1)</f>
        <v/>
      </c>
      <c r="L166" s="1205" t="str">
        <f t="shared" ref="L166" si="277">IF(ISBLANK(AR$5),"",1)</f>
        <v/>
      </c>
      <c r="M166" s="1205" t="str">
        <f t="shared" ref="M166" si="278">IF(ISBLANK(AV$5),"",1)</f>
        <v/>
      </c>
      <c r="N166" s="1391">
        <v>4.4000000000000004</v>
      </c>
      <c r="O166" s="1198" t="s">
        <v>359</v>
      </c>
      <c r="P166" s="1162"/>
      <c r="Q166" s="1162"/>
      <c r="R166" s="1162"/>
      <c r="S166" s="1162"/>
      <c r="T166" s="1265"/>
      <c r="U166" s="1205" t="str">
        <f t="shared" ref="U166" si="279">IF(ISBLANK(AB$5),"",1)</f>
        <v/>
      </c>
      <c r="V166" s="1322">
        <v>4.4000000000000004</v>
      </c>
      <c r="W166" s="1198" t="s">
        <v>395</v>
      </c>
      <c r="X166" s="1162"/>
      <c r="Y166" s="1162"/>
      <c r="Z166" s="1162"/>
      <c r="AA166" s="1162"/>
      <c r="AB166" s="1265"/>
      <c r="AC166" s="1205" t="str">
        <f t="shared" ref="AC166" si="280">IF(ISBLANK(AF$5),"",1)</f>
        <v/>
      </c>
      <c r="AD166" s="1322">
        <v>4.4000000000000004</v>
      </c>
      <c r="AE166" s="1198" t="s">
        <v>414</v>
      </c>
      <c r="AF166" s="1162"/>
      <c r="AG166" s="1162"/>
      <c r="AH166" s="1162"/>
      <c r="AI166" s="1162"/>
      <c r="AJ166" s="1265"/>
      <c r="AK166" s="1205" t="str">
        <f t="shared" ref="AK166" si="281">IF(ISBLANK(AJ$5),"",1)</f>
        <v/>
      </c>
      <c r="AL166" s="1304">
        <v>4.4000000000000004</v>
      </c>
      <c r="AM166" s="1161" t="s">
        <v>878</v>
      </c>
      <c r="AN166" s="1162"/>
      <c r="AO166" s="1162"/>
      <c r="AP166" s="1162"/>
      <c r="AQ166" s="1162"/>
      <c r="AR166" s="1199"/>
      <c r="AS166" s="1205" t="str">
        <f t="shared" ref="AS166" si="282">IF(ISBLANK(AN$5),"",1)</f>
        <v/>
      </c>
      <c r="AT166" s="1258">
        <v>4.4000000000000004</v>
      </c>
      <c r="AU166" s="1198" t="s">
        <v>417</v>
      </c>
      <c r="AV166" s="1162"/>
      <c r="AW166" s="1162"/>
      <c r="AX166" s="1162"/>
      <c r="AY166" s="1162"/>
      <c r="AZ166" s="1199"/>
      <c r="BA166" s="1226" t="str">
        <f t="shared" ref="BA166" si="283">IF(ISBLANK(AR$5),"",1)</f>
        <v/>
      </c>
      <c r="BB166" s="1258">
        <v>4.4000000000000004</v>
      </c>
      <c r="BC166" s="1198" t="s">
        <v>417</v>
      </c>
      <c r="BD166" s="1162"/>
      <c r="BE166" s="1162"/>
      <c r="BF166" s="1162"/>
      <c r="BG166" s="1162"/>
      <c r="BH166" s="1199"/>
      <c r="BI166" s="1226" t="str">
        <f t="shared" ref="BI166" si="284">IF(ISBLANK(AV$5),"",1)</f>
        <v/>
      </c>
      <c r="BJ166" s="1337"/>
      <c r="BK166" s="1338"/>
      <c r="BL166" s="1338"/>
      <c r="BM166" s="1338"/>
      <c r="BN166" s="1338"/>
      <c r="BO166" s="1339"/>
    </row>
    <row r="167" spans="1:67" ht="15" customHeight="1">
      <c r="A167" s="1290"/>
      <c r="B167" s="1163"/>
      <c r="C167" s="1164"/>
      <c r="D167" s="1164"/>
      <c r="E167" s="1164"/>
      <c r="F167" s="1164"/>
      <c r="G167" s="1201"/>
      <c r="H167" s="1206"/>
      <c r="I167" s="1206"/>
      <c r="J167" s="1206"/>
      <c r="K167" s="1206"/>
      <c r="L167" s="1206"/>
      <c r="M167" s="1206"/>
      <c r="N167" s="1392"/>
      <c r="O167" s="1200" t="s">
        <v>370</v>
      </c>
      <c r="P167" s="1164"/>
      <c r="Q167" s="1164"/>
      <c r="R167" s="1164"/>
      <c r="S167" s="1164"/>
      <c r="T167" s="1266"/>
      <c r="U167" s="1206"/>
      <c r="V167" s="1293"/>
      <c r="W167" s="1200"/>
      <c r="X167" s="1164"/>
      <c r="Y167" s="1164"/>
      <c r="Z167" s="1164"/>
      <c r="AA167" s="1164"/>
      <c r="AB167" s="1266"/>
      <c r="AC167" s="1206"/>
      <c r="AD167" s="1293"/>
      <c r="AE167" s="1200"/>
      <c r="AF167" s="1164"/>
      <c r="AG167" s="1164"/>
      <c r="AH167" s="1164"/>
      <c r="AI167" s="1164"/>
      <c r="AJ167" s="1266"/>
      <c r="AK167" s="1206"/>
      <c r="AL167" s="1290"/>
      <c r="AM167" s="1163"/>
      <c r="AN167" s="1164"/>
      <c r="AO167" s="1164"/>
      <c r="AP167" s="1164"/>
      <c r="AQ167" s="1164"/>
      <c r="AR167" s="1201"/>
      <c r="AS167" s="1206"/>
      <c r="AT167" s="1258"/>
      <c r="AU167" s="1200"/>
      <c r="AV167" s="1164"/>
      <c r="AW167" s="1164"/>
      <c r="AX167" s="1164"/>
      <c r="AY167" s="1164"/>
      <c r="AZ167" s="1201"/>
      <c r="BA167" s="1342"/>
      <c r="BB167" s="1258"/>
      <c r="BC167" s="1200"/>
      <c r="BD167" s="1164"/>
      <c r="BE167" s="1164"/>
      <c r="BF167" s="1164"/>
      <c r="BG167" s="1164"/>
      <c r="BH167" s="1201"/>
      <c r="BI167" s="1342"/>
      <c r="BJ167" s="1337"/>
      <c r="BK167" s="1338"/>
      <c r="BL167" s="1338"/>
      <c r="BM167" s="1338"/>
      <c r="BN167" s="1338"/>
      <c r="BO167" s="1339"/>
    </row>
    <row r="168" spans="1:67" ht="15" customHeight="1">
      <c r="A168" s="1291"/>
      <c r="B168" s="1165"/>
      <c r="C168" s="1166"/>
      <c r="D168" s="1166"/>
      <c r="E168" s="1166"/>
      <c r="F168" s="1166"/>
      <c r="G168" s="1292"/>
      <c r="H168" s="1207"/>
      <c r="I168" s="1207"/>
      <c r="J168" s="1207"/>
      <c r="K168" s="1207"/>
      <c r="L168" s="1207"/>
      <c r="M168" s="1207"/>
      <c r="N168" s="1393"/>
      <c r="O168" s="1202" t="s">
        <v>384</v>
      </c>
      <c r="P168" s="1203"/>
      <c r="Q168" s="1203"/>
      <c r="R168" s="1203"/>
      <c r="S168" s="1203"/>
      <c r="T168" s="1305"/>
      <c r="U168" s="1207"/>
      <c r="V168" s="1294"/>
      <c r="W168" s="1202"/>
      <c r="X168" s="1203"/>
      <c r="Y168" s="1203"/>
      <c r="Z168" s="1203"/>
      <c r="AA168" s="1203"/>
      <c r="AB168" s="1305"/>
      <c r="AC168" s="1207"/>
      <c r="AD168" s="1306"/>
      <c r="AE168" s="1202"/>
      <c r="AF168" s="1203"/>
      <c r="AG168" s="1203"/>
      <c r="AH168" s="1203"/>
      <c r="AI168" s="1203"/>
      <c r="AJ168" s="1305"/>
      <c r="AK168" s="1207"/>
      <c r="AL168" s="1291"/>
      <c r="AM168" s="1165"/>
      <c r="AN168" s="1166"/>
      <c r="AO168" s="1166"/>
      <c r="AP168" s="1166"/>
      <c r="AQ168" s="1166"/>
      <c r="AR168" s="1292"/>
      <c r="AS168" s="1207"/>
      <c r="AT168" s="1258"/>
      <c r="AU168" s="1202"/>
      <c r="AV168" s="1203"/>
      <c r="AW168" s="1203"/>
      <c r="AX168" s="1203"/>
      <c r="AY168" s="1203"/>
      <c r="AZ168" s="1204"/>
      <c r="BA168" s="1342"/>
      <c r="BB168" s="1258"/>
      <c r="BC168" s="1202"/>
      <c r="BD168" s="1203"/>
      <c r="BE168" s="1203"/>
      <c r="BF168" s="1203"/>
      <c r="BG168" s="1203"/>
      <c r="BH168" s="1204"/>
      <c r="BI168" s="1342"/>
      <c r="BJ168" s="1337"/>
      <c r="BK168" s="1338"/>
      <c r="BL168" s="1338"/>
      <c r="BM168" s="1338"/>
      <c r="BN168" s="1338"/>
      <c r="BO168" s="1339"/>
    </row>
    <row r="169" spans="1:67" ht="15" customHeight="1">
      <c r="A169" s="1304">
        <v>2.1</v>
      </c>
      <c r="B169" s="1161" t="s">
        <v>360</v>
      </c>
      <c r="C169" s="1162"/>
      <c r="D169" s="1162"/>
      <c r="E169" s="1162"/>
      <c r="F169" s="1162"/>
      <c r="G169" s="1199"/>
      <c r="H169" s="1205" t="str">
        <f t="shared" ref="H169" si="285">IF(ISBLANK(AB$5),"",1)</f>
        <v/>
      </c>
      <c r="I169" s="1205" t="str">
        <f t="shared" ref="I169" si="286">IF(ISBLANK(AF$5),"",1)</f>
        <v/>
      </c>
      <c r="J169" s="1205" t="str">
        <f t="shared" ref="J169" si="287">IF(ISBLANK(AJ$5),"",1)</f>
        <v/>
      </c>
      <c r="K169" s="1205" t="str">
        <f t="shared" ref="K169" si="288">IF(ISBLANK(AN$5),"",1)</f>
        <v/>
      </c>
      <c r="L169" s="1205" t="str">
        <f t="shared" ref="L169" si="289">IF(ISBLANK(AR$5),"",1)</f>
        <v/>
      </c>
      <c r="M169" s="1205" t="str">
        <f t="shared" ref="M169" si="290">IF(ISBLANK(AV$5),"",1)</f>
        <v/>
      </c>
      <c r="N169" s="1322">
        <v>4.4000000000000004</v>
      </c>
      <c r="O169" s="1198" t="s">
        <v>395</v>
      </c>
      <c r="P169" s="1162"/>
      <c r="Q169" s="1162"/>
      <c r="R169" s="1162"/>
      <c r="S169" s="1162"/>
      <c r="T169" s="1265"/>
      <c r="U169" s="1205" t="str">
        <f t="shared" ref="U169" si="291">IF(ISBLANK(AB$5),"",1)</f>
        <v/>
      </c>
      <c r="V169" s="1391">
        <v>4.4000000000000004</v>
      </c>
      <c r="W169" s="1161" t="s">
        <v>878</v>
      </c>
      <c r="X169" s="1162"/>
      <c r="Y169" s="1162"/>
      <c r="Z169" s="1162"/>
      <c r="AA169" s="1162"/>
      <c r="AB169" s="1199"/>
      <c r="AC169" s="1205" t="str">
        <f t="shared" ref="AC169" si="292">IF(ISBLANK(AF$5),"",1)</f>
        <v/>
      </c>
      <c r="AD169" s="1322">
        <v>4.4000000000000004</v>
      </c>
      <c r="AE169" s="1198" t="s">
        <v>383</v>
      </c>
      <c r="AF169" s="1162"/>
      <c r="AG169" s="1162"/>
      <c r="AH169" s="1162"/>
      <c r="AI169" s="1162"/>
      <c r="AJ169" s="1265"/>
      <c r="AK169" s="1205" t="str">
        <f t="shared" ref="AK169" si="293">IF(ISBLANK(AJ$5),"",1)</f>
        <v/>
      </c>
      <c r="AL169" s="1307">
        <v>1.5</v>
      </c>
      <c r="AM169" s="1310" t="s">
        <v>373</v>
      </c>
      <c r="AN169" s="1311"/>
      <c r="AO169" s="1311"/>
      <c r="AP169" s="1311"/>
      <c r="AQ169" s="1311"/>
      <c r="AR169" s="1312"/>
      <c r="AS169" s="1205" t="str">
        <f t="shared" ref="AS169" si="294">IF(ISBLANK(AN$5),"",1)</f>
        <v/>
      </c>
      <c r="AT169" s="1258">
        <v>4.4000000000000004</v>
      </c>
      <c r="AU169" s="1198" t="s">
        <v>419</v>
      </c>
      <c r="AV169" s="1162"/>
      <c r="AW169" s="1162"/>
      <c r="AX169" s="1162"/>
      <c r="AY169" s="1162"/>
      <c r="AZ169" s="1199"/>
      <c r="BA169" s="1226" t="str">
        <f t="shared" ref="BA169" si="295">IF(ISBLANK(AR$5),"",1)</f>
        <v/>
      </c>
      <c r="BB169" s="1258">
        <v>4.4000000000000004</v>
      </c>
      <c r="BC169" s="1198" t="s">
        <v>419</v>
      </c>
      <c r="BD169" s="1162"/>
      <c r="BE169" s="1162"/>
      <c r="BF169" s="1162"/>
      <c r="BG169" s="1162"/>
      <c r="BH169" s="1199"/>
      <c r="BI169" s="1226" t="str">
        <f t="shared" ref="BI169" si="296">IF(ISBLANK(AV$5),"",1)</f>
        <v/>
      </c>
      <c r="BJ169" s="1337"/>
      <c r="BK169" s="1338"/>
      <c r="BL169" s="1338"/>
      <c r="BM169" s="1338"/>
      <c r="BN169" s="1338"/>
      <c r="BO169" s="1339"/>
    </row>
    <row r="170" spans="1:67" ht="15" customHeight="1">
      <c r="A170" s="1290"/>
      <c r="B170" s="1163"/>
      <c r="C170" s="1164"/>
      <c r="D170" s="1164"/>
      <c r="E170" s="1164"/>
      <c r="F170" s="1164"/>
      <c r="G170" s="1201"/>
      <c r="H170" s="1206"/>
      <c r="I170" s="1206"/>
      <c r="J170" s="1206"/>
      <c r="K170" s="1206"/>
      <c r="L170" s="1206"/>
      <c r="M170" s="1206"/>
      <c r="N170" s="1293"/>
      <c r="O170" s="1200" t="s">
        <v>370</v>
      </c>
      <c r="P170" s="1164"/>
      <c r="Q170" s="1164"/>
      <c r="R170" s="1164"/>
      <c r="S170" s="1164"/>
      <c r="T170" s="1266"/>
      <c r="U170" s="1206"/>
      <c r="V170" s="1392"/>
      <c r="W170" s="1163"/>
      <c r="X170" s="1164"/>
      <c r="Y170" s="1164"/>
      <c r="Z170" s="1164"/>
      <c r="AA170" s="1164"/>
      <c r="AB170" s="1201"/>
      <c r="AC170" s="1206"/>
      <c r="AD170" s="1293"/>
      <c r="AE170" s="1200"/>
      <c r="AF170" s="1164"/>
      <c r="AG170" s="1164"/>
      <c r="AH170" s="1164"/>
      <c r="AI170" s="1164"/>
      <c r="AJ170" s="1266"/>
      <c r="AK170" s="1206"/>
      <c r="AL170" s="1308"/>
      <c r="AM170" s="1295"/>
      <c r="AN170" s="1296"/>
      <c r="AO170" s="1296"/>
      <c r="AP170" s="1296"/>
      <c r="AQ170" s="1296"/>
      <c r="AR170" s="1297"/>
      <c r="AS170" s="1206"/>
      <c r="AT170" s="1258"/>
      <c r="AU170" s="1200"/>
      <c r="AV170" s="1164"/>
      <c r="AW170" s="1164"/>
      <c r="AX170" s="1164"/>
      <c r="AY170" s="1164"/>
      <c r="AZ170" s="1201"/>
      <c r="BA170" s="1342"/>
      <c r="BB170" s="1258"/>
      <c r="BC170" s="1200"/>
      <c r="BD170" s="1164"/>
      <c r="BE170" s="1164"/>
      <c r="BF170" s="1164"/>
      <c r="BG170" s="1164"/>
      <c r="BH170" s="1201"/>
      <c r="BI170" s="1342"/>
      <c r="BJ170" s="1337"/>
      <c r="BK170" s="1338"/>
      <c r="BL170" s="1338"/>
      <c r="BM170" s="1338"/>
      <c r="BN170" s="1338"/>
      <c r="BO170" s="1339"/>
    </row>
    <row r="171" spans="1:67" ht="15" customHeight="1">
      <c r="A171" s="1291"/>
      <c r="B171" s="1165"/>
      <c r="C171" s="1166"/>
      <c r="D171" s="1166"/>
      <c r="E171" s="1166"/>
      <c r="F171" s="1166"/>
      <c r="G171" s="1292"/>
      <c r="H171" s="1207"/>
      <c r="I171" s="1207"/>
      <c r="J171" s="1207"/>
      <c r="K171" s="1207"/>
      <c r="L171" s="1207"/>
      <c r="M171" s="1207"/>
      <c r="N171" s="1294"/>
      <c r="O171" s="1202" t="s">
        <v>396</v>
      </c>
      <c r="P171" s="1203"/>
      <c r="Q171" s="1203"/>
      <c r="R171" s="1203"/>
      <c r="S171" s="1203"/>
      <c r="T171" s="1305"/>
      <c r="U171" s="1207"/>
      <c r="V171" s="1393"/>
      <c r="W171" s="1165"/>
      <c r="X171" s="1166"/>
      <c r="Y171" s="1166"/>
      <c r="Z171" s="1166"/>
      <c r="AA171" s="1166"/>
      <c r="AB171" s="1292"/>
      <c r="AC171" s="1207"/>
      <c r="AD171" s="1306"/>
      <c r="AE171" s="1202"/>
      <c r="AF171" s="1203"/>
      <c r="AG171" s="1203"/>
      <c r="AH171" s="1203"/>
      <c r="AI171" s="1203"/>
      <c r="AJ171" s="1305"/>
      <c r="AK171" s="1207"/>
      <c r="AL171" s="1309"/>
      <c r="AM171" s="1298"/>
      <c r="AN171" s="1299"/>
      <c r="AO171" s="1299"/>
      <c r="AP171" s="1299"/>
      <c r="AQ171" s="1299"/>
      <c r="AR171" s="1300"/>
      <c r="AS171" s="1207"/>
      <c r="AT171" s="1258"/>
      <c r="AU171" s="1202"/>
      <c r="AV171" s="1203"/>
      <c r="AW171" s="1203"/>
      <c r="AX171" s="1203"/>
      <c r="AY171" s="1203"/>
      <c r="AZ171" s="1204"/>
      <c r="BA171" s="1342"/>
      <c r="BB171" s="1258"/>
      <c r="BC171" s="1202"/>
      <c r="BD171" s="1203"/>
      <c r="BE171" s="1203"/>
      <c r="BF171" s="1203"/>
      <c r="BG171" s="1203"/>
      <c r="BH171" s="1204"/>
      <c r="BI171" s="1342"/>
      <c r="BJ171" s="1337"/>
      <c r="BK171" s="1338"/>
      <c r="BL171" s="1338"/>
      <c r="BM171" s="1338"/>
      <c r="BN171" s="1338"/>
      <c r="BO171" s="1339"/>
    </row>
    <row r="172" spans="1:67" ht="15" customHeight="1">
      <c r="A172" s="1304">
        <v>2.4</v>
      </c>
      <c r="B172" s="1161" t="s">
        <v>942</v>
      </c>
      <c r="C172" s="1162"/>
      <c r="D172" s="1162"/>
      <c r="E172" s="1162"/>
      <c r="F172" s="1162"/>
      <c r="G172" s="1199"/>
      <c r="H172" s="1205" t="str">
        <f t="shared" ref="H172" si="297">IF(ISBLANK(AB$5),"",1)</f>
        <v/>
      </c>
      <c r="I172" s="1205" t="str">
        <f t="shared" ref="I172" si="298">IF(ISBLANK(AF$5),"",1)</f>
        <v/>
      </c>
      <c r="J172" s="1205" t="str">
        <f t="shared" ref="J172" si="299">IF(ISBLANK(AJ$5),"",1)</f>
        <v/>
      </c>
      <c r="K172" s="1205" t="str">
        <f t="shared" ref="K172" si="300">IF(ISBLANK(AN$5),"",1)</f>
        <v/>
      </c>
      <c r="L172" s="1205" t="str">
        <f t="shared" ref="L172" si="301">IF(ISBLANK(AR$5),"",1)</f>
        <v/>
      </c>
      <c r="M172" s="1205" t="str">
        <f t="shared" ref="M172" si="302">IF(ISBLANK(AV$5),"",1)</f>
        <v/>
      </c>
      <c r="N172" s="1391">
        <v>4.4000000000000004</v>
      </c>
      <c r="O172" s="1161" t="s">
        <v>878</v>
      </c>
      <c r="P172" s="1162"/>
      <c r="Q172" s="1162"/>
      <c r="R172" s="1162"/>
      <c r="S172" s="1162"/>
      <c r="T172" s="1199"/>
      <c r="U172" s="1205" t="str">
        <f t="shared" ref="U172" si="303">IF(ISBLANK(AB$5),"",1)</f>
        <v/>
      </c>
      <c r="V172" s="1394">
        <v>1.5</v>
      </c>
      <c r="W172" s="1310" t="s">
        <v>373</v>
      </c>
      <c r="X172" s="1311"/>
      <c r="Y172" s="1311"/>
      <c r="Z172" s="1311"/>
      <c r="AA172" s="1311"/>
      <c r="AB172" s="1312"/>
      <c r="AC172" s="1205" t="str">
        <f t="shared" ref="AC172" si="304">IF(ISBLANK(AF$5),"",1)</f>
        <v/>
      </c>
      <c r="AD172" s="1307">
        <v>1.5</v>
      </c>
      <c r="AE172" s="1310" t="s">
        <v>373</v>
      </c>
      <c r="AF172" s="1311"/>
      <c r="AG172" s="1311"/>
      <c r="AH172" s="1311"/>
      <c r="AI172" s="1311"/>
      <c r="AJ172" s="1312"/>
      <c r="AK172" s="1205" t="str">
        <f t="shared" ref="AK172" si="305">IF(ISBLANK(AJ$5),"",1)</f>
        <v/>
      </c>
      <c r="AL172" s="1322">
        <v>4.4000000000000004</v>
      </c>
      <c r="AM172" s="1198" t="s">
        <v>397</v>
      </c>
      <c r="AN172" s="1162"/>
      <c r="AO172" s="1162"/>
      <c r="AP172" s="1162"/>
      <c r="AQ172" s="1162"/>
      <c r="AR172" s="1265"/>
      <c r="AS172" s="1205" t="str">
        <f t="shared" ref="AS172" si="306">IF(ISBLANK(AN$5),"",1)</f>
        <v/>
      </c>
      <c r="AT172" s="1258">
        <v>4.4000000000000004</v>
      </c>
      <c r="AU172" s="1198" t="s">
        <v>420</v>
      </c>
      <c r="AV172" s="1162"/>
      <c r="AW172" s="1162"/>
      <c r="AX172" s="1162"/>
      <c r="AY172" s="1162"/>
      <c r="AZ172" s="1199"/>
      <c r="BA172" s="1226" t="str">
        <f t="shared" ref="BA172" si="307">IF(ISBLANK(AR$5),"",1)</f>
        <v/>
      </c>
      <c r="BB172" s="1258">
        <v>4.4000000000000004</v>
      </c>
      <c r="BC172" s="1198" t="s">
        <v>420</v>
      </c>
      <c r="BD172" s="1162"/>
      <c r="BE172" s="1162"/>
      <c r="BF172" s="1162"/>
      <c r="BG172" s="1162"/>
      <c r="BH172" s="1199"/>
      <c r="BI172" s="1226" t="str">
        <f t="shared" ref="BI172" si="308">IF(ISBLANK(AV$5),"",1)</f>
        <v/>
      </c>
      <c r="BJ172" s="1337"/>
      <c r="BK172" s="1338"/>
      <c r="BL172" s="1338"/>
      <c r="BM172" s="1338"/>
      <c r="BN172" s="1338"/>
      <c r="BO172" s="1339"/>
    </row>
    <row r="173" spans="1:67" ht="15" customHeight="1">
      <c r="A173" s="1290"/>
      <c r="B173" s="1163"/>
      <c r="C173" s="1164"/>
      <c r="D173" s="1164"/>
      <c r="E173" s="1164"/>
      <c r="F173" s="1164"/>
      <c r="G173" s="1201"/>
      <c r="H173" s="1206"/>
      <c r="I173" s="1206"/>
      <c r="J173" s="1206"/>
      <c r="K173" s="1206"/>
      <c r="L173" s="1206"/>
      <c r="M173" s="1206"/>
      <c r="N173" s="1392"/>
      <c r="O173" s="1163"/>
      <c r="P173" s="1164"/>
      <c r="Q173" s="1164"/>
      <c r="R173" s="1164"/>
      <c r="S173" s="1164"/>
      <c r="T173" s="1201"/>
      <c r="U173" s="1206"/>
      <c r="V173" s="1313"/>
      <c r="W173" s="1295"/>
      <c r="X173" s="1296"/>
      <c r="Y173" s="1296"/>
      <c r="Z173" s="1296"/>
      <c r="AA173" s="1296"/>
      <c r="AB173" s="1297"/>
      <c r="AC173" s="1206"/>
      <c r="AD173" s="1308"/>
      <c r="AE173" s="1295"/>
      <c r="AF173" s="1296"/>
      <c r="AG173" s="1296"/>
      <c r="AH173" s="1296"/>
      <c r="AI173" s="1296"/>
      <c r="AJ173" s="1297"/>
      <c r="AK173" s="1206"/>
      <c r="AL173" s="1293"/>
      <c r="AM173" s="1200"/>
      <c r="AN173" s="1164"/>
      <c r="AO173" s="1164"/>
      <c r="AP173" s="1164"/>
      <c r="AQ173" s="1164"/>
      <c r="AR173" s="1266"/>
      <c r="AS173" s="1206"/>
      <c r="AT173" s="1258"/>
      <c r="AU173" s="1200"/>
      <c r="AV173" s="1164"/>
      <c r="AW173" s="1164"/>
      <c r="AX173" s="1164"/>
      <c r="AY173" s="1164"/>
      <c r="AZ173" s="1201"/>
      <c r="BA173" s="1342"/>
      <c r="BB173" s="1258"/>
      <c r="BC173" s="1200"/>
      <c r="BD173" s="1164"/>
      <c r="BE173" s="1164"/>
      <c r="BF173" s="1164"/>
      <c r="BG173" s="1164"/>
      <c r="BH173" s="1201"/>
      <c r="BI173" s="1342"/>
      <c r="BJ173" s="1337"/>
      <c r="BK173" s="1338"/>
      <c r="BL173" s="1338"/>
      <c r="BM173" s="1338"/>
      <c r="BN173" s="1338"/>
      <c r="BO173" s="1339"/>
    </row>
    <row r="174" spans="1:67" ht="15" customHeight="1">
      <c r="A174" s="1291"/>
      <c r="B174" s="1165"/>
      <c r="C174" s="1166"/>
      <c r="D174" s="1166"/>
      <c r="E174" s="1166"/>
      <c r="F174" s="1166"/>
      <c r="G174" s="1292"/>
      <c r="H174" s="1207"/>
      <c r="I174" s="1207"/>
      <c r="J174" s="1207"/>
      <c r="K174" s="1207"/>
      <c r="L174" s="1207"/>
      <c r="M174" s="1207"/>
      <c r="N174" s="1393"/>
      <c r="O174" s="1165"/>
      <c r="P174" s="1166"/>
      <c r="Q174" s="1166"/>
      <c r="R174" s="1166"/>
      <c r="S174" s="1166"/>
      <c r="T174" s="1292"/>
      <c r="U174" s="1207"/>
      <c r="V174" s="1314"/>
      <c r="W174" s="1298"/>
      <c r="X174" s="1299"/>
      <c r="Y174" s="1299"/>
      <c r="Z174" s="1299"/>
      <c r="AA174" s="1299"/>
      <c r="AB174" s="1300"/>
      <c r="AC174" s="1207"/>
      <c r="AD174" s="1309"/>
      <c r="AE174" s="1298"/>
      <c r="AF174" s="1299"/>
      <c r="AG174" s="1299"/>
      <c r="AH174" s="1299"/>
      <c r="AI174" s="1299"/>
      <c r="AJ174" s="1300"/>
      <c r="AK174" s="1207"/>
      <c r="AL174" s="1306"/>
      <c r="AM174" s="1202"/>
      <c r="AN174" s="1203"/>
      <c r="AO174" s="1203"/>
      <c r="AP174" s="1203"/>
      <c r="AQ174" s="1203"/>
      <c r="AR174" s="1305"/>
      <c r="AS174" s="1207"/>
      <c r="AT174" s="1258"/>
      <c r="AU174" s="1202"/>
      <c r="AV174" s="1203"/>
      <c r="AW174" s="1203"/>
      <c r="AX174" s="1203"/>
      <c r="AY174" s="1203"/>
      <c r="AZ174" s="1204"/>
      <c r="BA174" s="1342"/>
      <c r="BB174" s="1258"/>
      <c r="BC174" s="1202"/>
      <c r="BD174" s="1203"/>
      <c r="BE174" s="1203"/>
      <c r="BF174" s="1203"/>
      <c r="BG174" s="1203"/>
      <c r="BH174" s="1204"/>
      <c r="BI174" s="1342"/>
      <c r="BJ174" s="1337"/>
      <c r="BK174" s="1338"/>
      <c r="BL174" s="1338"/>
      <c r="BM174" s="1338"/>
      <c r="BN174" s="1338"/>
      <c r="BO174" s="1339"/>
    </row>
    <row r="175" spans="1:67" ht="15" customHeight="1">
      <c r="A175" s="252"/>
      <c r="B175" s="243"/>
      <c r="C175" s="242"/>
      <c r="D175" s="242"/>
      <c r="F175" s="278">
        <v>1.1000000000000001</v>
      </c>
      <c r="G175" s="311">
        <f>COUNTIF($A$148:$A$174,F175)</f>
        <v>4</v>
      </c>
      <c r="H175" s="240" t="str">
        <f>IF($AB$5=1,SUMIF($A$148:$A$174,$F175,$H$148:$H$174),"")</f>
        <v/>
      </c>
      <c r="I175" s="240" t="str">
        <f>IF($AF$5=1,SUMIF($A$148:$A$174,$F175,$I$148:$I$174),"")</f>
        <v/>
      </c>
      <c r="J175" s="240" t="str">
        <f>IF($AJ$5=1,SUMIF($A$148:$A$174,$F175,$J$148:$J$174),"")</f>
        <v/>
      </c>
      <c r="K175" s="240" t="str">
        <f>IF($AN$5=1,SUMIF($A$148:$A$174,$F175,$K$148:$K$174),"")</f>
        <v/>
      </c>
      <c r="L175" s="240" t="str">
        <f>IF($AR$5=1,SUMIF($A$148:$A$174,$F175,$L$148:$L$174),"")</f>
        <v/>
      </c>
      <c r="M175" s="240" t="str">
        <f>IF($AV$5=1,SUMIF($A$148:$A$174,$F175,$M$148:$M$174),"")</f>
        <v/>
      </c>
      <c r="N175" s="1394">
        <v>1.5</v>
      </c>
      <c r="O175" s="1310" t="s">
        <v>373</v>
      </c>
      <c r="P175" s="1311"/>
      <c r="Q175" s="1311"/>
      <c r="R175" s="1311"/>
      <c r="S175" s="1311"/>
      <c r="T175" s="1312"/>
      <c r="U175" s="1205" t="str">
        <f t="shared" ref="U175" si="309">IF(ISBLANK(AB$5),"",1)</f>
        <v/>
      </c>
      <c r="V175" s="1322">
        <v>4.4000000000000004</v>
      </c>
      <c r="W175" s="1198" t="s">
        <v>397</v>
      </c>
      <c r="X175" s="1162"/>
      <c r="Y175" s="1162"/>
      <c r="Z175" s="1162"/>
      <c r="AA175" s="1162"/>
      <c r="AB175" s="1265"/>
      <c r="AC175" s="1205" t="str">
        <f t="shared" ref="AC175" si="310">IF(ISBLANK(AF$5),"",1)</f>
        <v/>
      </c>
      <c r="AD175" s="1322">
        <v>4.4000000000000004</v>
      </c>
      <c r="AE175" s="1198" t="s">
        <v>425</v>
      </c>
      <c r="AF175" s="1162"/>
      <c r="AG175" s="1162"/>
      <c r="AH175" s="1162"/>
      <c r="AI175" s="1162"/>
      <c r="AJ175" s="1265"/>
      <c r="AK175" s="1205" t="str">
        <f t="shared" ref="AK175" si="311">IF(ISBLANK(AJ$5),"",1)</f>
        <v/>
      </c>
      <c r="AL175" s="248"/>
      <c r="AO175" s="52"/>
      <c r="AQ175" s="273">
        <v>1.5</v>
      </c>
      <c r="AR175" s="240">
        <f>COUNTIF($AL$148:$AL$174,AQ175)</f>
        <v>1</v>
      </c>
      <c r="AS175" s="240" t="str">
        <f>IF($AN$5=1,SUMIF($AL$148:$AL$174,AQ175,$AS$148:$AS$174),"")</f>
        <v/>
      </c>
      <c r="AT175" s="1304">
        <v>4.4000000000000004</v>
      </c>
      <c r="AU175" s="1198" t="s">
        <v>359</v>
      </c>
      <c r="AV175" s="1162"/>
      <c r="AW175" s="1162"/>
      <c r="AX175" s="1162"/>
      <c r="AY175" s="1162"/>
      <c r="AZ175" s="1199"/>
      <c r="BA175" s="1226" t="str">
        <f t="shared" ref="BA175" si="312">IF(ISBLANK(AR$5),"",1)</f>
        <v/>
      </c>
      <c r="BB175" s="1304">
        <v>4.4000000000000004</v>
      </c>
      <c r="BC175" s="1198" t="s">
        <v>359</v>
      </c>
      <c r="BD175" s="1162"/>
      <c r="BE175" s="1162"/>
      <c r="BF175" s="1162"/>
      <c r="BG175" s="1162"/>
      <c r="BH175" s="1199"/>
      <c r="BI175" s="1226" t="str">
        <f t="shared" ref="BI175" si="313">IF(ISBLANK(AV$5),"",1)</f>
        <v/>
      </c>
      <c r="BJ175" s="1337"/>
      <c r="BK175" s="1338"/>
      <c r="BL175" s="1338"/>
      <c r="BM175" s="1338"/>
      <c r="BN175" s="1338"/>
      <c r="BO175" s="1339"/>
    </row>
    <row r="176" spans="1:67" ht="15" customHeight="1">
      <c r="A176" s="252"/>
      <c r="B176" s="243"/>
      <c r="C176" s="242"/>
      <c r="D176" s="242"/>
      <c r="F176" s="278">
        <v>1.5</v>
      </c>
      <c r="G176" s="311">
        <f t="shared" ref="G176:G178" si="314">COUNTIF($A$148:$A$174,F176)</f>
        <v>1</v>
      </c>
      <c r="H176" s="240" t="str">
        <f t="shared" ref="H176:H178" si="315">IF($AB$5=1,SUMIF($A$148:$A$174,$F176,$H$148:$H$174),"")</f>
        <v/>
      </c>
      <c r="I176" s="240" t="str">
        <f t="shared" ref="I176:I178" si="316">IF($AF$5=1,SUMIF($A$148:$A$174,$F176,$I$148:$I$174),"")</f>
        <v/>
      </c>
      <c r="J176" s="240" t="str">
        <f t="shared" ref="J176:J178" si="317">IF($AJ$5=1,SUMIF($A$148:$A$174,$F176,$J$148:$J$174),"")</f>
        <v/>
      </c>
      <c r="K176" s="240" t="str">
        <f t="shared" ref="K176:K178" si="318">IF($AN$5=1,SUMIF($A$148:$A$174,$F176,$K$148:$K$174),"")</f>
        <v/>
      </c>
      <c r="L176" s="240" t="str">
        <f t="shared" ref="L176:L178" si="319">IF($AR$5=1,SUMIF($A$148:$A$174,$F176,$L$148:$L$174),"")</f>
        <v/>
      </c>
      <c r="M176" s="240" t="str">
        <f t="shared" ref="M176:M178" si="320">IF($AV$5=1,SUMIF($A$148:$A$174,$F176,$M$148:$M$174),"")</f>
        <v/>
      </c>
      <c r="N176" s="1313"/>
      <c r="O176" s="1295"/>
      <c r="P176" s="1296"/>
      <c r="Q176" s="1296"/>
      <c r="R176" s="1296"/>
      <c r="S176" s="1296"/>
      <c r="T176" s="1297"/>
      <c r="U176" s="1206"/>
      <c r="V176" s="1293"/>
      <c r="W176" s="1200"/>
      <c r="X176" s="1164"/>
      <c r="Y176" s="1164"/>
      <c r="Z176" s="1164"/>
      <c r="AA176" s="1164"/>
      <c r="AB176" s="1266"/>
      <c r="AC176" s="1206"/>
      <c r="AD176" s="1293"/>
      <c r="AE176" s="1200"/>
      <c r="AF176" s="1164"/>
      <c r="AG176" s="1164"/>
      <c r="AH176" s="1164"/>
      <c r="AI176" s="1164"/>
      <c r="AJ176" s="1266"/>
      <c r="AK176" s="1206"/>
      <c r="AL176" s="248"/>
      <c r="AO176" s="52"/>
      <c r="AQ176" s="275">
        <v>4.3</v>
      </c>
      <c r="AR176" s="240">
        <f t="shared" ref="AR176:AR177" si="321">COUNTIF($AL$148:$AL$174,AQ176)</f>
        <v>2</v>
      </c>
      <c r="AS176" s="240" t="str">
        <f>IF($AN$5=1,SUMIF($AL$148:$AL$174,AQ176,$AS$148:$AS$174),"")</f>
        <v/>
      </c>
      <c r="AT176" s="1290"/>
      <c r="AU176" s="1200"/>
      <c r="AV176" s="1164"/>
      <c r="AW176" s="1164"/>
      <c r="AX176" s="1164"/>
      <c r="AY176" s="1164"/>
      <c r="AZ176" s="1201"/>
      <c r="BA176" s="1342"/>
      <c r="BB176" s="1290"/>
      <c r="BC176" s="1200"/>
      <c r="BD176" s="1164"/>
      <c r="BE176" s="1164"/>
      <c r="BF176" s="1164"/>
      <c r="BG176" s="1164"/>
      <c r="BH176" s="1201"/>
      <c r="BI176" s="1342"/>
      <c r="BJ176" s="1222"/>
      <c r="BK176" s="1223"/>
      <c r="BL176" s="1223"/>
      <c r="BM176" s="1223"/>
      <c r="BN176" s="1223"/>
      <c r="BO176" s="1224"/>
    </row>
    <row r="177" spans="1:61" ht="15" customHeight="1">
      <c r="A177" s="249"/>
      <c r="B177" s="249"/>
      <c r="C177" s="249"/>
      <c r="D177" s="249"/>
      <c r="F177" s="277">
        <v>2.1</v>
      </c>
      <c r="G177" s="311">
        <f t="shared" si="314"/>
        <v>2</v>
      </c>
      <c r="H177" s="240" t="str">
        <f t="shared" si="315"/>
        <v/>
      </c>
      <c r="I177" s="240" t="str">
        <f t="shared" si="316"/>
        <v/>
      </c>
      <c r="J177" s="240" t="str">
        <f t="shared" si="317"/>
        <v/>
      </c>
      <c r="K177" s="240" t="str">
        <f t="shared" si="318"/>
        <v/>
      </c>
      <c r="L177" s="240" t="str">
        <f t="shared" si="319"/>
        <v/>
      </c>
      <c r="M177" s="240" t="str">
        <f t="shared" si="320"/>
        <v/>
      </c>
      <c r="N177" s="1314"/>
      <c r="O177" s="1298"/>
      <c r="P177" s="1299"/>
      <c r="Q177" s="1299"/>
      <c r="R177" s="1299"/>
      <c r="S177" s="1299"/>
      <c r="T177" s="1300"/>
      <c r="U177" s="1207"/>
      <c r="V177" s="1306"/>
      <c r="W177" s="1202"/>
      <c r="X177" s="1203"/>
      <c r="Y177" s="1203"/>
      <c r="Z177" s="1203"/>
      <c r="AA177" s="1203"/>
      <c r="AB177" s="1305"/>
      <c r="AC177" s="1207"/>
      <c r="AD177" s="1306"/>
      <c r="AE177" s="1202"/>
      <c r="AF177" s="1203"/>
      <c r="AG177" s="1203"/>
      <c r="AH177" s="1203"/>
      <c r="AI177" s="1203"/>
      <c r="AJ177" s="1305"/>
      <c r="AK177" s="1207"/>
      <c r="AL177" s="248"/>
      <c r="AO177" s="52"/>
      <c r="AQ177" s="276">
        <v>4.4000000000000004</v>
      </c>
      <c r="AR177" s="240">
        <f t="shared" si="321"/>
        <v>6</v>
      </c>
      <c r="AS177" s="240" t="str">
        <f>IF($AN$5=1,SUMIF($AL$148:$AL$174,AQ177,$AS$148:$AS$174),"")</f>
        <v/>
      </c>
      <c r="AT177" s="1291"/>
      <c r="AU177" s="1202"/>
      <c r="AV177" s="1203"/>
      <c r="AW177" s="1203"/>
      <c r="AX177" s="1203"/>
      <c r="AY177" s="1203"/>
      <c r="AZ177" s="1204"/>
      <c r="BA177" s="1342"/>
      <c r="BB177" s="1291"/>
      <c r="BC177" s="1202"/>
      <c r="BD177" s="1203"/>
      <c r="BE177" s="1203"/>
      <c r="BF177" s="1203"/>
      <c r="BG177" s="1203"/>
      <c r="BH177" s="1204"/>
      <c r="BI177" s="1342"/>
    </row>
    <row r="178" spans="1:61" ht="15" customHeight="1">
      <c r="F178" s="277">
        <v>2.4</v>
      </c>
      <c r="G178" s="311">
        <f t="shared" si="314"/>
        <v>2</v>
      </c>
      <c r="H178" s="240" t="str">
        <f t="shared" si="315"/>
        <v/>
      </c>
      <c r="I178" s="240" t="str">
        <f t="shared" si="316"/>
        <v/>
      </c>
      <c r="J178" s="240" t="str">
        <f t="shared" si="317"/>
        <v/>
      </c>
      <c r="K178" s="240" t="str">
        <f t="shared" si="318"/>
        <v/>
      </c>
      <c r="L178" s="240" t="str">
        <f t="shared" si="319"/>
        <v/>
      </c>
      <c r="M178" s="240" t="str">
        <f t="shared" si="320"/>
        <v/>
      </c>
      <c r="N178" s="1322">
        <v>4.4000000000000004</v>
      </c>
      <c r="O178" s="1198" t="s">
        <v>397</v>
      </c>
      <c r="P178" s="1162"/>
      <c r="Q178" s="1162"/>
      <c r="R178" s="1162"/>
      <c r="S178" s="1162"/>
      <c r="T178" s="1265"/>
      <c r="U178" s="1205" t="str">
        <f t="shared" ref="U178" si="322">IF(ISBLANK(AB$5),"",1)</f>
        <v/>
      </c>
      <c r="W178" s="52"/>
      <c r="Y178" s="247"/>
      <c r="AA178" s="273">
        <v>1.5</v>
      </c>
      <c r="AB178" s="240">
        <f>COUNTIF($V$148:$V$177,AA178)</f>
        <v>1</v>
      </c>
      <c r="AC178" s="240" t="str">
        <f>IF($AF$5=1,SUMIF($V$148:$V$177,AA178,$AC$148:$AC$177),"")</f>
        <v/>
      </c>
      <c r="AF178" s="52"/>
      <c r="AG178" s="247"/>
      <c r="AI178" s="273">
        <v>1.5</v>
      </c>
      <c r="AJ178" s="240">
        <f>COUNTIF($AD$148:$AD$177,AI178)</f>
        <v>1</v>
      </c>
      <c r="AK178" s="240" t="str">
        <f>IF($AJ$5=1,SUMIF($AD$148:$AD$177,AI178,$AK$148:$AK$177),"")</f>
        <v/>
      </c>
      <c r="AO178" s="52"/>
      <c r="AT178" s="1258">
        <v>4.4000000000000004</v>
      </c>
      <c r="AU178" s="1198" t="s">
        <v>395</v>
      </c>
      <c r="AV178" s="1162"/>
      <c r="AW178" s="1162"/>
      <c r="AX178" s="1162"/>
      <c r="AY178" s="1162"/>
      <c r="AZ178" s="1199"/>
      <c r="BA178" s="1226" t="str">
        <f t="shared" ref="BA178" si="323">IF(ISBLANK(AR$5),"",1)</f>
        <v/>
      </c>
      <c r="BB178" s="1258">
        <v>4.4000000000000004</v>
      </c>
      <c r="BC178" s="1198" t="s">
        <v>395</v>
      </c>
      <c r="BD178" s="1162"/>
      <c r="BE178" s="1162"/>
      <c r="BF178" s="1162"/>
      <c r="BG178" s="1162"/>
      <c r="BH178" s="1199"/>
      <c r="BI178" s="1226" t="str">
        <f t="shared" ref="BI178" si="324">IF(ISBLANK(AV$5),"",1)</f>
        <v/>
      </c>
    </row>
    <row r="179" spans="1:61" ht="15" customHeight="1">
      <c r="N179" s="1293"/>
      <c r="O179" s="1200"/>
      <c r="P179" s="1164"/>
      <c r="Q179" s="1164"/>
      <c r="R179" s="1164"/>
      <c r="S179" s="1164"/>
      <c r="T179" s="1266"/>
      <c r="U179" s="1206"/>
      <c r="W179" s="52"/>
      <c r="Y179" s="248"/>
      <c r="AA179" s="275">
        <v>4.3</v>
      </c>
      <c r="AB179" s="240">
        <f t="shared" ref="AB179:AB180" si="325">COUNTIF($V$148:$V$177,AA179)</f>
        <v>3</v>
      </c>
      <c r="AC179" s="240" t="str">
        <f>IF($AF$5=1,SUMIF($V$148:$V$177,AA179,$AC$148:$AC$177),"")</f>
        <v/>
      </c>
      <c r="AF179" s="52"/>
      <c r="AI179" s="275">
        <v>4.3</v>
      </c>
      <c r="AJ179" s="240">
        <f t="shared" ref="AJ179:AJ180" si="326">COUNTIF($AD$148:$AD$177,AI179)</f>
        <v>2</v>
      </c>
      <c r="AK179" s="240" t="str">
        <f>IF($AJ$5=1,SUMIF($AD$148:$AD$177,AI179,$AK$148:$AK$177),"")</f>
        <v/>
      </c>
      <c r="AO179" s="52"/>
      <c r="AT179" s="1258"/>
      <c r="AU179" s="1200"/>
      <c r="AV179" s="1164"/>
      <c r="AW179" s="1164"/>
      <c r="AX179" s="1164"/>
      <c r="AY179" s="1164"/>
      <c r="AZ179" s="1201"/>
      <c r="BA179" s="1342"/>
      <c r="BB179" s="1258"/>
      <c r="BC179" s="1200"/>
      <c r="BD179" s="1164"/>
      <c r="BE179" s="1164"/>
      <c r="BF179" s="1164"/>
      <c r="BG179" s="1164"/>
      <c r="BH179" s="1201"/>
      <c r="BI179" s="1342"/>
    </row>
    <row r="180" spans="1:61" ht="15" customHeight="1">
      <c r="A180" s="1209"/>
      <c r="B180" s="1210" t="s">
        <v>609</v>
      </c>
      <c r="C180" s="1211"/>
      <c r="D180" s="1211"/>
      <c r="E180" s="1211"/>
      <c r="F180" s="1211"/>
      <c r="G180" s="1211"/>
      <c r="H180" s="1174">
        <v>7</v>
      </c>
      <c r="I180" s="1174">
        <v>8</v>
      </c>
      <c r="J180" s="1174">
        <v>9</v>
      </c>
      <c r="K180" s="1174">
        <v>10</v>
      </c>
      <c r="L180" s="1174">
        <v>11</v>
      </c>
      <c r="M180" s="1174">
        <v>12</v>
      </c>
      <c r="N180" s="1306"/>
      <c r="O180" s="1202"/>
      <c r="P180" s="1203"/>
      <c r="Q180" s="1203"/>
      <c r="R180" s="1203"/>
      <c r="S180" s="1203"/>
      <c r="T180" s="1305"/>
      <c r="U180" s="1207"/>
      <c r="W180" s="52"/>
      <c r="Y180" s="248"/>
      <c r="AA180" s="276">
        <v>4.4000000000000004</v>
      </c>
      <c r="AB180" s="240">
        <f t="shared" si="325"/>
        <v>6</v>
      </c>
      <c r="AC180" s="240" t="str">
        <f>IF($AF$5=1,SUMIF($V$148:$V$177,AA180,$AC$148:$AC$177),"")</f>
        <v/>
      </c>
      <c r="AF180" s="52"/>
      <c r="AI180" s="276">
        <v>4.4000000000000004</v>
      </c>
      <c r="AJ180" s="240">
        <f t="shared" si="326"/>
        <v>7</v>
      </c>
      <c r="AK180" s="240" t="str">
        <f>IF($AJ$5=1,SUMIF($AD$148:$AD$177,AI180,$AK$148:$AK$177),"")</f>
        <v/>
      </c>
      <c r="AO180" s="52"/>
      <c r="AT180" s="1258"/>
      <c r="AU180" s="1202"/>
      <c r="AV180" s="1203"/>
      <c r="AW180" s="1203"/>
      <c r="AX180" s="1203"/>
      <c r="AY180" s="1203"/>
      <c r="AZ180" s="1204"/>
      <c r="BA180" s="1342"/>
      <c r="BB180" s="1258"/>
      <c r="BC180" s="1202"/>
      <c r="BD180" s="1203"/>
      <c r="BE180" s="1203"/>
      <c r="BF180" s="1203"/>
      <c r="BG180" s="1203"/>
      <c r="BH180" s="1204"/>
      <c r="BI180" s="1342"/>
    </row>
    <row r="181" spans="1:61" ht="15" customHeight="1">
      <c r="A181" s="1209"/>
      <c r="B181" s="1212"/>
      <c r="C181" s="1213"/>
      <c r="D181" s="1213"/>
      <c r="E181" s="1213"/>
      <c r="F181" s="1213"/>
      <c r="G181" s="1213"/>
      <c r="H181" s="1174"/>
      <c r="I181" s="1174"/>
      <c r="J181" s="1174"/>
      <c r="K181" s="1174"/>
      <c r="L181" s="1174"/>
      <c r="M181" s="1174"/>
      <c r="N181" s="247"/>
      <c r="O181" s="52"/>
      <c r="S181" s="273">
        <v>1.5</v>
      </c>
      <c r="T181" s="240">
        <f>COUNTIF($N$148:$N$180,S181)</f>
        <v>1</v>
      </c>
      <c r="U181" s="240" t="str">
        <f>IF($AB$5=1,SUMIF($N$148:$N$180,S181,$U$148:$U$180),"")</f>
        <v/>
      </c>
      <c r="W181" s="52"/>
      <c r="AF181" s="52"/>
      <c r="AO181" s="52"/>
      <c r="AT181" s="1304">
        <v>4.4000000000000004</v>
      </c>
      <c r="AU181" s="1198" t="s">
        <v>878</v>
      </c>
      <c r="AV181" s="1162"/>
      <c r="AW181" s="1162"/>
      <c r="AX181" s="1162"/>
      <c r="AY181" s="1162"/>
      <c r="AZ181" s="1199"/>
      <c r="BA181" s="1226" t="str">
        <f t="shared" ref="BA181" si="327">IF(ISBLANK(AR$5),"",1)</f>
        <v/>
      </c>
      <c r="BB181" s="1304">
        <v>4.4000000000000004</v>
      </c>
      <c r="BC181" s="1198" t="s">
        <v>878</v>
      </c>
      <c r="BD181" s="1162"/>
      <c r="BE181" s="1162"/>
      <c r="BF181" s="1162"/>
      <c r="BG181" s="1162"/>
      <c r="BH181" s="1199"/>
      <c r="BI181" s="1226" t="str">
        <f t="shared" ref="BI181" si="328">IF(ISBLANK(AV$5),"",1)</f>
        <v/>
      </c>
    </row>
    <row r="182" spans="1:61" ht="15" customHeight="1">
      <c r="A182" s="1336">
        <v>3.1</v>
      </c>
      <c r="B182" s="1198" t="s">
        <v>366</v>
      </c>
      <c r="C182" s="1162"/>
      <c r="D182" s="1162"/>
      <c r="E182" s="1162"/>
      <c r="F182" s="1162"/>
      <c r="G182" s="1265"/>
      <c r="H182" s="1205" t="str">
        <f t="shared" ref="H182" si="329">IF(ISBLANK(AB$5),"",1)</f>
        <v/>
      </c>
      <c r="I182" s="1205" t="str">
        <f t="shared" ref="I182" si="330">IF(ISBLANK(AF$5),"",1)</f>
        <v/>
      </c>
      <c r="J182" s="1205" t="str">
        <f t="shared" ref="J182" si="331">IF(ISBLANK(AJ$5),"",1)</f>
        <v/>
      </c>
      <c r="K182" s="1205" t="str">
        <f t="shared" ref="K182" si="332">IF(ISBLANK(AN$5),"",1)</f>
        <v/>
      </c>
      <c r="L182" s="1205" t="str">
        <f t="shared" ref="L182" si="333">IF(ISBLANK(AR$5),"",1)</f>
        <v/>
      </c>
      <c r="M182" s="1205" t="str">
        <f t="shared" ref="M182" si="334">IF(ISBLANK(AV$5),"",1)</f>
        <v/>
      </c>
      <c r="N182" s="248"/>
      <c r="O182" s="52"/>
      <c r="S182" s="275">
        <v>4.3</v>
      </c>
      <c r="T182" s="240">
        <f t="shared" ref="T182:T183" si="335">COUNTIF($N$148:$N$180,S182)</f>
        <v>4</v>
      </c>
      <c r="U182" s="240" t="str">
        <f>IF($AB$5=1,SUMIF($N$148:$N$180,S182,$U$148:$U$180),"")</f>
        <v/>
      </c>
      <c r="W182" s="52"/>
      <c r="AF182" s="52"/>
      <c r="AO182" s="52"/>
      <c r="AT182" s="1290"/>
      <c r="AU182" s="1200"/>
      <c r="AV182" s="1164"/>
      <c r="AW182" s="1164"/>
      <c r="AX182" s="1164"/>
      <c r="AY182" s="1164"/>
      <c r="AZ182" s="1201"/>
      <c r="BA182" s="1342"/>
      <c r="BB182" s="1290"/>
      <c r="BC182" s="1200"/>
      <c r="BD182" s="1164"/>
      <c r="BE182" s="1164"/>
      <c r="BF182" s="1164"/>
      <c r="BG182" s="1164"/>
      <c r="BH182" s="1201"/>
      <c r="BI182" s="1342"/>
    </row>
    <row r="183" spans="1:61" ht="15" customHeight="1">
      <c r="A183" s="1159"/>
      <c r="B183" s="1200"/>
      <c r="C183" s="1164"/>
      <c r="D183" s="1164"/>
      <c r="E183" s="1164"/>
      <c r="F183" s="1164"/>
      <c r="G183" s="1266"/>
      <c r="H183" s="1206"/>
      <c r="I183" s="1206"/>
      <c r="J183" s="1206"/>
      <c r="K183" s="1206"/>
      <c r="L183" s="1206"/>
      <c r="M183" s="1206"/>
      <c r="N183" s="248"/>
      <c r="O183" s="52"/>
      <c r="S183" s="276">
        <v>4.4000000000000004</v>
      </c>
      <c r="T183" s="240">
        <f t="shared" si="335"/>
        <v>6</v>
      </c>
      <c r="U183" s="240" t="str">
        <f>IF($AB$5=1,SUMIF($N$148:$N$180,S183,$U$148:$U$180),"")</f>
        <v/>
      </c>
      <c r="W183" s="52"/>
      <c r="AF183" s="52"/>
      <c r="AO183" s="52"/>
      <c r="AT183" s="1291"/>
      <c r="AU183" s="1202"/>
      <c r="AV183" s="1203"/>
      <c r="AW183" s="1203"/>
      <c r="AX183" s="1203"/>
      <c r="AY183" s="1203"/>
      <c r="AZ183" s="1204"/>
      <c r="BA183" s="1342"/>
      <c r="BB183" s="1291"/>
      <c r="BC183" s="1202"/>
      <c r="BD183" s="1203"/>
      <c r="BE183" s="1203"/>
      <c r="BF183" s="1203"/>
      <c r="BG183" s="1203"/>
      <c r="BH183" s="1204"/>
      <c r="BI183" s="1342"/>
    </row>
    <row r="184" spans="1:61" ht="15" customHeight="1">
      <c r="A184" s="1160"/>
      <c r="B184" s="1200"/>
      <c r="C184" s="1164"/>
      <c r="D184" s="1164"/>
      <c r="E184" s="1164"/>
      <c r="F184" s="1164"/>
      <c r="G184" s="1266"/>
      <c r="H184" s="1207"/>
      <c r="I184" s="1207"/>
      <c r="J184" s="1207"/>
      <c r="K184" s="1207"/>
      <c r="L184" s="1207"/>
      <c r="M184" s="1207"/>
      <c r="W184" s="52"/>
      <c r="AF184" s="52"/>
      <c r="AO184" s="52"/>
      <c r="AT184" s="1307">
        <v>1.5</v>
      </c>
      <c r="AU184" s="1310" t="s">
        <v>373</v>
      </c>
      <c r="AV184" s="1311"/>
      <c r="AW184" s="1311"/>
      <c r="AX184" s="1311"/>
      <c r="AY184" s="1311"/>
      <c r="AZ184" s="1316"/>
      <c r="BA184" s="1226" t="str">
        <f t="shared" ref="BA184" si="336">IF(ISBLANK(AR$5),"",1)</f>
        <v/>
      </c>
      <c r="BB184" s="1307">
        <v>1.5</v>
      </c>
      <c r="BC184" s="1198" t="s">
        <v>373</v>
      </c>
      <c r="BD184" s="1162"/>
      <c r="BE184" s="1162"/>
      <c r="BF184" s="1162"/>
      <c r="BG184" s="1162"/>
      <c r="BH184" s="1199"/>
      <c r="BI184" s="1226" t="str">
        <f t="shared" ref="BI184" si="337">IF(ISBLANK(AV$5),"",1)</f>
        <v/>
      </c>
    </row>
    <row r="185" spans="1:61" ht="15" customHeight="1">
      <c r="A185" s="1336">
        <v>1.4</v>
      </c>
      <c r="B185" s="1198" t="s">
        <v>943</v>
      </c>
      <c r="C185" s="1162"/>
      <c r="D185" s="1162"/>
      <c r="E185" s="1162"/>
      <c r="F185" s="1162"/>
      <c r="G185" s="1265"/>
      <c r="H185" s="1205" t="str">
        <f t="shared" ref="H185" si="338">IF(ISBLANK(AB$5),"",1)</f>
        <v/>
      </c>
      <c r="I185" s="1205" t="str">
        <f t="shared" ref="I185" si="339">IF(ISBLANK(AF$5),"",1)</f>
        <v/>
      </c>
      <c r="J185" s="1205" t="str">
        <f t="shared" ref="J185" si="340">IF(ISBLANK(AJ$5),"",1)</f>
        <v/>
      </c>
      <c r="K185" s="1205" t="str">
        <f t="shared" ref="K185" si="341">IF(ISBLANK(AN$5),"",1)</f>
        <v/>
      </c>
      <c r="L185" s="1205" t="str">
        <f t="shared" ref="L185" si="342">IF(ISBLANK(AR$5),"",1)</f>
        <v/>
      </c>
      <c r="M185" s="1205" t="str">
        <f t="shared" ref="M185" si="343">IF(ISBLANK(AV$5),"",1)</f>
        <v/>
      </c>
      <c r="W185" s="52"/>
      <c r="AF185" s="52"/>
      <c r="AO185" s="52"/>
      <c r="AT185" s="1308"/>
      <c r="AU185" s="1295"/>
      <c r="AV185" s="1296"/>
      <c r="AW185" s="1296"/>
      <c r="AX185" s="1296"/>
      <c r="AY185" s="1296"/>
      <c r="AZ185" s="1318"/>
      <c r="BA185" s="1342"/>
      <c r="BB185" s="1308"/>
      <c r="BC185" s="1200"/>
      <c r="BD185" s="1164"/>
      <c r="BE185" s="1164"/>
      <c r="BF185" s="1164"/>
      <c r="BG185" s="1164"/>
      <c r="BH185" s="1201"/>
      <c r="BI185" s="1342"/>
    </row>
    <row r="186" spans="1:61" ht="15" customHeight="1">
      <c r="A186" s="1159"/>
      <c r="B186" s="1200"/>
      <c r="C186" s="1164"/>
      <c r="D186" s="1164"/>
      <c r="E186" s="1164"/>
      <c r="F186" s="1164"/>
      <c r="G186" s="1266"/>
      <c r="H186" s="1206"/>
      <c r="I186" s="1206"/>
      <c r="J186" s="1206"/>
      <c r="K186" s="1206"/>
      <c r="L186" s="1206"/>
      <c r="M186" s="1206"/>
      <c r="O186" s="52"/>
      <c r="W186" s="52"/>
      <c r="AF186" s="52"/>
      <c r="AO186" s="52"/>
      <c r="AT186" s="1309"/>
      <c r="AU186" s="1298"/>
      <c r="AV186" s="1299"/>
      <c r="AW186" s="1299"/>
      <c r="AX186" s="1299"/>
      <c r="AY186" s="1299"/>
      <c r="AZ186" s="1335"/>
      <c r="BA186" s="1342"/>
      <c r="BB186" s="1309"/>
      <c r="BC186" s="1202"/>
      <c r="BD186" s="1203"/>
      <c r="BE186" s="1203"/>
      <c r="BF186" s="1203"/>
      <c r="BG186" s="1203"/>
      <c r="BH186" s="1204"/>
      <c r="BI186" s="1342"/>
    </row>
    <row r="187" spans="1:61" ht="15" customHeight="1">
      <c r="A187" s="1160"/>
      <c r="B187" s="1200"/>
      <c r="C187" s="1164"/>
      <c r="D187" s="1164"/>
      <c r="E187" s="1164"/>
      <c r="F187" s="1164"/>
      <c r="G187" s="1266"/>
      <c r="H187" s="1207"/>
      <c r="I187" s="1207"/>
      <c r="J187" s="1207"/>
      <c r="K187" s="1207"/>
      <c r="L187" s="1207"/>
      <c r="M187" s="1207"/>
      <c r="O187" s="52"/>
      <c r="W187" s="52"/>
      <c r="AF187" s="52"/>
      <c r="AO187" s="52"/>
      <c r="AT187" s="1307">
        <v>4.4000000000000004</v>
      </c>
      <c r="AU187" s="1310" t="s">
        <v>397</v>
      </c>
      <c r="AV187" s="1311"/>
      <c r="AW187" s="1311"/>
      <c r="AX187" s="1311"/>
      <c r="AY187" s="1311"/>
      <c r="AZ187" s="1316"/>
      <c r="BA187" s="1226" t="str">
        <f t="shared" ref="BA187" si="344">IF(ISBLANK(AR$5),"",1)</f>
        <v/>
      </c>
      <c r="BB187" s="1307">
        <v>4.4000000000000004</v>
      </c>
      <c r="BC187" s="1310" t="s">
        <v>397</v>
      </c>
      <c r="BD187" s="1311"/>
      <c r="BE187" s="1311"/>
      <c r="BF187" s="1311"/>
      <c r="BG187" s="1311"/>
      <c r="BH187" s="1316"/>
      <c r="BI187" s="1226" t="str">
        <f t="shared" ref="BI187" si="345">IF(ISBLANK(AV$5),"",1)</f>
        <v/>
      </c>
    </row>
    <row r="188" spans="1:61" ht="15" customHeight="1">
      <c r="A188" s="1168" t="s">
        <v>637</v>
      </c>
      <c r="B188" s="1168"/>
      <c r="C188" s="1168"/>
      <c r="D188" s="1168"/>
      <c r="E188" s="1169"/>
      <c r="F188" s="617">
        <v>3.1</v>
      </c>
      <c r="G188" s="620">
        <f>COUNTIF($A$182:$A$187,F188)</f>
        <v>1</v>
      </c>
      <c r="H188" s="240" t="str">
        <f>IF($AB$5=1,SUMIF($A$182:$A$187,$F188,$H$182:$H$187),"")</f>
        <v/>
      </c>
      <c r="I188" s="240" t="str">
        <f>IF($AF$5=1,SUMIF($A$182:$A$187,$F188,$I$182:$I$187),"")</f>
        <v/>
      </c>
      <c r="J188" s="240" t="str">
        <f>IF($AJ$5=1,SUMIF($A$182:$A$187,$F188,$J$182:$J$187),"")</f>
        <v/>
      </c>
      <c r="K188" s="240" t="str">
        <f>IF($AN$5=1,SUMIF($A$182:$A$187,$F188,$K$182:$K$187),"")</f>
        <v/>
      </c>
      <c r="L188" s="240" t="str">
        <f>IF($AR$5=1,SUMIF($A$182:$A$187,$F188,$L$182:$L$187),"")</f>
        <v/>
      </c>
      <c r="M188" s="240" t="str">
        <f>IF($AV$5=1,SUMIF($A$182:$A$187,$F188,$M$182:$M$187),"")</f>
        <v/>
      </c>
      <c r="O188" s="52"/>
      <c r="W188" s="52"/>
      <c r="AF188" s="52"/>
      <c r="AO188" s="52"/>
      <c r="AT188" s="1308"/>
      <c r="AU188" s="1295"/>
      <c r="AV188" s="1296"/>
      <c r="AW188" s="1296"/>
      <c r="AX188" s="1296"/>
      <c r="AY188" s="1296"/>
      <c r="AZ188" s="1318"/>
      <c r="BA188" s="1342"/>
      <c r="BB188" s="1308"/>
      <c r="BC188" s="1295"/>
      <c r="BD188" s="1296"/>
      <c r="BE188" s="1296"/>
      <c r="BF188" s="1296"/>
      <c r="BG188" s="1296"/>
      <c r="BH188" s="1318"/>
      <c r="BI188" s="1342"/>
    </row>
    <row r="189" spans="1:61" ht="15" customHeight="1">
      <c r="F189" s="617">
        <v>1.4</v>
      </c>
      <c r="G189" s="620">
        <f>COUNTIF($A$182:$A$187,F189)</f>
        <v>1</v>
      </c>
      <c r="H189" s="240" t="str">
        <f>IF($AB$5=1,SUMIF($A$182:$A$187,$F189,$H$182:$H$187),"")</f>
        <v/>
      </c>
      <c r="I189" s="240" t="str">
        <f>IF($AF$5=1,SUMIF($A$182:$A$187,$F189,$I$182:$I$187),"")</f>
        <v/>
      </c>
      <c r="J189" s="240" t="str">
        <f>IF($AJ$5=1,SUMIF($A$182:$A$187,$F189,$J$182:$J$187),"")</f>
        <v/>
      </c>
      <c r="K189" s="240" t="str">
        <f>IF($AN$5=1,SUMIF($A$182:$A$187,$F189,$K$182:$K$187),"")</f>
        <v/>
      </c>
      <c r="L189" s="240" t="str">
        <f>IF($AR$5=1,SUMIF($A$182:$A$187,$F189,$L$182:$L$187),"")</f>
        <v/>
      </c>
      <c r="M189" s="240" t="str">
        <f>IF($AV$5=1,SUMIF($A$182:$A$187,$F189,$M$182:$M$187),"")</f>
        <v/>
      </c>
      <c r="O189" s="52"/>
      <c r="W189" s="52"/>
      <c r="AF189" s="52"/>
      <c r="AO189" s="52"/>
      <c r="AT189" s="1309"/>
      <c r="AU189" s="1298"/>
      <c r="AV189" s="1299"/>
      <c r="AW189" s="1299"/>
      <c r="AX189" s="1299"/>
      <c r="AY189" s="1299"/>
      <c r="AZ189" s="1335"/>
      <c r="BA189" s="1342"/>
      <c r="BB189" s="1309"/>
      <c r="BC189" s="1298"/>
      <c r="BD189" s="1299"/>
      <c r="BE189" s="1299"/>
      <c r="BF189" s="1299"/>
      <c r="BG189" s="1299"/>
      <c r="BH189" s="1335"/>
      <c r="BI189" s="1342"/>
    </row>
    <row r="190" spans="1:61" ht="15" customHeight="1">
      <c r="O190" s="52"/>
      <c r="W190" s="52"/>
      <c r="AF190" s="52"/>
      <c r="AO190" s="52"/>
      <c r="AT190" s="247"/>
      <c r="AY190" s="273">
        <v>1.5</v>
      </c>
      <c r="AZ190" s="240">
        <f>COUNTIF($AT$148:$AT$189,AY190)</f>
        <v>1</v>
      </c>
      <c r="BA190" s="240" t="str">
        <f>IF($AR$5=1,SUMIF($AT$148:$AT$189,AY190,$BA$148:$BA$189),"")</f>
        <v/>
      </c>
      <c r="BB190" s="247"/>
      <c r="BC190" s="247"/>
      <c r="BG190" s="273">
        <v>1.5</v>
      </c>
      <c r="BH190" s="240">
        <f>COUNTIF($BB$148:$BB$189,BG190)</f>
        <v>1</v>
      </c>
      <c r="BI190" s="240" t="str">
        <f>IF($AV$5=1,SUMIF($BB$148:$BB$189,BG190,$BI$148:$BI$189),"")</f>
        <v/>
      </c>
    </row>
    <row r="191" spans="1:61" ht="15" customHeight="1">
      <c r="O191" s="52"/>
      <c r="W191" s="52"/>
      <c r="AF191" s="52"/>
      <c r="AO191" s="52"/>
      <c r="AT191" s="248"/>
      <c r="AY191" s="274">
        <v>4.3</v>
      </c>
      <c r="AZ191" s="240">
        <f t="shared" ref="AZ191:AZ192" si="346">COUNTIF($AT$148:$AT$189,AY191)</f>
        <v>4</v>
      </c>
      <c r="BA191" s="240" t="str">
        <f>IF($AR$5=1,SUMIF($AT$148:$AT$189,AY191,$BA$148:$BA$189),"")</f>
        <v/>
      </c>
      <c r="BB191" s="248"/>
      <c r="BC191" s="248"/>
      <c r="BG191" s="274">
        <v>4.3</v>
      </c>
      <c r="BH191" s="240">
        <f t="shared" ref="BH191:BH192" si="347">COUNTIF($BB$148:$BB$189,BG191)</f>
        <v>5</v>
      </c>
      <c r="BI191" s="240" t="str">
        <f>IF($AV$5=1,SUMIF($BB$148:$BB$189,BG191,$BI$148:$BI$189),"")</f>
        <v/>
      </c>
    </row>
    <row r="192" spans="1:61" ht="15" customHeight="1">
      <c r="O192" s="52"/>
      <c r="W192" s="52"/>
      <c r="AF192" s="52"/>
      <c r="AO192" s="52"/>
      <c r="AT192" s="248"/>
      <c r="AY192" s="274">
        <v>4.4000000000000004</v>
      </c>
      <c r="AZ192" s="240">
        <f t="shared" si="346"/>
        <v>9</v>
      </c>
      <c r="BA192" s="240" t="str">
        <f>IF($AR$5=1,SUMIF($AT$148:$AT$189,AY192,$BA$148:$BA$189),"")</f>
        <v/>
      </c>
      <c r="BB192" s="248"/>
      <c r="BC192" s="248"/>
      <c r="BG192" s="274">
        <v>4.4000000000000004</v>
      </c>
      <c r="BH192" s="240">
        <f t="shared" si="347"/>
        <v>8</v>
      </c>
      <c r="BI192" s="240" t="str">
        <f>IF($AV$5=1,SUMIF($BB$148:$BB$189,BG192,$BI$148:$BI$189),"")</f>
        <v/>
      </c>
    </row>
    <row r="193" spans="1:67" ht="15" customHeight="1">
      <c r="A193" s="1171" t="s">
        <v>17</v>
      </c>
      <c r="B193" s="1171"/>
      <c r="C193" s="1171"/>
      <c r="D193" s="1171"/>
      <c r="E193" s="1171"/>
      <c r="F193" s="1171"/>
      <c r="G193" s="1171"/>
      <c r="H193" s="1171"/>
      <c r="I193" s="1171"/>
      <c r="J193" s="1171"/>
      <c r="K193" s="1171"/>
      <c r="L193" s="1171"/>
      <c r="M193" s="1171"/>
      <c r="N193" s="1171"/>
      <c r="O193" s="1171"/>
      <c r="P193" s="1171"/>
      <c r="Q193" s="1171"/>
      <c r="R193" s="1171"/>
      <c r="S193" s="1171"/>
      <c r="T193" s="1171"/>
      <c r="U193" s="1171"/>
      <c r="V193" s="1171"/>
      <c r="W193" s="1171"/>
      <c r="X193" s="1171"/>
      <c r="Y193" s="1171"/>
      <c r="Z193" s="1171"/>
      <c r="AA193" s="1171"/>
      <c r="AB193" s="1171"/>
      <c r="AC193" s="1171"/>
      <c r="AD193" s="1171"/>
      <c r="AE193" s="1171"/>
      <c r="AF193" s="1171"/>
      <c r="AG193" s="1171"/>
      <c r="AH193" s="1171"/>
      <c r="AI193" s="117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607"/>
    </row>
    <row r="194" spans="1:67" ht="15" customHeight="1">
      <c r="A194" s="1171"/>
      <c r="B194" s="1171"/>
      <c r="C194" s="1171"/>
      <c r="D194" s="1171"/>
      <c r="E194" s="1171"/>
      <c r="F194" s="1171"/>
      <c r="G194" s="1171"/>
      <c r="H194" s="1171"/>
      <c r="I194" s="1171"/>
      <c r="J194" s="1171"/>
      <c r="K194" s="1171"/>
      <c r="L194" s="1171"/>
      <c r="M194" s="1171"/>
      <c r="N194" s="1171"/>
      <c r="O194" s="1171"/>
      <c r="P194" s="1171"/>
      <c r="Q194" s="1171"/>
      <c r="R194" s="1171"/>
      <c r="S194" s="1171"/>
      <c r="T194" s="1171"/>
      <c r="U194" s="1171"/>
      <c r="V194" s="1171"/>
      <c r="W194" s="1171"/>
      <c r="X194" s="1171"/>
      <c r="Y194" s="1171"/>
      <c r="Z194" s="1171"/>
      <c r="AA194" s="1171"/>
      <c r="AB194" s="1171"/>
      <c r="AC194" s="1171"/>
      <c r="AD194" s="1171"/>
      <c r="AE194" s="1171"/>
      <c r="AF194" s="1171"/>
      <c r="AG194" s="1171"/>
      <c r="AH194" s="1171"/>
      <c r="AI194" s="117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607"/>
    </row>
    <row r="195" spans="1:67" ht="15" customHeight="1">
      <c r="A195" s="1172"/>
      <c r="B195" s="1173" t="s">
        <v>608</v>
      </c>
      <c r="C195" s="1173"/>
      <c r="D195" s="1173"/>
      <c r="E195" s="1173"/>
      <c r="F195" s="1173"/>
      <c r="G195" s="1173"/>
      <c r="H195" s="1343">
        <v>13</v>
      </c>
      <c r="I195" s="1174">
        <v>14</v>
      </c>
      <c r="J195" s="1343">
        <v>15</v>
      </c>
      <c r="K195" s="1343">
        <v>16</v>
      </c>
      <c r="N195" s="1346"/>
      <c r="O195" s="1349" t="s">
        <v>921</v>
      </c>
      <c r="P195" s="1350"/>
      <c r="Q195" s="1350"/>
      <c r="R195" s="1350"/>
      <c r="S195" s="1350"/>
      <c r="T195" s="1350"/>
      <c r="U195" s="1351"/>
      <c r="V195" s="1358"/>
      <c r="W195" s="1361" t="s">
        <v>922</v>
      </c>
      <c r="X195" s="1362"/>
      <c r="Y195" s="1362"/>
      <c r="Z195" s="1362"/>
      <c r="AA195" s="1362"/>
      <c r="AB195" s="1362"/>
      <c r="AC195" s="1363"/>
      <c r="AD195" s="1370"/>
      <c r="AE195" s="1373" t="s">
        <v>923</v>
      </c>
      <c r="AF195" s="1374"/>
      <c r="AG195" s="1374"/>
      <c r="AH195" s="1374"/>
      <c r="AI195" s="1374"/>
      <c r="AJ195" s="1374"/>
      <c r="AK195" s="1375"/>
      <c r="AL195" s="1175"/>
      <c r="AM195" s="1382" t="s">
        <v>924</v>
      </c>
      <c r="AN195" s="1383"/>
      <c r="AO195" s="1383"/>
      <c r="AP195" s="1383"/>
      <c r="AQ195" s="1383"/>
      <c r="AR195" s="1383"/>
      <c r="AS195" s="1384"/>
      <c r="BJ195" s="1182" t="s">
        <v>263</v>
      </c>
      <c r="BK195" s="1183"/>
      <c r="BL195" s="1183"/>
      <c r="BM195" s="1183"/>
      <c r="BN195" s="1183"/>
      <c r="BO195" s="1184"/>
    </row>
    <row r="196" spans="1:67" ht="15" customHeight="1">
      <c r="A196" s="1172"/>
      <c r="B196" s="1173"/>
      <c r="C196" s="1173"/>
      <c r="D196" s="1173"/>
      <c r="E196" s="1173"/>
      <c r="F196" s="1173"/>
      <c r="G196" s="1173"/>
      <c r="H196" s="1344"/>
      <c r="I196" s="1174"/>
      <c r="J196" s="1344"/>
      <c r="K196" s="1344"/>
      <c r="N196" s="1347"/>
      <c r="O196" s="1352"/>
      <c r="P196" s="1353"/>
      <c r="Q196" s="1353"/>
      <c r="R196" s="1353"/>
      <c r="S196" s="1353"/>
      <c r="T196" s="1353"/>
      <c r="U196" s="1354"/>
      <c r="V196" s="1359"/>
      <c r="W196" s="1364"/>
      <c r="X196" s="1365"/>
      <c r="Y196" s="1365"/>
      <c r="Z196" s="1365"/>
      <c r="AA196" s="1365"/>
      <c r="AB196" s="1365"/>
      <c r="AC196" s="1366"/>
      <c r="AD196" s="1371"/>
      <c r="AE196" s="1376"/>
      <c r="AF196" s="1377"/>
      <c r="AG196" s="1377"/>
      <c r="AH196" s="1377"/>
      <c r="AI196" s="1377"/>
      <c r="AJ196" s="1377"/>
      <c r="AK196" s="1378"/>
      <c r="AL196" s="1175"/>
      <c r="AM196" s="1385"/>
      <c r="AN196" s="1386"/>
      <c r="AO196" s="1386"/>
      <c r="AP196" s="1386"/>
      <c r="AQ196" s="1386"/>
      <c r="AR196" s="1386"/>
      <c r="AS196" s="1387"/>
      <c r="BJ196" s="1219"/>
      <c r="BK196" s="1220"/>
      <c r="BL196" s="1220"/>
      <c r="BM196" s="1220"/>
      <c r="BN196" s="1220"/>
      <c r="BO196" s="1221"/>
    </row>
    <row r="197" spans="1:67" ht="15" customHeight="1">
      <c r="A197" s="1172"/>
      <c r="B197" s="1173"/>
      <c r="C197" s="1173"/>
      <c r="D197" s="1173"/>
      <c r="E197" s="1173"/>
      <c r="F197" s="1173"/>
      <c r="G197" s="1173"/>
      <c r="H197" s="1345"/>
      <c r="I197" s="1174"/>
      <c r="J197" s="1345"/>
      <c r="K197" s="1345"/>
      <c r="N197" s="1348"/>
      <c r="O197" s="1355"/>
      <c r="P197" s="1356"/>
      <c r="Q197" s="1356"/>
      <c r="R197" s="1356"/>
      <c r="S197" s="1356"/>
      <c r="T197" s="1356"/>
      <c r="U197" s="1357"/>
      <c r="V197" s="1360"/>
      <c r="W197" s="1367"/>
      <c r="X197" s="1368"/>
      <c r="Y197" s="1368"/>
      <c r="Z197" s="1368"/>
      <c r="AA197" s="1368"/>
      <c r="AB197" s="1368"/>
      <c r="AC197" s="1369"/>
      <c r="AD197" s="1372"/>
      <c r="AE197" s="1379"/>
      <c r="AF197" s="1380"/>
      <c r="AG197" s="1380"/>
      <c r="AH197" s="1380"/>
      <c r="AI197" s="1380"/>
      <c r="AJ197" s="1380"/>
      <c r="AK197" s="1381"/>
      <c r="AL197" s="1175"/>
      <c r="AM197" s="1388"/>
      <c r="AN197" s="1389"/>
      <c r="AO197" s="1389"/>
      <c r="AP197" s="1389"/>
      <c r="AQ197" s="1389"/>
      <c r="AR197" s="1389"/>
      <c r="AS197" s="1390"/>
      <c r="BJ197" s="1337"/>
      <c r="BK197" s="1338"/>
      <c r="BL197" s="1338"/>
      <c r="BM197" s="1338"/>
      <c r="BN197" s="1338"/>
      <c r="BO197" s="1339"/>
    </row>
    <row r="198" spans="1:67" ht="15" customHeight="1">
      <c r="A198" s="1307">
        <v>1.1000000000000001</v>
      </c>
      <c r="B198" s="1161" t="s">
        <v>941</v>
      </c>
      <c r="C198" s="1162"/>
      <c r="D198" s="1162"/>
      <c r="E198" s="1162"/>
      <c r="F198" s="1162"/>
      <c r="G198" s="1199"/>
      <c r="H198" s="1268" t="str">
        <f>IF(ISBLANK(AZ$5),"",1)</f>
        <v/>
      </c>
      <c r="I198" s="1205" t="str">
        <f>IF(ISBLANK(BD$5),"",1)</f>
        <v/>
      </c>
      <c r="J198" s="1205" t="str">
        <f>IF(ISBLANK(BH$5),"",1)</f>
        <v/>
      </c>
      <c r="K198" s="1205" t="str">
        <f>IF(ISBLANK(BL$5),"",1)</f>
        <v/>
      </c>
      <c r="N198" s="1258">
        <v>4.3</v>
      </c>
      <c r="O198" s="1198" t="s">
        <v>398</v>
      </c>
      <c r="P198" s="1162"/>
      <c r="Q198" s="1162"/>
      <c r="R198" s="1162"/>
      <c r="S198" s="1162"/>
      <c r="T198" s="1199"/>
      <c r="U198" s="1226" t="str">
        <f>IF(ISBLANK(AZ$5),"",1)</f>
        <v/>
      </c>
      <c r="V198" s="1258">
        <v>4.3</v>
      </c>
      <c r="W198" s="1198" t="s">
        <v>398</v>
      </c>
      <c r="X198" s="1162"/>
      <c r="Y198" s="1162"/>
      <c r="Z198" s="1162"/>
      <c r="AA198" s="1162"/>
      <c r="AB198" s="1199"/>
      <c r="AC198" s="1226" t="str">
        <f>IF(ISBLANK(BD$5),"",1)</f>
        <v/>
      </c>
      <c r="AD198" s="1258">
        <v>4.3</v>
      </c>
      <c r="AE198" s="1198" t="s">
        <v>387</v>
      </c>
      <c r="AF198" s="1162"/>
      <c r="AG198" s="1162"/>
      <c r="AH198" s="1162"/>
      <c r="AI198" s="1162"/>
      <c r="AJ198" s="1199"/>
      <c r="AK198" s="1226" t="str">
        <f>IF(ISBLANK(BH$5),"",1)</f>
        <v/>
      </c>
      <c r="AL198" s="1196">
        <v>4.3</v>
      </c>
      <c r="AM198" s="1198" t="s">
        <v>398</v>
      </c>
      <c r="AN198" s="1162"/>
      <c r="AO198" s="1162"/>
      <c r="AP198" s="1162"/>
      <c r="AQ198" s="1162"/>
      <c r="AR198" s="1199"/>
      <c r="AS198" s="1226" t="str">
        <f>IF(ISBLANK(BL$5),"",1)</f>
        <v/>
      </c>
      <c r="BJ198" s="1337"/>
      <c r="BK198" s="1338"/>
      <c r="BL198" s="1338"/>
      <c r="BM198" s="1338"/>
      <c r="BN198" s="1338"/>
      <c r="BO198" s="1339"/>
    </row>
    <row r="199" spans="1:67" ht="15" customHeight="1">
      <c r="A199" s="1308"/>
      <c r="B199" s="1163"/>
      <c r="C199" s="1164"/>
      <c r="D199" s="1164"/>
      <c r="E199" s="1164"/>
      <c r="F199" s="1164"/>
      <c r="G199" s="1201"/>
      <c r="H199" s="1269"/>
      <c r="I199" s="1206"/>
      <c r="J199" s="1206"/>
      <c r="K199" s="1206"/>
      <c r="N199" s="1258"/>
      <c r="O199" s="1200"/>
      <c r="P199" s="1164"/>
      <c r="Q199" s="1164"/>
      <c r="R199" s="1164"/>
      <c r="S199" s="1164"/>
      <c r="T199" s="1201"/>
      <c r="U199" s="1342"/>
      <c r="V199" s="1258"/>
      <c r="W199" s="1200"/>
      <c r="X199" s="1164"/>
      <c r="Y199" s="1164"/>
      <c r="Z199" s="1164"/>
      <c r="AA199" s="1164"/>
      <c r="AB199" s="1201"/>
      <c r="AC199" s="1342"/>
      <c r="AD199" s="1258"/>
      <c r="AE199" s="1200"/>
      <c r="AF199" s="1164"/>
      <c r="AG199" s="1164"/>
      <c r="AH199" s="1164"/>
      <c r="AI199" s="1164"/>
      <c r="AJ199" s="1201"/>
      <c r="AK199" s="1342"/>
      <c r="AL199" s="1197"/>
      <c r="AM199" s="1200"/>
      <c r="AN199" s="1164"/>
      <c r="AO199" s="1164"/>
      <c r="AP199" s="1164"/>
      <c r="AQ199" s="1164"/>
      <c r="AR199" s="1201"/>
      <c r="AS199" s="1342"/>
      <c r="BJ199" s="1337"/>
      <c r="BK199" s="1338"/>
      <c r="BL199" s="1338"/>
      <c r="BM199" s="1338"/>
      <c r="BN199" s="1338"/>
      <c r="BO199" s="1339"/>
    </row>
    <row r="200" spans="1:67" ht="15" customHeight="1">
      <c r="A200" s="1309"/>
      <c r="B200" s="1165"/>
      <c r="C200" s="1166"/>
      <c r="D200" s="1166"/>
      <c r="E200" s="1166"/>
      <c r="F200" s="1166"/>
      <c r="G200" s="1292"/>
      <c r="H200" s="1270"/>
      <c r="I200" s="1207"/>
      <c r="J200" s="1207"/>
      <c r="K200" s="1207"/>
      <c r="N200" s="1258"/>
      <c r="O200" s="1202"/>
      <c r="P200" s="1203"/>
      <c r="Q200" s="1203"/>
      <c r="R200" s="1203"/>
      <c r="S200" s="1203"/>
      <c r="T200" s="1204"/>
      <c r="U200" s="1342"/>
      <c r="V200" s="1258"/>
      <c r="W200" s="1202"/>
      <c r="X200" s="1203"/>
      <c r="Y200" s="1203"/>
      <c r="Z200" s="1203"/>
      <c r="AA200" s="1203"/>
      <c r="AB200" s="1204"/>
      <c r="AC200" s="1342"/>
      <c r="AD200" s="1258"/>
      <c r="AE200" s="1202"/>
      <c r="AF200" s="1203"/>
      <c r="AG200" s="1203"/>
      <c r="AH200" s="1203"/>
      <c r="AI200" s="1203"/>
      <c r="AJ200" s="1204"/>
      <c r="AK200" s="1342"/>
      <c r="AL200" s="1197"/>
      <c r="AM200" s="1202"/>
      <c r="AN200" s="1203"/>
      <c r="AO200" s="1203"/>
      <c r="AP200" s="1203"/>
      <c r="AQ200" s="1203"/>
      <c r="AR200" s="1204"/>
      <c r="AS200" s="1342"/>
      <c r="BJ200" s="1337"/>
      <c r="BK200" s="1338"/>
      <c r="BL200" s="1338"/>
      <c r="BM200" s="1338"/>
      <c r="BN200" s="1338"/>
      <c r="BO200" s="1339"/>
    </row>
    <row r="201" spans="1:67" ht="15" customHeight="1">
      <c r="A201" s="1304">
        <v>2.4</v>
      </c>
      <c r="B201" s="1161" t="s">
        <v>316</v>
      </c>
      <c r="C201" s="1162"/>
      <c r="D201" s="1162"/>
      <c r="E201" s="1162"/>
      <c r="F201" s="1162"/>
      <c r="G201" s="1199"/>
      <c r="H201" s="1268" t="str">
        <f t="shared" ref="H201" si="348">IF(ISBLANK(AZ$5),"",1)</f>
        <v/>
      </c>
      <c r="I201" s="1205" t="str">
        <f t="shared" ref="I201" si="349">IF(ISBLANK(BD$5),"",1)</f>
        <v/>
      </c>
      <c r="J201" s="1205" t="str">
        <f t="shared" ref="J201" si="350">IF(ISBLANK(BH$5),"",1)</f>
        <v/>
      </c>
      <c r="K201" s="1205" t="str">
        <f t="shared" ref="K201" si="351">IF(ISBLANK(BL$5),"",1)</f>
        <v/>
      </c>
      <c r="N201" s="1258">
        <v>4.3</v>
      </c>
      <c r="O201" s="1198" t="s">
        <v>388</v>
      </c>
      <c r="P201" s="1162"/>
      <c r="Q201" s="1162"/>
      <c r="R201" s="1162"/>
      <c r="S201" s="1162"/>
      <c r="T201" s="1199"/>
      <c r="U201" s="1226" t="str">
        <f t="shared" ref="U201" si="352">IF(ISBLANK(AZ$5),"",1)</f>
        <v/>
      </c>
      <c r="V201" s="1258">
        <v>4.3</v>
      </c>
      <c r="W201" s="1198" t="s">
        <v>388</v>
      </c>
      <c r="X201" s="1162"/>
      <c r="Y201" s="1162"/>
      <c r="Z201" s="1162"/>
      <c r="AA201" s="1162"/>
      <c r="AB201" s="1199"/>
      <c r="AC201" s="1226" t="str">
        <f t="shared" ref="AC201" si="353">IF(ISBLANK(BD$5),"",1)</f>
        <v/>
      </c>
      <c r="AD201" s="1258">
        <v>4.3</v>
      </c>
      <c r="AE201" s="1198" t="s">
        <v>388</v>
      </c>
      <c r="AF201" s="1162"/>
      <c r="AG201" s="1162"/>
      <c r="AH201" s="1162"/>
      <c r="AI201" s="1162"/>
      <c r="AJ201" s="1199"/>
      <c r="AK201" s="1226" t="str">
        <f t="shared" ref="AK201" si="354">IF(ISBLANK(BH$5),"",1)</f>
        <v/>
      </c>
      <c r="AL201" s="1196">
        <v>4.3</v>
      </c>
      <c r="AM201" s="1198" t="s">
        <v>388</v>
      </c>
      <c r="AN201" s="1162"/>
      <c r="AO201" s="1162"/>
      <c r="AP201" s="1162"/>
      <c r="AQ201" s="1162"/>
      <c r="AR201" s="1199"/>
      <c r="AS201" s="1226" t="str">
        <f t="shared" ref="AS201" si="355">IF(ISBLANK(BL$5),"",1)</f>
        <v/>
      </c>
      <c r="BJ201" s="1337"/>
      <c r="BK201" s="1338"/>
      <c r="BL201" s="1338"/>
      <c r="BM201" s="1338"/>
      <c r="BN201" s="1338"/>
      <c r="BO201" s="1339"/>
    </row>
    <row r="202" spans="1:67" ht="15" customHeight="1">
      <c r="A202" s="1290"/>
      <c r="B202" s="1163"/>
      <c r="C202" s="1164"/>
      <c r="D202" s="1164"/>
      <c r="E202" s="1164"/>
      <c r="F202" s="1164"/>
      <c r="G202" s="1201"/>
      <c r="H202" s="1269"/>
      <c r="I202" s="1206"/>
      <c r="J202" s="1206"/>
      <c r="K202" s="1206"/>
      <c r="N202" s="1258"/>
      <c r="O202" s="1200"/>
      <c r="P202" s="1164"/>
      <c r="Q202" s="1164"/>
      <c r="R202" s="1164"/>
      <c r="S202" s="1164"/>
      <c r="T202" s="1201"/>
      <c r="U202" s="1342"/>
      <c r="V202" s="1258"/>
      <c r="W202" s="1200"/>
      <c r="X202" s="1164"/>
      <c r="Y202" s="1164"/>
      <c r="Z202" s="1164"/>
      <c r="AA202" s="1164"/>
      <c r="AB202" s="1201"/>
      <c r="AC202" s="1342"/>
      <c r="AD202" s="1258"/>
      <c r="AE202" s="1200"/>
      <c r="AF202" s="1164"/>
      <c r="AG202" s="1164"/>
      <c r="AH202" s="1164"/>
      <c r="AI202" s="1164"/>
      <c r="AJ202" s="1201"/>
      <c r="AK202" s="1342"/>
      <c r="AL202" s="1197"/>
      <c r="AM202" s="1200"/>
      <c r="AN202" s="1164"/>
      <c r="AO202" s="1164"/>
      <c r="AP202" s="1164"/>
      <c r="AQ202" s="1164"/>
      <c r="AR202" s="1201"/>
      <c r="AS202" s="1342"/>
      <c r="BJ202" s="1337"/>
      <c r="BK202" s="1338"/>
      <c r="BL202" s="1338"/>
      <c r="BM202" s="1338"/>
      <c r="BN202" s="1338"/>
      <c r="BO202" s="1339"/>
    </row>
    <row r="203" spans="1:67" ht="15" customHeight="1">
      <c r="A203" s="1291"/>
      <c r="B203" s="1165"/>
      <c r="C203" s="1166"/>
      <c r="D203" s="1166"/>
      <c r="E203" s="1166"/>
      <c r="F203" s="1166"/>
      <c r="G203" s="1292"/>
      <c r="H203" s="1270"/>
      <c r="I203" s="1207"/>
      <c r="J203" s="1207"/>
      <c r="K203" s="1207"/>
      <c r="N203" s="1258"/>
      <c r="O203" s="1202"/>
      <c r="P203" s="1203"/>
      <c r="Q203" s="1203"/>
      <c r="R203" s="1203"/>
      <c r="S203" s="1203"/>
      <c r="T203" s="1204"/>
      <c r="U203" s="1342"/>
      <c r="V203" s="1258"/>
      <c r="W203" s="1202"/>
      <c r="X203" s="1203"/>
      <c r="Y203" s="1203"/>
      <c r="Z203" s="1203"/>
      <c r="AA203" s="1203"/>
      <c r="AB203" s="1204"/>
      <c r="AC203" s="1342"/>
      <c r="AD203" s="1258"/>
      <c r="AE203" s="1202"/>
      <c r="AF203" s="1203"/>
      <c r="AG203" s="1203"/>
      <c r="AH203" s="1203"/>
      <c r="AI203" s="1203"/>
      <c r="AJ203" s="1204"/>
      <c r="AK203" s="1342"/>
      <c r="AL203" s="1197"/>
      <c r="AM203" s="1202"/>
      <c r="AN203" s="1203"/>
      <c r="AO203" s="1203"/>
      <c r="AP203" s="1203"/>
      <c r="AQ203" s="1203"/>
      <c r="AR203" s="1204"/>
      <c r="AS203" s="1342"/>
      <c r="BJ203" s="1337"/>
      <c r="BK203" s="1338"/>
      <c r="BL203" s="1338"/>
      <c r="BM203" s="1338"/>
      <c r="BN203" s="1338"/>
      <c r="BO203" s="1339"/>
    </row>
    <row r="204" spans="1:67" ht="15" customHeight="1">
      <c r="A204" s="1307">
        <v>1.1000000000000001</v>
      </c>
      <c r="B204" s="1161" t="s">
        <v>320</v>
      </c>
      <c r="C204" s="1162"/>
      <c r="D204" s="1162"/>
      <c r="E204" s="1162"/>
      <c r="F204" s="1162"/>
      <c r="G204" s="1199"/>
      <c r="H204" s="1268" t="str">
        <f t="shared" ref="H204" si="356">IF(ISBLANK(AZ$5),"",1)</f>
        <v/>
      </c>
      <c r="I204" s="1205" t="str">
        <f t="shared" ref="I204" si="357">IF(ISBLANK(BD$5),"",1)</f>
        <v/>
      </c>
      <c r="J204" s="1205" t="str">
        <f t="shared" ref="J204" si="358">IF(ISBLANK(BH$5),"",1)</f>
        <v/>
      </c>
      <c r="K204" s="1205" t="str">
        <f t="shared" ref="K204" si="359">IF(ISBLANK(BL$5),"",1)</f>
        <v/>
      </c>
      <c r="N204" s="1258">
        <v>4.3</v>
      </c>
      <c r="O204" s="1198" t="s">
        <v>390</v>
      </c>
      <c r="P204" s="1162"/>
      <c r="Q204" s="1162"/>
      <c r="R204" s="1162"/>
      <c r="S204" s="1162"/>
      <c r="T204" s="1199"/>
      <c r="U204" s="1226" t="str">
        <f t="shared" ref="U204" si="360">IF(ISBLANK(AZ$5),"",1)</f>
        <v/>
      </c>
      <c r="V204" s="1258">
        <v>4.3</v>
      </c>
      <c r="W204" s="1198" t="s">
        <v>390</v>
      </c>
      <c r="X204" s="1162"/>
      <c r="Y204" s="1162"/>
      <c r="Z204" s="1162"/>
      <c r="AA204" s="1162"/>
      <c r="AB204" s="1199"/>
      <c r="AC204" s="1226" t="str">
        <f t="shared" ref="AC204" si="361">IF(ISBLANK(BD$5),"",1)</f>
        <v/>
      </c>
      <c r="AD204" s="1258">
        <v>4.3</v>
      </c>
      <c r="AE204" s="1198" t="s">
        <v>390</v>
      </c>
      <c r="AF204" s="1162"/>
      <c r="AG204" s="1162"/>
      <c r="AH204" s="1162"/>
      <c r="AI204" s="1162"/>
      <c r="AJ204" s="1199"/>
      <c r="AK204" s="1226" t="str">
        <f t="shared" ref="AK204" si="362">IF(ISBLANK(BH$5),"",1)</f>
        <v/>
      </c>
      <c r="AL204" s="1196">
        <v>4.3</v>
      </c>
      <c r="AM204" s="1198" t="s">
        <v>390</v>
      </c>
      <c r="AN204" s="1162"/>
      <c r="AO204" s="1162"/>
      <c r="AP204" s="1162"/>
      <c r="AQ204" s="1162"/>
      <c r="AR204" s="1199"/>
      <c r="AS204" s="1226" t="str">
        <f t="shared" ref="AS204" si="363">IF(ISBLANK(BL$5),"",1)</f>
        <v/>
      </c>
      <c r="BJ204" s="1337"/>
      <c r="BK204" s="1338"/>
      <c r="BL204" s="1338"/>
      <c r="BM204" s="1338"/>
      <c r="BN204" s="1338"/>
      <c r="BO204" s="1339"/>
    </row>
    <row r="205" spans="1:67" ht="15" customHeight="1">
      <c r="A205" s="1308"/>
      <c r="B205" s="1163"/>
      <c r="C205" s="1164"/>
      <c r="D205" s="1164"/>
      <c r="E205" s="1164"/>
      <c r="F205" s="1164"/>
      <c r="G205" s="1201"/>
      <c r="H205" s="1269"/>
      <c r="I205" s="1206"/>
      <c r="J205" s="1206"/>
      <c r="K205" s="1206"/>
      <c r="N205" s="1258"/>
      <c r="O205" s="1200"/>
      <c r="P205" s="1164"/>
      <c r="Q205" s="1164"/>
      <c r="R205" s="1164"/>
      <c r="S205" s="1164"/>
      <c r="T205" s="1201"/>
      <c r="U205" s="1342"/>
      <c r="V205" s="1258"/>
      <c r="W205" s="1200"/>
      <c r="X205" s="1164"/>
      <c r="Y205" s="1164"/>
      <c r="Z205" s="1164"/>
      <c r="AA205" s="1164"/>
      <c r="AB205" s="1201"/>
      <c r="AC205" s="1342"/>
      <c r="AD205" s="1258"/>
      <c r="AE205" s="1200"/>
      <c r="AF205" s="1164"/>
      <c r="AG205" s="1164"/>
      <c r="AH205" s="1164"/>
      <c r="AI205" s="1164"/>
      <c r="AJ205" s="1201"/>
      <c r="AK205" s="1342"/>
      <c r="AL205" s="1196"/>
      <c r="AM205" s="1200"/>
      <c r="AN205" s="1164"/>
      <c r="AO205" s="1164"/>
      <c r="AP205" s="1164"/>
      <c r="AQ205" s="1164"/>
      <c r="AR205" s="1201"/>
      <c r="AS205" s="1342"/>
      <c r="BJ205" s="1337"/>
      <c r="BK205" s="1338"/>
      <c r="BL205" s="1338"/>
      <c r="BM205" s="1338"/>
      <c r="BN205" s="1338"/>
      <c r="BO205" s="1339"/>
    </row>
    <row r="206" spans="1:67" ht="15" customHeight="1">
      <c r="A206" s="1309"/>
      <c r="B206" s="1165"/>
      <c r="C206" s="1166"/>
      <c r="D206" s="1166"/>
      <c r="E206" s="1166"/>
      <c r="F206" s="1166"/>
      <c r="G206" s="1292"/>
      <c r="H206" s="1270"/>
      <c r="I206" s="1207"/>
      <c r="J206" s="1207"/>
      <c r="K206" s="1207"/>
      <c r="N206" s="1258"/>
      <c r="O206" s="1202"/>
      <c r="P206" s="1203"/>
      <c r="Q206" s="1203"/>
      <c r="R206" s="1203"/>
      <c r="S206" s="1203"/>
      <c r="T206" s="1204"/>
      <c r="U206" s="1342"/>
      <c r="V206" s="1258"/>
      <c r="W206" s="1202"/>
      <c r="X206" s="1203"/>
      <c r="Y206" s="1203"/>
      <c r="Z206" s="1203"/>
      <c r="AA206" s="1203"/>
      <c r="AB206" s="1204"/>
      <c r="AC206" s="1342"/>
      <c r="AD206" s="1258"/>
      <c r="AE206" s="1202"/>
      <c r="AF206" s="1203"/>
      <c r="AG206" s="1203"/>
      <c r="AH206" s="1203"/>
      <c r="AI206" s="1203"/>
      <c r="AJ206" s="1204"/>
      <c r="AK206" s="1342"/>
      <c r="AL206" s="1197"/>
      <c r="AM206" s="1202"/>
      <c r="AN206" s="1203"/>
      <c r="AO206" s="1203"/>
      <c r="AP206" s="1203"/>
      <c r="AQ206" s="1203"/>
      <c r="AR206" s="1204"/>
      <c r="AS206" s="1342"/>
      <c r="BJ206" s="1337"/>
      <c r="BK206" s="1338"/>
      <c r="BL206" s="1338"/>
      <c r="BM206" s="1338"/>
      <c r="BN206" s="1338"/>
      <c r="BO206" s="1339"/>
    </row>
    <row r="207" spans="1:67" ht="15" customHeight="1">
      <c r="A207" s="1304">
        <v>2.1</v>
      </c>
      <c r="B207" s="1161" t="s">
        <v>322</v>
      </c>
      <c r="C207" s="1162"/>
      <c r="D207" s="1162"/>
      <c r="E207" s="1162"/>
      <c r="F207" s="1162"/>
      <c r="G207" s="1199"/>
      <c r="H207" s="1268" t="str">
        <f t="shared" ref="H207" si="364">IF(ISBLANK(AZ$5),"",1)</f>
        <v/>
      </c>
      <c r="I207" s="1205" t="str">
        <f t="shared" ref="I207" si="365">IF(ISBLANK(BD$5),"",1)</f>
        <v/>
      </c>
      <c r="J207" s="1205" t="str">
        <f t="shared" ref="J207" si="366">IF(ISBLANK(BH$5),"",1)</f>
        <v/>
      </c>
      <c r="K207" s="1205" t="str">
        <f t="shared" ref="K207" si="367">IF(ISBLANK(BL$5),"",1)</f>
        <v/>
      </c>
      <c r="N207" s="1258">
        <v>4.4000000000000004</v>
      </c>
      <c r="O207" s="1198" t="s">
        <v>415</v>
      </c>
      <c r="P207" s="1162"/>
      <c r="Q207" s="1162"/>
      <c r="R207" s="1162"/>
      <c r="S207" s="1162"/>
      <c r="T207" s="1199"/>
      <c r="U207" s="1226" t="str">
        <f t="shared" ref="U207" si="368">IF(ISBLANK(AZ$5),"",1)</f>
        <v/>
      </c>
      <c r="V207" s="1258">
        <v>4.4000000000000004</v>
      </c>
      <c r="W207" s="1198" t="s">
        <v>415</v>
      </c>
      <c r="X207" s="1162"/>
      <c r="Y207" s="1162"/>
      <c r="Z207" s="1162"/>
      <c r="AA207" s="1162"/>
      <c r="AB207" s="1199"/>
      <c r="AC207" s="1226" t="str">
        <f t="shared" ref="AC207" si="369">IF(ISBLANK(BD$5),"",1)</f>
        <v/>
      </c>
      <c r="AD207" s="1258">
        <v>4.4000000000000004</v>
      </c>
      <c r="AE207" s="1198" t="s">
        <v>415</v>
      </c>
      <c r="AF207" s="1162"/>
      <c r="AG207" s="1162"/>
      <c r="AH207" s="1162"/>
      <c r="AI207" s="1162"/>
      <c r="AJ207" s="1199"/>
      <c r="AK207" s="1226" t="str">
        <f t="shared" ref="AK207" si="370">IF(ISBLANK(BH$5),"",1)</f>
        <v/>
      </c>
      <c r="AL207" s="1196">
        <v>4.4000000000000004</v>
      </c>
      <c r="AM207" s="1198" t="s">
        <v>407</v>
      </c>
      <c r="AN207" s="1162"/>
      <c r="AO207" s="1162"/>
      <c r="AP207" s="1162"/>
      <c r="AQ207" s="1162"/>
      <c r="AR207" s="1199"/>
      <c r="AS207" s="1226" t="str">
        <f t="shared" ref="AS207" si="371">IF(ISBLANK(BL$5),"",1)</f>
        <v/>
      </c>
      <c r="BJ207" s="1337"/>
      <c r="BK207" s="1338"/>
      <c r="BL207" s="1338"/>
      <c r="BM207" s="1338"/>
      <c r="BN207" s="1338"/>
      <c r="BO207" s="1339"/>
    </row>
    <row r="208" spans="1:67" ht="15" customHeight="1">
      <c r="A208" s="1290"/>
      <c r="B208" s="1163"/>
      <c r="C208" s="1164"/>
      <c r="D208" s="1164"/>
      <c r="E208" s="1164"/>
      <c r="F208" s="1164"/>
      <c r="G208" s="1201"/>
      <c r="H208" s="1269"/>
      <c r="I208" s="1206"/>
      <c r="J208" s="1206"/>
      <c r="K208" s="1206"/>
      <c r="N208" s="1258"/>
      <c r="O208" s="1200"/>
      <c r="P208" s="1164"/>
      <c r="Q208" s="1164"/>
      <c r="R208" s="1164"/>
      <c r="S208" s="1164"/>
      <c r="T208" s="1201"/>
      <c r="U208" s="1342"/>
      <c r="V208" s="1258"/>
      <c r="W208" s="1200"/>
      <c r="X208" s="1164"/>
      <c r="Y208" s="1164"/>
      <c r="Z208" s="1164"/>
      <c r="AA208" s="1164"/>
      <c r="AB208" s="1201"/>
      <c r="AC208" s="1342"/>
      <c r="AD208" s="1258"/>
      <c r="AE208" s="1200"/>
      <c r="AF208" s="1164"/>
      <c r="AG208" s="1164"/>
      <c r="AH208" s="1164"/>
      <c r="AI208" s="1164"/>
      <c r="AJ208" s="1201"/>
      <c r="AK208" s="1342"/>
      <c r="AL208" s="1197"/>
      <c r="AM208" s="1200"/>
      <c r="AN208" s="1164"/>
      <c r="AO208" s="1164"/>
      <c r="AP208" s="1164"/>
      <c r="AQ208" s="1164"/>
      <c r="AR208" s="1201"/>
      <c r="AS208" s="1342"/>
      <c r="BJ208" s="1337"/>
      <c r="BK208" s="1338"/>
      <c r="BL208" s="1338"/>
      <c r="BM208" s="1338"/>
      <c r="BN208" s="1338"/>
      <c r="BO208" s="1339"/>
    </row>
    <row r="209" spans="1:67" ht="15" customHeight="1">
      <c r="A209" s="1291"/>
      <c r="B209" s="1165"/>
      <c r="C209" s="1166"/>
      <c r="D209" s="1166"/>
      <c r="E209" s="1166"/>
      <c r="F209" s="1166"/>
      <c r="G209" s="1292"/>
      <c r="H209" s="1270"/>
      <c r="I209" s="1207"/>
      <c r="J209" s="1207"/>
      <c r="K209" s="1207"/>
      <c r="N209" s="1258"/>
      <c r="O209" s="1202"/>
      <c r="P209" s="1203"/>
      <c r="Q209" s="1203"/>
      <c r="R209" s="1203"/>
      <c r="S209" s="1203"/>
      <c r="T209" s="1204"/>
      <c r="U209" s="1342"/>
      <c r="V209" s="1258"/>
      <c r="W209" s="1202"/>
      <c r="X209" s="1203"/>
      <c r="Y209" s="1203"/>
      <c r="Z209" s="1203"/>
      <c r="AA209" s="1203"/>
      <c r="AB209" s="1204"/>
      <c r="AC209" s="1342"/>
      <c r="AD209" s="1258"/>
      <c r="AE209" s="1202"/>
      <c r="AF209" s="1203"/>
      <c r="AG209" s="1203"/>
      <c r="AH209" s="1203"/>
      <c r="AI209" s="1203"/>
      <c r="AJ209" s="1204"/>
      <c r="AK209" s="1342"/>
      <c r="AL209" s="1197"/>
      <c r="AM209" s="1202"/>
      <c r="AN209" s="1203"/>
      <c r="AO209" s="1203"/>
      <c r="AP209" s="1203"/>
      <c r="AQ209" s="1203"/>
      <c r="AR209" s="1204"/>
      <c r="AS209" s="1342"/>
      <c r="BJ209" s="1337"/>
      <c r="BK209" s="1338"/>
      <c r="BL209" s="1338"/>
      <c r="BM209" s="1338"/>
      <c r="BN209" s="1338"/>
      <c r="BO209" s="1339"/>
    </row>
    <row r="210" spans="1:67" ht="15" customHeight="1">
      <c r="A210" s="1307">
        <v>1.1000000000000001</v>
      </c>
      <c r="B210" s="1161" t="s">
        <v>940</v>
      </c>
      <c r="C210" s="1162"/>
      <c r="D210" s="1162"/>
      <c r="E210" s="1162"/>
      <c r="F210" s="1162"/>
      <c r="G210" s="1199"/>
      <c r="H210" s="1268" t="str">
        <f t="shared" ref="H210" si="372">IF(ISBLANK(AZ$5),"",1)</f>
        <v/>
      </c>
      <c r="I210" s="1205" t="str">
        <f t="shared" ref="I210" si="373">IF(ISBLANK(BD$5),"",1)</f>
        <v/>
      </c>
      <c r="J210" s="1205" t="str">
        <f t="shared" ref="J210" si="374">IF(ISBLANK(BH$5),"",1)</f>
        <v/>
      </c>
      <c r="K210" s="1205" t="str">
        <f t="shared" ref="K210" si="375">IF(ISBLANK(BL$5),"",1)</f>
        <v/>
      </c>
      <c r="N210" s="1304">
        <v>4.3</v>
      </c>
      <c r="O210" s="1310" t="s">
        <v>879</v>
      </c>
      <c r="P210" s="1311"/>
      <c r="Q210" s="1311"/>
      <c r="R210" s="1311"/>
      <c r="S210" s="1311"/>
      <c r="T210" s="1316"/>
      <c r="U210" s="1226" t="str">
        <f t="shared" ref="U210" si="376">IF(ISBLANK(AZ$5),"",1)</f>
        <v/>
      </c>
      <c r="V210" s="1304">
        <v>4.3</v>
      </c>
      <c r="W210" s="1310" t="s">
        <v>879</v>
      </c>
      <c r="X210" s="1311"/>
      <c r="Y210" s="1311"/>
      <c r="Z210" s="1311"/>
      <c r="AA210" s="1311"/>
      <c r="AB210" s="1316"/>
      <c r="AC210" s="1226" t="str">
        <f t="shared" ref="AC210" si="377">IF(ISBLANK(BD$5),"",1)</f>
        <v/>
      </c>
      <c r="AD210" s="1304">
        <v>4.3</v>
      </c>
      <c r="AE210" s="1310" t="s">
        <v>879</v>
      </c>
      <c r="AF210" s="1311"/>
      <c r="AG210" s="1311"/>
      <c r="AH210" s="1311"/>
      <c r="AI210" s="1311"/>
      <c r="AJ210" s="1316"/>
      <c r="AK210" s="1226" t="str">
        <f t="shared" ref="AK210" si="378">IF(ISBLANK(BH$5),"",1)</f>
        <v/>
      </c>
      <c r="AL210" s="1304">
        <v>4.3</v>
      </c>
      <c r="AM210" s="1310" t="s">
        <v>879</v>
      </c>
      <c r="AN210" s="1311"/>
      <c r="AO210" s="1311"/>
      <c r="AP210" s="1311"/>
      <c r="AQ210" s="1311"/>
      <c r="AR210" s="1316"/>
      <c r="AS210" s="1226" t="str">
        <f t="shared" ref="AS210" si="379">IF(ISBLANK(BL$5),"",1)</f>
        <v/>
      </c>
      <c r="BJ210" s="1337"/>
      <c r="BK210" s="1338"/>
      <c r="BL210" s="1338"/>
      <c r="BM210" s="1338"/>
      <c r="BN210" s="1338"/>
      <c r="BO210" s="1339"/>
    </row>
    <row r="211" spans="1:67" ht="15" customHeight="1">
      <c r="A211" s="1308"/>
      <c r="B211" s="1163"/>
      <c r="C211" s="1164"/>
      <c r="D211" s="1164"/>
      <c r="E211" s="1164"/>
      <c r="F211" s="1164"/>
      <c r="G211" s="1201"/>
      <c r="H211" s="1269"/>
      <c r="I211" s="1206"/>
      <c r="J211" s="1206"/>
      <c r="K211" s="1206"/>
      <c r="N211" s="1290"/>
      <c r="O211" s="1295"/>
      <c r="P211" s="1296"/>
      <c r="Q211" s="1296"/>
      <c r="R211" s="1296"/>
      <c r="S211" s="1296"/>
      <c r="T211" s="1318"/>
      <c r="U211" s="1342"/>
      <c r="V211" s="1290"/>
      <c r="W211" s="1295"/>
      <c r="X211" s="1296"/>
      <c r="Y211" s="1296"/>
      <c r="Z211" s="1296"/>
      <c r="AA211" s="1296"/>
      <c r="AB211" s="1318"/>
      <c r="AC211" s="1342"/>
      <c r="AD211" s="1290"/>
      <c r="AE211" s="1295"/>
      <c r="AF211" s="1296"/>
      <c r="AG211" s="1296"/>
      <c r="AH211" s="1296"/>
      <c r="AI211" s="1296"/>
      <c r="AJ211" s="1318"/>
      <c r="AK211" s="1342"/>
      <c r="AL211" s="1290"/>
      <c r="AM211" s="1295"/>
      <c r="AN211" s="1296"/>
      <c r="AO211" s="1296"/>
      <c r="AP211" s="1296"/>
      <c r="AQ211" s="1296"/>
      <c r="AR211" s="1318"/>
      <c r="AS211" s="1342"/>
      <c r="BJ211" s="1337"/>
      <c r="BK211" s="1338"/>
      <c r="BL211" s="1338"/>
      <c r="BM211" s="1338"/>
      <c r="BN211" s="1338"/>
      <c r="BO211" s="1339"/>
    </row>
    <row r="212" spans="1:67" ht="15" customHeight="1">
      <c r="A212" s="1309"/>
      <c r="B212" s="1165"/>
      <c r="C212" s="1166"/>
      <c r="D212" s="1166"/>
      <c r="E212" s="1166"/>
      <c r="F212" s="1166"/>
      <c r="G212" s="1292"/>
      <c r="H212" s="1270"/>
      <c r="I212" s="1207"/>
      <c r="J212" s="1207"/>
      <c r="K212" s="1207"/>
      <c r="N212" s="1291"/>
      <c r="O212" s="1298"/>
      <c r="P212" s="1299"/>
      <c r="Q212" s="1299"/>
      <c r="R212" s="1299"/>
      <c r="S212" s="1299"/>
      <c r="T212" s="1335"/>
      <c r="U212" s="1342"/>
      <c r="V212" s="1291"/>
      <c r="W212" s="1298"/>
      <c r="X212" s="1299"/>
      <c r="Y212" s="1299"/>
      <c r="Z212" s="1299"/>
      <c r="AA212" s="1299"/>
      <c r="AB212" s="1335"/>
      <c r="AC212" s="1342"/>
      <c r="AD212" s="1291"/>
      <c r="AE212" s="1298"/>
      <c r="AF212" s="1299"/>
      <c r="AG212" s="1299"/>
      <c r="AH212" s="1299"/>
      <c r="AI212" s="1299"/>
      <c r="AJ212" s="1335"/>
      <c r="AK212" s="1342"/>
      <c r="AL212" s="1291"/>
      <c r="AM212" s="1298"/>
      <c r="AN212" s="1299"/>
      <c r="AO212" s="1299"/>
      <c r="AP212" s="1299"/>
      <c r="AQ212" s="1299"/>
      <c r="AR212" s="1335"/>
      <c r="AS212" s="1342"/>
      <c r="BJ212" s="1337"/>
      <c r="BK212" s="1338"/>
      <c r="BL212" s="1338"/>
      <c r="BM212" s="1338"/>
      <c r="BN212" s="1338"/>
      <c r="BO212" s="1339"/>
    </row>
    <row r="213" spans="1:67" ht="15" customHeight="1">
      <c r="A213" s="1307">
        <v>1.1000000000000001</v>
      </c>
      <c r="B213" s="1161" t="s">
        <v>330</v>
      </c>
      <c r="C213" s="1162"/>
      <c r="D213" s="1162"/>
      <c r="E213" s="1162"/>
      <c r="F213" s="1162"/>
      <c r="G213" s="1199"/>
      <c r="H213" s="1268" t="str">
        <f t="shared" ref="H213" si="380">IF(ISBLANK(AZ$5),"",1)</f>
        <v/>
      </c>
      <c r="I213" s="1205" t="str">
        <f t="shared" ref="I213" si="381">IF(ISBLANK(BD$5),"",1)</f>
        <v/>
      </c>
      <c r="J213" s="1205" t="str">
        <f t="shared" ref="J213" si="382">IF(ISBLANK(BH$5),"",1)</f>
        <v/>
      </c>
      <c r="K213" s="1205" t="str">
        <f t="shared" ref="K213" si="383">IF(ISBLANK(BL$5),"",1)</f>
        <v/>
      </c>
      <c r="N213" s="1304">
        <v>4.3</v>
      </c>
      <c r="O213" s="1198" t="s">
        <v>883</v>
      </c>
      <c r="P213" s="1162"/>
      <c r="Q213" s="1162"/>
      <c r="R213" s="1162"/>
      <c r="S213" s="1162"/>
      <c r="T213" s="1199"/>
      <c r="U213" s="1226" t="str">
        <f t="shared" ref="U213" si="384">IF(ISBLANK(AZ$5),"",1)</f>
        <v/>
      </c>
      <c r="V213" s="1304">
        <v>4.3</v>
      </c>
      <c r="W213" s="1198" t="s">
        <v>883</v>
      </c>
      <c r="X213" s="1162"/>
      <c r="Y213" s="1162"/>
      <c r="Z213" s="1162"/>
      <c r="AA213" s="1162"/>
      <c r="AB213" s="1199"/>
      <c r="AC213" s="1226" t="str">
        <f t="shared" ref="AC213" si="385">IF(ISBLANK(BD$5),"",1)</f>
        <v/>
      </c>
      <c r="AD213" s="1258">
        <v>4.4000000000000004</v>
      </c>
      <c r="AE213" s="1198" t="s">
        <v>393</v>
      </c>
      <c r="AF213" s="1162"/>
      <c r="AG213" s="1162"/>
      <c r="AH213" s="1162"/>
      <c r="AI213" s="1162"/>
      <c r="AJ213" s="1199"/>
      <c r="AK213" s="1226" t="str">
        <f t="shared" ref="AK213" si="386">IF(ISBLANK(BH$5),"",1)</f>
        <v/>
      </c>
      <c r="AL213" s="1304">
        <v>4.3</v>
      </c>
      <c r="AM213" s="1198" t="s">
        <v>883</v>
      </c>
      <c r="AN213" s="1162"/>
      <c r="AO213" s="1162"/>
      <c r="AP213" s="1162"/>
      <c r="AQ213" s="1162"/>
      <c r="AR213" s="1199"/>
      <c r="AS213" s="1226" t="str">
        <f t="shared" ref="AS213" si="387">IF(ISBLANK(BL$5),"",1)</f>
        <v/>
      </c>
      <c r="BJ213" s="1337"/>
      <c r="BK213" s="1338"/>
      <c r="BL213" s="1338"/>
      <c r="BM213" s="1338"/>
      <c r="BN213" s="1338"/>
      <c r="BO213" s="1339"/>
    </row>
    <row r="214" spans="1:67" ht="15" customHeight="1">
      <c r="A214" s="1308"/>
      <c r="B214" s="1163"/>
      <c r="C214" s="1164"/>
      <c r="D214" s="1164"/>
      <c r="E214" s="1164"/>
      <c r="F214" s="1164"/>
      <c r="G214" s="1201"/>
      <c r="H214" s="1269"/>
      <c r="I214" s="1206"/>
      <c r="J214" s="1206"/>
      <c r="K214" s="1206"/>
      <c r="N214" s="1290"/>
      <c r="O214" s="1200"/>
      <c r="P214" s="1164"/>
      <c r="Q214" s="1164"/>
      <c r="R214" s="1164"/>
      <c r="S214" s="1164"/>
      <c r="T214" s="1201"/>
      <c r="U214" s="1342"/>
      <c r="V214" s="1290"/>
      <c r="W214" s="1200"/>
      <c r="X214" s="1164"/>
      <c r="Y214" s="1164"/>
      <c r="Z214" s="1164"/>
      <c r="AA214" s="1164"/>
      <c r="AB214" s="1201"/>
      <c r="AC214" s="1342"/>
      <c r="AD214" s="1258"/>
      <c r="AE214" s="1200"/>
      <c r="AF214" s="1164"/>
      <c r="AG214" s="1164"/>
      <c r="AH214" s="1164"/>
      <c r="AI214" s="1164"/>
      <c r="AJ214" s="1201"/>
      <c r="AK214" s="1342"/>
      <c r="AL214" s="1290"/>
      <c r="AM214" s="1200"/>
      <c r="AN214" s="1164"/>
      <c r="AO214" s="1164"/>
      <c r="AP214" s="1164"/>
      <c r="AQ214" s="1164"/>
      <c r="AR214" s="1201"/>
      <c r="AS214" s="1342"/>
      <c r="BJ214" s="1337"/>
      <c r="BK214" s="1338"/>
      <c r="BL214" s="1338"/>
      <c r="BM214" s="1338"/>
      <c r="BN214" s="1338"/>
      <c r="BO214" s="1339"/>
    </row>
    <row r="215" spans="1:67" ht="15" customHeight="1">
      <c r="A215" s="1309"/>
      <c r="B215" s="1165"/>
      <c r="C215" s="1166"/>
      <c r="D215" s="1166"/>
      <c r="E215" s="1166"/>
      <c r="F215" s="1166"/>
      <c r="G215" s="1292"/>
      <c r="H215" s="1270"/>
      <c r="I215" s="1207"/>
      <c r="J215" s="1207"/>
      <c r="K215" s="1207"/>
      <c r="N215" s="1291"/>
      <c r="O215" s="1202"/>
      <c r="P215" s="1203"/>
      <c r="Q215" s="1203"/>
      <c r="R215" s="1203"/>
      <c r="S215" s="1203"/>
      <c r="T215" s="1204"/>
      <c r="U215" s="1342"/>
      <c r="V215" s="1291"/>
      <c r="W215" s="1202"/>
      <c r="X215" s="1203"/>
      <c r="Y215" s="1203"/>
      <c r="Z215" s="1203"/>
      <c r="AA215" s="1203"/>
      <c r="AB215" s="1204"/>
      <c r="AC215" s="1342"/>
      <c r="AD215" s="1258"/>
      <c r="AE215" s="1202"/>
      <c r="AF215" s="1203"/>
      <c r="AG215" s="1203"/>
      <c r="AH215" s="1203"/>
      <c r="AI215" s="1203"/>
      <c r="AJ215" s="1204"/>
      <c r="AK215" s="1342"/>
      <c r="AL215" s="1291"/>
      <c r="AM215" s="1202"/>
      <c r="AN215" s="1203"/>
      <c r="AO215" s="1203"/>
      <c r="AP215" s="1203"/>
      <c r="AQ215" s="1203"/>
      <c r="AR215" s="1204"/>
      <c r="AS215" s="1342"/>
      <c r="BJ215" s="1337"/>
      <c r="BK215" s="1338"/>
      <c r="BL215" s="1338"/>
      <c r="BM215" s="1338"/>
      <c r="BN215" s="1338"/>
      <c r="BO215" s="1339"/>
    </row>
    <row r="216" spans="1:67" ht="15" customHeight="1">
      <c r="A216" s="1304">
        <v>1.5</v>
      </c>
      <c r="B216" s="1161" t="s">
        <v>336</v>
      </c>
      <c r="C216" s="1162"/>
      <c r="D216" s="1162"/>
      <c r="E216" s="1162"/>
      <c r="F216" s="1162"/>
      <c r="G216" s="1199"/>
      <c r="H216" s="1268" t="str">
        <f t="shared" ref="H216" si="388">IF(ISBLANK(AZ$5),"",1)</f>
        <v/>
      </c>
      <c r="I216" s="1205" t="str">
        <f t="shared" ref="I216" si="389">IF(ISBLANK(BD$5),"",1)</f>
        <v/>
      </c>
      <c r="J216" s="1205" t="str">
        <f t="shared" ref="J216" si="390">IF(ISBLANK(BH$5),"",1)</f>
        <v/>
      </c>
      <c r="K216" s="1205" t="str">
        <f t="shared" ref="K216" si="391">IF(ISBLANK(BL$5),"",1)</f>
        <v/>
      </c>
      <c r="N216" s="1322">
        <v>4.4000000000000004</v>
      </c>
      <c r="O216" s="1198" t="s">
        <v>884</v>
      </c>
      <c r="P216" s="1162"/>
      <c r="Q216" s="1162"/>
      <c r="R216" s="1162"/>
      <c r="S216" s="1162"/>
      <c r="T216" s="1199"/>
      <c r="U216" s="1226" t="str">
        <f t="shared" ref="U216" si="392">IF(ISBLANK(AZ$5),"",1)</f>
        <v/>
      </c>
      <c r="V216" s="1322">
        <v>4.3</v>
      </c>
      <c r="W216" s="1198" t="s">
        <v>393</v>
      </c>
      <c r="X216" s="1162"/>
      <c r="Y216" s="1162"/>
      <c r="Z216" s="1162"/>
      <c r="AA216" s="1162"/>
      <c r="AB216" s="1199"/>
      <c r="AC216" s="1226" t="str">
        <f t="shared" ref="AC216" si="393">IF(ISBLANK(BD$5),"",1)</f>
        <v/>
      </c>
      <c r="AD216" s="1322">
        <v>4.4000000000000004</v>
      </c>
      <c r="AE216" s="1198" t="s">
        <v>417</v>
      </c>
      <c r="AF216" s="1162"/>
      <c r="AG216" s="1162"/>
      <c r="AH216" s="1162"/>
      <c r="AI216" s="1162"/>
      <c r="AJ216" s="1199"/>
      <c r="AK216" s="1226" t="str">
        <f t="shared" ref="AK216" si="394">IF(ISBLANK(BH$5),"",1)</f>
        <v/>
      </c>
      <c r="AL216" s="1196">
        <v>4.3</v>
      </c>
      <c r="AM216" s="1198" t="s">
        <v>421</v>
      </c>
      <c r="AN216" s="1162"/>
      <c r="AO216" s="1162"/>
      <c r="AP216" s="1162"/>
      <c r="AQ216" s="1162"/>
      <c r="AR216" s="1199"/>
      <c r="AS216" s="1226" t="str">
        <f t="shared" ref="AS216" si="395">IF(ISBLANK(BL$5),"",1)</f>
        <v/>
      </c>
      <c r="BJ216" s="1337"/>
      <c r="BK216" s="1338"/>
      <c r="BL216" s="1338"/>
      <c r="BM216" s="1338"/>
      <c r="BN216" s="1338"/>
      <c r="BO216" s="1339"/>
    </row>
    <row r="217" spans="1:67" ht="15" customHeight="1">
      <c r="A217" s="1290"/>
      <c r="B217" s="1163"/>
      <c r="C217" s="1164"/>
      <c r="D217" s="1164"/>
      <c r="E217" s="1164"/>
      <c r="F217" s="1164"/>
      <c r="G217" s="1201"/>
      <c r="H217" s="1269"/>
      <c r="I217" s="1206"/>
      <c r="J217" s="1206"/>
      <c r="K217" s="1206"/>
      <c r="N217" s="1293"/>
      <c r="O217" s="1200"/>
      <c r="P217" s="1164"/>
      <c r="Q217" s="1164"/>
      <c r="R217" s="1164"/>
      <c r="S217" s="1164"/>
      <c r="T217" s="1201"/>
      <c r="U217" s="1342"/>
      <c r="V217" s="1293"/>
      <c r="W217" s="1200"/>
      <c r="X217" s="1164"/>
      <c r="Y217" s="1164"/>
      <c r="Z217" s="1164"/>
      <c r="AA217" s="1164"/>
      <c r="AB217" s="1201"/>
      <c r="AC217" s="1342"/>
      <c r="AD217" s="1293"/>
      <c r="AE217" s="1200"/>
      <c r="AF217" s="1164"/>
      <c r="AG217" s="1164"/>
      <c r="AH217" s="1164"/>
      <c r="AI217" s="1164"/>
      <c r="AJ217" s="1201"/>
      <c r="AK217" s="1342"/>
      <c r="AL217" s="1197"/>
      <c r="AM217" s="1200"/>
      <c r="AN217" s="1164"/>
      <c r="AO217" s="1164"/>
      <c r="AP217" s="1164"/>
      <c r="AQ217" s="1164"/>
      <c r="AR217" s="1201"/>
      <c r="AS217" s="1342"/>
      <c r="BJ217" s="1337"/>
      <c r="BK217" s="1338"/>
      <c r="BL217" s="1338"/>
      <c r="BM217" s="1338"/>
      <c r="BN217" s="1338"/>
      <c r="BO217" s="1339"/>
    </row>
    <row r="218" spans="1:67" ht="15" customHeight="1">
      <c r="A218" s="1291"/>
      <c r="B218" s="1165"/>
      <c r="C218" s="1166"/>
      <c r="D218" s="1166"/>
      <c r="E218" s="1166"/>
      <c r="F218" s="1166"/>
      <c r="G218" s="1292"/>
      <c r="H218" s="1270"/>
      <c r="I218" s="1207"/>
      <c r="J218" s="1207"/>
      <c r="K218" s="1207"/>
      <c r="N218" s="1294"/>
      <c r="O218" s="1202"/>
      <c r="P218" s="1203"/>
      <c r="Q218" s="1203"/>
      <c r="R218" s="1203"/>
      <c r="S218" s="1203"/>
      <c r="T218" s="1204"/>
      <c r="U218" s="1342"/>
      <c r="V218" s="1294"/>
      <c r="W218" s="1202"/>
      <c r="X218" s="1203"/>
      <c r="Y218" s="1203"/>
      <c r="Z218" s="1203"/>
      <c r="AA218" s="1203"/>
      <c r="AB218" s="1204"/>
      <c r="AC218" s="1342"/>
      <c r="AD218" s="1294"/>
      <c r="AE218" s="1202"/>
      <c r="AF218" s="1203"/>
      <c r="AG218" s="1203"/>
      <c r="AH218" s="1203"/>
      <c r="AI218" s="1203"/>
      <c r="AJ218" s="1204"/>
      <c r="AK218" s="1342"/>
      <c r="AL218" s="1197"/>
      <c r="AM218" s="1202"/>
      <c r="AN218" s="1203"/>
      <c r="AO218" s="1203"/>
      <c r="AP218" s="1203"/>
      <c r="AQ218" s="1203"/>
      <c r="AR218" s="1204"/>
      <c r="AS218" s="1342"/>
      <c r="BJ218" s="1337"/>
      <c r="BK218" s="1338"/>
      <c r="BL218" s="1338"/>
      <c r="BM218" s="1338"/>
      <c r="BN218" s="1338"/>
      <c r="BO218" s="1339"/>
    </row>
    <row r="219" spans="1:67" ht="15" customHeight="1">
      <c r="A219" s="1304">
        <v>2.1</v>
      </c>
      <c r="B219" s="1161" t="s">
        <v>360</v>
      </c>
      <c r="C219" s="1162"/>
      <c r="D219" s="1162"/>
      <c r="E219" s="1162"/>
      <c r="F219" s="1162"/>
      <c r="G219" s="1199"/>
      <c r="H219" s="1268" t="str">
        <f t="shared" ref="H219" si="396">IF(ISBLANK(AZ$5),"",1)</f>
        <v/>
      </c>
      <c r="I219" s="1205" t="str">
        <f t="shared" ref="I219" si="397">IF(ISBLANK(BD$5),"",1)</f>
        <v/>
      </c>
      <c r="J219" s="1205" t="str">
        <f t="shared" ref="J219" si="398">IF(ISBLANK(BH$5),"",1)</f>
        <v/>
      </c>
      <c r="K219" s="1205" t="str">
        <f t="shared" ref="K219" si="399">IF(ISBLANK(BL$5),"",1)</f>
        <v/>
      </c>
      <c r="N219" s="1258">
        <v>4.4000000000000004</v>
      </c>
      <c r="O219" s="1198" t="s">
        <v>417</v>
      </c>
      <c r="P219" s="1162"/>
      <c r="Q219" s="1162"/>
      <c r="R219" s="1162"/>
      <c r="S219" s="1162"/>
      <c r="T219" s="1199"/>
      <c r="U219" s="1226" t="str">
        <f t="shared" ref="U219" si="400">IF(ISBLANK(AZ$5),"",1)</f>
        <v/>
      </c>
      <c r="V219" s="1322">
        <v>4.4000000000000004</v>
      </c>
      <c r="W219" s="1198" t="s">
        <v>417</v>
      </c>
      <c r="X219" s="1162"/>
      <c r="Y219" s="1162"/>
      <c r="Z219" s="1162"/>
      <c r="AA219" s="1162"/>
      <c r="AB219" s="1199"/>
      <c r="AC219" s="1226" t="str">
        <f t="shared" ref="AC219" si="401">IF(ISBLANK(BD$5),"",1)</f>
        <v/>
      </c>
      <c r="AD219" s="1304">
        <v>4.4000000000000004</v>
      </c>
      <c r="AE219" s="1198" t="s">
        <v>359</v>
      </c>
      <c r="AF219" s="1162"/>
      <c r="AG219" s="1162"/>
      <c r="AH219" s="1162"/>
      <c r="AI219" s="1162"/>
      <c r="AJ219" s="1199"/>
      <c r="AK219" s="1226" t="str">
        <f t="shared" ref="AK219" si="402">IF(ISBLANK(BH$5),"",1)</f>
        <v/>
      </c>
      <c r="AL219" s="1196">
        <v>4.4000000000000004</v>
      </c>
      <c r="AM219" s="1198" t="s">
        <v>418</v>
      </c>
      <c r="AN219" s="1162"/>
      <c r="AO219" s="1162"/>
      <c r="AP219" s="1162"/>
      <c r="AQ219" s="1162"/>
      <c r="AR219" s="1199"/>
      <c r="AS219" s="1226" t="str">
        <f t="shared" ref="AS219" si="403">IF(ISBLANK(BL$5),"",1)</f>
        <v/>
      </c>
      <c r="BJ219" s="1337"/>
      <c r="BK219" s="1338"/>
      <c r="BL219" s="1338"/>
      <c r="BM219" s="1338"/>
      <c r="BN219" s="1338"/>
      <c r="BO219" s="1339"/>
    </row>
    <row r="220" spans="1:67" ht="15" customHeight="1">
      <c r="A220" s="1290"/>
      <c r="B220" s="1163"/>
      <c r="C220" s="1164"/>
      <c r="D220" s="1164"/>
      <c r="E220" s="1164"/>
      <c r="F220" s="1164"/>
      <c r="G220" s="1201"/>
      <c r="H220" s="1269"/>
      <c r="I220" s="1206"/>
      <c r="J220" s="1206"/>
      <c r="K220" s="1206"/>
      <c r="N220" s="1258"/>
      <c r="O220" s="1200"/>
      <c r="P220" s="1164"/>
      <c r="Q220" s="1164"/>
      <c r="R220" s="1164"/>
      <c r="S220" s="1164"/>
      <c r="T220" s="1201"/>
      <c r="U220" s="1342"/>
      <c r="V220" s="1293"/>
      <c r="W220" s="1200"/>
      <c r="X220" s="1164"/>
      <c r="Y220" s="1164"/>
      <c r="Z220" s="1164"/>
      <c r="AA220" s="1164"/>
      <c r="AB220" s="1201"/>
      <c r="AC220" s="1342"/>
      <c r="AD220" s="1290"/>
      <c r="AE220" s="1200"/>
      <c r="AF220" s="1164"/>
      <c r="AG220" s="1164"/>
      <c r="AH220" s="1164"/>
      <c r="AI220" s="1164"/>
      <c r="AJ220" s="1201"/>
      <c r="AK220" s="1342"/>
      <c r="AL220" s="1197"/>
      <c r="AM220" s="1200"/>
      <c r="AN220" s="1164"/>
      <c r="AO220" s="1164"/>
      <c r="AP220" s="1164"/>
      <c r="AQ220" s="1164"/>
      <c r="AR220" s="1201"/>
      <c r="AS220" s="1342"/>
      <c r="BJ220" s="1337"/>
      <c r="BK220" s="1338"/>
      <c r="BL220" s="1338"/>
      <c r="BM220" s="1338"/>
      <c r="BN220" s="1338"/>
      <c r="BO220" s="1339"/>
    </row>
    <row r="221" spans="1:67" ht="15" customHeight="1">
      <c r="A221" s="1291"/>
      <c r="B221" s="1165"/>
      <c r="C221" s="1166"/>
      <c r="D221" s="1166"/>
      <c r="E221" s="1166"/>
      <c r="F221" s="1166"/>
      <c r="G221" s="1292"/>
      <c r="H221" s="1270"/>
      <c r="I221" s="1207"/>
      <c r="J221" s="1207"/>
      <c r="K221" s="1207"/>
      <c r="N221" s="1258"/>
      <c r="O221" s="1202"/>
      <c r="P221" s="1203"/>
      <c r="Q221" s="1203"/>
      <c r="R221" s="1203"/>
      <c r="S221" s="1203"/>
      <c r="T221" s="1204"/>
      <c r="U221" s="1342"/>
      <c r="V221" s="1294"/>
      <c r="W221" s="1202"/>
      <c r="X221" s="1203"/>
      <c r="Y221" s="1203"/>
      <c r="Z221" s="1203"/>
      <c r="AA221" s="1203"/>
      <c r="AB221" s="1204"/>
      <c r="AC221" s="1342"/>
      <c r="AD221" s="1291"/>
      <c r="AE221" s="1202"/>
      <c r="AF221" s="1203"/>
      <c r="AG221" s="1203"/>
      <c r="AH221" s="1203"/>
      <c r="AI221" s="1203"/>
      <c r="AJ221" s="1204"/>
      <c r="AK221" s="1342"/>
      <c r="AL221" s="1197"/>
      <c r="AM221" s="1202"/>
      <c r="AN221" s="1203"/>
      <c r="AO221" s="1203"/>
      <c r="AP221" s="1203"/>
      <c r="AQ221" s="1203"/>
      <c r="AR221" s="1204"/>
      <c r="AS221" s="1342"/>
      <c r="BJ221" s="1337"/>
      <c r="BK221" s="1338"/>
      <c r="BL221" s="1338"/>
      <c r="BM221" s="1338"/>
      <c r="BN221" s="1338"/>
      <c r="BO221" s="1339"/>
    </row>
    <row r="222" spans="1:67" ht="15" customHeight="1">
      <c r="A222" s="1304">
        <v>2.4</v>
      </c>
      <c r="B222" s="1161" t="s">
        <v>942</v>
      </c>
      <c r="C222" s="1162"/>
      <c r="D222" s="1162"/>
      <c r="E222" s="1162"/>
      <c r="F222" s="1162"/>
      <c r="G222" s="1199"/>
      <c r="H222" s="1268" t="str">
        <f t="shared" ref="H222" si="404">IF(ISBLANK(AZ$5),"",1)</f>
        <v/>
      </c>
      <c r="I222" s="1205" t="str">
        <f t="shared" ref="I222" si="405">IF(ISBLANK(BD$5),"",1)</f>
        <v/>
      </c>
      <c r="J222" s="1205" t="str">
        <f t="shared" ref="J222" si="406">IF(ISBLANK(BH$5),"",1)</f>
        <v/>
      </c>
      <c r="K222" s="1205" t="str">
        <f t="shared" ref="K222" si="407">IF(ISBLANK(BL$5),"",1)</f>
        <v/>
      </c>
      <c r="N222" s="1304">
        <v>4.4000000000000004</v>
      </c>
      <c r="O222" s="1198" t="s">
        <v>885</v>
      </c>
      <c r="P222" s="1162"/>
      <c r="Q222" s="1162"/>
      <c r="R222" s="1162"/>
      <c r="S222" s="1162"/>
      <c r="T222" s="1199"/>
      <c r="U222" s="1226" t="str">
        <f t="shared" ref="U222" si="408">IF(ISBLANK(AZ$5),"",1)</f>
        <v/>
      </c>
      <c r="V222" s="1304">
        <v>4.4000000000000004</v>
      </c>
      <c r="W222" s="1198" t="s">
        <v>359</v>
      </c>
      <c r="X222" s="1162"/>
      <c r="Y222" s="1162"/>
      <c r="Z222" s="1162"/>
      <c r="AA222" s="1162"/>
      <c r="AB222" s="1199"/>
      <c r="AC222" s="1226" t="str">
        <f t="shared" ref="AC222" si="409">IF(ISBLANK(BD$5),"",1)</f>
        <v/>
      </c>
      <c r="AD222" s="1258">
        <v>4.4000000000000004</v>
      </c>
      <c r="AE222" s="1198" t="s">
        <v>395</v>
      </c>
      <c r="AF222" s="1162"/>
      <c r="AG222" s="1162"/>
      <c r="AH222" s="1162"/>
      <c r="AI222" s="1162"/>
      <c r="AJ222" s="1199"/>
      <c r="AK222" s="1226" t="str">
        <f t="shared" ref="AK222" si="410">IF(ISBLANK(BH$5),"",1)</f>
        <v/>
      </c>
      <c r="AL222" s="1196">
        <v>4.4000000000000004</v>
      </c>
      <c r="AM222" s="1198" t="s">
        <v>417</v>
      </c>
      <c r="AN222" s="1162"/>
      <c r="AO222" s="1162"/>
      <c r="AP222" s="1162"/>
      <c r="AQ222" s="1162"/>
      <c r="AR222" s="1199"/>
      <c r="AS222" s="1226" t="str">
        <f t="shared" ref="AS222" si="411">IF(ISBLANK(BL$5),"",1)</f>
        <v/>
      </c>
      <c r="BJ222" s="1337"/>
      <c r="BK222" s="1338"/>
      <c r="BL222" s="1338"/>
      <c r="BM222" s="1338"/>
      <c r="BN222" s="1338"/>
      <c r="BO222" s="1339"/>
    </row>
    <row r="223" spans="1:67" ht="15" customHeight="1">
      <c r="A223" s="1290"/>
      <c r="B223" s="1163"/>
      <c r="C223" s="1164"/>
      <c r="D223" s="1164"/>
      <c r="E223" s="1164"/>
      <c r="F223" s="1164"/>
      <c r="G223" s="1201"/>
      <c r="H223" s="1269"/>
      <c r="I223" s="1206"/>
      <c r="J223" s="1206"/>
      <c r="K223" s="1206"/>
      <c r="N223" s="1290"/>
      <c r="O223" s="1200"/>
      <c r="P223" s="1164"/>
      <c r="Q223" s="1164"/>
      <c r="R223" s="1164"/>
      <c r="S223" s="1164"/>
      <c r="T223" s="1201"/>
      <c r="U223" s="1342"/>
      <c r="V223" s="1290"/>
      <c r="W223" s="1200"/>
      <c r="X223" s="1164"/>
      <c r="Y223" s="1164"/>
      <c r="Z223" s="1164"/>
      <c r="AA223" s="1164"/>
      <c r="AB223" s="1201"/>
      <c r="AC223" s="1342"/>
      <c r="AD223" s="1258"/>
      <c r="AE223" s="1200"/>
      <c r="AF223" s="1164"/>
      <c r="AG223" s="1164"/>
      <c r="AH223" s="1164"/>
      <c r="AI223" s="1164"/>
      <c r="AJ223" s="1201"/>
      <c r="AK223" s="1342"/>
      <c r="AL223" s="1197"/>
      <c r="AM223" s="1200"/>
      <c r="AN223" s="1164"/>
      <c r="AO223" s="1164"/>
      <c r="AP223" s="1164"/>
      <c r="AQ223" s="1164"/>
      <c r="AR223" s="1201"/>
      <c r="AS223" s="1342"/>
      <c r="BJ223" s="1337"/>
      <c r="BK223" s="1338"/>
      <c r="BL223" s="1338"/>
      <c r="BM223" s="1338"/>
      <c r="BN223" s="1338"/>
      <c r="BO223" s="1339"/>
    </row>
    <row r="224" spans="1:67" ht="15" customHeight="1">
      <c r="A224" s="1291"/>
      <c r="B224" s="1165"/>
      <c r="C224" s="1166"/>
      <c r="D224" s="1166"/>
      <c r="E224" s="1166"/>
      <c r="F224" s="1166"/>
      <c r="G224" s="1292"/>
      <c r="H224" s="1270"/>
      <c r="I224" s="1207"/>
      <c r="J224" s="1207"/>
      <c r="K224" s="1207"/>
      <c r="N224" s="1291"/>
      <c r="O224" s="1202"/>
      <c r="P224" s="1203"/>
      <c r="Q224" s="1203"/>
      <c r="R224" s="1203"/>
      <c r="S224" s="1203"/>
      <c r="T224" s="1204"/>
      <c r="U224" s="1342"/>
      <c r="V224" s="1291"/>
      <c r="W224" s="1202"/>
      <c r="X224" s="1203"/>
      <c r="Y224" s="1203"/>
      <c r="Z224" s="1203"/>
      <c r="AA224" s="1203"/>
      <c r="AB224" s="1204"/>
      <c r="AC224" s="1342"/>
      <c r="AD224" s="1258"/>
      <c r="AE224" s="1202"/>
      <c r="AF224" s="1203"/>
      <c r="AG224" s="1203"/>
      <c r="AH224" s="1203"/>
      <c r="AI224" s="1203"/>
      <c r="AJ224" s="1204"/>
      <c r="AK224" s="1342"/>
      <c r="AL224" s="1197"/>
      <c r="AM224" s="1202"/>
      <c r="AN224" s="1203"/>
      <c r="AO224" s="1203"/>
      <c r="AP224" s="1203"/>
      <c r="AQ224" s="1203"/>
      <c r="AR224" s="1204"/>
      <c r="AS224" s="1342"/>
      <c r="BJ224" s="1337"/>
      <c r="BK224" s="1338"/>
      <c r="BL224" s="1338"/>
      <c r="BM224" s="1338"/>
      <c r="BN224" s="1338"/>
      <c r="BO224" s="1339"/>
    </row>
    <row r="225" spans="1:67" ht="15" customHeight="1">
      <c r="A225" s="252"/>
      <c r="B225" s="243"/>
      <c r="C225" s="242"/>
      <c r="D225" s="242"/>
      <c r="F225" s="278">
        <v>1.1000000000000001</v>
      </c>
      <c r="G225" s="311">
        <f>COUNTIF($A$198:$A$224,F225)</f>
        <v>4</v>
      </c>
      <c r="H225" s="240" t="str">
        <f>IF($AZ$5=1,SUMIF($A$198:$A$224,$F225,$H$198:$H$224),"")</f>
        <v/>
      </c>
      <c r="I225" s="240" t="str">
        <f>IF($BD$5=1,SUMIF($A$198:$A$224,$F225,$I$198:$I$224),"")</f>
        <v/>
      </c>
      <c r="J225" s="240" t="str">
        <f>IF($BH$5=1,SUMIF($A$198:$A$224,$F225,$J$198:$J$224),"")</f>
        <v/>
      </c>
      <c r="K225" s="240" t="str">
        <f>IF($BL$5=1,SUMIF($A$198:$A$224,$F225,$K$198:$K$224),"")</f>
        <v/>
      </c>
      <c r="N225" s="1258">
        <v>4.4000000000000004</v>
      </c>
      <c r="O225" s="1198" t="s">
        <v>395</v>
      </c>
      <c r="P225" s="1162"/>
      <c r="Q225" s="1162"/>
      <c r="R225" s="1162"/>
      <c r="S225" s="1162"/>
      <c r="T225" s="1199"/>
      <c r="U225" s="1226" t="str">
        <f t="shared" ref="U225" si="412">IF(ISBLANK(AZ$5),"",1)</f>
        <v/>
      </c>
      <c r="V225" s="1258">
        <v>4.4000000000000004</v>
      </c>
      <c r="W225" s="1198" t="s">
        <v>395</v>
      </c>
      <c r="X225" s="1162"/>
      <c r="Y225" s="1162"/>
      <c r="Z225" s="1162"/>
      <c r="AA225" s="1162"/>
      <c r="AB225" s="1199"/>
      <c r="AC225" s="1226" t="str">
        <f t="shared" ref="AC225" si="413">IF(ISBLANK(BD$5),"",1)</f>
        <v/>
      </c>
      <c r="AD225" s="1304">
        <v>4.4000000000000004</v>
      </c>
      <c r="AE225" s="1198" t="s">
        <v>878</v>
      </c>
      <c r="AF225" s="1162"/>
      <c r="AG225" s="1162"/>
      <c r="AH225" s="1162"/>
      <c r="AI225" s="1162"/>
      <c r="AJ225" s="1199"/>
      <c r="AK225" s="1226" t="str">
        <f t="shared" ref="AK225" si="414">IF(ISBLANK(BH$5),"",1)</f>
        <v/>
      </c>
      <c r="AL225" s="1196">
        <v>4.4000000000000004</v>
      </c>
      <c r="AM225" s="1198" t="s">
        <v>422</v>
      </c>
      <c r="AN225" s="1162"/>
      <c r="AO225" s="1162"/>
      <c r="AP225" s="1162"/>
      <c r="AQ225" s="1162"/>
      <c r="AR225" s="1199"/>
      <c r="AS225" s="1226" t="str">
        <f t="shared" ref="AS225" si="415">IF(ISBLANK(BL$5),"",1)</f>
        <v/>
      </c>
      <c r="BJ225" s="1337"/>
      <c r="BK225" s="1338"/>
      <c r="BL225" s="1338"/>
      <c r="BM225" s="1338"/>
      <c r="BN225" s="1338"/>
      <c r="BO225" s="1339"/>
    </row>
    <row r="226" spans="1:67" ht="15" customHeight="1">
      <c r="A226" s="252"/>
      <c r="B226" s="243"/>
      <c r="C226" s="242"/>
      <c r="D226" s="242"/>
      <c r="F226" s="278">
        <v>1.5</v>
      </c>
      <c r="G226" s="311">
        <f t="shared" ref="G226:G228" si="416">COUNTIF($A$198:$A$224,F226)</f>
        <v>1</v>
      </c>
      <c r="H226" s="240" t="str">
        <f t="shared" ref="H226:H228" si="417">IF($AZ$5=1,SUMIF($A$198:$A$224,$F226,$H$198:$H$224),"")</f>
        <v/>
      </c>
      <c r="I226" s="240" t="str">
        <f t="shared" ref="I226:I228" si="418">IF($BD$5=1,SUMIF($A$198:$A$224,$F226,$I$198:$I$224),"")</f>
        <v/>
      </c>
      <c r="J226" s="240" t="str">
        <f t="shared" ref="J226:J228" si="419">IF($BH$5=1,SUMIF($A$198:$A$224,$F226,$J$198:$J$224),"")</f>
        <v/>
      </c>
      <c r="K226" s="240" t="str">
        <f t="shared" ref="K226:K228" si="420">IF($BL$5=1,SUMIF($A$198:$A$224,$F226,$K$198:$K$224),"")</f>
        <v/>
      </c>
      <c r="N226" s="1258"/>
      <c r="O226" s="1200"/>
      <c r="P226" s="1164"/>
      <c r="Q226" s="1164"/>
      <c r="R226" s="1164"/>
      <c r="S226" s="1164"/>
      <c r="T226" s="1201"/>
      <c r="U226" s="1342"/>
      <c r="V226" s="1258"/>
      <c r="W226" s="1200"/>
      <c r="X226" s="1164"/>
      <c r="Y226" s="1164"/>
      <c r="Z226" s="1164"/>
      <c r="AA226" s="1164"/>
      <c r="AB226" s="1201"/>
      <c r="AC226" s="1342"/>
      <c r="AD226" s="1290"/>
      <c r="AE226" s="1200"/>
      <c r="AF226" s="1164"/>
      <c r="AG226" s="1164"/>
      <c r="AH226" s="1164"/>
      <c r="AI226" s="1164"/>
      <c r="AJ226" s="1201"/>
      <c r="AK226" s="1342"/>
      <c r="AL226" s="1197"/>
      <c r="AM226" s="1200"/>
      <c r="AN226" s="1164"/>
      <c r="AO226" s="1164"/>
      <c r="AP226" s="1164"/>
      <c r="AQ226" s="1164"/>
      <c r="AR226" s="1201"/>
      <c r="AS226" s="1342"/>
      <c r="BJ226" s="1222"/>
      <c r="BK226" s="1223"/>
      <c r="BL226" s="1223"/>
      <c r="BM226" s="1223"/>
      <c r="BN226" s="1223"/>
      <c r="BO226" s="1224"/>
    </row>
    <row r="227" spans="1:67" ht="15" customHeight="1">
      <c r="A227" s="249"/>
      <c r="B227" s="249"/>
      <c r="C227" s="249"/>
      <c r="D227" s="249"/>
      <c r="F227" s="277">
        <v>2.1</v>
      </c>
      <c r="G227" s="311">
        <f t="shared" si="416"/>
        <v>2</v>
      </c>
      <c r="H227" s="240" t="str">
        <f t="shared" si="417"/>
        <v/>
      </c>
      <c r="I227" s="240" t="str">
        <f t="shared" si="418"/>
        <v/>
      </c>
      <c r="J227" s="240" t="str">
        <f t="shared" si="419"/>
        <v/>
      </c>
      <c r="K227" s="240" t="str">
        <f t="shared" si="420"/>
        <v/>
      </c>
      <c r="N227" s="1258"/>
      <c r="O227" s="1202"/>
      <c r="P227" s="1203"/>
      <c r="Q227" s="1203"/>
      <c r="R227" s="1203"/>
      <c r="S227" s="1203"/>
      <c r="T227" s="1204"/>
      <c r="U227" s="1342"/>
      <c r="V227" s="1258"/>
      <c r="W227" s="1202"/>
      <c r="X227" s="1203"/>
      <c r="Y227" s="1203"/>
      <c r="Z227" s="1203"/>
      <c r="AA227" s="1203"/>
      <c r="AB227" s="1204"/>
      <c r="AC227" s="1342"/>
      <c r="AD227" s="1291"/>
      <c r="AE227" s="1202"/>
      <c r="AF227" s="1203"/>
      <c r="AG227" s="1203"/>
      <c r="AH227" s="1203"/>
      <c r="AI227" s="1203"/>
      <c r="AJ227" s="1204"/>
      <c r="AK227" s="1342"/>
      <c r="AL227" s="1197"/>
      <c r="AM227" s="1202"/>
      <c r="AN227" s="1203"/>
      <c r="AO227" s="1203"/>
      <c r="AP227" s="1203"/>
      <c r="AQ227" s="1203"/>
      <c r="AR227" s="1204"/>
      <c r="AS227" s="1342"/>
    </row>
    <row r="228" spans="1:67" ht="15" customHeight="1">
      <c r="F228" s="277">
        <v>2.4</v>
      </c>
      <c r="G228" s="311">
        <f t="shared" si="416"/>
        <v>2</v>
      </c>
      <c r="H228" s="240" t="str">
        <f t="shared" si="417"/>
        <v/>
      </c>
      <c r="I228" s="240" t="str">
        <f t="shared" si="418"/>
        <v/>
      </c>
      <c r="J228" s="240" t="str">
        <f t="shared" si="419"/>
        <v/>
      </c>
      <c r="K228" s="240" t="str">
        <f t="shared" si="420"/>
        <v/>
      </c>
      <c r="N228" s="1304">
        <v>4.4000000000000004</v>
      </c>
      <c r="O228" s="1198" t="s">
        <v>878</v>
      </c>
      <c r="P228" s="1162"/>
      <c r="Q228" s="1162"/>
      <c r="R228" s="1162"/>
      <c r="S228" s="1162"/>
      <c r="T228" s="1199"/>
      <c r="U228" s="1226" t="str">
        <f t="shared" ref="U228" si="421">IF(ISBLANK(AZ$5),"",1)</f>
        <v/>
      </c>
      <c r="V228" s="1304">
        <v>4.4000000000000004</v>
      </c>
      <c r="W228" s="1198" t="s">
        <v>878</v>
      </c>
      <c r="X228" s="1162"/>
      <c r="Y228" s="1162"/>
      <c r="Z228" s="1162"/>
      <c r="AA228" s="1162"/>
      <c r="AB228" s="1199"/>
      <c r="AC228" s="1226" t="str">
        <f t="shared" ref="AC228" si="422">IF(ISBLANK(BD$5),"",1)</f>
        <v/>
      </c>
      <c r="AD228" s="1307">
        <v>1.5</v>
      </c>
      <c r="AE228" s="1198" t="s">
        <v>373</v>
      </c>
      <c r="AF228" s="1162"/>
      <c r="AG228" s="1162"/>
      <c r="AH228" s="1162"/>
      <c r="AI228" s="1162"/>
      <c r="AJ228" s="1199"/>
      <c r="AK228" s="1226" t="str">
        <f t="shared" ref="AK228" si="423">IF(ISBLANK(BH$5),"",1)</f>
        <v/>
      </c>
      <c r="AL228" s="1196">
        <v>4.4000000000000004</v>
      </c>
      <c r="AM228" s="1198" t="s">
        <v>420</v>
      </c>
      <c r="AN228" s="1162"/>
      <c r="AO228" s="1162"/>
      <c r="AP228" s="1162"/>
      <c r="AQ228" s="1162"/>
      <c r="AR228" s="1199"/>
      <c r="AS228" s="1226" t="str">
        <f t="shared" ref="AS228" si="424">IF(ISBLANK(BL$5),"",1)</f>
        <v/>
      </c>
    </row>
    <row r="229" spans="1:67" ht="15" customHeight="1">
      <c r="N229" s="1290"/>
      <c r="O229" s="1200"/>
      <c r="P229" s="1164"/>
      <c r="Q229" s="1164"/>
      <c r="R229" s="1164"/>
      <c r="S229" s="1164"/>
      <c r="T229" s="1201"/>
      <c r="U229" s="1342"/>
      <c r="V229" s="1290"/>
      <c r="W229" s="1200"/>
      <c r="X229" s="1164"/>
      <c r="Y229" s="1164"/>
      <c r="Z229" s="1164"/>
      <c r="AA229" s="1164"/>
      <c r="AB229" s="1201"/>
      <c r="AC229" s="1342"/>
      <c r="AD229" s="1308"/>
      <c r="AE229" s="1200"/>
      <c r="AF229" s="1164"/>
      <c r="AG229" s="1164"/>
      <c r="AH229" s="1164"/>
      <c r="AI229" s="1164"/>
      <c r="AJ229" s="1201"/>
      <c r="AK229" s="1342"/>
      <c r="AL229" s="1197"/>
      <c r="AM229" s="1200"/>
      <c r="AN229" s="1164"/>
      <c r="AO229" s="1164"/>
      <c r="AP229" s="1164"/>
      <c r="AQ229" s="1164"/>
      <c r="AR229" s="1201"/>
      <c r="AS229" s="1342"/>
    </row>
    <row r="230" spans="1:67" ht="15" customHeight="1">
      <c r="A230" s="1209"/>
      <c r="B230" s="1210" t="s">
        <v>609</v>
      </c>
      <c r="C230" s="1211"/>
      <c r="D230" s="1211"/>
      <c r="E230" s="1211"/>
      <c r="F230" s="1211"/>
      <c r="G230" s="1211"/>
      <c r="H230" s="1174">
        <v>13</v>
      </c>
      <c r="I230" s="1174">
        <v>14</v>
      </c>
      <c r="J230" s="1174">
        <v>15</v>
      </c>
      <c r="K230" s="1174">
        <v>16</v>
      </c>
      <c r="N230" s="1291"/>
      <c r="O230" s="1202"/>
      <c r="P230" s="1203"/>
      <c r="Q230" s="1203"/>
      <c r="R230" s="1203"/>
      <c r="S230" s="1203"/>
      <c r="T230" s="1204"/>
      <c r="U230" s="1342"/>
      <c r="V230" s="1291"/>
      <c r="W230" s="1202"/>
      <c r="X230" s="1203"/>
      <c r="Y230" s="1203"/>
      <c r="Z230" s="1203"/>
      <c r="AA230" s="1203"/>
      <c r="AB230" s="1204"/>
      <c r="AC230" s="1342"/>
      <c r="AD230" s="1309"/>
      <c r="AE230" s="1202"/>
      <c r="AF230" s="1203"/>
      <c r="AG230" s="1203"/>
      <c r="AH230" s="1203"/>
      <c r="AI230" s="1203"/>
      <c r="AJ230" s="1204"/>
      <c r="AK230" s="1342"/>
      <c r="AL230" s="1197"/>
      <c r="AM230" s="1202"/>
      <c r="AN230" s="1203"/>
      <c r="AO230" s="1203"/>
      <c r="AP230" s="1203"/>
      <c r="AQ230" s="1203"/>
      <c r="AR230" s="1204"/>
      <c r="AS230" s="1342"/>
    </row>
    <row r="231" spans="1:67" ht="15" customHeight="1">
      <c r="A231" s="1209"/>
      <c r="B231" s="1212"/>
      <c r="C231" s="1213"/>
      <c r="D231" s="1213"/>
      <c r="E231" s="1213"/>
      <c r="F231" s="1213"/>
      <c r="G231" s="1213"/>
      <c r="H231" s="1174"/>
      <c r="I231" s="1174"/>
      <c r="J231" s="1174"/>
      <c r="K231" s="1174"/>
      <c r="N231" s="1307">
        <v>1.5</v>
      </c>
      <c r="O231" s="1198" t="s">
        <v>373</v>
      </c>
      <c r="P231" s="1162"/>
      <c r="Q231" s="1162"/>
      <c r="R231" s="1162"/>
      <c r="S231" s="1162"/>
      <c r="T231" s="1199"/>
      <c r="U231" s="1226" t="str">
        <f t="shared" ref="U231" si="425">IF(ISBLANK(AZ$5),"",1)</f>
        <v/>
      </c>
      <c r="V231" s="1307">
        <v>1.5</v>
      </c>
      <c r="W231" s="1198" t="s">
        <v>373</v>
      </c>
      <c r="X231" s="1162"/>
      <c r="Y231" s="1162"/>
      <c r="Z231" s="1162"/>
      <c r="AA231" s="1162"/>
      <c r="AB231" s="1199"/>
      <c r="AC231" s="1226" t="str">
        <f t="shared" ref="AC231" si="426">IF(ISBLANK(BD$5),"",1)</f>
        <v/>
      </c>
      <c r="AD231" s="1258">
        <v>4.4000000000000004</v>
      </c>
      <c r="AE231" s="1198" t="s">
        <v>397</v>
      </c>
      <c r="AF231" s="1162"/>
      <c r="AG231" s="1162"/>
      <c r="AH231" s="1162"/>
      <c r="AI231" s="1162"/>
      <c r="AJ231" s="1199"/>
      <c r="AK231" s="1226" t="str">
        <f t="shared" ref="AK231" si="427">IF(ISBLANK(BH$5),"",1)</f>
        <v/>
      </c>
      <c r="AL231" s="1304">
        <v>4.4000000000000004</v>
      </c>
      <c r="AM231" s="1198" t="s">
        <v>359</v>
      </c>
      <c r="AN231" s="1162"/>
      <c r="AO231" s="1162"/>
      <c r="AP231" s="1162"/>
      <c r="AQ231" s="1162"/>
      <c r="AR231" s="1199"/>
      <c r="AS231" s="1226" t="str">
        <f t="shared" ref="AS231" si="428">IF(ISBLANK(BL$5),"",1)</f>
        <v/>
      </c>
    </row>
    <row r="232" spans="1:67" ht="15" customHeight="1">
      <c r="A232" s="1336">
        <v>3.1</v>
      </c>
      <c r="B232" s="1198" t="s">
        <v>366</v>
      </c>
      <c r="C232" s="1162"/>
      <c r="D232" s="1162"/>
      <c r="E232" s="1162"/>
      <c r="F232" s="1162"/>
      <c r="G232" s="1265"/>
      <c r="H232" s="1268" t="str">
        <f t="shared" ref="H232" si="429">IF(ISBLANK(AZ$5),"",1)</f>
        <v/>
      </c>
      <c r="I232" s="1205" t="str">
        <f t="shared" ref="I232" si="430">IF(ISBLANK(BD$5),"",1)</f>
        <v/>
      </c>
      <c r="J232" s="1205" t="str">
        <f t="shared" ref="J232" si="431">IF(ISBLANK(BH$5),"",1)</f>
        <v/>
      </c>
      <c r="K232" s="1205" t="str">
        <f t="shared" ref="K232" si="432">IF(ISBLANK(BL$5),"",1)</f>
        <v/>
      </c>
      <c r="N232" s="1308"/>
      <c r="O232" s="1200"/>
      <c r="P232" s="1164"/>
      <c r="Q232" s="1164"/>
      <c r="R232" s="1164"/>
      <c r="S232" s="1164"/>
      <c r="T232" s="1201"/>
      <c r="U232" s="1342"/>
      <c r="V232" s="1308"/>
      <c r="W232" s="1200"/>
      <c r="X232" s="1164"/>
      <c r="Y232" s="1164"/>
      <c r="Z232" s="1164"/>
      <c r="AA232" s="1164"/>
      <c r="AB232" s="1201"/>
      <c r="AC232" s="1342"/>
      <c r="AD232" s="1258"/>
      <c r="AE232" s="1200"/>
      <c r="AF232" s="1164"/>
      <c r="AG232" s="1164"/>
      <c r="AH232" s="1164"/>
      <c r="AI232" s="1164"/>
      <c r="AJ232" s="1201"/>
      <c r="AK232" s="1342"/>
      <c r="AL232" s="1290"/>
      <c r="AM232" s="1200"/>
      <c r="AN232" s="1164"/>
      <c r="AO232" s="1164"/>
      <c r="AP232" s="1164"/>
      <c r="AQ232" s="1164"/>
      <c r="AR232" s="1201"/>
      <c r="AS232" s="1342"/>
    </row>
    <row r="233" spans="1:67" ht="15" customHeight="1">
      <c r="A233" s="1159"/>
      <c r="B233" s="1200"/>
      <c r="C233" s="1164"/>
      <c r="D233" s="1164"/>
      <c r="E233" s="1164"/>
      <c r="F233" s="1164"/>
      <c r="G233" s="1266"/>
      <c r="H233" s="1269"/>
      <c r="I233" s="1206"/>
      <c r="J233" s="1206"/>
      <c r="K233" s="1206"/>
      <c r="N233" s="1309"/>
      <c r="O233" s="1202"/>
      <c r="P233" s="1203"/>
      <c r="Q233" s="1203"/>
      <c r="R233" s="1203"/>
      <c r="S233" s="1203"/>
      <c r="T233" s="1204"/>
      <c r="U233" s="1342"/>
      <c r="V233" s="1309"/>
      <c r="W233" s="1202"/>
      <c r="X233" s="1203"/>
      <c r="Y233" s="1203"/>
      <c r="Z233" s="1203"/>
      <c r="AA233" s="1203"/>
      <c r="AB233" s="1204"/>
      <c r="AC233" s="1342"/>
      <c r="AD233" s="1258"/>
      <c r="AE233" s="1202"/>
      <c r="AF233" s="1203"/>
      <c r="AG233" s="1203"/>
      <c r="AH233" s="1203"/>
      <c r="AI233" s="1203"/>
      <c r="AJ233" s="1204"/>
      <c r="AK233" s="1342"/>
      <c r="AL233" s="1291"/>
      <c r="AM233" s="1202"/>
      <c r="AN233" s="1203"/>
      <c r="AO233" s="1203"/>
      <c r="AP233" s="1203"/>
      <c r="AQ233" s="1203"/>
      <c r="AR233" s="1204"/>
      <c r="AS233" s="1342"/>
    </row>
    <row r="234" spans="1:67" ht="15" customHeight="1">
      <c r="A234" s="1160"/>
      <c r="B234" s="1200"/>
      <c r="C234" s="1164"/>
      <c r="D234" s="1164"/>
      <c r="E234" s="1164"/>
      <c r="F234" s="1164"/>
      <c r="G234" s="1266"/>
      <c r="H234" s="1270"/>
      <c r="I234" s="1207"/>
      <c r="J234" s="1207"/>
      <c r="K234" s="1207"/>
      <c r="N234" s="1258">
        <v>4.4000000000000004</v>
      </c>
      <c r="O234" s="1198" t="s">
        <v>397</v>
      </c>
      <c r="P234" s="1162"/>
      <c r="Q234" s="1162"/>
      <c r="R234" s="1162"/>
      <c r="S234" s="1162"/>
      <c r="T234" s="1199"/>
      <c r="U234" s="1226" t="str">
        <f t="shared" ref="U234" si="433">IF(ISBLANK(AZ$5),"",1)</f>
        <v/>
      </c>
      <c r="V234" s="1258">
        <v>4.4000000000000004</v>
      </c>
      <c r="W234" s="1198" t="s">
        <v>397</v>
      </c>
      <c r="X234" s="1162"/>
      <c r="Y234" s="1162"/>
      <c r="Z234" s="1162"/>
      <c r="AA234" s="1162"/>
      <c r="AB234" s="1199"/>
      <c r="AC234" s="1226" t="str">
        <f t="shared" ref="AC234" si="434">IF(ISBLANK(BD$5),"",1)</f>
        <v/>
      </c>
      <c r="AF234" s="52"/>
      <c r="AG234" s="247"/>
      <c r="AI234" s="273">
        <v>1.5</v>
      </c>
      <c r="AJ234" s="240">
        <f>COUNTIF($AD$198:$AD$233,AI234)</f>
        <v>1</v>
      </c>
      <c r="AK234" s="240" t="str">
        <f>IF($BH$5=1,SUMIF($AD$198:$AD$233,AI234,$AK$198:$AK$233),"")</f>
        <v/>
      </c>
      <c r="AL234" s="1196">
        <v>4.4000000000000004</v>
      </c>
      <c r="AM234" s="1198" t="s">
        <v>395</v>
      </c>
      <c r="AN234" s="1162"/>
      <c r="AO234" s="1162"/>
      <c r="AP234" s="1162"/>
      <c r="AQ234" s="1162"/>
      <c r="AR234" s="1199"/>
      <c r="AS234" s="1226" t="str">
        <f t="shared" ref="AS234" si="435">IF(ISBLANK(BL$5),"",1)</f>
        <v/>
      </c>
    </row>
    <row r="235" spans="1:67" ht="15" customHeight="1">
      <c r="A235" s="1336">
        <v>1.4</v>
      </c>
      <c r="B235" s="1198" t="s">
        <v>943</v>
      </c>
      <c r="C235" s="1162"/>
      <c r="D235" s="1162"/>
      <c r="E235" s="1162"/>
      <c r="F235" s="1162"/>
      <c r="G235" s="1265"/>
      <c r="H235" s="1268" t="str">
        <f t="shared" ref="H235" si="436">IF(ISBLANK(AZ$5),"",1)</f>
        <v/>
      </c>
      <c r="I235" s="1205" t="str">
        <f t="shared" ref="I235" si="437">IF(ISBLANK(BD$5),"",1)</f>
        <v/>
      </c>
      <c r="J235" s="1205" t="str">
        <f t="shared" ref="J235" si="438">IF(ISBLANK(BH$5),"",1)</f>
        <v/>
      </c>
      <c r="K235" s="1205" t="str">
        <f t="shared" ref="K235" si="439">IF(ISBLANK(BL$5),"",1)</f>
        <v/>
      </c>
      <c r="N235" s="1258"/>
      <c r="O235" s="1200"/>
      <c r="P235" s="1164"/>
      <c r="Q235" s="1164"/>
      <c r="R235" s="1164"/>
      <c r="S235" s="1164"/>
      <c r="T235" s="1201"/>
      <c r="U235" s="1342"/>
      <c r="V235" s="1258"/>
      <c r="W235" s="1200"/>
      <c r="X235" s="1164"/>
      <c r="Y235" s="1164"/>
      <c r="Z235" s="1164"/>
      <c r="AA235" s="1164"/>
      <c r="AB235" s="1201"/>
      <c r="AC235" s="1342"/>
      <c r="AF235" s="52"/>
      <c r="AG235" s="248"/>
      <c r="AI235" s="274">
        <v>4.3</v>
      </c>
      <c r="AJ235" s="240">
        <f t="shared" ref="AJ235:AJ236" si="440">COUNTIF($AD$198:$AD$233,AI235)</f>
        <v>4</v>
      </c>
      <c r="AK235" s="240" t="str">
        <f>IF($BH$5=1,SUMIF($AD$198:$AD$233,AI235,$AK$198:$AK$233),"")</f>
        <v/>
      </c>
      <c r="AL235" s="1197"/>
      <c r="AM235" s="1200"/>
      <c r="AN235" s="1164"/>
      <c r="AO235" s="1164"/>
      <c r="AP235" s="1164"/>
      <c r="AQ235" s="1164"/>
      <c r="AR235" s="1201"/>
      <c r="AS235" s="1342"/>
    </row>
    <row r="236" spans="1:67" ht="15" customHeight="1">
      <c r="A236" s="1159"/>
      <c r="B236" s="1200"/>
      <c r="C236" s="1164"/>
      <c r="D236" s="1164"/>
      <c r="E236" s="1164"/>
      <c r="F236" s="1164"/>
      <c r="G236" s="1266"/>
      <c r="H236" s="1269"/>
      <c r="I236" s="1206"/>
      <c r="J236" s="1206"/>
      <c r="K236" s="1206"/>
      <c r="N236" s="1258"/>
      <c r="O236" s="1202"/>
      <c r="P236" s="1203"/>
      <c r="Q236" s="1203"/>
      <c r="R236" s="1203"/>
      <c r="S236" s="1203"/>
      <c r="T236" s="1204"/>
      <c r="U236" s="1342"/>
      <c r="V236" s="1258"/>
      <c r="W236" s="1202"/>
      <c r="X236" s="1203"/>
      <c r="Y236" s="1203"/>
      <c r="Z236" s="1203"/>
      <c r="AA236" s="1203"/>
      <c r="AB236" s="1204"/>
      <c r="AC236" s="1342"/>
      <c r="AF236" s="52"/>
      <c r="AG236" s="248"/>
      <c r="AI236" s="274">
        <v>4.4000000000000004</v>
      </c>
      <c r="AJ236" s="240">
        <f t="shared" si="440"/>
        <v>7</v>
      </c>
      <c r="AK236" s="240" t="str">
        <f>IF($BH$5=1,SUMIF($AD$198:$AD$233,AI236,$AK$198:$AK$233),"")</f>
        <v/>
      </c>
      <c r="AL236" s="1197"/>
      <c r="AM236" s="1202"/>
      <c r="AN236" s="1203"/>
      <c r="AO236" s="1203"/>
      <c r="AP236" s="1203"/>
      <c r="AQ236" s="1203"/>
      <c r="AR236" s="1204"/>
      <c r="AS236" s="1342"/>
    </row>
    <row r="237" spans="1:67" ht="15" customHeight="1">
      <c r="A237" s="1160"/>
      <c r="B237" s="1200"/>
      <c r="C237" s="1164"/>
      <c r="D237" s="1164"/>
      <c r="E237" s="1164"/>
      <c r="F237" s="1164"/>
      <c r="G237" s="1266"/>
      <c r="H237" s="1270"/>
      <c r="I237" s="1207"/>
      <c r="J237" s="1207"/>
      <c r="K237" s="1207"/>
      <c r="O237" s="52"/>
      <c r="Q237" s="247"/>
      <c r="S237" s="273">
        <v>1.5</v>
      </c>
      <c r="T237" s="240">
        <f>COUNTIF($N$198:$N$236,S237)</f>
        <v>1</v>
      </c>
      <c r="U237" s="240" t="str">
        <f>IF($AZ$5=1,SUMIF($N$198:$N$236,S237,$U$198:$U$236),"")</f>
        <v/>
      </c>
      <c r="W237" s="52"/>
      <c r="Y237" s="247"/>
      <c r="AA237" s="273">
        <v>1.5</v>
      </c>
      <c r="AB237" s="240">
        <f>COUNTIF($V$198:$V$236,AA237)</f>
        <v>1</v>
      </c>
      <c r="AC237" s="240" t="str">
        <f>IF($BD$5=1,SUMIF($V$198:$V$236,AA237,$AC$198:$AC$236),"")</f>
        <v/>
      </c>
      <c r="AF237" s="52"/>
      <c r="AL237" s="1307">
        <v>4.4000000000000004</v>
      </c>
      <c r="AM237" s="1310" t="s">
        <v>363</v>
      </c>
      <c r="AN237" s="1311"/>
      <c r="AO237" s="1311"/>
      <c r="AP237" s="1311"/>
      <c r="AQ237" s="1311"/>
      <c r="AR237" s="1316"/>
      <c r="AS237" s="1226" t="str">
        <f t="shared" ref="AS237" si="441">IF(ISBLANK(BL$5),"",1)</f>
        <v/>
      </c>
    </row>
    <row r="238" spans="1:67" ht="15" customHeight="1">
      <c r="A238" s="1168" t="s">
        <v>637</v>
      </c>
      <c r="B238" s="1168"/>
      <c r="C238" s="1168"/>
      <c r="D238" s="1168"/>
      <c r="E238" s="1169"/>
      <c r="F238" s="617">
        <v>3.1</v>
      </c>
      <c r="G238" s="620">
        <f>COUNTIF($A$232:$A$237,F238)</f>
        <v>1</v>
      </c>
      <c r="H238" s="240" t="str">
        <f>IF($AZ$5=1,SUMIF($A$232:$A$237,$F238,$H$232:$H$237),"")</f>
        <v/>
      </c>
      <c r="I238" s="240" t="str">
        <f>IF($BD$5=1,SUMIF($A$232:$A$237,$F238,$I$232:$I$237),"")</f>
        <v/>
      </c>
      <c r="J238" s="240" t="str">
        <f>IF($BH$5=1,SUMIF($A$232:$A$237,$F238,$J$232:$J$237),"")</f>
        <v/>
      </c>
      <c r="K238" s="240" t="str">
        <f>IF($BL$5=1,SUMIF($A$232:$A$237,$F238,$K$232:$K$237),"")</f>
        <v/>
      </c>
      <c r="O238" s="52"/>
      <c r="Q238" s="242"/>
      <c r="S238" s="274">
        <v>4.3</v>
      </c>
      <c r="T238" s="240">
        <f t="shared" ref="T238:T239" si="442">COUNTIF($N$198:$N$236,S238)</f>
        <v>5</v>
      </c>
      <c r="U238" s="240" t="str">
        <f>IF($AZ$5=1,SUMIF($N$198:$N$236,S238,$U$198:$U$236),"")</f>
        <v/>
      </c>
      <c r="W238" s="52"/>
      <c r="AA238" s="274">
        <v>4.3</v>
      </c>
      <c r="AB238" s="240">
        <f t="shared" ref="AB238:AB239" si="443">COUNTIF($V$198:$V$236,AA238)</f>
        <v>6</v>
      </c>
      <c r="AC238" s="240" t="str">
        <f>IF($BD$5=1,SUMIF($V$198:$V$236,AA238,$AC$198:$AC$236),"")</f>
        <v/>
      </c>
      <c r="AF238" s="52"/>
      <c r="AL238" s="1308"/>
      <c r="AM238" s="1295"/>
      <c r="AN238" s="1296"/>
      <c r="AO238" s="1296"/>
      <c r="AP238" s="1296"/>
      <c r="AQ238" s="1296"/>
      <c r="AR238" s="1318"/>
      <c r="AS238" s="1342"/>
    </row>
    <row r="239" spans="1:67" ht="15" customHeight="1">
      <c r="F239" s="617">
        <v>1.4</v>
      </c>
      <c r="G239" s="620">
        <f>COUNTIF($A$232:$A$237,F239)</f>
        <v>1</v>
      </c>
      <c r="H239" s="240" t="str">
        <f>IF($AZ$5=1,SUMIF($A$232:$A$237,$F239,$H$232:$H$237),"")</f>
        <v/>
      </c>
      <c r="I239" s="240" t="str">
        <f>IF($BD$5=1,SUMIF($A$232:$A$237,$F239,$I$232:$I$237),"")</f>
        <v/>
      </c>
      <c r="J239" s="240" t="str">
        <f>IF($BH$5=1,SUMIF($A$232:$A$237,$F239,$J$232:$J$237),"")</f>
        <v/>
      </c>
      <c r="K239" s="240" t="str">
        <f>IF($BL$5=1,SUMIF($A$232:$A$237,$F239,$K$232:$K$237),"")</f>
        <v/>
      </c>
      <c r="O239" s="52"/>
      <c r="Q239" s="242"/>
      <c r="S239" s="274">
        <v>4.4000000000000004</v>
      </c>
      <c r="T239" s="240">
        <f t="shared" si="442"/>
        <v>7</v>
      </c>
      <c r="U239" s="240" t="str">
        <f>IF($AZ$5=1,SUMIF($N$198:$N$236,S239,$U$198:$U$236),"")</f>
        <v/>
      </c>
      <c r="W239" s="52"/>
      <c r="AA239" s="274">
        <v>4.4000000000000004</v>
      </c>
      <c r="AB239" s="240">
        <f t="shared" si="443"/>
        <v>6</v>
      </c>
      <c r="AC239" s="240" t="str">
        <f>IF($BD$5=1,SUMIF($V$198:$V$236,AA239,$AC$198:$AC$236),"")</f>
        <v/>
      </c>
      <c r="AF239" s="52"/>
      <c r="AL239" s="1309"/>
      <c r="AM239" s="1298"/>
      <c r="AN239" s="1299"/>
      <c r="AO239" s="1299"/>
      <c r="AP239" s="1299"/>
      <c r="AQ239" s="1299"/>
      <c r="AR239" s="1335"/>
      <c r="AS239" s="1342"/>
    </row>
    <row r="240" spans="1:67" ht="15" customHeight="1">
      <c r="O240" s="52"/>
      <c r="Q240" s="242"/>
      <c r="W240" s="52"/>
      <c r="AF240" s="52"/>
      <c r="AL240" s="1307">
        <v>1.5</v>
      </c>
      <c r="AM240" s="1198" t="s">
        <v>373</v>
      </c>
      <c r="AN240" s="1162"/>
      <c r="AO240" s="1162"/>
      <c r="AP240" s="1162"/>
      <c r="AQ240" s="1162"/>
      <c r="AR240" s="1199"/>
      <c r="AS240" s="1226" t="str">
        <f t="shared" ref="AS240" si="444">IF(ISBLANK(BL$5),"",1)</f>
        <v/>
      </c>
    </row>
    <row r="241" spans="15:45" ht="15" customHeight="1">
      <c r="O241" s="52"/>
      <c r="Q241" s="242"/>
      <c r="W241" s="52"/>
      <c r="AF241" s="52"/>
      <c r="AL241" s="1308"/>
      <c r="AM241" s="1200"/>
      <c r="AN241" s="1164"/>
      <c r="AO241" s="1164"/>
      <c r="AP241" s="1164"/>
      <c r="AQ241" s="1164"/>
      <c r="AR241" s="1201"/>
      <c r="AS241" s="1342"/>
    </row>
    <row r="242" spans="15:45" ht="15" customHeight="1">
      <c r="O242" s="52"/>
      <c r="Q242" s="242"/>
      <c r="W242" s="52"/>
      <c r="AF242" s="52"/>
      <c r="AL242" s="1309"/>
      <c r="AM242" s="1202"/>
      <c r="AN242" s="1203"/>
      <c r="AO242" s="1203"/>
      <c r="AP242" s="1203"/>
      <c r="AQ242" s="1203"/>
      <c r="AR242" s="1204"/>
      <c r="AS242" s="1342"/>
    </row>
    <row r="243" spans="15:45" ht="15" customHeight="1">
      <c r="O243" s="52"/>
      <c r="W243" s="52"/>
      <c r="AF243" s="52"/>
      <c r="AL243" s="1196">
        <v>4.4000000000000004</v>
      </c>
      <c r="AM243" s="1198" t="s">
        <v>397</v>
      </c>
      <c r="AN243" s="1162"/>
      <c r="AO243" s="1162"/>
      <c r="AP243" s="1162"/>
      <c r="AQ243" s="1162"/>
      <c r="AR243" s="1199"/>
      <c r="AS243" s="1226" t="str">
        <f t="shared" ref="AS243" si="445">IF(ISBLANK(BL$5),"",1)</f>
        <v/>
      </c>
    </row>
    <row r="244" spans="15:45" ht="15" customHeight="1">
      <c r="O244" s="52"/>
      <c r="W244" s="52"/>
      <c r="AF244" s="52"/>
      <c r="AL244" s="1197"/>
      <c r="AM244" s="1200"/>
      <c r="AN244" s="1164"/>
      <c r="AO244" s="1164"/>
      <c r="AP244" s="1164"/>
      <c r="AQ244" s="1164"/>
      <c r="AR244" s="1201"/>
      <c r="AS244" s="1342"/>
    </row>
    <row r="245" spans="15:45" ht="15" customHeight="1">
      <c r="O245" s="52"/>
      <c r="W245" s="52"/>
      <c r="AF245" s="52"/>
      <c r="AL245" s="1197"/>
      <c r="AM245" s="1202"/>
      <c r="AN245" s="1203"/>
      <c r="AO245" s="1203"/>
      <c r="AP245" s="1203"/>
      <c r="AQ245" s="1203"/>
      <c r="AR245" s="1204"/>
      <c r="AS245" s="1342"/>
    </row>
    <row r="246" spans="15:45" ht="15" customHeight="1">
      <c r="O246" s="52"/>
      <c r="W246" s="52"/>
      <c r="AF246" s="52"/>
      <c r="AL246" s="242"/>
      <c r="AO246" s="52"/>
      <c r="AQ246" s="273">
        <v>1.5</v>
      </c>
      <c r="AR246" s="240">
        <f>COUNTIF($AL$198:$AL$245,AQ246)</f>
        <v>1</v>
      </c>
      <c r="AS246" s="240" t="str">
        <f>IF($BL$5=1,SUMIF($AL$198:$AL$245,AQ246,$AS$198:$AS$245),"")</f>
        <v/>
      </c>
    </row>
    <row r="247" spans="15:45" ht="15" customHeight="1">
      <c r="O247" s="52"/>
      <c r="W247" s="52"/>
      <c r="AF247" s="52"/>
      <c r="AL247" s="242"/>
      <c r="AO247" s="52"/>
      <c r="AQ247" s="274">
        <v>4.3</v>
      </c>
      <c r="AR247" s="240">
        <f t="shared" ref="AR247:AR248" si="446">COUNTIF($AL$198:$AL$245,AQ247)</f>
        <v>6</v>
      </c>
      <c r="AS247" s="240" t="str">
        <f>IF($BL$5=1,SUMIF($AL$198:$AL$245,AQ247,$AS$198:$AS$245),"")</f>
        <v/>
      </c>
    </row>
    <row r="248" spans="15:45" ht="15" customHeight="1">
      <c r="O248" s="52"/>
      <c r="W248" s="52"/>
      <c r="AF248" s="52"/>
      <c r="AL248" s="242"/>
      <c r="AO248" s="52"/>
      <c r="AQ248" s="274">
        <v>4.4000000000000004</v>
      </c>
      <c r="AR248" s="240">
        <f t="shared" si="446"/>
        <v>9</v>
      </c>
      <c r="AS248" s="240" t="str">
        <f>IF($BL$5=1,SUMIF($AL$198:$AL$245,AQ248,$AS$198:$AS$245),"")</f>
        <v/>
      </c>
    </row>
  </sheetData>
  <sheetProtection sheet="1" objects="1" scenarios="1"/>
  <customSheetViews>
    <customSheetView guid="{B4419C5D-1877-4ABB-A46F-9E0AFFC75B59}" scale="85" showPageBreaks="1" showGridLines="0" printArea="1" view="pageBreakPreview">
      <pane ySplit="6" topLeftCell="A7" activePane="bottomLeft" state="frozen"/>
      <selection pane="bottomLeft" activeCell="A46" sqref="A46:BM47"/>
      <pageMargins left="0.7" right="0.7" top="0.75" bottom="0.75" header="0.3" footer="0.3"/>
      <pageSetup paperSize="9" scale="45" orientation="portrait" r:id="rId1"/>
    </customSheetView>
  </customSheetViews>
  <mergeCells count="1350">
    <mergeCell ref="A238:E238"/>
    <mergeCell ref="A188:E188"/>
    <mergeCell ref="A219:A221"/>
    <mergeCell ref="B219:G221"/>
    <mergeCell ref="H219:H221"/>
    <mergeCell ref="I219:I221"/>
    <mergeCell ref="J219:J221"/>
    <mergeCell ref="K219:K221"/>
    <mergeCell ref="A222:A224"/>
    <mergeCell ref="B222:G224"/>
    <mergeCell ref="H222:H224"/>
    <mergeCell ref="I222:I224"/>
    <mergeCell ref="J222:J224"/>
    <mergeCell ref="K222:K224"/>
    <mergeCell ref="A230:A231"/>
    <mergeCell ref="B230:G231"/>
    <mergeCell ref="H230:H231"/>
    <mergeCell ref="I230:I231"/>
    <mergeCell ref="J230:J231"/>
    <mergeCell ref="K230:K231"/>
    <mergeCell ref="A210:A212"/>
    <mergeCell ref="B210:G212"/>
    <mergeCell ref="H210:H212"/>
    <mergeCell ref="A201:A203"/>
    <mergeCell ref="B201:G203"/>
    <mergeCell ref="H201:H203"/>
    <mergeCell ref="A207:A209"/>
    <mergeCell ref="B207:G209"/>
    <mergeCell ref="H207:H209"/>
    <mergeCell ref="A204:A206"/>
    <mergeCell ref="B204:G206"/>
    <mergeCell ref="H204:H206"/>
    <mergeCell ref="A232:A234"/>
    <mergeCell ref="B232:G234"/>
    <mergeCell ref="H232:H234"/>
    <mergeCell ref="I232:I234"/>
    <mergeCell ref="J232:J234"/>
    <mergeCell ref="K232:K234"/>
    <mergeCell ref="A235:A237"/>
    <mergeCell ref="B235:G237"/>
    <mergeCell ref="H235:H237"/>
    <mergeCell ref="I235:I237"/>
    <mergeCell ref="J235:J237"/>
    <mergeCell ref="K235:K237"/>
    <mergeCell ref="A193:BL194"/>
    <mergeCell ref="A216:A218"/>
    <mergeCell ref="B216:G218"/>
    <mergeCell ref="H216:H218"/>
    <mergeCell ref="I216:I218"/>
    <mergeCell ref="J216:J218"/>
    <mergeCell ref="K216:K218"/>
    <mergeCell ref="AM216:AR218"/>
    <mergeCell ref="AS216:AS218"/>
    <mergeCell ref="V219:V221"/>
    <mergeCell ref="W219:AB221"/>
    <mergeCell ref="AC219:AC221"/>
    <mergeCell ref="N207:N209"/>
    <mergeCell ref="O207:T209"/>
    <mergeCell ref="U207:U209"/>
    <mergeCell ref="AD219:AD221"/>
    <mergeCell ref="AE219:AJ221"/>
    <mergeCell ref="AK219:AK221"/>
    <mergeCell ref="AL219:AL221"/>
    <mergeCell ref="AM219:AR221"/>
    <mergeCell ref="A151:A153"/>
    <mergeCell ref="B151:G153"/>
    <mergeCell ref="H151:H153"/>
    <mergeCell ref="I151:I153"/>
    <mergeCell ref="J151:J153"/>
    <mergeCell ref="K151:K153"/>
    <mergeCell ref="L151:L153"/>
    <mergeCell ref="A180:A181"/>
    <mergeCell ref="B180:G181"/>
    <mergeCell ref="H180:H181"/>
    <mergeCell ref="I180:I181"/>
    <mergeCell ref="J180:J181"/>
    <mergeCell ref="K180:K181"/>
    <mergeCell ref="L180:L181"/>
    <mergeCell ref="M180:M181"/>
    <mergeCell ref="A182:A184"/>
    <mergeCell ref="B182:G184"/>
    <mergeCell ref="H182:H184"/>
    <mergeCell ref="I182:I184"/>
    <mergeCell ref="J182:J184"/>
    <mergeCell ref="K182:K184"/>
    <mergeCell ref="L182:L184"/>
    <mergeCell ref="M182:M184"/>
    <mergeCell ref="A169:A171"/>
    <mergeCell ref="B169:G171"/>
    <mergeCell ref="H169:H171"/>
    <mergeCell ref="I169:I171"/>
    <mergeCell ref="J169:J171"/>
    <mergeCell ref="K169:K171"/>
    <mergeCell ref="L169:L171"/>
    <mergeCell ref="M169:M171"/>
    <mergeCell ref="A172:A174"/>
    <mergeCell ref="B172:G174"/>
    <mergeCell ref="H172:H174"/>
    <mergeCell ref="I172:I174"/>
    <mergeCell ref="J172:J174"/>
    <mergeCell ref="K172:K174"/>
    <mergeCell ref="L172:L174"/>
    <mergeCell ref="M172:M174"/>
    <mergeCell ref="A166:A168"/>
    <mergeCell ref="B166:G168"/>
    <mergeCell ref="H166:H168"/>
    <mergeCell ref="I166:I168"/>
    <mergeCell ref="J166:J168"/>
    <mergeCell ref="K166:K168"/>
    <mergeCell ref="L166:L168"/>
    <mergeCell ref="M166:M168"/>
    <mergeCell ref="A130:A131"/>
    <mergeCell ref="B130:G131"/>
    <mergeCell ref="H130:H131"/>
    <mergeCell ref="I130:I131"/>
    <mergeCell ref="J130:J131"/>
    <mergeCell ref="K130:K131"/>
    <mergeCell ref="L130:L131"/>
    <mergeCell ref="M130:M131"/>
    <mergeCell ref="A132:A134"/>
    <mergeCell ref="B132:G134"/>
    <mergeCell ref="H132:H134"/>
    <mergeCell ref="I132:I134"/>
    <mergeCell ref="J132:J134"/>
    <mergeCell ref="K132:K134"/>
    <mergeCell ref="L132:L134"/>
    <mergeCell ref="M132:M134"/>
    <mergeCell ref="A135:A137"/>
    <mergeCell ref="B135:G137"/>
    <mergeCell ref="H135:H137"/>
    <mergeCell ref="I135:I137"/>
    <mergeCell ref="J135:J137"/>
    <mergeCell ref="K135:K137"/>
    <mergeCell ref="L135:L137"/>
    <mergeCell ref="M135:M137"/>
    <mergeCell ref="A91:E91"/>
    <mergeCell ref="A119:A121"/>
    <mergeCell ref="B119:G121"/>
    <mergeCell ref="H119:H121"/>
    <mergeCell ref="I119:I121"/>
    <mergeCell ref="J119:J121"/>
    <mergeCell ref="K119:K121"/>
    <mergeCell ref="L119:L121"/>
    <mergeCell ref="M119:M121"/>
    <mergeCell ref="A122:A124"/>
    <mergeCell ref="B122:G124"/>
    <mergeCell ref="H122:H124"/>
    <mergeCell ref="I122:I124"/>
    <mergeCell ref="J122:J124"/>
    <mergeCell ref="K122:K124"/>
    <mergeCell ref="L122:L124"/>
    <mergeCell ref="M122:M124"/>
    <mergeCell ref="A93:BM94"/>
    <mergeCell ref="A95:A97"/>
    <mergeCell ref="B95:G97"/>
    <mergeCell ref="H95:H97"/>
    <mergeCell ref="I95:I97"/>
    <mergeCell ref="J95:J97"/>
    <mergeCell ref="K95:K97"/>
    <mergeCell ref="L95:L97"/>
    <mergeCell ref="M95:M97"/>
    <mergeCell ref="N95:N97"/>
    <mergeCell ref="O95:U97"/>
    <mergeCell ref="V95:V97"/>
    <mergeCell ref="W95:AC97"/>
    <mergeCell ref="AD95:AD97"/>
    <mergeCell ref="AE95:AK97"/>
    <mergeCell ref="H82:H84"/>
    <mergeCell ref="I82:I84"/>
    <mergeCell ref="J82:J84"/>
    <mergeCell ref="K82:K84"/>
    <mergeCell ref="L82:L84"/>
    <mergeCell ref="M82:M84"/>
    <mergeCell ref="A85:A87"/>
    <mergeCell ref="B85:G87"/>
    <mergeCell ref="H85:H87"/>
    <mergeCell ref="I85:I87"/>
    <mergeCell ref="J85:J87"/>
    <mergeCell ref="K85:K87"/>
    <mergeCell ref="L85:L87"/>
    <mergeCell ref="M85:M87"/>
    <mergeCell ref="A88:A90"/>
    <mergeCell ref="B88:G90"/>
    <mergeCell ref="H88:H90"/>
    <mergeCell ref="I88:I90"/>
    <mergeCell ref="J88:J90"/>
    <mergeCell ref="K88:K90"/>
    <mergeCell ref="L88:L90"/>
    <mergeCell ref="M88:M90"/>
    <mergeCell ref="AL240:AL242"/>
    <mergeCell ref="AM240:AR242"/>
    <mergeCell ref="AS240:AS242"/>
    <mergeCell ref="V225:V227"/>
    <mergeCell ref="W225:AB227"/>
    <mergeCell ref="AC225:AC227"/>
    <mergeCell ref="AD225:AD227"/>
    <mergeCell ref="AE225:AJ227"/>
    <mergeCell ref="AK225:AK227"/>
    <mergeCell ref="AL225:AL227"/>
    <mergeCell ref="AM225:AR227"/>
    <mergeCell ref="AS225:AS227"/>
    <mergeCell ref="V216:V218"/>
    <mergeCell ref="W216:AB218"/>
    <mergeCell ref="AC216:AC218"/>
    <mergeCell ref="AD216:AD218"/>
    <mergeCell ref="AE216:AJ218"/>
    <mergeCell ref="AK216:AK218"/>
    <mergeCell ref="AL216:AL218"/>
    <mergeCell ref="AK222:AK224"/>
    <mergeCell ref="AL222:AL224"/>
    <mergeCell ref="AM222:AR224"/>
    <mergeCell ref="AS222:AS224"/>
    <mergeCell ref="BE5:BG6"/>
    <mergeCell ref="BH5:BH6"/>
    <mergeCell ref="BI5:BK6"/>
    <mergeCell ref="BL5:BL6"/>
    <mergeCell ref="V234:V236"/>
    <mergeCell ref="W234:AB236"/>
    <mergeCell ref="AC234:AC236"/>
    <mergeCell ref="AL234:AL236"/>
    <mergeCell ref="AM234:AR236"/>
    <mergeCell ref="AS234:AS236"/>
    <mergeCell ref="AL237:AL239"/>
    <mergeCell ref="AM237:AR239"/>
    <mergeCell ref="AS237:AS239"/>
    <mergeCell ref="N213:N215"/>
    <mergeCell ref="O213:T215"/>
    <mergeCell ref="V207:V209"/>
    <mergeCell ref="W207:AB209"/>
    <mergeCell ref="AL243:AL245"/>
    <mergeCell ref="AM243:AR245"/>
    <mergeCell ref="AS243:AS245"/>
    <mergeCell ref="BA5:BC6"/>
    <mergeCell ref="BD5:BD6"/>
    <mergeCell ref="V228:V230"/>
    <mergeCell ref="W228:AB230"/>
    <mergeCell ref="AC228:AC230"/>
    <mergeCell ref="AD228:AD230"/>
    <mergeCell ref="AE228:AJ230"/>
    <mergeCell ref="AK228:AK230"/>
    <mergeCell ref="AL228:AL230"/>
    <mergeCell ref="AM228:AR230"/>
    <mergeCell ref="AS228:AS230"/>
    <mergeCell ref="V231:V233"/>
    <mergeCell ref="W231:AB233"/>
    <mergeCell ref="AC231:AC233"/>
    <mergeCell ref="AD231:AD233"/>
    <mergeCell ref="AE231:AJ233"/>
    <mergeCell ref="AK231:AK233"/>
    <mergeCell ref="AL231:AL233"/>
    <mergeCell ref="AM231:AR233"/>
    <mergeCell ref="AS231:AS233"/>
    <mergeCell ref="V222:V224"/>
    <mergeCell ref="W222:AB224"/>
    <mergeCell ref="AC222:AC224"/>
    <mergeCell ref="AD222:AD224"/>
    <mergeCell ref="AE222:AJ224"/>
    <mergeCell ref="BJ195:BO195"/>
    <mergeCell ref="V195:V197"/>
    <mergeCell ref="W195:AC197"/>
    <mergeCell ref="AD195:AD197"/>
    <mergeCell ref="AE195:AK197"/>
    <mergeCell ref="AL195:AL197"/>
    <mergeCell ref="AM195:AS197"/>
    <mergeCell ref="AS219:AS221"/>
    <mergeCell ref="A213:A215"/>
    <mergeCell ref="B213:G215"/>
    <mergeCell ref="H213:H215"/>
    <mergeCell ref="I213:I215"/>
    <mergeCell ref="J213:J215"/>
    <mergeCell ref="K213:K215"/>
    <mergeCell ref="V213:V215"/>
    <mergeCell ref="W213:AB215"/>
    <mergeCell ref="AC213:AC215"/>
    <mergeCell ref="AD213:AD215"/>
    <mergeCell ref="AE213:AJ215"/>
    <mergeCell ref="AK213:AK215"/>
    <mergeCell ref="AL213:AL215"/>
    <mergeCell ref="AM213:AR215"/>
    <mergeCell ref="AS213:AS215"/>
    <mergeCell ref="V204:V206"/>
    <mergeCell ref="W204:AB206"/>
    <mergeCell ref="AC204:AC206"/>
    <mergeCell ref="AD204:AD206"/>
    <mergeCell ref="AE204:AJ206"/>
    <mergeCell ref="AK204:AK206"/>
    <mergeCell ref="AL204:AL206"/>
    <mergeCell ref="AM204:AR206"/>
    <mergeCell ref="AS204:AS206"/>
    <mergeCell ref="I201:I203"/>
    <mergeCell ref="J201:J203"/>
    <mergeCell ref="K201:K203"/>
    <mergeCell ref="AC207:AC209"/>
    <mergeCell ref="AD207:AD209"/>
    <mergeCell ref="AE207:AJ209"/>
    <mergeCell ref="AK207:AK209"/>
    <mergeCell ref="AL207:AL209"/>
    <mergeCell ref="AM207:AR209"/>
    <mergeCell ref="AS207:AS209"/>
    <mergeCell ref="V210:V212"/>
    <mergeCell ref="W210:AB212"/>
    <mergeCell ref="AC210:AC212"/>
    <mergeCell ref="AD210:AD212"/>
    <mergeCell ref="AE210:AJ212"/>
    <mergeCell ref="AK210:AK212"/>
    <mergeCell ref="AL210:AL212"/>
    <mergeCell ref="AM210:AR212"/>
    <mergeCell ref="AS210:AS212"/>
    <mergeCell ref="N210:N212"/>
    <mergeCell ref="O210:T212"/>
    <mergeCell ref="U210:U212"/>
    <mergeCell ref="V198:V200"/>
    <mergeCell ref="W198:AB200"/>
    <mergeCell ref="AC198:AC200"/>
    <mergeCell ref="AD198:AD200"/>
    <mergeCell ref="AE198:AJ200"/>
    <mergeCell ref="AK198:AK200"/>
    <mergeCell ref="AL198:AL200"/>
    <mergeCell ref="AM198:AR200"/>
    <mergeCell ref="AS198:AS200"/>
    <mergeCell ref="V201:V203"/>
    <mergeCell ref="W201:AB203"/>
    <mergeCell ref="AC201:AC203"/>
    <mergeCell ref="AD201:AD203"/>
    <mergeCell ref="AE201:AJ203"/>
    <mergeCell ref="AK201:AK203"/>
    <mergeCell ref="AL201:AL203"/>
    <mergeCell ref="AM201:AR203"/>
    <mergeCell ref="AS201:AS203"/>
    <mergeCell ref="BB166:BB168"/>
    <mergeCell ref="AT181:AT183"/>
    <mergeCell ref="AU181:AZ183"/>
    <mergeCell ref="BA181:BA183"/>
    <mergeCell ref="BB181:BB183"/>
    <mergeCell ref="BC181:BH183"/>
    <mergeCell ref="BI181:BI183"/>
    <mergeCell ref="AT184:AT186"/>
    <mergeCell ref="AU184:AZ186"/>
    <mergeCell ref="BA184:BA186"/>
    <mergeCell ref="BB184:BB186"/>
    <mergeCell ref="BC184:BH186"/>
    <mergeCell ref="BI184:BI186"/>
    <mergeCell ref="AT187:AT189"/>
    <mergeCell ref="AU187:AZ189"/>
    <mergeCell ref="BA187:BA189"/>
    <mergeCell ref="BB187:BB189"/>
    <mergeCell ref="BC187:BH189"/>
    <mergeCell ref="BI187:BI189"/>
    <mergeCell ref="BB178:BB180"/>
    <mergeCell ref="BC178:BH180"/>
    <mergeCell ref="BI178:BI180"/>
    <mergeCell ref="AT178:AT180"/>
    <mergeCell ref="AU178:AZ180"/>
    <mergeCell ref="A157:A159"/>
    <mergeCell ref="B157:G159"/>
    <mergeCell ref="H157:H159"/>
    <mergeCell ref="I157:I159"/>
    <mergeCell ref="J157:J159"/>
    <mergeCell ref="K157:K159"/>
    <mergeCell ref="L157:L159"/>
    <mergeCell ref="AC166:AC168"/>
    <mergeCell ref="AD166:AD168"/>
    <mergeCell ref="AE166:AJ168"/>
    <mergeCell ref="AK166:AK168"/>
    <mergeCell ref="A163:A165"/>
    <mergeCell ref="B163:G165"/>
    <mergeCell ref="H163:H165"/>
    <mergeCell ref="I163:I165"/>
    <mergeCell ref="J163:J165"/>
    <mergeCell ref="K163:K165"/>
    <mergeCell ref="L163:L165"/>
    <mergeCell ref="M163:M165"/>
    <mergeCell ref="N163:N165"/>
    <mergeCell ref="O163:T165"/>
    <mergeCell ref="U163:U165"/>
    <mergeCell ref="V163:V165"/>
    <mergeCell ref="W163:AB165"/>
    <mergeCell ref="AC163:AC165"/>
    <mergeCell ref="AD163:AD165"/>
    <mergeCell ref="AE163:AJ165"/>
    <mergeCell ref="AK163:AK165"/>
    <mergeCell ref="A160:A162"/>
    <mergeCell ref="B160:G162"/>
    <mergeCell ref="H160:H162"/>
    <mergeCell ref="I160:I162"/>
    <mergeCell ref="J160:J162"/>
    <mergeCell ref="K160:K162"/>
    <mergeCell ref="L160:L162"/>
    <mergeCell ref="M160:M162"/>
    <mergeCell ref="N160:N162"/>
    <mergeCell ref="O160:T162"/>
    <mergeCell ref="U160:U162"/>
    <mergeCell ref="V160:V162"/>
    <mergeCell ref="W160:AB162"/>
    <mergeCell ref="AC160:AC162"/>
    <mergeCell ref="AD160:AD162"/>
    <mergeCell ref="AE160:AJ162"/>
    <mergeCell ref="AK160:AK162"/>
    <mergeCell ref="BC151:BH153"/>
    <mergeCell ref="BI151:BI153"/>
    <mergeCell ref="A154:A156"/>
    <mergeCell ref="B154:G156"/>
    <mergeCell ref="H154:H156"/>
    <mergeCell ref="I154:I156"/>
    <mergeCell ref="J154:J156"/>
    <mergeCell ref="K154:K156"/>
    <mergeCell ref="L154:L156"/>
    <mergeCell ref="M154:M156"/>
    <mergeCell ref="N154:N156"/>
    <mergeCell ref="O154:T156"/>
    <mergeCell ref="U154:U156"/>
    <mergeCell ref="V154:V156"/>
    <mergeCell ref="W154:AB156"/>
    <mergeCell ref="AC154:AC156"/>
    <mergeCell ref="AD154:AD156"/>
    <mergeCell ref="AE154:AJ156"/>
    <mergeCell ref="AK154:AK156"/>
    <mergeCell ref="BB145:BB147"/>
    <mergeCell ref="BC145:BI147"/>
    <mergeCell ref="BJ145:BO145"/>
    <mergeCell ref="AL154:AL156"/>
    <mergeCell ref="AM154:AR156"/>
    <mergeCell ref="AS154:AS156"/>
    <mergeCell ref="AT154:AT156"/>
    <mergeCell ref="AU154:AZ156"/>
    <mergeCell ref="BA154:BA156"/>
    <mergeCell ref="BB154:BB156"/>
    <mergeCell ref="BC154:BH156"/>
    <mergeCell ref="BI154:BI156"/>
    <mergeCell ref="M151:M153"/>
    <mergeCell ref="N151:N153"/>
    <mergeCell ref="O151:T153"/>
    <mergeCell ref="U151:U153"/>
    <mergeCell ref="V151:V153"/>
    <mergeCell ref="W151:AB153"/>
    <mergeCell ref="AC151:AC153"/>
    <mergeCell ref="AD151:AD153"/>
    <mergeCell ref="AE151:AJ153"/>
    <mergeCell ref="AK151:AK153"/>
    <mergeCell ref="AL151:AL153"/>
    <mergeCell ref="AM151:AR153"/>
    <mergeCell ref="AS151:AS153"/>
    <mergeCell ref="AT151:AT153"/>
    <mergeCell ref="AU151:AZ153"/>
    <mergeCell ref="BA151:BA153"/>
    <mergeCell ref="BB151:BB153"/>
    <mergeCell ref="BA148:BA150"/>
    <mergeCell ref="BB148:BB150"/>
    <mergeCell ref="BC148:BH150"/>
    <mergeCell ref="B145:G147"/>
    <mergeCell ref="H145:H147"/>
    <mergeCell ref="I145:I147"/>
    <mergeCell ref="J145:J147"/>
    <mergeCell ref="K145:K147"/>
    <mergeCell ref="L145:L147"/>
    <mergeCell ref="M145:M147"/>
    <mergeCell ref="N145:N147"/>
    <mergeCell ref="O145:U147"/>
    <mergeCell ref="V145:V147"/>
    <mergeCell ref="W145:AC147"/>
    <mergeCell ref="AD145:AD147"/>
    <mergeCell ref="AE145:AK147"/>
    <mergeCell ref="AL145:AL147"/>
    <mergeCell ref="AM145:AS147"/>
    <mergeCell ref="AT145:AT147"/>
    <mergeCell ref="AU145:BA147"/>
    <mergeCell ref="A148:A150"/>
    <mergeCell ref="B148:G150"/>
    <mergeCell ref="H148:H150"/>
    <mergeCell ref="I148:I150"/>
    <mergeCell ref="J148:J150"/>
    <mergeCell ref="K148:K150"/>
    <mergeCell ref="L148:L150"/>
    <mergeCell ref="M148:M150"/>
    <mergeCell ref="N148:N150"/>
    <mergeCell ref="AD134:AD136"/>
    <mergeCell ref="AE134:AJ136"/>
    <mergeCell ref="AK134:AK136"/>
    <mergeCell ref="AL134:AL136"/>
    <mergeCell ref="AM134:AR136"/>
    <mergeCell ref="AS134:AS136"/>
    <mergeCell ref="AT134:AT136"/>
    <mergeCell ref="AU134:AZ136"/>
    <mergeCell ref="O148:T150"/>
    <mergeCell ref="U148:U150"/>
    <mergeCell ref="V148:V150"/>
    <mergeCell ref="W148:AB150"/>
    <mergeCell ref="AC148:AC150"/>
    <mergeCell ref="AD148:AD150"/>
    <mergeCell ref="AE148:AJ150"/>
    <mergeCell ref="AK148:AK150"/>
    <mergeCell ref="AL148:AL150"/>
    <mergeCell ref="AM148:AR150"/>
    <mergeCell ref="AS148:AS150"/>
    <mergeCell ref="AT148:AT150"/>
    <mergeCell ref="AU148:AZ150"/>
    <mergeCell ref="A143:BM144"/>
    <mergeCell ref="A145:A147"/>
    <mergeCell ref="BA134:BA136"/>
    <mergeCell ref="BB134:BB136"/>
    <mergeCell ref="BC134:BH136"/>
    <mergeCell ref="BI134:BI136"/>
    <mergeCell ref="AD137:AD139"/>
    <mergeCell ref="AE137:AJ139"/>
    <mergeCell ref="AK137:AK139"/>
    <mergeCell ref="AT137:AT139"/>
    <mergeCell ref="AU137:AZ139"/>
    <mergeCell ref="BA137:BA139"/>
    <mergeCell ref="BB137:BB139"/>
    <mergeCell ref="A138:E138"/>
    <mergeCell ref="BC137:BH139"/>
    <mergeCell ref="BI137:BI139"/>
    <mergeCell ref="AL128:AL130"/>
    <mergeCell ref="AM128:AR130"/>
    <mergeCell ref="AS128:AS130"/>
    <mergeCell ref="AT128:AT130"/>
    <mergeCell ref="AU128:AZ130"/>
    <mergeCell ref="BA128:BA130"/>
    <mergeCell ref="BB128:BB130"/>
    <mergeCell ref="BC128:BH130"/>
    <mergeCell ref="BI128:BI130"/>
    <mergeCell ref="AD131:AD133"/>
    <mergeCell ref="AE131:AJ133"/>
    <mergeCell ref="AK131:AK133"/>
    <mergeCell ref="AL131:AL133"/>
    <mergeCell ref="AM131:AR133"/>
    <mergeCell ref="AS131:AS133"/>
    <mergeCell ref="AT131:AT133"/>
    <mergeCell ref="AU131:AZ133"/>
    <mergeCell ref="BA131:BA133"/>
    <mergeCell ref="BB131:BB133"/>
    <mergeCell ref="BC131:BH133"/>
    <mergeCell ref="BI131:BI133"/>
    <mergeCell ref="AE128:AJ130"/>
    <mergeCell ref="AK128:AK130"/>
    <mergeCell ref="AL95:AL97"/>
    <mergeCell ref="AM95:AS97"/>
    <mergeCell ref="AT95:AT97"/>
    <mergeCell ref="AU95:BA97"/>
    <mergeCell ref="BB95:BB97"/>
    <mergeCell ref="BC95:BI97"/>
    <mergeCell ref="BJ95:BO95"/>
    <mergeCell ref="A98:A100"/>
    <mergeCell ref="B98:G100"/>
    <mergeCell ref="H98:H100"/>
    <mergeCell ref="I98:I100"/>
    <mergeCell ref="J98:J100"/>
    <mergeCell ref="K98:K100"/>
    <mergeCell ref="BA101:BA103"/>
    <mergeCell ref="BB101:BB103"/>
    <mergeCell ref="BC101:BH103"/>
    <mergeCell ref="AU98:AZ100"/>
    <mergeCell ref="BA98:BA100"/>
    <mergeCell ref="BB98:BB100"/>
    <mergeCell ref="W98:AB100"/>
    <mergeCell ref="AC98:AC100"/>
    <mergeCell ref="AD98:AD100"/>
    <mergeCell ref="AE98:AJ100"/>
    <mergeCell ref="AK98:AK100"/>
    <mergeCell ref="AL98:AL100"/>
    <mergeCell ref="AT101:AT103"/>
    <mergeCell ref="AU101:AZ103"/>
    <mergeCell ref="H5:H6"/>
    <mergeCell ref="I5:K6"/>
    <mergeCell ref="P3:P4"/>
    <mergeCell ref="Q3:S4"/>
    <mergeCell ref="T3:T4"/>
    <mergeCell ref="U3:W4"/>
    <mergeCell ref="X3:X4"/>
    <mergeCell ref="Y3:AA4"/>
    <mergeCell ref="A3:D4"/>
    <mergeCell ref="E3:G4"/>
    <mergeCell ref="H3:H4"/>
    <mergeCell ref="I3:K4"/>
    <mergeCell ref="L3:L4"/>
    <mergeCell ref="M3:O4"/>
    <mergeCell ref="W11:AC13"/>
    <mergeCell ref="AD11:AD13"/>
    <mergeCell ref="A14:A16"/>
    <mergeCell ref="B14:H16"/>
    <mergeCell ref="I14:I16"/>
    <mergeCell ref="J14:J16"/>
    <mergeCell ref="T9:T10"/>
    <mergeCell ref="U9:U10"/>
    <mergeCell ref="V9:V10"/>
    <mergeCell ref="W9:AC10"/>
    <mergeCell ref="AD9:AD10"/>
    <mergeCell ref="B11:H13"/>
    <mergeCell ref="I11:I13"/>
    <mergeCell ref="J11:J13"/>
    <mergeCell ref="L11:L13"/>
    <mergeCell ref="M11:S13"/>
    <mergeCell ref="AV5:AV6"/>
    <mergeCell ref="AW5:AY6"/>
    <mergeCell ref="AZ5:AZ6"/>
    <mergeCell ref="BK1:BM2"/>
    <mergeCell ref="BN1:BP2"/>
    <mergeCell ref="A7:BP8"/>
    <mergeCell ref="AJ5:AJ6"/>
    <mergeCell ref="AK5:AM6"/>
    <mergeCell ref="AN5:AN6"/>
    <mergeCell ref="AO5:AQ6"/>
    <mergeCell ref="AR5:AR6"/>
    <mergeCell ref="AS5:AU6"/>
    <mergeCell ref="X5:X6"/>
    <mergeCell ref="Y5:AA6"/>
    <mergeCell ref="AB5:AB6"/>
    <mergeCell ref="AC5:AE6"/>
    <mergeCell ref="AF5:AF6"/>
    <mergeCell ref="AG5:AI6"/>
    <mergeCell ref="L5:L6"/>
    <mergeCell ref="M5:O6"/>
    <mergeCell ref="P5:P6"/>
    <mergeCell ref="Q5:S6"/>
    <mergeCell ref="T5:T6"/>
    <mergeCell ref="U5:W6"/>
    <mergeCell ref="AB3:AB4"/>
    <mergeCell ref="AC3:AE4"/>
    <mergeCell ref="AF3:AF4"/>
    <mergeCell ref="AG3:AI4"/>
    <mergeCell ref="AJ3:AJ4"/>
    <mergeCell ref="A5:C6"/>
    <mergeCell ref="D5:D6"/>
    <mergeCell ref="E5:G6"/>
    <mergeCell ref="U17:U19"/>
    <mergeCell ref="V17:V19"/>
    <mergeCell ref="W17:AC19"/>
    <mergeCell ref="AD17:AD19"/>
    <mergeCell ref="BJ9:BO9"/>
    <mergeCell ref="BJ10:BO39"/>
    <mergeCell ref="T11:T13"/>
    <mergeCell ref="U11:U13"/>
    <mergeCell ref="V11:V13"/>
    <mergeCell ref="A9:A10"/>
    <mergeCell ref="B9:H10"/>
    <mergeCell ref="I9:I10"/>
    <mergeCell ref="J9:J10"/>
    <mergeCell ref="L9:L10"/>
    <mergeCell ref="M9:S10"/>
    <mergeCell ref="V14:V16"/>
    <mergeCell ref="W14:AC16"/>
    <mergeCell ref="AD14:AD16"/>
    <mergeCell ref="A17:A19"/>
    <mergeCell ref="B17:H19"/>
    <mergeCell ref="I17:I19"/>
    <mergeCell ref="J17:J19"/>
    <mergeCell ref="L17:L19"/>
    <mergeCell ref="M17:S19"/>
    <mergeCell ref="T17:T19"/>
    <mergeCell ref="AD23:AD25"/>
    <mergeCell ref="AD20:AD22"/>
    <mergeCell ref="L14:L16"/>
    <mergeCell ref="M14:S16"/>
    <mergeCell ref="T14:T16"/>
    <mergeCell ref="U14:U16"/>
    <mergeCell ref="A11:A13"/>
    <mergeCell ref="M23:M25"/>
    <mergeCell ref="N23:S25"/>
    <mergeCell ref="T23:T25"/>
    <mergeCell ref="U23:U25"/>
    <mergeCell ref="V23:V25"/>
    <mergeCell ref="W23:AC25"/>
    <mergeCell ref="T20:T22"/>
    <mergeCell ref="U20:U22"/>
    <mergeCell ref="V20:V22"/>
    <mergeCell ref="W20:AC22"/>
    <mergeCell ref="A23:A25"/>
    <mergeCell ref="B23:H25"/>
    <mergeCell ref="I23:I25"/>
    <mergeCell ref="J23:J25"/>
    <mergeCell ref="L23:L25"/>
    <mergeCell ref="A20:A22"/>
    <mergeCell ref="B20:H22"/>
    <mergeCell ref="I20:I22"/>
    <mergeCell ref="J20:J22"/>
    <mergeCell ref="L20:L22"/>
    <mergeCell ref="M20:S22"/>
    <mergeCell ref="U29:U31"/>
    <mergeCell ref="V29:V31"/>
    <mergeCell ref="W29:AC31"/>
    <mergeCell ref="AD29:AD31"/>
    <mergeCell ref="A32:F32"/>
    <mergeCell ref="L32:Q32"/>
    <mergeCell ref="V32:V34"/>
    <mergeCell ref="W32:AC34"/>
    <mergeCell ref="AD32:AD34"/>
    <mergeCell ref="V26:V28"/>
    <mergeCell ref="W26:AC28"/>
    <mergeCell ref="AD26:AD28"/>
    <mergeCell ref="A29:A31"/>
    <mergeCell ref="B29:H31"/>
    <mergeCell ref="I29:I31"/>
    <mergeCell ref="J29:J31"/>
    <mergeCell ref="L29:L31"/>
    <mergeCell ref="M29:S31"/>
    <mergeCell ref="T29:T31"/>
    <mergeCell ref="A26:A28"/>
    <mergeCell ref="B26:H28"/>
    <mergeCell ref="I26:I28"/>
    <mergeCell ref="J26:J28"/>
    <mergeCell ref="L26:L28"/>
    <mergeCell ref="M26:M28"/>
    <mergeCell ref="N26:S28"/>
    <mergeCell ref="T26:T28"/>
    <mergeCell ref="U26:U28"/>
    <mergeCell ref="A45:BM46"/>
    <mergeCell ref="A47:A49"/>
    <mergeCell ref="B47:G49"/>
    <mergeCell ref="H47:H49"/>
    <mergeCell ref="I47:I49"/>
    <mergeCell ref="J47:J49"/>
    <mergeCell ref="K47:K49"/>
    <mergeCell ref="L47:L49"/>
    <mergeCell ref="M47:M49"/>
    <mergeCell ref="N47:N49"/>
    <mergeCell ref="A39:A41"/>
    <mergeCell ref="B39:H41"/>
    <mergeCell ref="I39:I41"/>
    <mergeCell ref="J39:J41"/>
    <mergeCell ref="V41:AA41"/>
    <mergeCell ref="A42:F42"/>
    <mergeCell ref="V35:V37"/>
    <mergeCell ref="W35:AC37"/>
    <mergeCell ref="AD35:AD37"/>
    <mergeCell ref="A37:A38"/>
    <mergeCell ref="B37:H38"/>
    <mergeCell ref="I37:I38"/>
    <mergeCell ref="J37:J38"/>
    <mergeCell ref="V38:V40"/>
    <mergeCell ref="W38:AC40"/>
    <mergeCell ref="AD38:AD40"/>
    <mergeCell ref="BJ48:BO78"/>
    <mergeCell ref="BI53:BI55"/>
    <mergeCell ref="A50:A52"/>
    <mergeCell ref="B50:G52"/>
    <mergeCell ref="H50:H52"/>
    <mergeCell ref="I50:I52"/>
    <mergeCell ref="J50:J52"/>
    <mergeCell ref="K50:K52"/>
    <mergeCell ref="AU47:AZ49"/>
    <mergeCell ref="BA47:BA49"/>
    <mergeCell ref="BB47:BB49"/>
    <mergeCell ref="BC47:BH49"/>
    <mergeCell ref="BI47:BI49"/>
    <mergeCell ref="BJ47:BO47"/>
    <mergeCell ref="BC50:BH52"/>
    <mergeCell ref="BI50:BI52"/>
    <mergeCell ref="BC53:BH55"/>
    <mergeCell ref="AE47:AJ49"/>
    <mergeCell ref="AK47:AK49"/>
    <mergeCell ref="AL47:AL49"/>
    <mergeCell ref="AM47:AR49"/>
    <mergeCell ref="AS47:AS49"/>
    <mergeCell ref="AT47:AT49"/>
    <mergeCell ref="O47:T49"/>
    <mergeCell ref="U47:U49"/>
    <mergeCell ref="V47:V49"/>
    <mergeCell ref="W47:AB49"/>
    <mergeCell ref="AC47:AC49"/>
    <mergeCell ref="AD47:AD49"/>
    <mergeCell ref="J53:J55"/>
    <mergeCell ref="K53:K55"/>
    <mergeCell ref="AM50:AR52"/>
    <mergeCell ref="AE53:AJ55"/>
    <mergeCell ref="AK53:AK55"/>
    <mergeCell ref="AL53:AL55"/>
    <mergeCell ref="L53:L55"/>
    <mergeCell ref="M53:M55"/>
    <mergeCell ref="N53:N55"/>
    <mergeCell ref="A53:A55"/>
    <mergeCell ref="B53:G55"/>
    <mergeCell ref="H53:H55"/>
    <mergeCell ref="I53:I55"/>
    <mergeCell ref="AU56:AZ58"/>
    <mergeCell ref="AT50:AT52"/>
    <mergeCell ref="AU50:AZ52"/>
    <mergeCell ref="BA50:BA52"/>
    <mergeCell ref="BB50:BB52"/>
    <mergeCell ref="W50:AB52"/>
    <mergeCell ref="AC50:AC52"/>
    <mergeCell ref="AD50:AD52"/>
    <mergeCell ref="AE50:AJ52"/>
    <mergeCell ref="AK50:AK52"/>
    <mergeCell ref="AL50:AL52"/>
    <mergeCell ref="L50:L52"/>
    <mergeCell ref="M50:M52"/>
    <mergeCell ref="N50:N52"/>
    <mergeCell ref="O50:T52"/>
    <mergeCell ref="U50:U52"/>
    <mergeCell ref="V50:V52"/>
    <mergeCell ref="AS50:AS52"/>
    <mergeCell ref="N56:N58"/>
    <mergeCell ref="AM53:AR55"/>
    <mergeCell ref="AS53:AS55"/>
    <mergeCell ref="AT53:AT55"/>
    <mergeCell ref="AU53:AZ55"/>
    <mergeCell ref="BA53:BA55"/>
    <mergeCell ref="BB53:BB55"/>
    <mergeCell ref="W53:AB55"/>
    <mergeCell ref="AC53:AC55"/>
    <mergeCell ref="AD53:AD55"/>
    <mergeCell ref="O53:T55"/>
    <mergeCell ref="U53:U55"/>
    <mergeCell ref="V53:V55"/>
    <mergeCell ref="BA56:BA58"/>
    <mergeCell ref="BB56:BB58"/>
    <mergeCell ref="BC56:BH58"/>
    <mergeCell ref="BI56:BI58"/>
    <mergeCell ref="A59:A61"/>
    <mergeCell ref="B59:G61"/>
    <mergeCell ref="H59:H61"/>
    <mergeCell ref="I59:I61"/>
    <mergeCell ref="J59:J61"/>
    <mergeCell ref="AE56:AJ58"/>
    <mergeCell ref="AK56:AK58"/>
    <mergeCell ref="AL56:AL58"/>
    <mergeCell ref="AM56:AR58"/>
    <mergeCell ref="AS56:AS58"/>
    <mergeCell ref="AT56:AT58"/>
    <mergeCell ref="O56:T58"/>
    <mergeCell ref="U56:U58"/>
    <mergeCell ref="V56:V58"/>
    <mergeCell ref="W56:AB58"/>
    <mergeCell ref="AC56:AC58"/>
    <mergeCell ref="AD56:AD58"/>
    <mergeCell ref="BB59:BB61"/>
    <mergeCell ref="BC59:BH61"/>
    <mergeCell ref="BI59:BI61"/>
    <mergeCell ref="A56:A58"/>
    <mergeCell ref="B56:G58"/>
    <mergeCell ref="H56:H58"/>
    <mergeCell ref="I56:I58"/>
    <mergeCell ref="J56:J58"/>
    <mergeCell ref="K56:K58"/>
    <mergeCell ref="L56:L58"/>
    <mergeCell ref="M56:M58"/>
    <mergeCell ref="B62:G64"/>
    <mergeCell ref="H62:H64"/>
    <mergeCell ref="I62:I64"/>
    <mergeCell ref="J62:J64"/>
    <mergeCell ref="K62:K64"/>
    <mergeCell ref="L62:L64"/>
    <mergeCell ref="AL59:AL61"/>
    <mergeCell ref="AM59:AR61"/>
    <mergeCell ref="AS59:AS61"/>
    <mergeCell ref="AT59:AT61"/>
    <mergeCell ref="AU59:AZ61"/>
    <mergeCell ref="BA59:BA61"/>
    <mergeCell ref="V59:V61"/>
    <mergeCell ref="W59:AB61"/>
    <mergeCell ref="AC59:AC61"/>
    <mergeCell ref="AD59:AD61"/>
    <mergeCell ref="AE59:AJ61"/>
    <mergeCell ref="AK59:AK61"/>
    <mergeCell ref="K59:K61"/>
    <mergeCell ref="L59:L61"/>
    <mergeCell ref="M59:M61"/>
    <mergeCell ref="N59:N61"/>
    <mergeCell ref="O59:T61"/>
    <mergeCell ref="U59:U61"/>
    <mergeCell ref="AE65:AJ67"/>
    <mergeCell ref="AK65:AK67"/>
    <mergeCell ref="AL65:AL67"/>
    <mergeCell ref="BI62:BI64"/>
    <mergeCell ref="A65:A67"/>
    <mergeCell ref="B65:G67"/>
    <mergeCell ref="H65:H67"/>
    <mergeCell ref="I65:I67"/>
    <mergeCell ref="J65:J67"/>
    <mergeCell ref="K65:K67"/>
    <mergeCell ref="L65:L67"/>
    <mergeCell ref="M65:M67"/>
    <mergeCell ref="AS62:AS64"/>
    <mergeCell ref="AT62:AT64"/>
    <mergeCell ref="AU62:AZ64"/>
    <mergeCell ref="BA62:BA64"/>
    <mergeCell ref="BB62:BB64"/>
    <mergeCell ref="BC62:BH64"/>
    <mergeCell ref="AC62:AC64"/>
    <mergeCell ref="AD62:AD64"/>
    <mergeCell ref="AE62:AJ64"/>
    <mergeCell ref="AK62:AK64"/>
    <mergeCell ref="AL62:AL64"/>
    <mergeCell ref="AM62:AR64"/>
    <mergeCell ref="M62:M64"/>
    <mergeCell ref="N62:N64"/>
    <mergeCell ref="O62:T64"/>
    <mergeCell ref="U62:U64"/>
    <mergeCell ref="V62:V64"/>
    <mergeCell ref="W62:AB64"/>
    <mergeCell ref="BI65:BI67"/>
    <mergeCell ref="A62:A64"/>
    <mergeCell ref="A71:A73"/>
    <mergeCell ref="B71:G73"/>
    <mergeCell ref="H71:H73"/>
    <mergeCell ref="I71:I73"/>
    <mergeCell ref="J71:J73"/>
    <mergeCell ref="K71:K73"/>
    <mergeCell ref="L71:L73"/>
    <mergeCell ref="AL68:AL70"/>
    <mergeCell ref="AM68:AR70"/>
    <mergeCell ref="AS68:AS70"/>
    <mergeCell ref="AT68:AT70"/>
    <mergeCell ref="AU68:AZ70"/>
    <mergeCell ref="BA68:BA70"/>
    <mergeCell ref="AD68:AD70"/>
    <mergeCell ref="AE68:AJ70"/>
    <mergeCell ref="AK68:AK70"/>
    <mergeCell ref="BC65:BH67"/>
    <mergeCell ref="A68:A70"/>
    <mergeCell ref="B68:G70"/>
    <mergeCell ref="H68:H70"/>
    <mergeCell ref="I68:I70"/>
    <mergeCell ref="J68:J70"/>
    <mergeCell ref="K68:K70"/>
    <mergeCell ref="L68:L70"/>
    <mergeCell ref="M68:M70"/>
    <mergeCell ref="AM65:AR67"/>
    <mergeCell ref="AS65:AS67"/>
    <mergeCell ref="AT65:AT67"/>
    <mergeCell ref="AU65:AZ67"/>
    <mergeCell ref="BA65:BA67"/>
    <mergeCell ref="BB65:BB67"/>
    <mergeCell ref="AD65:AD67"/>
    <mergeCell ref="AD74:AD76"/>
    <mergeCell ref="AE74:AJ76"/>
    <mergeCell ref="AK74:AK76"/>
    <mergeCell ref="AK71:AK73"/>
    <mergeCell ref="AL71:AL73"/>
    <mergeCell ref="AM71:AR73"/>
    <mergeCell ref="AS71:AS73"/>
    <mergeCell ref="AT71:AT73"/>
    <mergeCell ref="AU71:AZ73"/>
    <mergeCell ref="BA71:BA73"/>
    <mergeCell ref="M71:M73"/>
    <mergeCell ref="AD71:AD73"/>
    <mergeCell ref="AE71:AJ73"/>
    <mergeCell ref="BB68:BB70"/>
    <mergeCell ref="BC68:BH70"/>
    <mergeCell ref="BI68:BI70"/>
    <mergeCell ref="AL74:AL76"/>
    <mergeCell ref="AM74:AR76"/>
    <mergeCell ref="AS74:AS76"/>
    <mergeCell ref="A74:A76"/>
    <mergeCell ref="B74:G76"/>
    <mergeCell ref="H74:H76"/>
    <mergeCell ref="I74:I76"/>
    <mergeCell ref="J74:J76"/>
    <mergeCell ref="K74:K76"/>
    <mergeCell ref="L74:L76"/>
    <mergeCell ref="M74:M76"/>
    <mergeCell ref="A82:A84"/>
    <mergeCell ref="B82:G84"/>
    <mergeCell ref="BI101:BI103"/>
    <mergeCell ref="AD101:AD103"/>
    <mergeCell ref="AE101:AJ103"/>
    <mergeCell ref="AK101:AK103"/>
    <mergeCell ref="AL101:AL103"/>
    <mergeCell ref="AM101:AR103"/>
    <mergeCell ref="AS101:AS103"/>
    <mergeCell ref="N101:N103"/>
    <mergeCell ref="O101:T103"/>
    <mergeCell ref="U101:U103"/>
    <mergeCell ref="V101:V103"/>
    <mergeCell ref="W101:AB103"/>
    <mergeCell ref="AC101:AC103"/>
    <mergeCell ref="BC98:BH100"/>
    <mergeCell ref="BI98:BI100"/>
    <mergeCell ref="AM98:AR100"/>
    <mergeCell ref="AS98:AS100"/>
    <mergeCell ref="AT98:AT100"/>
    <mergeCell ref="M98:M100"/>
    <mergeCell ref="N98:N100"/>
    <mergeCell ref="O98:T100"/>
    <mergeCell ref="U98:U100"/>
    <mergeCell ref="V98:V100"/>
    <mergeCell ref="A104:A106"/>
    <mergeCell ref="B104:G106"/>
    <mergeCell ref="H104:H106"/>
    <mergeCell ref="I104:I106"/>
    <mergeCell ref="J104:J106"/>
    <mergeCell ref="K104:K106"/>
    <mergeCell ref="A101:A103"/>
    <mergeCell ref="B101:G103"/>
    <mergeCell ref="H101:H103"/>
    <mergeCell ref="I101:I103"/>
    <mergeCell ref="J101:J103"/>
    <mergeCell ref="K101:K103"/>
    <mergeCell ref="L101:L103"/>
    <mergeCell ref="M101:M103"/>
    <mergeCell ref="O104:T106"/>
    <mergeCell ref="U104:U106"/>
    <mergeCell ref="V104:V106"/>
    <mergeCell ref="L98:L100"/>
    <mergeCell ref="AS107:AS109"/>
    <mergeCell ref="N107:N109"/>
    <mergeCell ref="O107:T109"/>
    <mergeCell ref="U107:U109"/>
    <mergeCell ref="V107:V109"/>
    <mergeCell ref="W107:AB109"/>
    <mergeCell ref="AC107:AC109"/>
    <mergeCell ref="BC104:BH106"/>
    <mergeCell ref="BI104:BI106"/>
    <mergeCell ref="A107:A109"/>
    <mergeCell ref="B107:G109"/>
    <mergeCell ref="H107:H109"/>
    <mergeCell ref="I107:I109"/>
    <mergeCell ref="J107:J109"/>
    <mergeCell ref="K107:K109"/>
    <mergeCell ref="L107:L109"/>
    <mergeCell ref="M107:M109"/>
    <mergeCell ref="AM104:AR106"/>
    <mergeCell ref="AS104:AS106"/>
    <mergeCell ref="AT104:AT106"/>
    <mergeCell ref="AU104:AZ106"/>
    <mergeCell ref="BA104:BA106"/>
    <mergeCell ref="BB104:BB106"/>
    <mergeCell ref="W104:AB106"/>
    <mergeCell ref="AC104:AC106"/>
    <mergeCell ref="AD104:AD106"/>
    <mergeCell ref="AE104:AJ106"/>
    <mergeCell ref="AK104:AK106"/>
    <mergeCell ref="AL104:AL106"/>
    <mergeCell ref="L104:L106"/>
    <mergeCell ref="M104:M106"/>
    <mergeCell ref="N104:N106"/>
    <mergeCell ref="L110:L112"/>
    <mergeCell ref="M110:M112"/>
    <mergeCell ref="N110:N112"/>
    <mergeCell ref="O110:T112"/>
    <mergeCell ref="U110:U112"/>
    <mergeCell ref="V110:V112"/>
    <mergeCell ref="BA110:BA112"/>
    <mergeCell ref="BB110:BB112"/>
    <mergeCell ref="W110:AB112"/>
    <mergeCell ref="AC110:AC112"/>
    <mergeCell ref="AD110:AD112"/>
    <mergeCell ref="AE110:AJ112"/>
    <mergeCell ref="AK110:AK112"/>
    <mergeCell ref="AL110:AL112"/>
    <mergeCell ref="A110:A112"/>
    <mergeCell ref="B110:G112"/>
    <mergeCell ref="H110:H112"/>
    <mergeCell ref="I110:I112"/>
    <mergeCell ref="J110:J112"/>
    <mergeCell ref="K110:K112"/>
    <mergeCell ref="AT107:AT109"/>
    <mergeCell ref="AU107:AZ109"/>
    <mergeCell ref="BA107:BA109"/>
    <mergeCell ref="BB107:BB109"/>
    <mergeCell ref="BC107:BH109"/>
    <mergeCell ref="BB113:BB115"/>
    <mergeCell ref="BC113:BH115"/>
    <mergeCell ref="BI113:BI115"/>
    <mergeCell ref="AD113:AD115"/>
    <mergeCell ref="AE113:AJ115"/>
    <mergeCell ref="AK113:AK115"/>
    <mergeCell ref="AL113:AL115"/>
    <mergeCell ref="AM113:AR115"/>
    <mergeCell ref="AS113:AS115"/>
    <mergeCell ref="N113:N115"/>
    <mergeCell ref="O113:T115"/>
    <mergeCell ref="U113:U115"/>
    <mergeCell ref="V113:V115"/>
    <mergeCell ref="W113:AB115"/>
    <mergeCell ref="AC113:AC115"/>
    <mergeCell ref="BC110:BH112"/>
    <mergeCell ref="BI110:BI112"/>
    <mergeCell ref="AM110:AR112"/>
    <mergeCell ref="AS110:AS112"/>
    <mergeCell ref="AT110:AT112"/>
    <mergeCell ref="AU110:AZ112"/>
    <mergeCell ref="BI107:BI109"/>
    <mergeCell ref="AD107:AD109"/>
    <mergeCell ref="AE107:AJ109"/>
    <mergeCell ref="AK107:AK109"/>
    <mergeCell ref="AL107:AL109"/>
    <mergeCell ref="AM107:AR109"/>
    <mergeCell ref="AK116:AK118"/>
    <mergeCell ref="AL116:AL118"/>
    <mergeCell ref="L116:L118"/>
    <mergeCell ref="M116:M118"/>
    <mergeCell ref="N116:N118"/>
    <mergeCell ref="O116:T118"/>
    <mergeCell ref="U116:U118"/>
    <mergeCell ref="V116:V118"/>
    <mergeCell ref="A116:A118"/>
    <mergeCell ref="B116:G118"/>
    <mergeCell ref="H116:H118"/>
    <mergeCell ref="I116:I118"/>
    <mergeCell ref="J116:J118"/>
    <mergeCell ref="K116:K118"/>
    <mergeCell ref="AT113:AT115"/>
    <mergeCell ref="AU113:AZ115"/>
    <mergeCell ref="BA113:BA115"/>
    <mergeCell ref="A113:A115"/>
    <mergeCell ref="B113:G115"/>
    <mergeCell ref="H113:H115"/>
    <mergeCell ref="I113:I115"/>
    <mergeCell ref="J113:J115"/>
    <mergeCell ref="K113:K115"/>
    <mergeCell ref="L113:L115"/>
    <mergeCell ref="M113:M115"/>
    <mergeCell ref="N122:N124"/>
    <mergeCell ref="O122:T124"/>
    <mergeCell ref="U122:U124"/>
    <mergeCell ref="V122:V124"/>
    <mergeCell ref="W122:AB124"/>
    <mergeCell ref="AC122:AC124"/>
    <mergeCell ref="AK119:AK121"/>
    <mergeCell ref="AL119:AL121"/>
    <mergeCell ref="AM119:AR121"/>
    <mergeCell ref="AS119:AS121"/>
    <mergeCell ref="AT119:AT121"/>
    <mergeCell ref="AU119:AZ121"/>
    <mergeCell ref="BC116:BH118"/>
    <mergeCell ref="BI116:BI118"/>
    <mergeCell ref="N119:N121"/>
    <mergeCell ref="O119:T121"/>
    <mergeCell ref="U119:U121"/>
    <mergeCell ref="V119:V121"/>
    <mergeCell ref="W119:AB121"/>
    <mergeCell ref="AC119:AC121"/>
    <mergeCell ref="AD119:AD121"/>
    <mergeCell ref="AE119:AJ121"/>
    <mergeCell ref="AM116:AR118"/>
    <mergeCell ref="AS116:AS118"/>
    <mergeCell ref="AT116:AT118"/>
    <mergeCell ref="AU116:AZ118"/>
    <mergeCell ref="BA116:BA118"/>
    <mergeCell ref="BB116:BB118"/>
    <mergeCell ref="W116:AB118"/>
    <mergeCell ref="AC116:AC118"/>
    <mergeCell ref="AD116:AD118"/>
    <mergeCell ref="AE116:AJ118"/>
    <mergeCell ref="AT122:AT124"/>
    <mergeCell ref="AU122:AZ124"/>
    <mergeCell ref="BA122:BA124"/>
    <mergeCell ref="BB122:BB124"/>
    <mergeCell ref="BC122:BH124"/>
    <mergeCell ref="BI122:BI124"/>
    <mergeCell ref="AD122:AD124"/>
    <mergeCell ref="AE122:AJ124"/>
    <mergeCell ref="AK122:AK124"/>
    <mergeCell ref="AL122:AL124"/>
    <mergeCell ref="AM122:AR124"/>
    <mergeCell ref="AS122:AS124"/>
    <mergeCell ref="BA119:BA121"/>
    <mergeCell ref="BB119:BB121"/>
    <mergeCell ref="BC119:BH121"/>
    <mergeCell ref="BI119:BI121"/>
    <mergeCell ref="BB125:BB127"/>
    <mergeCell ref="BC125:BH127"/>
    <mergeCell ref="BI125:BI127"/>
    <mergeCell ref="N131:N133"/>
    <mergeCell ref="O131:T133"/>
    <mergeCell ref="U131:U133"/>
    <mergeCell ref="AT125:AT127"/>
    <mergeCell ref="AU125:AZ127"/>
    <mergeCell ref="BA125:BA127"/>
    <mergeCell ref="N128:N130"/>
    <mergeCell ref="O128:T130"/>
    <mergeCell ref="U128:U130"/>
    <mergeCell ref="V128:V130"/>
    <mergeCell ref="W128:AB130"/>
    <mergeCell ref="AC128:AC130"/>
    <mergeCell ref="AD128:AD130"/>
    <mergeCell ref="AD125:AD127"/>
    <mergeCell ref="AE125:AJ127"/>
    <mergeCell ref="AK125:AK127"/>
    <mergeCell ref="AL125:AL127"/>
    <mergeCell ref="AM125:AR127"/>
    <mergeCell ref="AS125:AS127"/>
    <mergeCell ref="N125:N127"/>
    <mergeCell ref="O125:T127"/>
    <mergeCell ref="U125:U127"/>
    <mergeCell ref="V125:V127"/>
    <mergeCell ref="W125:AB127"/>
    <mergeCell ref="AC125:AC127"/>
    <mergeCell ref="BI148:BI150"/>
    <mergeCell ref="M157:M159"/>
    <mergeCell ref="N157:N159"/>
    <mergeCell ref="O157:T159"/>
    <mergeCell ref="AS172:AS174"/>
    <mergeCell ref="AT172:AT174"/>
    <mergeCell ref="AU172:AZ174"/>
    <mergeCell ref="BA172:BA174"/>
    <mergeCell ref="BB172:BB174"/>
    <mergeCell ref="BC172:BH174"/>
    <mergeCell ref="U157:U159"/>
    <mergeCell ref="V157:V159"/>
    <mergeCell ref="W157:AB159"/>
    <mergeCell ref="AC157:AC159"/>
    <mergeCell ref="AT160:AT162"/>
    <mergeCell ref="AU160:AZ162"/>
    <mergeCell ref="BA160:BA162"/>
    <mergeCell ref="BB160:BB162"/>
    <mergeCell ref="BC160:BH162"/>
    <mergeCell ref="AU157:AZ159"/>
    <mergeCell ref="BA157:BA159"/>
    <mergeCell ref="BB157:BB159"/>
    <mergeCell ref="BC157:BH159"/>
    <mergeCell ref="AL160:AL162"/>
    <mergeCell ref="AM160:AR162"/>
    <mergeCell ref="AS160:AS162"/>
    <mergeCell ref="AL166:AL168"/>
    <mergeCell ref="AM166:AR168"/>
    <mergeCell ref="AS166:AS168"/>
    <mergeCell ref="BI160:BI162"/>
    <mergeCell ref="AL163:AL165"/>
    <mergeCell ref="AM163:AR165"/>
    <mergeCell ref="BB163:BB165"/>
    <mergeCell ref="BC163:BH165"/>
    <mergeCell ref="BI163:BI165"/>
    <mergeCell ref="AD157:AD159"/>
    <mergeCell ref="AE157:AJ159"/>
    <mergeCell ref="AK157:AK159"/>
    <mergeCell ref="AL157:AL159"/>
    <mergeCell ref="AM157:AR159"/>
    <mergeCell ref="AS157:AS159"/>
    <mergeCell ref="AT157:AT159"/>
    <mergeCell ref="BI157:BI159"/>
    <mergeCell ref="AT175:AT177"/>
    <mergeCell ref="AU175:AZ177"/>
    <mergeCell ref="BA175:BA177"/>
    <mergeCell ref="BB175:BB177"/>
    <mergeCell ref="BC175:BH177"/>
    <mergeCell ref="BI175:BI177"/>
    <mergeCell ref="BC166:BH168"/>
    <mergeCell ref="BI166:BI168"/>
    <mergeCell ref="AD169:AD171"/>
    <mergeCell ref="AE169:AJ171"/>
    <mergeCell ref="AK169:AK171"/>
    <mergeCell ref="AL169:AL171"/>
    <mergeCell ref="AM169:AR171"/>
    <mergeCell ref="AS169:AS171"/>
    <mergeCell ref="AT169:AT171"/>
    <mergeCell ref="AU169:AZ171"/>
    <mergeCell ref="BA169:BA171"/>
    <mergeCell ref="BB169:BB171"/>
    <mergeCell ref="BC169:BH171"/>
    <mergeCell ref="BI169:BI171"/>
    <mergeCell ref="AT166:AT168"/>
    <mergeCell ref="V172:V174"/>
    <mergeCell ref="W172:AB174"/>
    <mergeCell ref="AC172:AC174"/>
    <mergeCell ref="AD172:AD174"/>
    <mergeCell ref="AE172:AJ174"/>
    <mergeCell ref="AK172:AK174"/>
    <mergeCell ref="AL172:AL174"/>
    <mergeCell ref="AM172:AR174"/>
    <mergeCell ref="BA178:BA180"/>
    <mergeCell ref="AD175:AD177"/>
    <mergeCell ref="AE175:AJ177"/>
    <mergeCell ref="AK175:AK177"/>
    <mergeCell ref="AS163:AS165"/>
    <mergeCell ref="AT163:AT165"/>
    <mergeCell ref="AU163:AZ165"/>
    <mergeCell ref="BA163:BA165"/>
    <mergeCell ref="N169:N171"/>
    <mergeCell ref="O169:T171"/>
    <mergeCell ref="U169:U171"/>
    <mergeCell ref="V169:V171"/>
    <mergeCell ref="W169:AB171"/>
    <mergeCell ref="AC169:AC171"/>
    <mergeCell ref="N166:N168"/>
    <mergeCell ref="O166:T168"/>
    <mergeCell ref="U166:U168"/>
    <mergeCell ref="V166:V168"/>
    <mergeCell ref="W166:AB168"/>
    <mergeCell ref="AU166:AZ168"/>
    <mergeCell ref="BA166:BA168"/>
    <mergeCell ref="A198:A200"/>
    <mergeCell ref="B198:G200"/>
    <mergeCell ref="H198:H200"/>
    <mergeCell ref="N198:N200"/>
    <mergeCell ref="O198:T200"/>
    <mergeCell ref="U198:U200"/>
    <mergeCell ref="A195:A197"/>
    <mergeCell ref="B195:G197"/>
    <mergeCell ref="H195:H197"/>
    <mergeCell ref="N195:N197"/>
    <mergeCell ref="I195:I197"/>
    <mergeCell ref="J195:J197"/>
    <mergeCell ref="K195:K197"/>
    <mergeCell ref="O195:U197"/>
    <mergeCell ref="N178:N180"/>
    <mergeCell ref="O178:T180"/>
    <mergeCell ref="U178:U180"/>
    <mergeCell ref="A185:A187"/>
    <mergeCell ref="B185:G187"/>
    <mergeCell ref="H185:H187"/>
    <mergeCell ref="I185:I187"/>
    <mergeCell ref="J185:J187"/>
    <mergeCell ref="K185:K187"/>
    <mergeCell ref="L185:L187"/>
    <mergeCell ref="M185:M187"/>
    <mergeCell ref="I198:I200"/>
    <mergeCell ref="J198:J200"/>
    <mergeCell ref="K198:K200"/>
    <mergeCell ref="N204:N206"/>
    <mergeCell ref="O204:T206"/>
    <mergeCell ref="U204:U206"/>
    <mergeCell ref="I204:I206"/>
    <mergeCell ref="J204:J206"/>
    <mergeCell ref="K204:K206"/>
    <mergeCell ref="I210:I212"/>
    <mergeCell ref="J210:J212"/>
    <mergeCell ref="K210:K212"/>
    <mergeCell ref="I207:I209"/>
    <mergeCell ref="J207:J209"/>
    <mergeCell ref="K207:K209"/>
    <mergeCell ref="BJ96:BO126"/>
    <mergeCell ref="BJ146:BO176"/>
    <mergeCell ref="BJ196:BO226"/>
    <mergeCell ref="U213:U215"/>
    <mergeCell ref="N216:N218"/>
    <mergeCell ref="O216:T218"/>
    <mergeCell ref="U216:U218"/>
    <mergeCell ref="BI172:BI174"/>
    <mergeCell ref="N175:N177"/>
    <mergeCell ref="O175:T177"/>
    <mergeCell ref="U175:U177"/>
    <mergeCell ref="V175:V177"/>
    <mergeCell ref="W175:AB177"/>
    <mergeCell ref="AC175:AC177"/>
    <mergeCell ref="N201:N203"/>
    <mergeCell ref="O201:T203"/>
    <mergeCell ref="U201:U203"/>
    <mergeCell ref="N172:N174"/>
    <mergeCell ref="O172:T174"/>
    <mergeCell ref="U172:U174"/>
    <mergeCell ref="N231:N233"/>
    <mergeCell ref="O231:T233"/>
    <mergeCell ref="U231:U233"/>
    <mergeCell ref="N234:N236"/>
    <mergeCell ref="O234:T236"/>
    <mergeCell ref="U234:U236"/>
    <mergeCell ref="N225:N227"/>
    <mergeCell ref="O225:T227"/>
    <mergeCell ref="U225:U227"/>
    <mergeCell ref="N228:N230"/>
    <mergeCell ref="O228:T230"/>
    <mergeCell ref="U228:U230"/>
    <mergeCell ref="N219:N221"/>
    <mergeCell ref="O219:T221"/>
    <mergeCell ref="U219:U221"/>
    <mergeCell ref="N222:N224"/>
    <mergeCell ref="O222:T224"/>
    <mergeCell ref="U222:U224"/>
  </mergeCells>
  <conditionalFormatting sqref="P3">
    <cfRule type="containsBlanks" dxfId="5763" priority="1595">
      <formula>LEN(TRIM(P3))=0</formula>
    </cfRule>
  </conditionalFormatting>
  <conditionalFormatting sqref="AD11:AD40">
    <cfRule type="containsBlanks" dxfId="5762" priority="1541">
      <formula>LEN(TRIM(AD11))=0</formula>
    </cfRule>
  </conditionalFormatting>
  <conditionalFormatting sqref="T3 X3 AB3 AF3 AJ3">
    <cfRule type="containsBlanks" dxfId="5761" priority="1594">
      <formula>LEN(TRIM(T3))=0</formula>
    </cfRule>
  </conditionalFormatting>
  <conditionalFormatting sqref="U65:U68">
    <cfRule type="containsBlanks" dxfId="5760" priority="1561">
      <formula>LEN(TRIM(U65))=0</formula>
    </cfRule>
  </conditionalFormatting>
  <conditionalFormatting sqref="AK77:AK79">
    <cfRule type="containsBlanks" dxfId="5759" priority="1560">
      <formula>LEN(TRIM(AK77))=0</formula>
    </cfRule>
  </conditionalFormatting>
  <conditionalFormatting sqref="AS77:AS79">
    <cfRule type="containsBlanks" dxfId="5758" priority="1559">
      <formula>LEN(TRIM(AS77))=0</formula>
    </cfRule>
  </conditionalFormatting>
  <conditionalFormatting sqref="BA74:BA76">
    <cfRule type="containsBlanks" dxfId="5757" priority="1558">
      <formula>LEN(TRIM(BA74))=0</formula>
    </cfRule>
  </conditionalFormatting>
  <conditionalFormatting sqref="BI71:BI73">
    <cfRule type="containsBlanks" dxfId="5756" priority="1557">
      <formula>LEN(TRIM(BI71))=0</formula>
    </cfRule>
  </conditionalFormatting>
  <conditionalFormatting sqref="U50:U64">
    <cfRule type="containsBlanks" dxfId="5755" priority="1556">
      <formula>LEN(TRIM(U50))=0</formula>
    </cfRule>
  </conditionalFormatting>
  <conditionalFormatting sqref="AC50:AC64">
    <cfRule type="containsBlanks" dxfId="5754" priority="1555">
      <formula>LEN(TRIM(AC50))=0</formula>
    </cfRule>
  </conditionalFormatting>
  <conditionalFormatting sqref="AK50:AK76">
    <cfRule type="containsBlanks" dxfId="5753" priority="1554">
      <formula>LEN(TRIM(AK50))=0</formula>
    </cfRule>
  </conditionalFormatting>
  <conditionalFormatting sqref="AS50:AS76">
    <cfRule type="containsBlanks" dxfId="5752" priority="1553">
      <formula>LEN(TRIM(AS50))=0</formula>
    </cfRule>
  </conditionalFormatting>
  <conditionalFormatting sqref="BA50:BA73">
    <cfRule type="containsBlanks" dxfId="5751" priority="1552">
      <formula>LEN(TRIM(BA50))=0</formula>
    </cfRule>
  </conditionalFormatting>
  <conditionalFormatting sqref="BI50:BI70">
    <cfRule type="containsBlanks" dxfId="5750" priority="1551">
      <formula>LEN(TRIM(BI50))=0</formula>
    </cfRule>
  </conditionalFormatting>
  <conditionalFormatting sqref="AC65:AC67">
    <cfRule type="containsBlanks" dxfId="5749" priority="1550">
      <formula>LEN(TRIM(AC65))=0</formula>
    </cfRule>
  </conditionalFormatting>
  <conditionalFormatting sqref="I42:J42">
    <cfRule type="containsBlanks" dxfId="5748" priority="1547">
      <formula>LEN(TRIM(I42))=0</formula>
    </cfRule>
  </conditionalFormatting>
  <conditionalFormatting sqref="AD41:AD44">
    <cfRule type="containsBlanks" dxfId="5747" priority="1546">
      <formula>LEN(TRIM(AD41))=0</formula>
    </cfRule>
  </conditionalFormatting>
  <conditionalFormatting sqref="I32:J35">
    <cfRule type="containsBlanks" dxfId="5746" priority="1545">
      <formula>LEN(TRIM(I32))=0</formula>
    </cfRule>
  </conditionalFormatting>
  <conditionalFormatting sqref="T32:T34">
    <cfRule type="containsBlanks" dxfId="5745" priority="1544">
      <formula>LEN(TRIM(T32))=0</formula>
    </cfRule>
  </conditionalFormatting>
  <conditionalFormatting sqref="I11:J31">
    <cfRule type="containsBlanks" dxfId="5744" priority="1543">
      <formula>LEN(TRIM(I11))=0</formula>
    </cfRule>
  </conditionalFormatting>
  <conditionalFormatting sqref="T11:T31">
    <cfRule type="containsBlanks" dxfId="5743" priority="1542">
      <formula>LEN(TRIM(T11))=0</formula>
    </cfRule>
  </conditionalFormatting>
  <conditionalFormatting sqref="I39:J41">
    <cfRule type="containsBlanks" dxfId="5742" priority="1540">
      <formula>LEN(TRIM(I39))=0</formula>
    </cfRule>
  </conditionalFormatting>
  <conditionalFormatting sqref="H3:H4">
    <cfRule type="containsBlanks" dxfId="5741" priority="1602">
      <formula>LEN(TRIM(H3))=0</formula>
    </cfRule>
  </conditionalFormatting>
  <conditionalFormatting sqref="L3:L4">
    <cfRule type="containsBlanks" dxfId="5740" priority="1601">
      <formula>LEN(TRIM(L3))=0</formula>
    </cfRule>
  </conditionalFormatting>
  <conditionalFormatting sqref="AD9:XFD40 A39:U40 I37:U38 A32:U36 T20:U22 A250:XFD1848 A7:XFD8 BM5:XFD6 A1:XFD4 A41:XFD46 BQ93:XFD249 I20:L22 A11:A31 I23:U31 I9:U19 N47:XFD47 N79:XFD92 N48:BJ48 N49:BI78 BP48:XFD78">
    <cfRule type="cellIs" dxfId="5739" priority="1491" operator="equal">
      <formula>4.4</formula>
    </cfRule>
    <cfRule type="cellIs" dxfId="5738" priority="1492" operator="equal">
      <formula>4.3</formula>
    </cfRule>
    <cfRule type="cellIs" dxfId="5737" priority="1493" operator="equal">
      <formula>4.2</formula>
    </cfRule>
    <cfRule type="cellIs" dxfId="5736" priority="1494" operator="equal">
      <formula>4.1</formula>
    </cfRule>
    <cfRule type="cellIs" dxfId="5735" priority="1495" operator="equal">
      <formula>3.4</formula>
    </cfRule>
    <cfRule type="cellIs" dxfId="5734" priority="1496" operator="equal">
      <formula>3.3</formula>
    </cfRule>
    <cfRule type="cellIs" dxfId="5733" priority="1497" operator="equal">
      <formula>3.2</formula>
    </cfRule>
    <cfRule type="cellIs" dxfId="5732" priority="1498" operator="equal">
      <formula>3.1</formula>
    </cfRule>
    <cfRule type="cellIs" dxfId="5731" priority="1499" operator="equal">
      <formula>2.4</formula>
    </cfRule>
    <cfRule type="cellIs" dxfId="5730" priority="1500" operator="equal">
      <formula>2.3</formula>
    </cfRule>
    <cfRule type="cellIs" dxfId="5729" priority="1501" operator="equal">
      <formula>2.2</formula>
    </cfRule>
    <cfRule type="cellIs" dxfId="5728" priority="1502" operator="equal">
      <formula>2.1</formula>
    </cfRule>
    <cfRule type="cellIs" dxfId="5727" priority="1503" operator="equal">
      <formula>1.5</formula>
    </cfRule>
    <cfRule type="cellIs" dxfId="5726" priority="1504" operator="equal">
      <formula>1.4</formula>
    </cfRule>
    <cfRule type="cellIs" dxfId="5725" priority="1505" operator="equal">
      <formula>1.3</formula>
    </cfRule>
    <cfRule type="cellIs" dxfId="5724" priority="1506" operator="equal">
      <formula>1.2</formula>
    </cfRule>
    <cfRule type="containsText" dxfId="5723" priority="1507" operator="containsText" text="1.1">
      <formula>NOT(ISERROR(SEARCH("1.1",A1)))</formula>
    </cfRule>
  </conditionalFormatting>
  <conditionalFormatting sqref="V9:AC10">
    <cfRule type="cellIs" dxfId="5722" priority="1474" operator="equal">
      <formula>4.4</formula>
    </cfRule>
    <cfRule type="cellIs" dxfId="5721" priority="1475" operator="equal">
      <formula>4.3</formula>
    </cfRule>
    <cfRule type="cellIs" dxfId="5720" priority="1476" operator="equal">
      <formula>4.2</formula>
    </cfRule>
    <cfRule type="cellIs" dxfId="5719" priority="1477" operator="equal">
      <formula>4.1</formula>
    </cfRule>
    <cfRule type="cellIs" dxfId="5718" priority="1478" operator="equal">
      <formula>3.4</formula>
    </cfRule>
    <cfRule type="cellIs" dxfId="5717" priority="1479" operator="equal">
      <formula>3.3</formula>
    </cfRule>
    <cfRule type="cellIs" dxfId="5716" priority="1480" operator="equal">
      <formula>3.2</formula>
    </cfRule>
    <cfRule type="cellIs" dxfId="5715" priority="1481" operator="equal">
      <formula>3.1</formula>
    </cfRule>
    <cfRule type="cellIs" dxfId="5714" priority="1482" operator="equal">
      <formula>2.4</formula>
    </cfRule>
    <cfRule type="cellIs" dxfId="5713" priority="1483" operator="equal">
      <formula>2.3</formula>
    </cfRule>
    <cfRule type="cellIs" dxfId="5712" priority="1484" operator="equal">
      <formula>2.2</formula>
    </cfRule>
    <cfRule type="cellIs" dxfId="5711" priority="1485" operator="equal">
      <formula>2.1</formula>
    </cfRule>
    <cfRule type="cellIs" dxfId="5710" priority="1486" operator="equal">
      <formula>1.5</formula>
    </cfRule>
    <cfRule type="cellIs" dxfId="5709" priority="1487" operator="equal">
      <formula>1.4</formula>
    </cfRule>
    <cfRule type="cellIs" dxfId="5708" priority="1488" operator="equal">
      <formula>1.3</formula>
    </cfRule>
    <cfRule type="cellIs" dxfId="5707" priority="1489" operator="equal">
      <formula>1.2</formula>
    </cfRule>
    <cfRule type="containsText" dxfId="5706" priority="1490" operator="containsText" text="1.1">
      <formula>NOT(ISERROR(SEARCH("1.1",V9)))</formula>
    </cfRule>
  </conditionalFormatting>
  <conditionalFormatting sqref="V11:V40">
    <cfRule type="cellIs" dxfId="5705" priority="1457" operator="equal">
      <formula>4.4</formula>
    </cfRule>
    <cfRule type="cellIs" dxfId="5704" priority="1458" operator="equal">
      <formula>4.3</formula>
    </cfRule>
    <cfRule type="cellIs" dxfId="5703" priority="1459" operator="equal">
      <formula>4.2</formula>
    </cfRule>
    <cfRule type="cellIs" dxfId="5702" priority="1460" operator="equal">
      <formula>4.1</formula>
    </cfRule>
    <cfRule type="cellIs" dxfId="5701" priority="1461" operator="equal">
      <formula>3.4</formula>
    </cfRule>
    <cfRule type="cellIs" dxfId="5700" priority="1462" operator="equal">
      <formula>3.3</formula>
    </cfRule>
    <cfRule type="cellIs" dxfId="5699" priority="1463" operator="equal">
      <formula>3.2</formula>
    </cfRule>
    <cfRule type="cellIs" dxfId="5698" priority="1464" operator="equal">
      <formula>3.1</formula>
    </cfRule>
    <cfRule type="cellIs" dxfId="5697" priority="1465" operator="equal">
      <formula>2.4</formula>
    </cfRule>
    <cfRule type="cellIs" dxfId="5696" priority="1466" operator="equal">
      <formula>2.3</formula>
    </cfRule>
    <cfRule type="cellIs" dxfId="5695" priority="1467" operator="equal">
      <formula>2.2</formula>
    </cfRule>
    <cfRule type="cellIs" dxfId="5694" priority="1468" operator="equal">
      <formula>2.1</formula>
    </cfRule>
    <cfRule type="cellIs" dxfId="5693" priority="1469" operator="equal">
      <formula>1.5</formula>
    </cfRule>
    <cfRule type="cellIs" dxfId="5692" priority="1470" operator="equal">
      <formula>1.4</formula>
    </cfRule>
    <cfRule type="cellIs" dxfId="5691" priority="1471" operator="equal">
      <formula>1.3</formula>
    </cfRule>
    <cfRule type="cellIs" dxfId="5690" priority="1472" operator="equal">
      <formula>1.2</formula>
    </cfRule>
    <cfRule type="containsText" dxfId="5689" priority="1473" operator="containsText" text="1.1">
      <formula>NOT(ISERROR(SEARCH("1.1",V11)))</formula>
    </cfRule>
  </conditionalFormatting>
  <conditionalFormatting sqref="A9:H10">
    <cfRule type="cellIs" dxfId="5688" priority="1440" operator="equal">
      <formula>4.4</formula>
    </cfRule>
    <cfRule type="cellIs" dxfId="5687" priority="1441" operator="equal">
      <formula>4.3</formula>
    </cfRule>
    <cfRule type="cellIs" dxfId="5686" priority="1442" operator="equal">
      <formula>4.2</formula>
    </cfRule>
    <cfRule type="cellIs" dxfId="5685" priority="1443" operator="equal">
      <formula>4.1</formula>
    </cfRule>
    <cfRule type="cellIs" dxfId="5684" priority="1444" operator="equal">
      <formula>3.4</formula>
    </cfRule>
    <cfRule type="cellIs" dxfId="5683" priority="1445" operator="equal">
      <formula>3.3</formula>
    </cfRule>
    <cfRule type="cellIs" dxfId="5682" priority="1446" operator="equal">
      <formula>3.2</formula>
    </cfRule>
    <cfRule type="cellIs" dxfId="5681" priority="1447" operator="equal">
      <formula>3.1</formula>
    </cfRule>
    <cfRule type="cellIs" dxfId="5680" priority="1448" operator="equal">
      <formula>2.4</formula>
    </cfRule>
    <cfRule type="cellIs" dxfId="5679" priority="1449" operator="equal">
      <formula>2.3</formula>
    </cfRule>
    <cfRule type="cellIs" dxfId="5678" priority="1450" operator="equal">
      <formula>2.2</formula>
    </cfRule>
    <cfRule type="cellIs" dxfId="5677" priority="1451" operator="equal">
      <formula>2.1</formula>
    </cfRule>
    <cfRule type="cellIs" dxfId="5676" priority="1452" operator="equal">
      <formula>1.5</formula>
    </cfRule>
    <cfRule type="cellIs" dxfId="5675" priority="1453" operator="equal">
      <formula>1.4</formula>
    </cfRule>
    <cfRule type="cellIs" dxfId="5674" priority="1454" operator="equal">
      <formula>1.3</formula>
    </cfRule>
    <cfRule type="cellIs" dxfId="5673" priority="1455" operator="equal">
      <formula>1.2</formula>
    </cfRule>
    <cfRule type="containsText" dxfId="5672" priority="1456" operator="containsText" text="1.1">
      <formula>NOT(ISERROR(SEARCH("1.1",A9)))</formula>
    </cfRule>
  </conditionalFormatting>
  <conditionalFormatting sqref="A37:H38">
    <cfRule type="cellIs" dxfId="5671" priority="1423" operator="equal">
      <formula>4.4</formula>
    </cfRule>
    <cfRule type="cellIs" dxfId="5670" priority="1424" operator="equal">
      <formula>4.3</formula>
    </cfRule>
    <cfRule type="cellIs" dxfId="5669" priority="1425" operator="equal">
      <formula>4.2</formula>
    </cfRule>
    <cfRule type="cellIs" dxfId="5668" priority="1426" operator="equal">
      <formula>4.1</formula>
    </cfRule>
    <cfRule type="cellIs" dxfId="5667" priority="1427" operator="equal">
      <formula>3.4</formula>
    </cfRule>
    <cfRule type="cellIs" dxfId="5666" priority="1428" operator="equal">
      <formula>3.3</formula>
    </cfRule>
    <cfRule type="cellIs" dxfId="5665" priority="1429" operator="equal">
      <formula>3.2</formula>
    </cfRule>
    <cfRule type="cellIs" dxfId="5664" priority="1430" operator="equal">
      <formula>3.1</formula>
    </cfRule>
    <cfRule type="cellIs" dxfId="5663" priority="1431" operator="equal">
      <formula>2.4</formula>
    </cfRule>
    <cfRule type="cellIs" dxfId="5662" priority="1432" operator="equal">
      <formula>2.3</formula>
    </cfRule>
    <cfRule type="cellIs" dxfId="5661" priority="1433" operator="equal">
      <formula>2.2</formula>
    </cfRule>
    <cfRule type="cellIs" dxfId="5660" priority="1434" operator="equal">
      <formula>2.1</formula>
    </cfRule>
    <cfRule type="cellIs" dxfId="5659" priority="1435" operator="equal">
      <formula>1.5</formula>
    </cfRule>
    <cfRule type="cellIs" dxfId="5658" priority="1436" operator="equal">
      <formula>1.4</formula>
    </cfRule>
    <cfRule type="cellIs" dxfId="5657" priority="1437" operator="equal">
      <formula>1.3</formula>
    </cfRule>
    <cfRule type="cellIs" dxfId="5656" priority="1438" operator="equal">
      <formula>1.2</formula>
    </cfRule>
    <cfRule type="containsText" dxfId="5655" priority="1439" operator="containsText" text="1.1">
      <formula>NOT(ISERROR(SEARCH("1.1",A37)))</formula>
    </cfRule>
  </conditionalFormatting>
  <conditionalFormatting sqref="M20:S22">
    <cfRule type="cellIs" dxfId="5654" priority="1320" operator="equal">
      <formula>4.4</formula>
    </cfRule>
    <cfRule type="cellIs" dxfId="5653" priority="1321" operator="equal">
      <formula>4.3</formula>
    </cfRule>
    <cfRule type="cellIs" dxfId="5652" priority="1322" operator="equal">
      <formula>4.2</formula>
    </cfRule>
    <cfRule type="cellIs" dxfId="5651" priority="1323" operator="equal">
      <formula>4.1</formula>
    </cfRule>
    <cfRule type="cellIs" dxfId="5650" priority="1324" operator="equal">
      <formula>3.4</formula>
    </cfRule>
    <cfRule type="cellIs" dxfId="5649" priority="1325" operator="equal">
      <formula>3.3</formula>
    </cfRule>
    <cfRule type="cellIs" dxfId="5648" priority="1326" operator="equal">
      <formula>3.2</formula>
    </cfRule>
    <cfRule type="cellIs" dxfId="5647" priority="1327" operator="equal">
      <formula>3.1</formula>
    </cfRule>
    <cfRule type="cellIs" dxfId="5646" priority="1328" operator="equal">
      <formula>2.4</formula>
    </cfRule>
    <cfRule type="cellIs" dxfId="5645" priority="1329" operator="equal">
      <formula>2.3</formula>
    </cfRule>
    <cfRule type="cellIs" dxfId="5644" priority="1330" operator="equal">
      <formula>2.2</formula>
    </cfRule>
    <cfRule type="cellIs" dxfId="5643" priority="1331" operator="equal">
      <formula>2.1</formula>
    </cfRule>
    <cfRule type="cellIs" dxfId="5642" priority="1332" operator="equal">
      <formula>1.5</formula>
    </cfRule>
    <cfRule type="cellIs" dxfId="5641" priority="1333" operator="equal">
      <formula>1.4</formula>
    </cfRule>
    <cfRule type="cellIs" dxfId="5640" priority="1334" operator="equal">
      <formula>1.3</formula>
    </cfRule>
    <cfRule type="cellIs" dxfId="5639" priority="1335" operator="equal">
      <formula>1.2</formula>
    </cfRule>
    <cfRule type="containsText" dxfId="5638" priority="1336" operator="containsText" text="1.1">
      <formula>NOT(ISERROR(SEARCH("1.1",M20)))</formula>
    </cfRule>
  </conditionalFormatting>
  <conditionalFormatting sqref="BP93">
    <cfRule type="cellIs" dxfId="5637" priority="1303" operator="equal">
      <formula>4.4</formula>
    </cfRule>
    <cfRule type="cellIs" dxfId="5636" priority="1304" operator="equal">
      <formula>4.3</formula>
    </cfRule>
    <cfRule type="cellIs" dxfId="5635" priority="1305" operator="equal">
      <formula>4.2</formula>
    </cfRule>
    <cfRule type="cellIs" dxfId="5634" priority="1306" operator="equal">
      <formula>4.1</formula>
    </cfRule>
    <cfRule type="cellIs" dxfId="5633" priority="1307" operator="equal">
      <formula>3.4</formula>
    </cfRule>
    <cfRule type="cellIs" dxfId="5632" priority="1308" operator="equal">
      <formula>3.3</formula>
    </cfRule>
    <cfRule type="cellIs" dxfId="5631" priority="1309" operator="equal">
      <formula>3.2</formula>
    </cfRule>
    <cfRule type="cellIs" dxfId="5630" priority="1310" operator="equal">
      <formula>3.1</formula>
    </cfRule>
    <cfRule type="cellIs" dxfId="5629" priority="1311" operator="equal">
      <formula>2.4</formula>
    </cfRule>
    <cfRule type="cellIs" dxfId="5628" priority="1312" operator="equal">
      <formula>2.3</formula>
    </cfRule>
    <cfRule type="cellIs" dxfId="5627" priority="1313" operator="equal">
      <formula>2.2</formula>
    </cfRule>
    <cfRule type="cellIs" dxfId="5626" priority="1314" operator="equal">
      <formula>2.1</formula>
    </cfRule>
    <cfRule type="cellIs" dxfId="5625" priority="1315" operator="equal">
      <formula>1.5</formula>
    </cfRule>
    <cfRule type="cellIs" dxfId="5624" priority="1316" operator="equal">
      <formula>1.4</formula>
    </cfRule>
    <cfRule type="cellIs" dxfId="5623" priority="1317" operator="equal">
      <formula>1.3</formula>
    </cfRule>
    <cfRule type="cellIs" dxfId="5622" priority="1318" operator="equal">
      <formula>1.2</formula>
    </cfRule>
    <cfRule type="containsText" dxfId="5621" priority="1319" operator="containsText" text="1.1">
      <formula>NOT(ISERROR(SEARCH("1.1",BP93)))</formula>
    </cfRule>
  </conditionalFormatting>
  <conditionalFormatting sqref="A93:BO94 A249:BO249 A143:BO144 BJ95:BO95 BJ145:BO145 AT195:BO195 A140:M142 A240:M248 A190:M192 A193 BM193:BO194 L195:M239 BJ127:BO142 BJ96 BJ177:BO192 BJ146 AT227:BO248 AT196:BJ196 AT197:BI226">
    <cfRule type="cellIs" dxfId="5620" priority="1282" operator="equal">
      <formula>4.4</formula>
    </cfRule>
    <cfRule type="cellIs" dxfId="5619" priority="1283" operator="equal">
      <formula>4.3</formula>
    </cfRule>
    <cfRule type="cellIs" dxfId="5618" priority="1284" operator="equal">
      <formula>4.2</formula>
    </cfRule>
    <cfRule type="cellIs" dxfId="5617" priority="1285" operator="equal">
      <formula>4.1</formula>
    </cfRule>
    <cfRule type="cellIs" dxfId="5616" priority="1286" operator="equal">
      <formula>3.4</formula>
    </cfRule>
    <cfRule type="cellIs" dxfId="5615" priority="1287" operator="equal">
      <formula>3.3</formula>
    </cfRule>
    <cfRule type="cellIs" dxfId="5614" priority="1288" operator="equal">
      <formula>3.2</formula>
    </cfRule>
    <cfRule type="cellIs" dxfId="5613" priority="1289" operator="equal">
      <formula>3.1</formula>
    </cfRule>
    <cfRule type="cellIs" dxfId="5612" priority="1290" operator="equal">
      <formula>2.4</formula>
    </cfRule>
    <cfRule type="cellIs" dxfId="5611" priority="1291" operator="equal">
      <formula>2.3</formula>
    </cfRule>
    <cfRule type="cellIs" dxfId="5610" priority="1292" operator="equal">
      <formula>2.2</formula>
    </cfRule>
    <cfRule type="cellIs" dxfId="5609" priority="1293" operator="equal">
      <formula>2.1</formula>
    </cfRule>
    <cfRule type="cellIs" dxfId="5608" priority="1294" operator="equal">
      <formula>1.5</formula>
    </cfRule>
    <cfRule type="cellIs" dxfId="5607" priority="1295" operator="equal">
      <formula>1.4</formula>
    </cfRule>
    <cfRule type="cellIs" dxfId="5606" priority="1296" operator="equal">
      <formula>1.3</formula>
    </cfRule>
    <cfRule type="cellIs" dxfId="5605" priority="1297" operator="equal">
      <formula>1.2</formula>
    </cfRule>
    <cfRule type="containsText" dxfId="5604" priority="1298" operator="containsText" text="1.1">
      <formula>NOT(ISERROR(SEARCH("1.1",A93)))</formula>
    </cfRule>
  </conditionalFormatting>
  <conditionalFormatting sqref="AS98:AS136 BA98:BA139 BI98:BI139 T134:U136 AB131:AC133 AJ140:AK142 AR137:AS139 AZ140:BA142 BH140:BI142">
    <cfRule type="containsBlanks" dxfId="5603" priority="1230">
      <formula>LEN(TRIM(T98))=0</formula>
    </cfRule>
  </conditionalFormatting>
  <conditionalFormatting sqref="AK98:AK139">
    <cfRule type="containsBlanks" dxfId="5602" priority="1229">
      <formula>LEN(TRIM(AK98))=0</formula>
    </cfRule>
  </conditionalFormatting>
  <conditionalFormatting sqref="AK148:AK177">
    <cfRule type="containsBlanks" dxfId="5601" priority="1153">
      <formula>LEN(TRIM(AK148))=0</formula>
    </cfRule>
  </conditionalFormatting>
  <conditionalFormatting sqref="N137:R137 V132:Z142 AA137:AC142 N95:AK97 N98:T133 V131:AJ131 V98:AB130 AD98:AK100 AD101:AJ130 AK101:AK139 N134:U136 AA132:AJ136 AD140:AK142 AL95:BI142">
    <cfRule type="cellIs" dxfId="5600" priority="1212" operator="equal">
      <formula>4.4</formula>
    </cfRule>
    <cfRule type="cellIs" dxfId="5599" priority="1213" operator="equal">
      <formula>4.3</formula>
    </cfRule>
    <cfRule type="cellIs" dxfId="5598" priority="1214" operator="equal">
      <formula>4.2</formula>
    </cfRule>
    <cfRule type="cellIs" dxfId="5597" priority="1215" operator="equal">
      <formula>4.1</formula>
    </cfRule>
    <cfRule type="cellIs" dxfId="5596" priority="1216" operator="equal">
      <formula>3.4</formula>
    </cfRule>
    <cfRule type="cellIs" dxfId="5595" priority="1217" operator="equal">
      <formula>3.3</formula>
    </cfRule>
    <cfRule type="cellIs" dxfId="5594" priority="1218" operator="equal">
      <formula>3.2</formula>
    </cfRule>
    <cfRule type="cellIs" dxfId="5593" priority="1219" operator="equal">
      <formula>3.1</formula>
    </cfRule>
    <cfRule type="cellIs" dxfId="5592" priority="1220" operator="equal">
      <formula>2.4</formula>
    </cfRule>
    <cfRule type="cellIs" dxfId="5591" priority="1221" operator="equal">
      <formula>2.3</formula>
    </cfRule>
    <cfRule type="cellIs" dxfId="5590" priority="1222" operator="equal">
      <formula>2.2</formula>
    </cfRule>
    <cfRule type="cellIs" dxfId="5589" priority="1223" operator="equal">
      <formula>2.1</formula>
    </cfRule>
    <cfRule type="cellIs" dxfId="5588" priority="1224" operator="equal">
      <formula>1.5</formula>
    </cfRule>
    <cfRule type="cellIs" dxfId="5587" priority="1225" operator="equal">
      <formula>1.4</formula>
    </cfRule>
    <cfRule type="cellIs" dxfId="5586" priority="1226" operator="equal">
      <formula>1.3</formula>
    </cfRule>
    <cfRule type="cellIs" dxfId="5585" priority="1227" operator="equal">
      <formula>1.2</formula>
    </cfRule>
    <cfRule type="containsText" dxfId="5584" priority="1228" operator="containsText" text="1.1">
      <formula>NOT(ISERROR(SEARCH("1.1",N95)))</formula>
    </cfRule>
  </conditionalFormatting>
  <conditionalFormatting sqref="AS148:AS174">
    <cfRule type="containsBlanks" dxfId="5583" priority="1152">
      <formula>LEN(TRIM(AS148))=0</formula>
    </cfRule>
  </conditionalFormatting>
  <conditionalFormatting sqref="AD137:AJ139">
    <cfRule type="cellIs" dxfId="5582" priority="1195" operator="equal">
      <formula>4.4</formula>
    </cfRule>
    <cfRule type="cellIs" dxfId="5581" priority="1196" operator="equal">
      <formula>4.3</formula>
    </cfRule>
    <cfRule type="cellIs" dxfId="5580" priority="1197" operator="equal">
      <formula>4.2</formula>
    </cfRule>
    <cfRule type="cellIs" dxfId="5579" priority="1198" operator="equal">
      <formula>4.1</formula>
    </cfRule>
    <cfRule type="cellIs" dxfId="5578" priority="1199" operator="equal">
      <formula>3.4</formula>
    </cfRule>
    <cfRule type="cellIs" dxfId="5577" priority="1200" operator="equal">
      <formula>3.3</formula>
    </cfRule>
    <cfRule type="cellIs" dxfId="5576" priority="1201" operator="equal">
      <formula>3.2</formula>
    </cfRule>
    <cfRule type="cellIs" dxfId="5575" priority="1202" operator="equal">
      <formula>3.1</formula>
    </cfRule>
    <cfRule type="cellIs" dxfId="5574" priority="1203" operator="equal">
      <formula>2.4</formula>
    </cfRule>
    <cfRule type="cellIs" dxfId="5573" priority="1204" operator="equal">
      <formula>2.3</formula>
    </cfRule>
    <cfRule type="cellIs" dxfId="5572" priority="1205" operator="equal">
      <formula>2.2</formula>
    </cfRule>
    <cfRule type="cellIs" dxfId="5571" priority="1206" operator="equal">
      <formula>2.1</formula>
    </cfRule>
    <cfRule type="cellIs" dxfId="5570" priority="1207" operator="equal">
      <formula>1.5</formula>
    </cfRule>
    <cfRule type="cellIs" dxfId="5569" priority="1208" operator="equal">
      <formula>1.4</formula>
    </cfRule>
    <cfRule type="cellIs" dxfId="5568" priority="1209" operator="equal">
      <formula>1.3</formula>
    </cfRule>
    <cfRule type="cellIs" dxfId="5567" priority="1210" operator="equal">
      <formula>1.2</formula>
    </cfRule>
    <cfRule type="containsText" dxfId="5566" priority="1211" operator="containsText" text="1.1">
      <formula>NOT(ISERROR(SEARCH("1.1",AD137)))</formula>
    </cfRule>
  </conditionalFormatting>
  <conditionalFormatting sqref="U98:U133">
    <cfRule type="containsBlanks" dxfId="5565" priority="1194">
      <formula>LEN(TRIM(U98))=0</formula>
    </cfRule>
  </conditionalFormatting>
  <conditionalFormatting sqref="U98:U133">
    <cfRule type="cellIs" dxfId="5564" priority="1177" operator="equal">
      <formula>4.4</formula>
    </cfRule>
    <cfRule type="cellIs" dxfId="5563" priority="1178" operator="equal">
      <formula>4.3</formula>
    </cfRule>
    <cfRule type="cellIs" dxfId="5562" priority="1179" operator="equal">
      <formula>4.2</formula>
    </cfRule>
    <cfRule type="cellIs" dxfId="5561" priority="1180" operator="equal">
      <formula>4.1</formula>
    </cfRule>
    <cfRule type="cellIs" dxfId="5560" priority="1181" operator="equal">
      <formula>3.4</formula>
    </cfRule>
    <cfRule type="cellIs" dxfId="5559" priority="1182" operator="equal">
      <formula>3.3</formula>
    </cfRule>
    <cfRule type="cellIs" dxfId="5558" priority="1183" operator="equal">
      <formula>3.2</formula>
    </cfRule>
    <cfRule type="cellIs" dxfId="5557" priority="1184" operator="equal">
      <formula>3.1</formula>
    </cfRule>
    <cfRule type="cellIs" dxfId="5556" priority="1185" operator="equal">
      <formula>2.4</formula>
    </cfRule>
    <cfRule type="cellIs" dxfId="5555" priority="1186" operator="equal">
      <formula>2.3</formula>
    </cfRule>
    <cfRule type="cellIs" dxfId="5554" priority="1187" operator="equal">
      <formula>2.2</formula>
    </cfRule>
    <cfRule type="cellIs" dxfId="5553" priority="1188" operator="equal">
      <formula>2.1</formula>
    </cfRule>
    <cfRule type="cellIs" dxfId="5552" priority="1189" operator="equal">
      <formula>1.5</formula>
    </cfRule>
    <cfRule type="cellIs" dxfId="5551" priority="1190" operator="equal">
      <formula>1.4</formula>
    </cfRule>
    <cfRule type="cellIs" dxfId="5550" priority="1191" operator="equal">
      <formula>1.3</formula>
    </cfRule>
    <cfRule type="cellIs" dxfId="5549" priority="1192" operator="equal">
      <formula>1.2</formula>
    </cfRule>
    <cfRule type="containsText" dxfId="5548" priority="1193" operator="containsText" text="1.1">
      <formula>NOT(ISERROR(SEARCH("1.1",U98)))</formula>
    </cfRule>
  </conditionalFormatting>
  <conditionalFormatting sqref="AC98:AC130">
    <cfRule type="containsBlanks" dxfId="5547" priority="1176">
      <formula>LEN(TRIM(AC98))=0</formula>
    </cfRule>
  </conditionalFormatting>
  <conditionalFormatting sqref="AC98:AC130">
    <cfRule type="cellIs" dxfId="5546" priority="1159" operator="equal">
      <formula>4.4</formula>
    </cfRule>
    <cfRule type="cellIs" dxfId="5545" priority="1160" operator="equal">
      <formula>4.3</formula>
    </cfRule>
    <cfRule type="cellIs" dxfId="5544" priority="1161" operator="equal">
      <formula>4.2</formula>
    </cfRule>
    <cfRule type="cellIs" dxfId="5543" priority="1162" operator="equal">
      <formula>4.1</formula>
    </cfRule>
    <cfRule type="cellIs" dxfId="5542" priority="1163" operator="equal">
      <formula>3.4</formula>
    </cfRule>
    <cfRule type="cellIs" dxfId="5541" priority="1164" operator="equal">
      <formula>3.3</formula>
    </cfRule>
    <cfRule type="cellIs" dxfId="5540" priority="1165" operator="equal">
      <formula>3.2</formula>
    </cfRule>
    <cfRule type="cellIs" dxfId="5539" priority="1166" operator="equal">
      <formula>3.1</formula>
    </cfRule>
    <cfRule type="cellIs" dxfId="5538" priority="1167" operator="equal">
      <formula>2.4</formula>
    </cfRule>
    <cfRule type="cellIs" dxfId="5537" priority="1168" operator="equal">
      <formula>2.3</formula>
    </cfRule>
    <cfRule type="cellIs" dxfId="5536" priority="1169" operator="equal">
      <formula>2.2</formula>
    </cfRule>
    <cfRule type="cellIs" dxfId="5535" priority="1170" operator="equal">
      <formula>2.1</formula>
    </cfRule>
    <cfRule type="cellIs" dxfId="5534" priority="1171" operator="equal">
      <formula>1.5</formula>
    </cfRule>
    <cfRule type="cellIs" dxfId="5533" priority="1172" operator="equal">
      <formula>1.4</formula>
    </cfRule>
    <cfRule type="cellIs" dxfId="5532" priority="1173" operator="equal">
      <formula>1.3</formula>
    </cfRule>
    <cfRule type="cellIs" dxfId="5531" priority="1174" operator="equal">
      <formula>1.2</formula>
    </cfRule>
    <cfRule type="containsText" dxfId="5530" priority="1175" operator="containsText" text="1.1">
      <formula>NOT(ISERROR(SEARCH("1.1",AC98)))</formula>
    </cfRule>
  </conditionalFormatting>
  <conditionalFormatting sqref="T181:U183 AB178:AC180 AJ178:AK180 AR175:AS177 AZ190:BA192 BH190:BI192">
    <cfRule type="containsBlanks" dxfId="5529" priority="1158">
      <formula>LEN(TRIM(T175))=0</formula>
    </cfRule>
  </conditionalFormatting>
  <conditionalFormatting sqref="BA148:BA189">
    <cfRule type="containsBlanks" dxfId="5528" priority="1157">
      <formula>LEN(TRIM(BA148))=0</formula>
    </cfRule>
  </conditionalFormatting>
  <conditionalFormatting sqref="BI148:BI189">
    <cfRule type="containsBlanks" dxfId="5527" priority="1156">
      <formula>LEN(TRIM(BI148))=0</formula>
    </cfRule>
  </conditionalFormatting>
  <conditionalFormatting sqref="U148:U180">
    <cfRule type="containsBlanks" dxfId="5526" priority="1155">
      <formula>LEN(TRIM(U148))=0</formula>
    </cfRule>
  </conditionalFormatting>
  <conditionalFormatting sqref="AC148:AC177">
    <cfRule type="containsBlanks" dxfId="5525" priority="1154">
      <formula>LEN(TRIM(AC148))=0</formula>
    </cfRule>
  </conditionalFormatting>
  <conditionalFormatting sqref="AT176:AZ186 N145:BI150 BB151:BH186 BA151:BA189 BI151:BI189 AL151:AZ175 N151:AK192 AL176:AS192 AT190:BI192">
    <cfRule type="cellIs" dxfId="5524" priority="1135" operator="equal">
      <formula>4.4</formula>
    </cfRule>
    <cfRule type="cellIs" dxfId="5523" priority="1136" operator="equal">
      <formula>4.3</formula>
    </cfRule>
    <cfRule type="cellIs" dxfId="5522" priority="1137" operator="equal">
      <formula>4.2</formula>
    </cfRule>
    <cfRule type="cellIs" dxfId="5521" priority="1138" operator="equal">
      <formula>4.1</formula>
    </cfRule>
    <cfRule type="cellIs" dxfId="5520" priority="1139" operator="equal">
      <formula>3.4</formula>
    </cfRule>
    <cfRule type="cellIs" dxfId="5519" priority="1140" operator="equal">
      <formula>3.3</formula>
    </cfRule>
    <cfRule type="cellIs" dxfId="5518" priority="1141" operator="equal">
      <formula>3.2</formula>
    </cfRule>
    <cfRule type="cellIs" dxfId="5517" priority="1142" operator="equal">
      <formula>3.1</formula>
    </cfRule>
    <cfRule type="cellIs" dxfId="5516" priority="1143" operator="equal">
      <formula>2.4</formula>
    </cfRule>
    <cfRule type="cellIs" dxfId="5515" priority="1144" operator="equal">
      <formula>2.3</formula>
    </cfRule>
    <cfRule type="cellIs" dxfId="5514" priority="1145" operator="equal">
      <formula>2.2</formula>
    </cfRule>
    <cfRule type="cellIs" dxfId="5513" priority="1146" operator="equal">
      <formula>2.1</formula>
    </cfRule>
    <cfRule type="cellIs" dxfId="5512" priority="1147" operator="equal">
      <formula>1.5</formula>
    </cfRule>
    <cfRule type="cellIs" dxfId="5511" priority="1148" operator="equal">
      <formula>1.4</formula>
    </cfRule>
    <cfRule type="cellIs" dxfId="5510" priority="1149" operator="equal">
      <formula>1.3</formula>
    </cfRule>
    <cfRule type="cellIs" dxfId="5509" priority="1150" operator="equal">
      <formula>1.2</formula>
    </cfRule>
    <cfRule type="containsText" dxfId="5508" priority="1151" operator="containsText" text="1.1">
      <formula>NOT(ISERROR(SEARCH("1.1",N145)))</formula>
    </cfRule>
  </conditionalFormatting>
  <conditionalFormatting sqref="AT187:AZ189">
    <cfRule type="cellIs" dxfId="5507" priority="1118" operator="equal">
      <formula>4.4</formula>
    </cfRule>
    <cfRule type="cellIs" dxfId="5506" priority="1119" operator="equal">
      <formula>4.3</formula>
    </cfRule>
    <cfRule type="cellIs" dxfId="5505" priority="1120" operator="equal">
      <formula>4.2</formula>
    </cfRule>
    <cfRule type="cellIs" dxfId="5504" priority="1121" operator="equal">
      <formula>4.1</formula>
    </cfRule>
    <cfRule type="cellIs" dxfId="5503" priority="1122" operator="equal">
      <formula>3.4</formula>
    </cfRule>
    <cfRule type="cellIs" dxfId="5502" priority="1123" operator="equal">
      <formula>3.3</formula>
    </cfRule>
    <cfRule type="cellIs" dxfId="5501" priority="1124" operator="equal">
      <formula>3.2</formula>
    </cfRule>
    <cfRule type="cellIs" dxfId="5500" priority="1125" operator="equal">
      <formula>3.1</formula>
    </cfRule>
    <cfRule type="cellIs" dxfId="5499" priority="1126" operator="equal">
      <formula>2.4</formula>
    </cfRule>
    <cfRule type="cellIs" dxfId="5498" priority="1127" operator="equal">
      <formula>2.3</formula>
    </cfRule>
    <cfRule type="cellIs" dxfId="5497" priority="1128" operator="equal">
      <formula>2.2</formula>
    </cfRule>
    <cfRule type="cellIs" dxfId="5496" priority="1129" operator="equal">
      <formula>2.1</formula>
    </cfRule>
    <cfRule type="cellIs" dxfId="5495" priority="1130" operator="equal">
      <formula>1.5</formula>
    </cfRule>
    <cfRule type="cellIs" dxfId="5494" priority="1131" operator="equal">
      <formula>1.4</formula>
    </cfRule>
    <cfRule type="cellIs" dxfId="5493" priority="1132" operator="equal">
      <formula>1.3</formula>
    </cfRule>
    <cfRule type="cellIs" dxfId="5492" priority="1133" operator="equal">
      <formula>1.2</formula>
    </cfRule>
    <cfRule type="containsText" dxfId="5491" priority="1134" operator="containsText" text="1.1">
      <formula>NOT(ISERROR(SEARCH("1.1",AT187)))</formula>
    </cfRule>
  </conditionalFormatting>
  <conditionalFormatting sqref="BB187:BH189">
    <cfRule type="cellIs" dxfId="5490" priority="1101" operator="equal">
      <formula>4.4</formula>
    </cfRule>
    <cfRule type="cellIs" dxfId="5489" priority="1102" operator="equal">
      <formula>4.3</formula>
    </cfRule>
    <cfRule type="cellIs" dxfId="5488" priority="1103" operator="equal">
      <formula>4.2</formula>
    </cfRule>
    <cfRule type="cellIs" dxfId="5487" priority="1104" operator="equal">
      <formula>4.1</formula>
    </cfRule>
    <cfRule type="cellIs" dxfId="5486" priority="1105" operator="equal">
      <formula>3.4</formula>
    </cfRule>
    <cfRule type="cellIs" dxfId="5485" priority="1106" operator="equal">
      <formula>3.3</formula>
    </cfRule>
    <cfRule type="cellIs" dxfId="5484" priority="1107" operator="equal">
      <formula>3.2</formula>
    </cfRule>
    <cfRule type="cellIs" dxfId="5483" priority="1108" operator="equal">
      <formula>3.1</formula>
    </cfRule>
    <cfRule type="cellIs" dxfId="5482" priority="1109" operator="equal">
      <formula>2.4</formula>
    </cfRule>
    <cfRule type="cellIs" dxfId="5481" priority="1110" operator="equal">
      <formula>2.3</formula>
    </cfRule>
    <cfRule type="cellIs" dxfId="5480" priority="1111" operator="equal">
      <formula>2.2</formula>
    </cfRule>
    <cfRule type="cellIs" dxfId="5479" priority="1112" operator="equal">
      <formula>2.1</formula>
    </cfRule>
    <cfRule type="cellIs" dxfId="5478" priority="1113" operator="equal">
      <formula>1.5</formula>
    </cfRule>
    <cfRule type="cellIs" dxfId="5477" priority="1114" operator="equal">
      <formula>1.4</formula>
    </cfRule>
    <cfRule type="cellIs" dxfId="5476" priority="1115" operator="equal">
      <formula>1.3</formula>
    </cfRule>
    <cfRule type="cellIs" dxfId="5475" priority="1116" operator="equal">
      <formula>1.2</formula>
    </cfRule>
    <cfRule type="containsText" dxfId="5474" priority="1117" operator="containsText" text="1.1">
      <formula>NOT(ISERROR(SEARCH("1.1",BB187)))</formula>
    </cfRule>
  </conditionalFormatting>
  <conditionalFormatting sqref="AS198:AS245 T237:U239 AR246:AS248 AB237:AC239 AJ234:AK236">
    <cfRule type="containsBlanks" dxfId="5473" priority="1100">
      <formula>LEN(TRIM(T198))=0</formula>
    </cfRule>
  </conditionalFormatting>
  <conditionalFormatting sqref="U198:U236">
    <cfRule type="containsBlanks" dxfId="5472" priority="1099">
      <formula>LEN(TRIM(U198))=0</formula>
    </cfRule>
  </conditionalFormatting>
  <conditionalFormatting sqref="AC198:AC236">
    <cfRule type="containsBlanks" dxfId="5471" priority="1098">
      <formula>LEN(TRIM(AC198))=0</formula>
    </cfRule>
  </conditionalFormatting>
  <conditionalFormatting sqref="AK198:AK233">
    <cfRule type="containsBlanks" dxfId="5470" priority="1097">
      <formula>LEN(TRIM(AK198))=0</formula>
    </cfRule>
  </conditionalFormatting>
  <conditionalFormatting sqref="AI248:AK248 AI238:AK246 N195:AS200 AL240:AR245 AS201:AS245 AL246:AS248 N237:AK237 N238:AH248 N201:AR236">
    <cfRule type="cellIs" dxfId="5469" priority="1080" operator="equal">
      <formula>4.4</formula>
    </cfRule>
    <cfRule type="cellIs" dxfId="5468" priority="1081" operator="equal">
      <formula>4.3</formula>
    </cfRule>
    <cfRule type="cellIs" dxfId="5467" priority="1082" operator="equal">
      <formula>4.2</formula>
    </cfRule>
    <cfRule type="cellIs" dxfId="5466" priority="1083" operator="equal">
      <formula>4.1</formula>
    </cfRule>
    <cfRule type="cellIs" dxfId="5465" priority="1084" operator="equal">
      <formula>3.4</formula>
    </cfRule>
    <cfRule type="cellIs" dxfId="5464" priority="1085" operator="equal">
      <formula>3.3</formula>
    </cfRule>
    <cfRule type="cellIs" dxfId="5463" priority="1086" operator="equal">
      <formula>3.2</formula>
    </cfRule>
    <cfRule type="cellIs" dxfId="5462" priority="1087" operator="equal">
      <formula>3.1</formula>
    </cfRule>
    <cfRule type="cellIs" dxfId="5461" priority="1088" operator="equal">
      <formula>2.4</formula>
    </cfRule>
    <cfRule type="cellIs" dxfId="5460" priority="1089" operator="equal">
      <formula>2.3</formula>
    </cfRule>
    <cfRule type="cellIs" dxfId="5459" priority="1090" operator="equal">
      <formula>2.2</formula>
    </cfRule>
    <cfRule type="cellIs" dxfId="5458" priority="1091" operator="equal">
      <formula>2.1</formula>
    </cfRule>
    <cfRule type="cellIs" dxfId="5457" priority="1092" operator="equal">
      <formula>1.5</formula>
    </cfRule>
    <cfRule type="cellIs" dxfId="5456" priority="1093" operator="equal">
      <formula>1.4</formula>
    </cfRule>
    <cfRule type="cellIs" dxfId="5455" priority="1094" operator="equal">
      <formula>1.3</formula>
    </cfRule>
    <cfRule type="cellIs" dxfId="5454" priority="1095" operator="equal">
      <formula>1.2</formula>
    </cfRule>
    <cfRule type="containsText" dxfId="5453" priority="1096" operator="containsText" text="1.1">
      <formula>NOT(ISERROR(SEARCH("1.1",N195)))</formula>
    </cfRule>
  </conditionalFormatting>
  <conditionalFormatting sqref="AL237:AR239">
    <cfRule type="cellIs" dxfId="5452" priority="1063" operator="equal">
      <formula>4.4</formula>
    </cfRule>
    <cfRule type="cellIs" dxfId="5451" priority="1064" operator="equal">
      <formula>4.3</formula>
    </cfRule>
    <cfRule type="cellIs" dxfId="5450" priority="1065" operator="equal">
      <formula>4.2</formula>
    </cfRule>
    <cfRule type="cellIs" dxfId="5449" priority="1066" operator="equal">
      <formula>4.1</formula>
    </cfRule>
    <cfRule type="cellIs" dxfId="5448" priority="1067" operator="equal">
      <formula>3.4</formula>
    </cfRule>
    <cfRule type="cellIs" dxfId="5447" priority="1068" operator="equal">
      <formula>3.3</formula>
    </cfRule>
    <cfRule type="cellIs" dxfId="5446" priority="1069" operator="equal">
      <formula>3.2</formula>
    </cfRule>
    <cfRule type="cellIs" dxfId="5445" priority="1070" operator="equal">
      <formula>3.1</formula>
    </cfRule>
    <cfRule type="cellIs" dxfId="5444" priority="1071" operator="equal">
      <formula>2.4</formula>
    </cfRule>
    <cfRule type="cellIs" dxfId="5443" priority="1072" operator="equal">
      <formula>2.3</formula>
    </cfRule>
    <cfRule type="cellIs" dxfId="5442" priority="1073" operator="equal">
      <formula>2.2</formula>
    </cfRule>
    <cfRule type="cellIs" dxfId="5441" priority="1074" operator="equal">
      <formula>2.1</formula>
    </cfRule>
    <cfRule type="cellIs" dxfId="5440" priority="1075" operator="equal">
      <formula>1.5</formula>
    </cfRule>
    <cfRule type="cellIs" dxfId="5439" priority="1076" operator="equal">
      <formula>1.4</formula>
    </cfRule>
    <cfRule type="cellIs" dxfId="5438" priority="1077" operator="equal">
      <formula>1.3</formula>
    </cfRule>
    <cfRule type="cellIs" dxfId="5437" priority="1078" operator="equal">
      <formula>1.2</formula>
    </cfRule>
    <cfRule type="containsText" dxfId="5436" priority="1079" operator="containsText" text="1.1">
      <formula>NOT(ISERROR(SEARCH("1.1",AL237)))</formula>
    </cfRule>
  </conditionalFormatting>
  <conditionalFormatting sqref="T5:T6 X5:X6 AB5:AB6 AF5:AF6 AJ5:AJ6 AN5:AN6 AR5:AR6 AZ5:AZ6 AV5:AV6 P5:P6 D5:D6 H5:H6 L5:L6">
    <cfRule type="containsBlanks" dxfId="5435" priority="1062">
      <formula>LEN(TRIM(D5))=0</formula>
    </cfRule>
  </conditionalFormatting>
  <conditionalFormatting sqref="A5:AZ6">
    <cfRule type="cellIs" dxfId="5434" priority="1045" operator="equal">
      <formula>4.4</formula>
    </cfRule>
    <cfRule type="cellIs" dxfId="5433" priority="1046" operator="equal">
      <formula>4.3</formula>
    </cfRule>
    <cfRule type="cellIs" dxfId="5432" priority="1047" operator="equal">
      <formula>4.2</formula>
    </cfRule>
    <cfRule type="cellIs" dxfId="5431" priority="1048" operator="equal">
      <formula>4.1</formula>
    </cfRule>
    <cfRule type="cellIs" dxfId="5430" priority="1049" operator="equal">
      <formula>3.4</formula>
    </cfRule>
    <cfRule type="cellIs" dxfId="5429" priority="1050" operator="equal">
      <formula>3.3</formula>
    </cfRule>
    <cfRule type="cellIs" dxfId="5428" priority="1051" operator="equal">
      <formula>3.2</formula>
    </cfRule>
    <cfRule type="cellIs" dxfId="5427" priority="1052" operator="equal">
      <formula>3.1</formula>
    </cfRule>
    <cfRule type="cellIs" dxfId="5426" priority="1053" operator="equal">
      <formula>2.4</formula>
    </cfRule>
    <cfRule type="cellIs" dxfId="5425" priority="1054" operator="equal">
      <formula>2.3</formula>
    </cfRule>
    <cfRule type="cellIs" dxfId="5424" priority="1055" operator="equal">
      <formula>2.2</formula>
    </cfRule>
    <cfRule type="cellIs" dxfId="5423" priority="1056" operator="equal">
      <formula>2.1</formula>
    </cfRule>
    <cfRule type="cellIs" dxfId="5422" priority="1057" operator="equal">
      <formula>1.5</formula>
    </cfRule>
    <cfRule type="cellIs" dxfId="5421" priority="1058" operator="equal">
      <formula>1.4</formula>
    </cfRule>
    <cfRule type="cellIs" dxfId="5420" priority="1059" operator="equal">
      <formula>1.3</formula>
    </cfRule>
    <cfRule type="cellIs" dxfId="5419" priority="1060" operator="equal">
      <formula>1.2</formula>
    </cfRule>
    <cfRule type="containsText" dxfId="5418" priority="1061" operator="containsText" text="1.1">
      <formula>NOT(ISERROR(SEARCH("1.1",A5)))</formula>
    </cfRule>
  </conditionalFormatting>
  <conditionalFormatting sqref="BI5:BL6">
    <cfRule type="cellIs" dxfId="5417" priority="1028" operator="equal">
      <formula>4.4</formula>
    </cfRule>
    <cfRule type="cellIs" dxfId="5416" priority="1029" operator="equal">
      <formula>4.3</formula>
    </cfRule>
    <cfRule type="cellIs" dxfId="5415" priority="1030" operator="equal">
      <formula>4.2</formula>
    </cfRule>
    <cfRule type="cellIs" dxfId="5414" priority="1031" operator="equal">
      <formula>4.1</formula>
    </cfRule>
    <cfRule type="cellIs" dxfId="5413" priority="1032" operator="equal">
      <formula>3.4</formula>
    </cfRule>
    <cfRule type="cellIs" dxfId="5412" priority="1033" operator="equal">
      <formula>3.3</formula>
    </cfRule>
    <cfRule type="cellIs" dxfId="5411" priority="1034" operator="equal">
      <formula>3.2</formula>
    </cfRule>
    <cfRule type="cellIs" dxfId="5410" priority="1035" operator="equal">
      <formula>3.1</formula>
    </cfRule>
    <cfRule type="cellIs" dxfId="5409" priority="1036" operator="equal">
      <formula>2.4</formula>
    </cfRule>
    <cfRule type="cellIs" dxfId="5408" priority="1037" operator="equal">
      <formula>2.3</formula>
    </cfRule>
    <cfRule type="cellIs" dxfId="5407" priority="1038" operator="equal">
      <formula>2.2</formula>
    </cfRule>
    <cfRule type="cellIs" dxfId="5406" priority="1039" operator="equal">
      <formula>2.1</formula>
    </cfRule>
    <cfRule type="cellIs" dxfId="5405" priority="1040" operator="equal">
      <formula>1.5</formula>
    </cfRule>
    <cfRule type="cellIs" dxfId="5404" priority="1041" operator="equal">
      <formula>1.4</formula>
    </cfRule>
    <cfRule type="cellIs" dxfId="5403" priority="1042" operator="equal">
      <formula>1.3</formula>
    </cfRule>
    <cfRule type="cellIs" dxfId="5402" priority="1043" operator="equal">
      <formula>1.2</formula>
    </cfRule>
    <cfRule type="containsText" dxfId="5401" priority="1044" operator="containsText" text="1.1">
      <formula>NOT(ISERROR(SEARCH("1.1",BI5)))</formula>
    </cfRule>
  </conditionalFormatting>
  <conditionalFormatting sqref="BD5:BD6">
    <cfRule type="containsBlanks" dxfId="5400" priority="1027">
      <formula>LEN(TRIM(BD5))=0</formula>
    </cfRule>
  </conditionalFormatting>
  <conditionalFormatting sqref="BA5:BD6">
    <cfRule type="cellIs" dxfId="5399" priority="1010" operator="equal">
      <formula>4.4</formula>
    </cfRule>
    <cfRule type="cellIs" dxfId="5398" priority="1011" operator="equal">
      <formula>4.3</formula>
    </cfRule>
    <cfRule type="cellIs" dxfId="5397" priority="1012" operator="equal">
      <formula>4.2</formula>
    </cfRule>
    <cfRule type="cellIs" dxfId="5396" priority="1013" operator="equal">
      <formula>4.1</formula>
    </cfRule>
    <cfRule type="cellIs" dxfId="5395" priority="1014" operator="equal">
      <formula>3.4</formula>
    </cfRule>
    <cfRule type="cellIs" dxfId="5394" priority="1015" operator="equal">
      <formula>3.3</formula>
    </cfRule>
    <cfRule type="cellIs" dxfId="5393" priority="1016" operator="equal">
      <formula>3.2</formula>
    </cfRule>
    <cfRule type="cellIs" dxfId="5392" priority="1017" operator="equal">
      <formula>3.1</formula>
    </cfRule>
    <cfRule type="cellIs" dxfId="5391" priority="1018" operator="equal">
      <formula>2.4</formula>
    </cfRule>
    <cfRule type="cellIs" dxfId="5390" priority="1019" operator="equal">
      <formula>2.3</formula>
    </cfRule>
    <cfRule type="cellIs" dxfId="5389" priority="1020" operator="equal">
      <formula>2.2</formula>
    </cfRule>
    <cfRule type="cellIs" dxfId="5388" priority="1021" operator="equal">
      <formula>2.1</formula>
    </cfRule>
    <cfRule type="cellIs" dxfId="5387" priority="1022" operator="equal">
      <formula>1.5</formula>
    </cfRule>
    <cfRule type="cellIs" dxfId="5386" priority="1023" operator="equal">
      <formula>1.4</formula>
    </cfRule>
    <cfRule type="cellIs" dxfId="5385" priority="1024" operator="equal">
      <formula>1.3</formula>
    </cfRule>
    <cfRule type="cellIs" dxfId="5384" priority="1025" operator="equal">
      <formula>1.2</formula>
    </cfRule>
    <cfRule type="containsText" dxfId="5383" priority="1026" operator="containsText" text="1.1">
      <formula>NOT(ISERROR(SEARCH("1.1",BA5)))</formula>
    </cfRule>
  </conditionalFormatting>
  <conditionalFormatting sqref="BH5:BH6">
    <cfRule type="containsBlanks" dxfId="5382" priority="1009">
      <formula>LEN(TRIM(BH5))=0</formula>
    </cfRule>
  </conditionalFormatting>
  <conditionalFormatting sqref="BE5:BH6">
    <cfRule type="cellIs" dxfId="5381" priority="992" operator="equal">
      <formula>4.4</formula>
    </cfRule>
    <cfRule type="cellIs" dxfId="5380" priority="993" operator="equal">
      <formula>4.3</formula>
    </cfRule>
    <cfRule type="cellIs" dxfId="5379" priority="994" operator="equal">
      <formula>4.2</formula>
    </cfRule>
    <cfRule type="cellIs" dxfId="5378" priority="995" operator="equal">
      <formula>4.1</formula>
    </cfRule>
    <cfRule type="cellIs" dxfId="5377" priority="996" operator="equal">
      <formula>3.4</formula>
    </cfRule>
    <cfRule type="cellIs" dxfId="5376" priority="997" operator="equal">
      <formula>3.3</formula>
    </cfRule>
    <cfRule type="cellIs" dxfId="5375" priority="998" operator="equal">
      <formula>3.2</formula>
    </cfRule>
    <cfRule type="cellIs" dxfId="5374" priority="999" operator="equal">
      <formula>3.1</formula>
    </cfRule>
    <cfRule type="cellIs" dxfId="5373" priority="1000" operator="equal">
      <formula>2.4</formula>
    </cfRule>
    <cfRule type="cellIs" dxfId="5372" priority="1001" operator="equal">
      <formula>2.3</formula>
    </cfRule>
    <cfRule type="cellIs" dxfId="5371" priority="1002" operator="equal">
      <formula>2.2</formula>
    </cfRule>
    <cfRule type="cellIs" dxfId="5370" priority="1003" operator="equal">
      <formula>2.1</formula>
    </cfRule>
    <cfRule type="cellIs" dxfId="5369" priority="1004" operator="equal">
      <formula>1.5</formula>
    </cfRule>
    <cfRule type="cellIs" dxfId="5368" priority="1005" operator="equal">
      <formula>1.4</formula>
    </cfRule>
    <cfRule type="cellIs" dxfId="5367" priority="1006" operator="equal">
      <formula>1.3</formula>
    </cfRule>
    <cfRule type="cellIs" dxfId="5366" priority="1007" operator="equal">
      <formula>1.2</formula>
    </cfRule>
    <cfRule type="containsText" dxfId="5365" priority="1008" operator="containsText" text="1.1">
      <formula>NOT(ISERROR(SEARCH("1.1",BE5)))</formula>
    </cfRule>
  </conditionalFormatting>
  <conditionalFormatting sqref="BL5:BL6">
    <cfRule type="containsBlanks" dxfId="5364" priority="991">
      <formula>LEN(TRIM(BL5))=0</formula>
    </cfRule>
  </conditionalFormatting>
  <conditionalFormatting sqref="B11:H31">
    <cfRule type="cellIs" dxfId="5363" priority="974" operator="equal">
      <formula>4.4</formula>
    </cfRule>
    <cfRule type="cellIs" dxfId="5362" priority="975" operator="equal">
      <formula>4.3</formula>
    </cfRule>
    <cfRule type="cellIs" dxfId="5361" priority="976" operator="equal">
      <formula>4.2</formula>
    </cfRule>
    <cfRule type="cellIs" dxfId="5360" priority="977" operator="equal">
      <formula>4.1</formula>
    </cfRule>
    <cfRule type="cellIs" dxfId="5359" priority="978" operator="equal">
      <formula>3.4</formula>
    </cfRule>
    <cfRule type="cellIs" dxfId="5358" priority="979" operator="equal">
      <formula>3.3</formula>
    </cfRule>
    <cfRule type="cellIs" dxfId="5357" priority="980" operator="equal">
      <formula>3.2</formula>
    </cfRule>
    <cfRule type="cellIs" dxfId="5356" priority="981" operator="equal">
      <formula>3.1</formula>
    </cfRule>
    <cfRule type="cellIs" dxfId="5355" priority="982" operator="equal">
      <formula>2.4</formula>
    </cfRule>
    <cfRule type="cellIs" dxfId="5354" priority="983" operator="equal">
      <formula>2.3</formula>
    </cfRule>
    <cfRule type="cellIs" dxfId="5353" priority="984" operator="equal">
      <formula>2.2</formula>
    </cfRule>
    <cfRule type="cellIs" dxfId="5352" priority="985" operator="equal">
      <formula>2.1</formula>
    </cfRule>
    <cfRule type="cellIs" dxfId="5351" priority="986" operator="equal">
      <formula>1.5</formula>
    </cfRule>
    <cfRule type="cellIs" dxfId="5350" priority="987" operator="equal">
      <formula>1.4</formula>
    </cfRule>
    <cfRule type="cellIs" dxfId="5349" priority="988" operator="equal">
      <formula>1.3</formula>
    </cfRule>
    <cfRule type="cellIs" dxfId="5348" priority="989" operator="equal">
      <formula>1.2</formula>
    </cfRule>
    <cfRule type="containsText" dxfId="5347" priority="990" operator="containsText" text="1.1">
      <formula>NOT(ISERROR(SEARCH("1.1",B11)))</formula>
    </cfRule>
  </conditionalFormatting>
  <conditionalFormatting sqref="H232:K237">
    <cfRule type="cellIs" dxfId="5346" priority="1" operator="equal">
      <formula>4.4</formula>
    </cfRule>
    <cfRule type="cellIs" dxfId="5345" priority="2" operator="equal">
      <formula>4.3</formula>
    </cfRule>
    <cfRule type="cellIs" dxfId="5344" priority="3" operator="equal">
      <formula>4.2</formula>
    </cfRule>
    <cfRule type="cellIs" dxfId="5343" priority="4" operator="equal">
      <formula>4.1</formula>
    </cfRule>
    <cfRule type="cellIs" dxfId="5342" priority="5" operator="equal">
      <formula>3.4</formula>
    </cfRule>
    <cfRule type="cellIs" dxfId="5341" priority="6" operator="equal">
      <formula>3.3</formula>
    </cfRule>
    <cfRule type="cellIs" dxfId="5340" priority="7" operator="equal">
      <formula>3.2</formula>
    </cfRule>
    <cfRule type="cellIs" dxfId="5339" priority="8" operator="equal">
      <formula>3.1</formula>
    </cfRule>
    <cfRule type="cellIs" dxfId="5338" priority="9" operator="equal">
      <formula>2.4</formula>
    </cfRule>
    <cfRule type="cellIs" dxfId="5337" priority="10" operator="equal">
      <formula>2.3</formula>
    </cfRule>
    <cfRule type="cellIs" dxfId="5336" priority="11" operator="equal">
      <formula>2.2</formula>
    </cfRule>
    <cfRule type="cellIs" dxfId="5335" priority="12" operator="equal">
      <formula>2.1</formula>
    </cfRule>
    <cfRule type="cellIs" dxfId="5334" priority="13" operator="equal">
      <formula>1.5</formula>
    </cfRule>
    <cfRule type="cellIs" dxfId="5333" priority="14" operator="equal">
      <formula>1.4</formula>
    </cfRule>
    <cfRule type="cellIs" dxfId="5332" priority="15" operator="equal">
      <formula>1.3</formula>
    </cfRule>
    <cfRule type="cellIs" dxfId="5331" priority="16" operator="equal">
      <formula>1.2</formula>
    </cfRule>
    <cfRule type="containsText" dxfId="5330" priority="17" operator="containsText" text="1.1">
      <formula>NOT(ISERROR(SEARCH("1.1",H232)))</formula>
    </cfRule>
  </conditionalFormatting>
  <conditionalFormatting sqref="M47:M49">
    <cfRule type="cellIs" dxfId="5329" priority="714" operator="equal">
      <formula>4.4</formula>
    </cfRule>
    <cfRule type="cellIs" dxfId="5328" priority="715" operator="equal">
      <formula>4.3</formula>
    </cfRule>
    <cfRule type="cellIs" dxfId="5327" priority="716" operator="equal">
      <formula>4.2</formula>
    </cfRule>
    <cfRule type="cellIs" dxfId="5326" priority="717" operator="equal">
      <formula>4.1</formula>
    </cfRule>
    <cfRule type="cellIs" dxfId="5325" priority="718" operator="equal">
      <formula>3.4</formula>
    </cfRule>
    <cfRule type="cellIs" dxfId="5324" priority="719" operator="equal">
      <formula>3.3</formula>
    </cfRule>
    <cfRule type="cellIs" dxfId="5323" priority="720" operator="equal">
      <formula>3.2</formula>
    </cfRule>
    <cfRule type="cellIs" dxfId="5322" priority="721" operator="equal">
      <formula>3.1</formula>
    </cfRule>
    <cfRule type="cellIs" dxfId="5321" priority="722" operator="equal">
      <formula>2.4</formula>
    </cfRule>
    <cfRule type="cellIs" dxfId="5320" priority="723" operator="equal">
      <formula>2.3</formula>
    </cfRule>
    <cfRule type="cellIs" dxfId="5319" priority="724" operator="equal">
      <formula>2.2</formula>
    </cfRule>
    <cfRule type="cellIs" dxfId="5318" priority="725" operator="equal">
      <formula>2.1</formula>
    </cfRule>
    <cfRule type="cellIs" dxfId="5317" priority="726" operator="equal">
      <formula>1.5</formula>
    </cfRule>
    <cfRule type="cellIs" dxfId="5316" priority="727" operator="equal">
      <formula>1.4</formula>
    </cfRule>
    <cfRule type="cellIs" dxfId="5315" priority="728" operator="equal">
      <formula>1.3</formula>
    </cfRule>
    <cfRule type="cellIs" dxfId="5314" priority="729" operator="equal">
      <formula>1.2</formula>
    </cfRule>
    <cfRule type="containsText" dxfId="5313" priority="730" operator="containsText" text="1.1">
      <formula>NOT(ISERROR(SEARCH("1.1",M47)))</formula>
    </cfRule>
  </conditionalFormatting>
  <conditionalFormatting sqref="M50:M80">
    <cfRule type="cellIs" dxfId="5312" priority="940" operator="equal">
      <formula>4.4</formula>
    </cfRule>
    <cfRule type="cellIs" dxfId="5311" priority="941" operator="equal">
      <formula>4.3</formula>
    </cfRule>
    <cfRule type="cellIs" dxfId="5310" priority="942" operator="equal">
      <formula>4.2</formula>
    </cfRule>
    <cfRule type="cellIs" dxfId="5309" priority="943" operator="equal">
      <formula>4.1</formula>
    </cfRule>
    <cfRule type="cellIs" dxfId="5308" priority="944" operator="equal">
      <formula>3.4</formula>
    </cfRule>
    <cfRule type="cellIs" dxfId="5307" priority="945" operator="equal">
      <formula>3.3</formula>
    </cfRule>
    <cfRule type="cellIs" dxfId="5306" priority="946" operator="equal">
      <formula>3.2</formula>
    </cfRule>
    <cfRule type="cellIs" dxfId="5305" priority="947" operator="equal">
      <formula>3.1</formula>
    </cfRule>
    <cfRule type="cellIs" dxfId="5304" priority="948" operator="equal">
      <formula>2.4</formula>
    </cfRule>
    <cfRule type="cellIs" dxfId="5303" priority="949" operator="equal">
      <formula>2.3</formula>
    </cfRule>
    <cfRule type="cellIs" dxfId="5302" priority="950" operator="equal">
      <formula>2.2</formula>
    </cfRule>
    <cfRule type="cellIs" dxfId="5301" priority="951" operator="equal">
      <formula>2.1</formula>
    </cfRule>
    <cfRule type="cellIs" dxfId="5300" priority="952" operator="equal">
      <formula>1.5</formula>
    </cfRule>
    <cfRule type="cellIs" dxfId="5299" priority="953" operator="equal">
      <formula>1.4</formula>
    </cfRule>
    <cfRule type="cellIs" dxfId="5298" priority="954" operator="equal">
      <formula>1.3</formula>
    </cfRule>
    <cfRule type="cellIs" dxfId="5297" priority="955" operator="equal">
      <formula>1.2</formula>
    </cfRule>
    <cfRule type="containsText" dxfId="5296" priority="956" operator="containsText" text="1.1">
      <formula>NOT(ISERROR(SEARCH("1.1",M50)))</formula>
    </cfRule>
  </conditionalFormatting>
  <conditionalFormatting sqref="H50:M52 H53:L70 H74:L76 M53:M76 H77:M80">
    <cfRule type="containsBlanks" dxfId="5295" priority="939">
      <formula>LEN(TRIM(H50))=0</formula>
    </cfRule>
  </conditionalFormatting>
  <conditionalFormatting sqref="A50:L70 H74:L76 A78:E79 A77:M77 F78:M80">
    <cfRule type="cellIs" dxfId="5294" priority="922" operator="equal">
      <formula>4.4</formula>
    </cfRule>
    <cfRule type="cellIs" dxfId="5293" priority="923" operator="equal">
      <formula>4.3</formula>
    </cfRule>
    <cfRule type="cellIs" dxfId="5292" priority="924" operator="equal">
      <formula>4.2</formula>
    </cfRule>
    <cfRule type="cellIs" dxfId="5291" priority="925" operator="equal">
      <formula>4.1</formula>
    </cfRule>
    <cfRule type="cellIs" dxfId="5290" priority="926" operator="equal">
      <formula>3.4</formula>
    </cfRule>
    <cfRule type="cellIs" dxfId="5289" priority="927" operator="equal">
      <formula>3.3</formula>
    </cfRule>
    <cfRule type="cellIs" dxfId="5288" priority="928" operator="equal">
      <formula>3.2</formula>
    </cfRule>
    <cfRule type="cellIs" dxfId="5287" priority="929" operator="equal">
      <formula>3.1</formula>
    </cfRule>
    <cfRule type="cellIs" dxfId="5286" priority="930" operator="equal">
      <formula>2.4</formula>
    </cfRule>
    <cfRule type="cellIs" dxfId="5285" priority="931" operator="equal">
      <formula>2.3</formula>
    </cfRule>
    <cfRule type="cellIs" dxfId="5284" priority="932" operator="equal">
      <formula>2.2</formula>
    </cfRule>
    <cfRule type="cellIs" dxfId="5283" priority="933" operator="equal">
      <formula>2.1</formula>
    </cfRule>
    <cfRule type="cellIs" dxfId="5282" priority="934" operator="equal">
      <formula>1.5</formula>
    </cfRule>
    <cfRule type="cellIs" dxfId="5281" priority="935" operator="equal">
      <formula>1.4</formula>
    </cfRule>
    <cfRule type="cellIs" dxfId="5280" priority="936" operator="equal">
      <formula>1.3</formula>
    </cfRule>
    <cfRule type="cellIs" dxfId="5279" priority="937" operator="equal">
      <formula>1.2</formula>
    </cfRule>
    <cfRule type="containsText" dxfId="5278" priority="938" operator="containsText" text="1.1">
      <formula>NOT(ISERROR(SEARCH("1.1",A50)))</formula>
    </cfRule>
  </conditionalFormatting>
  <conditionalFormatting sqref="A85:A87 A91 A82:M84 F91:M92">
    <cfRule type="cellIs" dxfId="5277" priority="905" operator="equal">
      <formula>4.4</formula>
    </cfRule>
    <cfRule type="cellIs" dxfId="5276" priority="906" operator="equal">
      <formula>4.3</formula>
    </cfRule>
    <cfRule type="cellIs" dxfId="5275" priority="907" operator="equal">
      <formula>4.2</formula>
    </cfRule>
    <cfRule type="cellIs" dxfId="5274" priority="908" operator="equal">
      <formula>4.1</formula>
    </cfRule>
    <cfRule type="cellIs" dxfId="5273" priority="909" operator="equal">
      <formula>3.4</formula>
    </cfRule>
    <cfRule type="cellIs" dxfId="5272" priority="910" operator="equal">
      <formula>3.3</formula>
    </cfRule>
    <cfRule type="cellIs" dxfId="5271" priority="911" operator="equal">
      <formula>3.2</formula>
    </cfRule>
    <cfRule type="cellIs" dxfId="5270" priority="912" operator="equal">
      <formula>3.1</formula>
    </cfRule>
    <cfRule type="cellIs" dxfId="5269" priority="913" operator="equal">
      <formula>2.4</formula>
    </cfRule>
    <cfRule type="cellIs" dxfId="5268" priority="914" operator="equal">
      <formula>2.3</formula>
    </cfRule>
    <cfRule type="cellIs" dxfId="5267" priority="915" operator="equal">
      <formula>2.2</formula>
    </cfRule>
    <cfRule type="cellIs" dxfId="5266" priority="916" operator="equal">
      <formula>2.1</formula>
    </cfRule>
    <cfRule type="cellIs" dxfId="5265" priority="917" operator="equal">
      <formula>1.5</formula>
    </cfRule>
    <cfRule type="cellIs" dxfId="5264" priority="918" operator="equal">
      <formula>1.4</formula>
    </cfRule>
    <cfRule type="cellIs" dxfId="5263" priority="919" operator="equal">
      <formula>1.3</formula>
    </cfRule>
    <cfRule type="cellIs" dxfId="5262" priority="920" operator="equal">
      <formula>1.2</formula>
    </cfRule>
    <cfRule type="containsText" dxfId="5261" priority="921" operator="containsText" text="1.1">
      <formula>NOT(ISERROR(SEARCH("1.1",A82)))</formula>
    </cfRule>
  </conditionalFormatting>
  <conditionalFormatting sqref="H91:M92">
    <cfRule type="containsBlanks" dxfId="5260" priority="904">
      <formula>LEN(TRIM(H91))=0</formula>
    </cfRule>
  </conditionalFormatting>
  <conditionalFormatting sqref="B85:G87">
    <cfRule type="cellIs" dxfId="5259" priority="887" operator="equal">
      <formula>4.4</formula>
    </cfRule>
    <cfRule type="cellIs" dxfId="5258" priority="888" operator="equal">
      <formula>4.3</formula>
    </cfRule>
    <cfRule type="cellIs" dxfId="5257" priority="889" operator="equal">
      <formula>4.2</formula>
    </cfRule>
    <cfRule type="cellIs" dxfId="5256" priority="890" operator="equal">
      <formula>4.1</formula>
    </cfRule>
    <cfRule type="cellIs" dxfId="5255" priority="891" operator="equal">
      <formula>3.4</formula>
    </cfRule>
    <cfRule type="cellIs" dxfId="5254" priority="892" operator="equal">
      <formula>3.3</formula>
    </cfRule>
    <cfRule type="cellIs" dxfId="5253" priority="893" operator="equal">
      <formula>3.2</formula>
    </cfRule>
    <cfRule type="cellIs" dxfId="5252" priority="894" operator="equal">
      <formula>3.1</formula>
    </cfRule>
    <cfRule type="cellIs" dxfId="5251" priority="895" operator="equal">
      <formula>2.4</formula>
    </cfRule>
    <cfRule type="cellIs" dxfId="5250" priority="896" operator="equal">
      <formula>2.3</formula>
    </cfRule>
    <cfRule type="cellIs" dxfId="5249" priority="897" operator="equal">
      <formula>2.2</formula>
    </cfRule>
    <cfRule type="cellIs" dxfId="5248" priority="898" operator="equal">
      <formula>2.1</formula>
    </cfRule>
    <cfRule type="cellIs" dxfId="5247" priority="899" operator="equal">
      <formula>1.5</formula>
    </cfRule>
    <cfRule type="cellIs" dxfId="5246" priority="900" operator="equal">
      <formula>1.4</formula>
    </cfRule>
    <cfRule type="cellIs" dxfId="5245" priority="901" operator="equal">
      <formula>1.3</formula>
    </cfRule>
    <cfRule type="cellIs" dxfId="5244" priority="902" operator="equal">
      <formula>1.2</formula>
    </cfRule>
    <cfRule type="containsText" dxfId="5243" priority="903" operator="containsText" text="1.1">
      <formula>NOT(ISERROR(SEARCH("1.1",B85)))</formula>
    </cfRule>
  </conditionalFormatting>
  <conditionalFormatting sqref="H71:L73">
    <cfRule type="containsBlanks" dxfId="5242" priority="886">
      <formula>LEN(TRIM(H71))=0</formula>
    </cfRule>
  </conditionalFormatting>
  <conditionalFormatting sqref="A71:L73">
    <cfRule type="cellIs" dxfId="5241" priority="869" operator="equal">
      <formula>4.4</formula>
    </cfRule>
    <cfRule type="cellIs" dxfId="5240" priority="870" operator="equal">
      <formula>4.3</formula>
    </cfRule>
    <cfRule type="cellIs" dxfId="5239" priority="871" operator="equal">
      <formula>4.2</formula>
    </cfRule>
    <cfRule type="cellIs" dxfId="5238" priority="872" operator="equal">
      <formula>4.1</formula>
    </cfRule>
    <cfRule type="cellIs" dxfId="5237" priority="873" operator="equal">
      <formula>3.4</formula>
    </cfRule>
    <cfRule type="cellIs" dxfId="5236" priority="874" operator="equal">
      <formula>3.3</formula>
    </cfRule>
    <cfRule type="cellIs" dxfId="5235" priority="875" operator="equal">
      <formula>3.2</formula>
    </cfRule>
    <cfRule type="cellIs" dxfId="5234" priority="876" operator="equal">
      <formula>3.1</formula>
    </cfRule>
    <cfRule type="cellIs" dxfId="5233" priority="877" operator="equal">
      <formula>2.4</formula>
    </cfRule>
    <cfRule type="cellIs" dxfId="5232" priority="878" operator="equal">
      <formula>2.3</formula>
    </cfRule>
    <cfRule type="cellIs" dxfId="5231" priority="879" operator="equal">
      <formula>2.2</formula>
    </cfRule>
    <cfRule type="cellIs" dxfId="5230" priority="880" operator="equal">
      <formula>2.1</formula>
    </cfRule>
    <cfRule type="cellIs" dxfId="5229" priority="881" operator="equal">
      <formula>1.5</formula>
    </cfRule>
    <cfRule type="cellIs" dxfId="5228" priority="882" operator="equal">
      <formula>1.4</formula>
    </cfRule>
    <cfRule type="cellIs" dxfId="5227" priority="883" operator="equal">
      <formula>1.3</formula>
    </cfRule>
    <cfRule type="cellIs" dxfId="5226" priority="884" operator="equal">
      <formula>1.2</formula>
    </cfRule>
    <cfRule type="containsText" dxfId="5225" priority="885" operator="containsText" text="1.1">
      <formula>NOT(ISERROR(SEARCH("1.1",A71)))</formula>
    </cfRule>
  </conditionalFormatting>
  <conditionalFormatting sqref="B74:G76">
    <cfRule type="cellIs" dxfId="5224" priority="835" operator="equal">
      <formula>4.4</formula>
    </cfRule>
    <cfRule type="cellIs" dxfId="5223" priority="836" operator="equal">
      <formula>4.3</formula>
    </cfRule>
    <cfRule type="cellIs" dxfId="5222" priority="837" operator="equal">
      <formula>4.2</formula>
    </cfRule>
    <cfRule type="cellIs" dxfId="5221" priority="838" operator="equal">
      <formula>4.1</formula>
    </cfRule>
    <cfRule type="cellIs" dxfId="5220" priority="839" operator="equal">
      <formula>3.4</formula>
    </cfRule>
    <cfRule type="cellIs" dxfId="5219" priority="840" operator="equal">
      <formula>3.3</formula>
    </cfRule>
    <cfRule type="cellIs" dxfId="5218" priority="841" operator="equal">
      <formula>3.2</formula>
    </cfRule>
    <cfRule type="cellIs" dxfId="5217" priority="842" operator="equal">
      <formula>3.1</formula>
    </cfRule>
    <cfRule type="cellIs" dxfId="5216" priority="843" operator="equal">
      <formula>2.4</formula>
    </cfRule>
    <cfRule type="cellIs" dxfId="5215" priority="844" operator="equal">
      <formula>2.3</formula>
    </cfRule>
    <cfRule type="cellIs" dxfId="5214" priority="845" operator="equal">
      <formula>2.2</formula>
    </cfRule>
    <cfRule type="cellIs" dxfId="5213" priority="846" operator="equal">
      <formula>2.1</formula>
    </cfRule>
    <cfRule type="cellIs" dxfId="5212" priority="847" operator="equal">
      <formula>1.5</formula>
    </cfRule>
    <cfRule type="cellIs" dxfId="5211" priority="848" operator="equal">
      <formula>1.4</formula>
    </cfRule>
    <cfRule type="cellIs" dxfId="5210" priority="849" operator="equal">
      <formula>1.3</formula>
    </cfRule>
    <cfRule type="cellIs" dxfId="5209" priority="850" operator="equal">
      <formula>1.2</formula>
    </cfRule>
    <cfRule type="containsText" dxfId="5208" priority="851" operator="containsText" text="1.1">
      <formula>NOT(ISERROR(SEARCH("1.1",B74)))</formula>
    </cfRule>
  </conditionalFormatting>
  <conditionalFormatting sqref="A74:A76">
    <cfRule type="cellIs" dxfId="5207" priority="852" operator="equal">
      <formula>4.4</formula>
    </cfRule>
    <cfRule type="cellIs" dxfId="5206" priority="853" operator="equal">
      <formula>4.3</formula>
    </cfRule>
    <cfRule type="cellIs" dxfId="5205" priority="854" operator="equal">
      <formula>4.2</formula>
    </cfRule>
    <cfRule type="cellIs" dxfId="5204" priority="855" operator="equal">
      <formula>4.1</formula>
    </cfRule>
    <cfRule type="cellIs" dxfId="5203" priority="856" operator="equal">
      <formula>3.4</formula>
    </cfRule>
    <cfRule type="cellIs" dxfId="5202" priority="857" operator="equal">
      <formula>3.3</formula>
    </cfRule>
    <cfRule type="cellIs" dxfId="5201" priority="858" operator="equal">
      <formula>3.2</formula>
    </cfRule>
    <cfRule type="cellIs" dxfId="5200" priority="859" operator="equal">
      <formula>3.1</formula>
    </cfRule>
    <cfRule type="cellIs" dxfId="5199" priority="860" operator="equal">
      <formula>2.4</formula>
    </cfRule>
    <cfRule type="cellIs" dxfId="5198" priority="861" operator="equal">
      <formula>2.3</formula>
    </cfRule>
    <cfRule type="cellIs" dxfId="5197" priority="862" operator="equal">
      <formula>2.2</formula>
    </cfRule>
    <cfRule type="cellIs" dxfId="5196" priority="863" operator="equal">
      <formula>2.1</formula>
    </cfRule>
    <cfRule type="cellIs" dxfId="5195" priority="864" operator="equal">
      <formula>1.5</formula>
    </cfRule>
    <cfRule type="cellIs" dxfId="5194" priority="865" operator="equal">
      <formula>1.4</formula>
    </cfRule>
    <cfRule type="cellIs" dxfId="5193" priority="866" operator="equal">
      <formula>1.3</formula>
    </cfRule>
    <cfRule type="cellIs" dxfId="5192" priority="867" operator="equal">
      <formula>1.2</formula>
    </cfRule>
    <cfRule type="containsText" dxfId="5191" priority="868" operator="containsText" text="1.1">
      <formula>NOT(ISERROR(SEARCH("1.1",A74)))</formula>
    </cfRule>
  </conditionalFormatting>
  <conditionalFormatting sqref="B88:G90">
    <cfRule type="cellIs" dxfId="5190" priority="801" operator="equal">
      <formula>4.4</formula>
    </cfRule>
    <cfRule type="cellIs" dxfId="5189" priority="802" operator="equal">
      <formula>4.3</formula>
    </cfRule>
    <cfRule type="cellIs" dxfId="5188" priority="803" operator="equal">
      <formula>4.2</formula>
    </cfRule>
    <cfRule type="cellIs" dxfId="5187" priority="804" operator="equal">
      <formula>4.1</formula>
    </cfRule>
    <cfRule type="cellIs" dxfId="5186" priority="805" operator="equal">
      <formula>3.4</formula>
    </cfRule>
    <cfRule type="cellIs" dxfId="5185" priority="806" operator="equal">
      <formula>3.3</formula>
    </cfRule>
    <cfRule type="cellIs" dxfId="5184" priority="807" operator="equal">
      <formula>3.2</formula>
    </cfRule>
    <cfRule type="cellIs" dxfId="5183" priority="808" operator="equal">
      <formula>3.1</formula>
    </cfRule>
    <cfRule type="cellIs" dxfId="5182" priority="809" operator="equal">
      <formula>2.4</formula>
    </cfRule>
    <cfRule type="cellIs" dxfId="5181" priority="810" operator="equal">
      <formula>2.3</formula>
    </cfRule>
    <cfRule type="cellIs" dxfId="5180" priority="811" operator="equal">
      <formula>2.2</formula>
    </cfRule>
    <cfRule type="cellIs" dxfId="5179" priority="812" operator="equal">
      <formula>2.1</formula>
    </cfRule>
    <cfRule type="cellIs" dxfId="5178" priority="813" operator="equal">
      <formula>1.5</formula>
    </cfRule>
    <cfRule type="cellIs" dxfId="5177" priority="814" operator="equal">
      <formula>1.4</formula>
    </cfRule>
    <cfRule type="cellIs" dxfId="5176" priority="815" operator="equal">
      <formula>1.3</formula>
    </cfRule>
    <cfRule type="cellIs" dxfId="5175" priority="816" operator="equal">
      <formula>1.2</formula>
    </cfRule>
    <cfRule type="containsText" dxfId="5174" priority="817" operator="containsText" text="1.1">
      <formula>NOT(ISERROR(SEARCH("1.1",B88)))</formula>
    </cfRule>
  </conditionalFormatting>
  <conditionalFormatting sqref="A88:A90">
    <cfRule type="cellIs" dxfId="5173" priority="818" operator="equal">
      <formula>4.4</formula>
    </cfRule>
    <cfRule type="cellIs" dxfId="5172" priority="819" operator="equal">
      <formula>4.3</formula>
    </cfRule>
    <cfRule type="cellIs" dxfId="5171" priority="820" operator="equal">
      <formula>4.2</formula>
    </cfRule>
    <cfRule type="cellIs" dxfId="5170" priority="821" operator="equal">
      <formula>4.1</formula>
    </cfRule>
    <cfRule type="cellIs" dxfId="5169" priority="822" operator="equal">
      <formula>3.4</formula>
    </cfRule>
    <cfRule type="cellIs" dxfId="5168" priority="823" operator="equal">
      <formula>3.3</formula>
    </cfRule>
    <cfRule type="cellIs" dxfId="5167" priority="824" operator="equal">
      <formula>3.2</formula>
    </cfRule>
    <cfRule type="cellIs" dxfId="5166" priority="825" operator="equal">
      <formula>3.1</formula>
    </cfRule>
    <cfRule type="cellIs" dxfId="5165" priority="826" operator="equal">
      <formula>2.4</formula>
    </cfRule>
    <cfRule type="cellIs" dxfId="5164" priority="827" operator="equal">
      <formula>2.3</formula>
    </cfRule>
    <cfRule type="cellIs" dxfId="5163" priority="828" operator="equal">
      <formula>2.2</formula>
    </cfRule>
    <cfRule type="cellIs" dxfId="5162" priority="829" operator="equal">
      <formula>2.1</formula>
    </cfRule>
    <cfRule type="cellIs" dxfId="5161" priority="830" operator="equal">
      <formula>1.5</formula>
    </cfRule>
    <cfRule type="cellIs" dxfId="5160" priority="831" operator="equal">
      <formula>1.4</formula>
    </cfRule>
    <cfRule type="cellIs" dxfId="5159" priority="832" operator="equal">
      <formula>1.3</formula>
    </cfRule>
    <cfRule type="cellIs" dxfId="5158" priority="833" operator="equal">
      <formula>1.2</formula>
    </cfRule>
    <cfRule type="containsText" dxfId="5157" priority="834" operator="containsText" text="1.1">
      <formula>NOT(ISERROR(SEARCH("1.1",A88)))</formula>
    </cfRule>
  </conditionalFormatting>
  <conditionalFormatting sqref="H85:M87">
    <cfRule type="containsBlanks" dxfId="5156" priority="800">
      <formula>LEN(TRIM(H85))=0</formula>
    </cfRule>
  </conditionalFormatting>
  <conditionalFormatting sqref="H85:M87">
    <cfRule type="cellIs" dxfId="5155" priority="783" operator="equal">
      <formula>4.4</formula>
    </cfRule>
    <cfRule type="cellIs" dxfId="5154" priority="784" operator="equal">
      <formula>4.3</formula>
    </cfRule>
    <cfRule type="cellIs" dxfId="5153" priority="785" operator="equal">
      <formula>4.2</formula>
    </cfRule>
    <cfRule type="cellIs" dxfId="5152" priority="786" operator="equal">
      <formula>4.1</formula>
    </cfRule>
    <cfRule type="cellIs" dxfId="5151" priority="787" operator="equal">
      <formula>3.4</formula>
    </cfRule>
    <cfRule type="cellIs" dxfId="5150" priority="788" operator="equal">
      <formula>3.3</formula>
    </cfRule>
    <cfRule type="cellIs" dxfId="5149" priority="789" operator="equal">
      <formula>3.2</formula>
    </cfRule>
    <cfRule type="cellIs" dxfId="5148" priority="790" operator="equal">
      <formula>3.1</formula>
    </cfRule>
    <cfRule type="cellIs" dxfId="5147" priority="791" operator="equal">
      <formula>2.4</formula>
    </cfRule>
    <cfRule type="cellIs" dxfId="5146" priority="792" operator="equal">
      <formula>2.3</formula>
    </cfRule>
    <cfRule type="cellIs" dxfId="5145" priority="793" operator="equal">
      <formula>2.2</formula>
    </cfRule>
    <cfRule type="cellIs" dxfId="5144" priority="794" operator="equal">
      <formula>2.1</formula>
    </cfRule>
    <cfRule type="cellIs" dxfId="5143" priority="795" operator="equal">
      <formula>1.5</formula>
    </cfRule>
    <cfRule type="cellIs" dxfId="5142" priority="796" operator="equal">
      <formula>1.4</formula>
    </cfRule>
    <cfRule type="cellIs" dxfId="5141" priority="797" operator="equal">
      <formula>1.3</formula>
    </cfRule>
    <cfRule type="cellIs" dxfId="5140" priority="798" operator="equal">
      <formula>1.2</formula>
    </cfRule>
    <cfRule type="containsText" dxfId="5139" priority="799" operator="containsText" text="1.1">
      <formula>NOT(ISERROR(SEARCH("1.1",H85)))</formula>
    </cfRule>
  </conditionalFormatting>
  <conditionalFormatting sqref="H88:M90">
    <cfRule type="containsBlanks" dxfId="5138" priority="782">
      <formula>LEN(TRIM(H88))=0</formula>
    </cfRule>
  </conditionalFormatting>
  <conditionalFormatting sqref="H88:M90">
    <cfRule type="cellIs" dxfId="5137" priority="765" operator="equal">
      <formula>4.4</formula>
    </cfRule>
    <cfRule type="cellIs" dxfId="5136" priority="766" operator="equal">
      <formula>4.3</formula>
    </cfRule>
    <cfRule type="cellIs" dxfId="5135" priority="767" operator="equal">
      <formula>4.2</formula>
    </cfRule>
    <cfRule type="cellIs" dxfId="5134" priority="768" operator="equal">
      <formula>4.1</formula>
    </cfRule>
    <cfRule type="cellIs" dxfId="5133" priority="769" operator="equal">
      <formula>3.4</formula>
    </cfRule>
    <cfRule type="cellIs" dxfId="5132" priority="770" operator="equal">
      <formula>3.3</formula>
    </cfRule>
    <cfRule type="cellIs" dxfId="5131" priority="771" operator="equal">
      <formula>3.2</formula>
    </cfRule>
    <cfRule type="cellIs" dxfId="5130" priority="772" operator="equal">
      <formula>3.1</formula>
    </cfRule>
    <cfRule type="cellIs" dxfId="5129" priority="773" operator="equal">
      <formula>2.4</formula>
    </cfRule>
    <cfRule type="cellIs" dxfId="5128" priority="774" operator="equal">
      <formula>2.3</formula>
    </cfRule>
    <cfRule type="cellIs" dxfId="5127" priority="775" operator="equal">
      <formula>2.2</formula>
    </cfRule>
    <cfRule type="cellIs" dxfId="5126" priority="776" operator="equal">
      <formula>2.1</formula>
    </cfRule>
    <cfRule type="cellIs" dxfId="5125" priority="777" operator="equal">
      <formula>1.5</formula>
    </cfRule>
    <cfRule type="cellIs" dxfId="5124" priority="778" operator="equal">
      <formula>1.4</formula>
    </cfRule>
    <cfRule type="cellIs" dxfId="5123" priority="779" operator="equal">
      <formula>1.3</formula>
    </cfRule>
    <cfRule type="cellIs" dxfId="5122" priority="780" operator="equal">
      <formula>1.2</formula>
    </cfRule>
    <cfRule type="containsText" dxfId="5121" priority="781" operator="containsText" text="1.1">
      <formula>NOT(ISERROR(SEARCH("1.1",H88)))</formula>
    </cfRule>
  </conditionalFormatting>
  <conditionalFormatting sqref="H47:L49">
    <cfRule type="cellIs" dxfId="5120" priority="748" operator="equal">
      <formula>4.4</formula>
    </cfRule>
    <cfRule type="cellIs" dxfId="5119" priority="749" operator="equal">
      <formula>4.3</formula>
    </cfRule>
    <cfRule type="cellIs" dxfId="5118" priority="750" operator="equal">
      <formula>4.2</formula>
    </cfRule>
    <cfRule type="cellIs" dxfId="5117" priority="751" operator="equal">
      <formula>4.1</formula>
    </cfRule>
    <cfRule type="cellIs" dxfId="5116" priority="752" operator="equal">
      <formula>3.4</formula>
    </cfRule>
    <cfRule type="cellIs" dxfId="5115" priority="753" operator="equal">
      <formula>3.3</formula>
    </cfRule>
    <cfRule type="cellIs" dxfId="5114" priority="754" operator="equal">
      <formula>3.2</formula>
    </cfRule>
    <cfRule type="cellIs" dxfId="5113" priority="755" operator="equal">
      <formula>3.1</formula>
    </cfRule>
    <cfRule type="cellIs" dxfId="5112" priority="756" operator="equal">
      <formula>2.4</formula>
    </cfRule>
    <cfRule type="cellIs" dxfId="5111" priority="757" operator="equal">
      <formula>2.3</formula>
    </cfRule>
    <cfRule type="cellIs" dxfId="5110" priority="758" operator="equal">
      <formula>2.2</formula>
    </cfRule>
    <cfRule type="cellIs" dxfId="5109" priority="759" operator="equal">
      <formula>2.1</formula>
    </cfRule>
    <cfRule type="cellIs" dxfId="5108" priority="760" operator="equal">
      <formula>1.5</formula>
    </cfRule>
    <cfRule type="cellIs" dxfId="5107" priority="761" operator="equal">
      <formula>1.4</formula>
    </cfRule>
    <cfRule type="cellIs" dxfId="5106" priority="762" operator="equal">
      <formula>1.3</formula>
    </cfRule>
    <cfRule type="cellIs" dxfId="5105" priority="763" operator="equal">
      <formula>1.2</formula>
    </cfRule>
    <cfRule type="containsText" dxfId="5104" priority="764" operator="containsText" text="1.1">
      <formula>NOT(ISERROR(SEARCH("1.1",H47)))</formula>
    </cfRule>
  </conditionalFormatting>
  <conditionalFormatting sqref="A47:G49">
    <cfRule type="cellIs" dxfId="5103" priority="731" operator="equal">
      <formula>4.4</formula>
    </cfRule>
    <cfRule type="cellIs" dxfId="5102" priority="732" operator="equal">
      <formula>4.3</formula>
    </cfRule>
    <cfRule type="cellIs" dxfId="5101" priority="733" operator="equal">
      <formula>4.2</formula>
    </cfRule>
    <cfRule type="cellIs" dxfId="5100" priority="734" operator="equal">
      <formula>4.1</formula>
    </cfRule>
    <cfRule type="cellIs" dxfId="5099" priority="735" operator="equal">
      <formula>3.4</formula>
    </cfRule>
    <cfRule type="cellIs" dxfId="5098" priority="736" operator="equal">
      <formula>3.3</formula>
    </cfRule>
    <cfRule type="cellIs" dxfId="5097" priority="737" operator="equal">
      <formula>3.2</formula>
    </cfRule>
    <cfRule type="cellIs" dxfId="5096" priority="738" operator="equal">
      <formula>3.1</formula>
    </cfRule>
    <cfRule type="cellIs" dxfId="5095" priority="739" operator="equal">
      <formula>2.4</formula>
    </cfRule>
    <cfRule type="cellIs" dxfId="5094" priority="740" operator="equal">
      <formula>2.3</formula>
    </cfRule>
    <cfRule type="cellIs" dxfId="5093" priority="741" operator="equal">
      <formula>2.2</formula>
    </cfRule>
    <cfRule type="cellIs" dxfId="5092" priority="742" operator="equal">
      <formula>2.1</formula>
    </cfRule>
    <cfRule type="cellIs" dxfId="5091" priority="743" operator="equal">
      <formula>1.5</formula>
    </cfRule>
    <cfRule type="cellIs" dxfId="5090" priority="744" operator="equal">
      <formula>1.4</formula>
    </cfRule>
    <cfRule type="cellIs" dxfId="5089" priority="745" operator="equal">
      <formula>1.3</formula>
    </cfRule>
    <cfRule type="cellIs" dxfId="5088" priority="746" operator="equal">
      <formula>1.2</formula>
    </cfRule>
    <cfRule type="containsText" dxfId="5087" priority="747" operator="containsText" text="1.1">
      <formula>NOT(ISERROR(SEARCH("1.1",A47)))</formula>
    </cfRule>
  </conditionalFormatting>
  <conditionalFormatting sqref="M98:M124">
    <cfRule type="containsBlanks" dxfId="5086" priority="713">
      <formula>LEN(TRIM(M98))=0</formula>
    </cfRule>
  </conditionalFormatting>
  <conditionalFormatting sqref="M95:M124 M129">
    <cfRule type="cellIs" dxfId="5085" priority="696" operator="equal">
      <formula>4.4</formula>
    </cfRule>
    <cfRule type="cellIs" dxfId="5084" priority="697" operator="equal">
      <formula>4.3</formula>
    </cfRule>
    <cfRule type="cellIs" dxfId="5083" priority="698" operator="equal">
      <formula>4.2</formula>
    </cfRule>
    <cfRule type="cellIs" dxfId="5082" priority="699" operator="equal">
      <formula>4.1</formula>
    </cfRule>
    <cfRule type="cellIs" dxfId="5081" priority="700" operator="equal">
      <formula>3.4</formula>
    </cfRule>
    <cfRule type="cellIs" dxfId="5080" priority="701" operator="equal">
      <formula>3.3</formula>
    </cfRule>
    <cfRule type="cellIs" dxfId="5079" priority="702" operator="equal">
      <formula>3.2</formula>
    </cfRule>
    <cfRule type="cellIs" dxfId="5078" priority="703" operator="equal">
      <formula>3.1</formula>
    </cfRule>
    <cfRule type="cellIs" dxfId="5077" priority="704" operator="equal">
      <formula>2.4</formula>
    </cfRule>
    <cfRule type="cellIs" dxfId="5076" priority="705" operator="equal">
      <formula>2.3</formula>
    </cfRule>
    <cfRule type="cellIs" dxfId="5075" priority="706" operator="equal">
      <formula>2.2</formula>
    </cfRule>
    <cfRule type="cellIs" dxfId="5074" priority="707" operator="equal">
      <formula>2.1</formula>
    </cfRule>
    <cfRule type="cellIs" dxfId="5073" priority="708" operator="equal">
      <formula>1.5</formula>
    </cfRule>
    <cfRule type="cellIs" dxfId="5072" priority="709" operator="equal">
      <formula>1.4</formula>
    </cfRule>
    <cfRule type="cellIs" dxfId="5071" priority="710" operator="equal">
      <formula>1.3</formula>
    </cfRule>
    <cfRule type="cellIs" dxfId="5070" priority="711" operator="equal">
      <formula>1.2</formula>
    </cfRule>
    <cfRule type="containsText" dxfId="5069" priority="712" operator="containsText" text="1.1">
      <formula>NOT(ISERROR(SEARCH("1.1",M95)))</formula>
    </cfRule>
  </conditionalFormatting>
  <conditionalFormatting sqref="H98:L124 H125:M128">
    <cfRule type="containsBlanks" dxfId="5068" priority="695">
      <formula>LEN(TRIM(H98))=0</formula>
    </cfRule>
  </conditionalFormatting>
  <conditionalFormatting sqref="H95:L97 A98:L100 A126:E127 A101:G118 H101:L124 A125:M125 F126:M128">
    <cfRule type="cellIs" dxfId="5067" priority="678" operator="equal">
      <formula>4.4</formula>
    </cfRule>
    <cfRule type="cellIs" dxfId="5066" priority="679" operator="equal">
      <formula>4.3</formula>
    </cfRule>
    <cfRule type="cellIs" dxfId="5065" priority="680" operator="equal">
      <formula>4.2</formula>
    </cfRule>
    <cfRule type="cellIs" dxfId="5064" priority="681" operator="equal">
      <formula>4.1</formula>
    </cfRule>
    <cfRule type="cellIs" dxfId="5063" priority="682" operator="equal">
      <formula>3.4</formula>
    </cfRule>
    <cfRule type="cellIs" dxfId="5062" priority="683" operator="equal">
      <formula>3.3</formula>
    </cfRule>
    <cfRule type="cellIs" dxfId="5061" priority="684" operator="equal">
      <formula>3.2</formula>
    </cfRule>
    <cfRule type="cellIs" dxfId="5060" priority="685" operator="equal">
      <formula>3.1</formula>
    </cfRule>
    <cfRule type="cellIs" dxfId="5059" priority="686" operator="equal">
      <formula>2.4</formula>
    </cfRule>
    <cfRule type="cellIs" dxfId="5058" priority="687" operator="equal">
      <formula>2.3</formula>
    </cfRule>
    <cfRule type="cellIs" dxfId="5057" priority="688" operator="equal">
      <formula>2.2</formula>
    </cfRule>
    <cfRule type="cellIs" dxfId="5056" priority="689" operator="equal">
      <formula>2.1</formula>
    </cfRule>
    <cfRule type="cellIs" dxfId="5055" priority="690" operator="equal">
      <formula>1.5</formula>
    </cfRule>
    <cfRule type="cellIs" dxfId="5054" priority="691" operator="equal">
      <formula>1.4</formula>
    </cfRule>
    <cfRule type="cellIs" dxfId="5053" priority="692" operator="equal">
      <formula>1.3</formula>
    </cfRule>
    <cfRule type="cellIs" dxfId="5052" priority="693" operator="equal">
      <formula>1.2</formula>
    </cfRule>
    <cfRule type="containsText" dxfId="5051" priority="694" operator="containsText" text="1.1">
      <formula>NOT(ISERROR(SEARCH("1.1",A95)))</formula>
    </cfRule>
  </conditionalFormatting>
  <conditionalFormatting sqref="A132:A134 A138 A130:M131 F138:M139">
    <cfRule type="cellIs" dxfId="5050" priority="661" operator="equal">
      <formula>4.4</formula>
    </cfRule>
    <cfRule type="cellIs" dxfId="5049" priority="662" operator="equal">
      <formula>4.3</formula>
    </cfRule>
    <cfRule type="cellIs" dxfId="5048" priority="663" operator="equal">
      <formula>4.2</formula>
    </cfRule>
    <cfRule type="cellIs" dxfId="5047" priority="664" operator="equal">
      <formula>4.1</formula>
    </cfRule>
    <cfRule type="cellIs" dxfId="5046" priority="665" operator="equal">
      <formula>3.4</formula>
    </cfRule>
    <cfRule type="cellIs" dxfId="5045" priority="666" operator="equal">
      <formula>3.3</formula>
    </cfRule>
    <cfRule type="cellIs" dxfId="5044" priority="667" operator="equal">
      <formula>3.2</formula>
    </cfRule>
    <cfRule type="cellIs" dxfId="5043" priority="668" operator="equal">
      <formula>3.1</formula>
    </cfRule>
    <cfRule type="cellIs" dxfId="5042" priority="669" operator="equal">
      <formula>2.4</formula>
    </cfRule>
    <cfRule type="cellIs" dxfId="5041" priority="670" operator="equal">
      <formula>2.3</formula>
    </cfRule>
    <cfRule type="cellIs" dxfId="5040" priority="671" operator="equal">
      <formula>2.2</formula>
    </cfRule>
    <cfRule type="cellIs" dxfId="5039" priority="672" operator="equal">
      <formula>2.1</formula>
    </cfRule>
    <cfRule type="cellIs" dxfId="5038" priority="673" operator="equal">
      <formula>1.5</formula>
    </cfRule>
    <cfRule type="cellIs" dxfId="5037" priority="674" operator="equal">
      <formula>1.4</formula>
    </cfRule>
    <cfRule type="cellIs" dxfId="5036" priority="675" operator="equal">
      <formula>1.3</formula>
    </cfRule>
    <cfRule type="cellIs" dxfId="5035" priority="676" operator="equal">
      <formula>1.2</formula>
    </cfRule>
    <cfRule type="containsText" dxfId="5034" priority="677" operator="containsText" text="1.1">
      <formula>NOT(ISERROR(SEARCH("1.1",A130)))</formula>
    </cfRule>
  </conditionalFormatting>
  <conditionalFormatting sqref="H138:M139">
    <cfRule type="containsBlanks" dxfId="5033" priority="660">
      <formula>LEN(TRIM(H138))=0</formula>
    </cfRule>
  </conditionalFormatting>
  <conditionalFormatting sqref="B132:G134">
    <cfRule type="cellIs" dxfId="5032" priority="643" operator="equal">
      <formula>4.4</formula>
    </cfRule>
    <cfRule type="cellIs" dxfId="5031" priority="644" operator="equal">
      <formula>4.3</formula>
    </cfRule>
    <cfRule type="cellIs" dxfId="5030" priority="645" operator="equal">
      <formula>4.2</formula>
    </cfRule>
    <cfRule type="cellIs" dxfId="5029" priority="646" operator="equal">
      <formula>4.1</formula>
    </cfRule>
    <cfRule type="cellIs" dxfId="5028" priority="647" operator="equal">
      <formula>3.4</formula>
    </cfRule>
    <cfRule type="cellIs" dxfId="5027" priority="648" operator="equal">
      <formula>3.3</formula>
    </cfRule>
    <cfRule type="cellIs" dxfId="5026" priority="649" operator="equal">
      <formula>3.2</formula>
    </cfRule>
    <cfRule type="cellIs" dxfId="5025" priority="650" operator="equal">
      <formula>3.1</formula>
    </cfRule>
    <cfRule type="cellIs" dxfId="5024" priority="651" operator="equal">
      <formula>2.4</formula>
    </cfRule>
    <cfRule type="cellIs" dxfId="5023" priority="652" operator="equal">
      <formula>2.3</formula>
    </cfRule>
    <cfRule type="cellIs" dxfId="5022" priority="653" operator="equal">
      <formula>2.2</formula>
    </cfRule>
    <cfRule type="cellIs" dxfId="5021" priority="654" operator="equal">
      <formula>2.1</formula>
    </cfRule>
    <cfRule type="cellIs" dxfId="5020" priority="655" operator="equal">
      <formula>1.5</formula>
    </cfRule>
    <cfRule type="cellIs" dxfId="5019" priority="656" operator="equal">
      <formula>1.4</formula>
    </cfRule>
    <cfRule type="cellIs" dxfId="5018" priority="657" operator="equal">
      <formula>1.3</formula>
    </cfRule>
    <cfRule type="cellIs" dxfId="5017" priority="658" operator="equal">
      <formula>1.2</formula>
    </cfRule>
    <cfRule type="containsText" dxfId="5016" priority="659" operator="containsText" text="1.1">
      <formula>NOT(ISERROR(SEARCH("1.1",B132)))</formula>
    </cfRule>
  </conditionalFormatting>
  <conditionalFormatting sqref="A95:G97">
    <cfRule type="cellIs" dxfId="5015" priority="626" operator="equal">
      <formula>4.4</formula>
    </cfRule>
    <cfRule type="cellIs" dxfId="5014" priority="627" operator="equal">
      <formula>4.3</formula>
    </cfRule>
    <cfRule type="cellIs" dxfId="5013" priority="628" operator="equal">
      <formula>4.2</formula>
    </cfRule>
    <cfRule type="cellIs" dxfId="5012" priority="629" operator="equal">
      <formula>4.1</formula>
    </cfRule>
    <cfRule type="cellIs" dxfId="5011" priority="630" operator="equal">
      <formula>3.4</formula>
    </cfRule>
    <cfRule type="cellIs" dxfId="5010" priority="631" operator="equal">
      <formula>3.3</formula>
    </cfRule>
    <cfRule type="cellIs" dxfId="5009" priority="632" operator="equal">
      <formula>3.2</formula>
    </cfRule>
    <cfRule type="cellIs" dxfId="5008" priority="633" operator="equal">
      <formula>3.1</formula>
    </cfRule>
    <cfRule type="cellIs" dxfId="5007" priority="634" operator="equal">
      <formula>2.4</formula>
    </cfRule>
    <cfRule type="cellIs" dxfId="5006" priority="635" operator="equal">
      <formula>2.3</formula>
    </cfRule>
    <cfRule type="cellIs" dxfId="5005" priority="636" operator="equal">
      <formula>2.2</formula>
    </cfRule>
    <cfRule type="cellIs" dxfId="5004" priority="637" operator="equal">
      <formula>2.1</formula>
    </cfRule>
    <cfRule type="cellIs" dxfId="5003" priority="638" operator="equal">
      <formula>1.5</formula>
    </cfRule>
    <cfRule type="cellIs" dxfId="5002" priority="639" operator="equal">
      <formula>1.4</formula>
    </cfRule>
    <cfRule type="cellIs" dxfId="5001" priority="640" operator="equal">
      <formula>1.3</formula>
    </cfRule>
    <cfRule type="cellIs" dxfId="5000" priority="641" operator="equal">
      <formula>1.2</formula>
    </cfRule>
    <cfRule type="containsText" dxfId="4999" priority="642" operator="containsText" text="1.1">
      <formula>NOT(ISERROR(SEARCH("1.1",A95)))</formula>
    </cfRule>
  </conditionalFormatting>
  <conditionalFormatting sqref="A119:G121">
    <cfRule type="cellIs" dxfId="4998" priority="609" operator="equal">
      <formula>4.4</formula>
    </cfRule>
    <cfRule type="cellIs" dxfId="4997" priority="610" operator="equal">
      <formula>4.3</formula>
    </cfRule>
    <cfRule type="cellIs" dxfId="4996" priority="611" operator="equal">
      <formula>4.2</formula>
    </cfRule>
    <cfRule type="cellIs" dxfId="4995" priority="612" operator="equal">
      <formula>4.1</formula>
    </cfRule>
    <cfRule type="cellIs" dxfId="4994" priority="613" operator="equal">
      <formula>3.4</formula>
    </cfRule>
    <cfRule type="cellIs" dxfId="4993" priority="614" operator="equal">
      <formula>3.3</formula>
    </cfRule>
    <cfRule type="cellIs" dxfId="4992" priority="615" operator="equal">
      <formula>3.2</formula>
    </cfRule>
    <cfRule type="cellIs" dxfId="4991" priority="616" operator="equal">
      <formula>3.1</formula>
    </cfRule>
    <cfRule type="cellIs" dxfId="4990" priority="617" operator="equal">
      <formula>2.4</formula>
    </cfRule>
    <cfRule type="cellIs" dxfId="4989" priority="618" operator="equal">
      <formula>2.3</formula>
    </cfRule>
    <cfRule type="cellIs" dxfId="4988" priority="619" operator="equal">
      <formula>2.2</formula>
    </cfRule>
    <cfRule type="cellIs" dxfId="4987" priority="620" operator="equal">
      <formula>2.1</formula>
    </cfRule>
    <cfRule type="cellIs" dxfId="4986" priority="621" operator="equal">
      <formula>1.5</formula>
    </cfRule>
    <cfRule type="cellIs" dxfId="4985" priority="622" operator="equal">
      <formula>1.4</formula>
    </cfRule>
    <cfRule type="cellIs" dxfId="4984" priority="623" operator="equal">
      <formula>1.3</formula>
    </cfRule>
    <cfRule type="cellIs" dxfId="4983" priority="624" operator="equal">
      <formula>1.2</formula>
    </cfRule>
    <cfRule type="containsText" dxfId="4982" priority="625" operator="containsText" text="1.1">
      <formula>NOT(ISERROR(SEARCH("1.1",A119)))</formula>
    </cfRule>
  </conditionalFormatting>
  <conditionalFormatting sqref="B122:G124">
    <cfRule type="cellIs" dxfId="4981" priority="575" operator="equal">
      <formula>4.4</formula>
    </cfRule>
    <cfRule type="cellIs" dxfId="4980" priority="576" operator="equal">
      <formula>4.3</formula>
    </cfRule>
    <cfRule type="cellIs" dxfId="4979" priority="577" operator="equal">
      <formula>4.2</formula>
    </cfRule>
    <cfRule type="cellIs" dxfId="4978" priority="578" operator="equal">
      <formula>4.1</formula>
    </cfRule>
    <cfRule type="cellIs" dxfId="4977" priority="579" operator="equal">
      <formula>3.4</formula>
    </cfRule>
    <cfRule type="cellIs" dxfId="4976" priority="580" operator="equal">
      <formula>3.3</formula>
    </cfRule>
    <cfRule type="cellIs" dxfId="4975" priority="581" operator="equal">
      <formula>3.2</formula>
    </cfRule>
    <cfRule type="cellIs" dxfId="4974" priority="582" operator="equal">
      <formula>3.1</formula>
    </cfRule>
    <cfRule type="cellIs" dxfId="4973" priority="583" operator="equal">
      <formula>2.4</formula>
    </cfRule>
    <cfRule type="cellIs" dxfId="4972" priority="584" operator="equal">
      <formula>2.3</formula>
    </cfRule>
    <cfRule type="cellIs" dxfId="4971" priority="585" operator="equal">
      <formula>2.2</formula>
    </cfRule>
    <cfRule type="cellIs" dxfId="4970" priority="586" operator="equal">
      <formula>2.1</formula>
    </cfRule>
    <cfRule type="cellIs" dxfId="4969" priority="587" operator="equal">
      <formula>1.5</formula>
    </cfRule>
    <cfRule type="cellIs" dxfId="4968" priority="588" operator="equal">
      <formula>1.4</formula>
    </cfRule>
    <cfRule type="cellIs" dxfId="4967" priority="589" operator="equal">
      <formula>1.3</formula>
    </cfRule>
    <cfRule type="cellIs" dxfId="4966" priority="590" operator="equal">
      <formula>1.2</formula>
    </cfRule>
    <cfRule type="containsText" dxfId="4965" priority="591" operator="containsText" text="1.1">
      <formula>NOT(ISERROR(SEARCH("1.1",B122)))</formula>
    </cfRule>
  </conditionalFormatting>
  <conditionalFormatting sqref="A122:A124">
    <cfRule type="cellIs" dxfId="4964" priority="592" operator="equal">
      <formula>4.4</formula>
    </cfRule>
    <cfRule type="cellIs" dxfId="4963" priority="593" operator="equal">
      <formula>4.3</formula>
    </cfRule>
    <cfRule type="cellIs" dxfId="4962" priority="594" operator="equal">
      <formula>4.2</formula>
    </cfRule>
    <cfRule type="cellIs" dxfId="4961" priority="595" operator="equal">
      <formula>4.1</formula>
    </cfRule>
    <cfRule type="cellIs" dxfId="4960" priority="596" operator="equal">
      <formula>3.4</formula>
    </cfRule>
    <cfRule type="cellIs" dxfId="4959" priority="597" operator="equal">
      <formula>3.3</formula>
    </cfRule>
    <cfRule type="cellIs" dxfId="4958" priority="598" operator="equal">
      <formula>3.2</formula>
    </cfRule>
    <cfRule type="cellIs" dxfId="4957" priority="599" operator="equal">
      <formula>3.1</formula>
    </cfRule>
    <cfRule type="cellIs" dxfId="4956" priority="600" operator="equal">
      <formula>2.4</formula>
    </cfRule>
    <cfRule type="cellIs" dxfId="4955" priority="601" operator="equal">
      <formula>2.3</formula>
    </cfRule>
    <cfRule type="cellIs" dxfId="4954" priority="602" operator="equal">
      <formula>2.2</formula>
    </cfRule>
    <cfRule type="cellIs" dxfId="4953" priority="603" operator="equal">
      <formula>2.1</formula>
    </cfRule>
    <cfRule type="cellIs" dxfId="4952" priority="604" operator="equal">
      <formula>1.5</formula>
    </cfRule>
    <cfRule type="cellIs" dxfId="4951" priority="605" operator="equal">
      <formula>1.4</formula>
    </cfRule>
    <cfRule type="cellIs" dxfId="4950" priority="606" operator="equal">
      <formula>1.3</formula>
    </cfRule>
    <cfRule type="cellIs" dxfId="4949" priority="607" operator="equal">
      <formula>1.2</formula>
    </cfRule>
    <cfRule type="containsText" dxfId="4948" priority="608" operator="containsText" text="1.1">
      <formula>NOT(ISERROR(SEARCH("1.1",A122)))</formula>
    </cfRule>
  </conditionalFormatting>
  <conditionalFormatting sqref="B135:G137">
    <cfRule type="cellIs" dxfId="4947" priority="541" operator="equal">
      <formula>4.4</formula>
    </cfRule>
    <cfRule type="cellIs" dxfId="4946" priority="542" operator="equal">
      <formula>4.3</formula>
    </cfRule>
    <cfRule type="cellIs" dxfId="4945" priority="543" operator="equal">
      <formula>4.2</formula>
    </cfRule>
    <cfRule type="cellIs" dxfId="4944" priority="544" operator="equal">
      <formula>4.1</formula>
    </cfRule>
    <cfRule type="cellIs" dxfId="4943" priority="545" operator="equal">
      <formula>3.4</formula>
    </cfRule>
    <cfRule type="cellIs" dxfId="4942" priority="546" operator="equal">
      <formula>3.3</formula>
    </cfRule>
    <cfRule type="cellIs" dxfId="4941" priority="547" operator="equal">
      <formula>3.2</formula>
    </cfRule>
    <cfRule type="cellIs" dxfId="4940" priority="548" operator="equal">
      <formula>3.1</formula>
    </cfRule>
    <cfRule type="cellIs" dxfId="4939" priority="549" operator="equal">
      <formula>2.4</formula>
    </cfRule>
    <cfRule type="cellIs" dxfId="4938" priority="550" operator="equal">
      <formula>2.3</formula>
    </cfRule>
    <cfRule type="cellIs" dxfId="4937" priority="551" operator="equal">
      <formula>2.2</formula>
    </cfRule>
    <cfRule type="cellIs" dxfId="4936" priority="552" operator="equal">
      <formula>2.1</formula>
    </cfRule>
    <cfRule type="cellIs" dxfId="4935" priority="553" operator="equal">
      <formula>1.5</formula>
    </cfRule>
    <cfRule type="cellIs" dxfId="4934" priority="554" operator="equal">
      <formula>1.4</formula>
    </cfRule>
    <cfRule type="cellIs" dxfId="4933" priority="555" operator="equal">
      <formula>1.3</formula>
    </cfRule>
    <cfRule type="cellIs" dxfId="4932" priority="556" operator="equal">
      <formula>1.2</formula>
    </cfRule>
    <cfRule type="containsText" dxfId="4931" priority="557" operator="containsText" text="1.1">
      <formula>NOT(ISERROR(SEARCH("1.1",B135)))</formula>
    </cfRule>
  </conditionalFormatting>
  <conditionalFormatting sqref="A135:A137">
    <cfRule type="cellIs" dxfId="4930" priority="558" operator="equal">
      <formula>4.4</formula>
    </cfRule>
    <cfRule type="cellIs" dxfId="4929" priority="559" operator="equal">
      <formula>4.3</formula>
    </cfRule>
    <cfRule type="cellIs" dxfId="4928" priority="560" operator="equal">
      <formula>4.2</formula>
    </cfRule>
    <cfRule type="cellIs" dxfId="4927" priority="561" operator="equal">
      <formula>4.1</formula>
    </cfRule>
    <cfRule type="cellIs" dxfId="4926" priority="562" operator="equal">
      <formula>3.4</formula>
    </cfRule>
    <cfRule type="cellIs" dxfId="4925" priority="563" operator="equal">
      <formula>3.3</formula>
    </cfRule>
    <cfRule type="cellIs" dxfId="4924" priority="564" operator="equal">
      <formula>3.2</formula>
    </cfRule>
    <cfRule type="cellIs" dxfId="4923" priority="565" operator="equal">
      <formula>3.1</formula>
    </cfRule>
    <cfRule type="cellIs" dxfId="4922" priority="566" operator="equal">
      <formula>2.4</formula>
    </cfRule>
    <cfRule type="cellIs" dxfId="4921" priority="567" operator="equal">
      <formula>2.3</formula>
    </cfRule>
    <cfRule type="cellIs" dxfId="4920" priority="568" operator="equal">
      <formula>2.2</formula>
    </cfRule>
    <cfRule type="cellIs" dxfId="4919" priority="569" operator="equal">
      <formula>2.1</formula>
    </cfRule>
    <cfRule type="cellIs" dxfId="4918" priority="570" operator="equal">
      <formula>1.5</formula>
    </cfRule>
    <cfRule type="cellIs" dxfId="4917" priority="571" operator="equal">
      <formula>1.4</formula>
    </cfRule>
    <cfRule type="cellIs" dxfId="4916" priority="572" operator="equal">
      <formula>1.3</formula>
    </cfRule>
    <cfRule type="cellIs" dxfId="4915" priority="573" operator="equal">
      <formula>1.2</formula>
    </cfRule>
    <cfRule type="containsText" dxfId="4914" priority="574" operator="containsText" text="1.1">
      <formula>NOT(ISERROR(SEARCH("1.1",A135)))</formula>
    </cfRule>
  </conditionalFormatting>
  <conditionalFormatting sqref="M132:M134">
    <cfRule type="containsBlanks" dxfId="4913" priority="540">
      <formula>LEN(TRIM(M132))=0</formula>
    </cfRule>
  </conditionalFormatting>
  <conditionalFormatting sqref="M132:M134">
    <cfRule type="cellIs" dxfId="4912" priority="523" operator="equal">
      <formula>4.4</formula>
    </cfRule>
    <cfRule type="cellIs" dxfId="4911" priority="524" operator="equal">
      <formula>4.3</formula>
    </cfRule>
    <cfRule type="cellIs" dxfId="4910" priority="525" operator="equal">
      <formula>4.2</formula>
    </cfRule>
    <cfRule type="cellIs" dxfId="4909" priority="526" operator="equal">
      <formula>4.1</formula>
    </cfRule>
    <cfRule type="cellIs" dxfId="4908" priority="527" operator="equal">
      <formula>3.4</formula>
    </cfRule>
    <cfRule type="cellIs" dxfId="4907" priority="528" operator="equal">
      <formula>3.3</formula>
    </cfRule>
    <cfRule type="cellIs" dxfId="4906" priority="529" operator="equal">
      <formula>3.2</formula>
    </cfRule>
    <cfRule type="cellIs" dxfId="4905" priority="530" operator="equal">
      <formula>3.1</formula>
    </cfRule>
    <cfRule type="cellIs" dxfId="4904" priority="531" operator="equal">
      <formula>2.4</formula>
    </cfRule>
    <cfRule type="cellIs" dxfId="4903" priority="532" operator="equal">
      <formula>2.3</formula>
    </cfRule>
    <cfRule type="cellIs" dxfId="4902" priority="533" operator="equal">
      <formula>2.2</formula>
    </cfRule>
    <cfRule type="cellIs" dxfId="4901" priority="534" operator="equal">
      <formula>2.1</formula>
    </cfRule>
    <cfRule type="cellIs" dxfId="4900" priority="535" operator="equal">
      <formula>1.5</formula>
    </cfRule>
    <cfRule type="cellIs" dxfId="4899" priority="536" operator="equal">
      <formula>1.4</formula>
    </cfRule>
    <cfRule type="cellIs" dxfId="4898" priority="537" operator="equal">
      <formula>1.3</formula>
    </cfRule>
    <cfRule type="cellIs" dxfId="4897" priority="538" operator="equal">
      <formula>1.2</formula>
    </cfRule>
    <cfRule type="containsText" dxfId="4896" priority="539" operator="containsText" text="1.1">
      <formula>NOT(ISERROR(SEARCH("1.1",M132)))</formula>
    </cfRule>
  </conditionalFormatting>
  <conditionalFormatting sqref="H132:L134">
    <cfRule type="containsBlanks" dxfId="4895" priority="522">
      <formula>LEN(TRIM(H132))=0</formula>
    </cfRule>
  </conditionalFormatting>
  <conditionalFormatting sqref="H132:L134">
    <cfRule type="cellIs" dxfId="4894" priority="505" operator="equal">
      <formula>4.4</formula>
    </cfRule>
    <cfRule type="cellIs" dxfId="4893" priority="506" operator="equal">
      <formula>4.3</formula>
    </cfRule>
    <cfRule type="cellIs" dxfId="4892" priority="507" operator="equal">
      <formula>4.2</formula>
    </cfRule>
    <cfRule type="cellIs" dxfId="4891" priority="508" operator="equal">
      <formula>4.1</formula>
    </cfRule>
    <cfRule type="cellIs" dxfId="4890" priority="509" operator="equal">
      <formula>3.4</formula>
    </cfRule>
    <cfRule type="cellIs" dxfId="4889" priority="510" operator="equal">
      <formula>3.3</formula>
    </cfRule>
    <cfRule type="cellIs" dxfId="4888" priority="511" operator="equal">
      <formula>3.2</formula>
    </cfRule>
    <cfRule type="cellIs" dxfId="4887" priority="512" operator="equal">
      <formula>3.1</formula>
    </cfRule>
    <cfRule type="cellIs" dxfId="4886" priority="513" operator="equal">
      <formula>2.4</formula>
    </cfRule>
    <cfRule type="cellIs" dxfId="4885" priority="514" operator="equal">
      <formula>2.3</formula>
    </cfRule>
    <cfRule type="cellIs" dxfId="4884" priority="515" operator="equal">
      <formula>2.2</formula>
    </cfRule>
    <cfRule type="cellIs" dxfId="4883" priority="516" operator="equal">
      <formula>2.1</formula>
    </cfRule>
    <cfRule type="cellIs" dxfId="4882" priority="517" operator="equal">
      <formula>1.5</formula>
    </cfRule>
    <cfRule type="cellIs" dxfId="4881" priority="518" operator="equal">
      <formula>1.4</formula>
    </cfRule>
    <cfRule type="cellIs" dxfId="4880" priority="519" operator="equal">
      <formula>1.3</formula>
    </cfRule>
    <cfRule type="cellIs" dxfId="4879" priority="520" operator="equal">
      <formula>1.2</formula>
    </cfRule>
    <cfRule type="containsText" dxfId="4878" priority="521" operator="containsText" text="1.1">
      <formula>NOT(ISERROR(SEARCH("1.1",H132)))</formula>
    </cfRule>
  </conditionalFormatting>
  <conditionalFormatting sqref="M135:M137">
    <cfRule type="containsBlanks" dxfId="4877" priority="504">
      <formula>LEN(TRIM(M135))=0</formula>
    </cfRule>
  </conditionalFormatting>
  <conditionalFormatting sqref="M135:M137">
    <cfRule type="cellIs" dxfId="4876" priority="487" operator="equal">
      <formula>4.4</formula>
    </cfRule>
    <cfRule type="cellIs" dxfId="4875" priority="488" operator="equal">
      <formula>4.3</formula>
    </cfRule>
    <cfRule type="cellIs" dxfId="4874" priority="489" operator="equal">
      <formula>4.2</formula>
    </cfRule>
    <cfRule type="cellIs" dxfId="4873" priority="490" operator="equal">
      <formula>4.1</formula>
    </cfRule>
    <cfRule type="cellIs" dxfId="4872" priority="491" operator="equal">
      <formula>3.4</formula>
    </cfRule>
    <cfRule type="cellIs" dxfId="4871" priority="492" operator="equal">
      <formula>3.3</formula>
    </cfRule>
    <cfRule type="cellIs" dxfId="4870" priority="493" operator="equal">
      <formula>3.2</formula>
    </cfRule>
    <cfRule type="cellIs" dxfId="4869" priority="494" operator="equal">
      <formula>3.1</formula>
    </cfRule>
    <cfRule type="cellIs" dxfId="4868" priority="495" operator="equal">
      <formula>2.4</formula>
    </cfRule>
    <cfRule type="cellIs" dxfId="4867" priority="496" operator="equal">
      <formula>2.3</formula>
    </cfRule>
    <cfRule type="cellIs" dxfId="4866" priority="497" operator="equal">
      <formula>2.2</formula>
    </cfRule>
    <cfRule type="cellIs" dxfId="4865" priority="498" operator="equal">
      <formula>2.1</formula>
    </cfRule>
    <cfRule type="cellIs" dxfId="4864" priority="499" operator="equal">
      <formula>1.5</formula>
    </cfRule>
    <cfRule type="cellIs" dxfId="4863" priority="500" operator="equal">
      <formula>1.4</formula>
    </cfRule>
    <cfRule type="cellIs" dxfId="4862" priority="501" operator="equal">
      <formula>1.3</formula>
    </cfRule>
    <cfRule type="cellIs" dxfId="4861" priority="502" operator="equal">
      <formula>1.2</formula>
    </cfRule>
    <cfRule type="containsText" dxfId="4860" priority="503" operator="containsText" text="1.1">
      <formula>NOT(ISERROR(SEARCH("1.1",M135)))</formula>
    </cfRule>
  </conditionalFormatting>
  <conditionalFormatting sqref="H135:L137">
    <cfRule type="containsBlanks" dxfId="4859" priority="486">
      <formula>LEN(TRIM(H135))=0</formula>
    </cfRule>
  </conditionalFormatting>
  <conditionalFormatting sqref="H135:L137">
    <cfRule type="cellIs" dxfId="4858" priority="469" operator="equal">
      <formula>4.4</formula>
    </cfRule>
    <cfRule type="cellIs" dxfId="4857" priority="470" operator="equal">
      <formula>4.3</formula>
    </cfRule>
    <cfRule type="cellIs" dxfId="4856" priority="471" operator="equal">
      <formula>4.2</formula>
    </cfRule>
    <cfRule type="cellIs" dxfId="4855" priority="472" operator="equal">
      <formula>4.1</formula>
    </cfRule>
    <cfRule type="cellIs" dxfId="4854" priority="473" operator="equal">
      <formula>3.4</formula>
    </cfRule>
    <cfRule type="cellIs" dxfId="4853" priority="474" operator="equal">
      <formula>3.3</formula>
    </cfRule>
    <cfRule type="cellIs" dxfId="4852" priority="475" operator="equal">
      <formula>3.2</formula>
    </cfRule>
    <cfRule type="cellIs" dxfId="4851" priority="476" operator="equal">
      <formula>3.1</formula>
    </cfRule>
    <cfRule type="cellIs" dxfId="4850" priority="477" operator="equal">
      <formula>2.4</formula>
    </cfRule>
    <cfRule type="cellIs" dxfId="4849" priority="478" operator="equal">
      <formula>2.3</formula>
    </cfRule>
    <cfRule type="cellIs" dxfId="4848" priority="479" operator="equal">
      <formula>2.2</formula>
    </cfRule>
    <cfRule type="cellIs" dxfId="4847" priority="480" operator="equal">
      <formula>2.1</formula>
    </cfRule>
    <cfRule type="cellIs" dxfId="4846" priority="481" operator="equal">
      <formula>1.5</formula>
    </cfRule>
    <cfRule type="cellIs" dxfId="4845" priority="482" operator="equal">
      <formula>1.4</formula>
    </cfRule>
    <cfRule type="cellIs" dxfId="4844" priority="483" operator="equal">
      <formula>1.3</formula>
    </cfRule>
    <cfRule type="cellIs" dxfId="4843" priority="484" operator="equal">
      <formula>1.2</formula>
    </cfRule>
    <cfRule type="containsText" dxfId="4842" priority="485" operator="containsText" text="1.1">
      <formula>NOT(ISERROR(SEARCH("1.1",H135)))</formula>
    </cfRule>
  </conditionalFormatting>
  <conditionalFormatting sqref="A182:A184 A188 A180:M181 F188:G189">
    <cfRule type="cellIs" dxfId="4841" priority="418" operator="equal">
      <formula>4.4</formula>
    </cfRule>
    <cfRule type="cellIs" dxfId="4840" priority="419" operator="equal">
      <formula>4.3</formula>
    </cfRule>
    <cfRule type="cellIs" dxfId="4839" priority="420" operator="equal">
      <formula>4.2</formula>
    </cfRule>
    <cfRule type="cellIs" dxfId="4838" priority="421" operator="equal">
      <formula>4.1</formula>
    </cfRule>
    <cfRule type="cellIs" dxfId="4837" priority="422" operator="equal">
      <formula>3.4</formula>
    </cfRule>
    <cfRule type="cellIs" dxfId="4836" priority="423" operator="equal">
      <formula>3.3</formula>
    </cfRule>
    <cfRule type="cellIs" dxfId="4835" priority="424" operator="equal">
      <formula>3.2</formula>
    </cfRule>
    <cfRule type="cellIs" dxfId="4834" priority="425" operator="equal">
      <formula>3.1</formula>
    </cfRule>
    <cfRule type="cellIs" dxfId="4833" priority="426" operator="equal">
      <formula>2.4</formula>
    </cfRule>
    <cfRule type="cellIs" dxfId="4832" priority="427" operator="equal">
      <formula>2.3</formula>
    </cfRule>
    <cfRule type="cellIs" dxfId="4831" priority="428" operator="equal">
      <formula>2.2</formula>
    </cfRule>
    <cfRule type="cellIs" dxfId="4830" priority="429" operator="equal">
      <formula>2.1</formula>
    </cfRule>
    <cfRule type="cellIs" dxfId="4829" priority="430" operator="equal">
      <formula>1.5</formula>
    </cfRule>
    <cfRule type="cellIs" dxfId="4828" priority="431" operator="equal">
      <formula>1.4</formula>
    </cfRule>
    <cfRule type="cellIs" dxfId="4827" priority="432" operator="equal">
      <formula>1.3</formula>
    </cfRule>
    <cfRule type="cellIs" dxfId="4826" priority="433" operator="equal">
      <formula>1.2</formula>
    </cfRule>
    <cfRule type="containsText" dxfId="4825" priority="434" operator="containsText" text="1.1">
      <formula>NOT(ISERROR(SEARCH("1.1",A180)))</formula>
    </cfRule>
  </conditionalFormatting>
  <conditionalFormatting sqref="B182:G184">
    <cfRule type="cellIs" dxfId="4824" priority="401" operator="equal">
      <formula>4.4</formula>
    </cfRule>
    <cfRule type="cellIs" dxfId="4823" priority="402" operator="equal">
      <formula>4.3</formula>
    </cfRule>
    <cfRule type="cellIs" dxfId="4822" priority="403" operator="equal">
      <formula>4.2</formula>
    </cfRule>
    <cfRule type="cellIs" dxfId="4821" priority="404" operator="equal">
      <formula>4.1</formula>
    </cfRule>
    <cfRule type="cellIs" dxfId="4820" priority="405" operator="equal">
      <formula>3.4</formula>
    </cfRule>
    <cfRule type="cellIs" dxfId="4819" priority="406" operator="equal">
      <formula>3.3</formula>
    </cfRule>
    <cfRule type="cellIs" dxfId="4818" priority="407" operator="equal">
      <formula>3.2</formula>
    </cfRule>
    <cfRule type="cellIs" dxfId="4817" priority="408" operator="equal">
      <formula>3.1</formula>
    </cfRule>
    <cfRule type="cellIs" dxfId="4816" priority="409" operator="equal">
      <formula>2.4</formula>
    </cfRule>
    <cfRule type="cellIs" dxfId="4815" priority="410" operator="equal">
      <formula>2.3</formula>
    </cfRule>
    <cfRule type="cellIs" dxfId="4814" priority="411" operator="equal">
      <formula>2.2</formula>
    </cfRule>
    <cfRule type="cellIs" dxfId="4813" priority="412" operator="equal">
      <formula>2.1</formula>
    </cfRule>
    <cfRule type="cellIs" dxfId="4812" priority="413" operator="equal">
      <formula>1.5</formula>
    </cfRule>
    <cfRule type="cellIs" dxfId="4811" priority="414" operator="equal">
      <formula>1.4</formula>
    </cfRule>
    <cfRule type="cellIs" dxfId="4810" priority="415" operator="equal">
      <formula>1.3</formula>
    </cfRule>
    <cfRule type="cellIs" dxfId="4809" priority="416" operator="equal">
      <formula>1.2</formula>
    </cfRule>
    <cfRule type="containsText" dxfId="4808" priority="417" operator="containsText" text="1.1">
      <formula>NOT(ISERROR(SEARCH("1.1",B182)))</formula>
    </cfRule>
  </conditionalFormatting>
  <conditionalFormatting sqref="A145:G147">
    <cfRule type="cellIs" dxfId="4807" priority="384" operator="equal">
      <formula>4.4</formula>
    </cfRule>
    <cfRule type="cellIs" dxfId="4806" priority="385" operator="equal">
      <formula>4.3</formula>
    </cfRule>
    <cfRule type="cellIs" dxfId="4805" priority="386" operator="equal">
      <formula>4.2</formula>
    </cfRule>
    <cfRule type="cellIs" dxfId="4804" priority="387" operator="equal">
      <formula>4.1</formula>
    </cfRule>
    <cfRule type="cellIs" dxfId="4803" priority="388" operator="equal">
      <formula>3.4</formula>
    </cfRule>
    <cfRule type="cellIs" dxfId="4802" priority="389" operator="equal">
      <formula>3.3</formula>
    </cfRule>
    <cfRule type="cellIs" dxfId="4801" priority="390" operator="equal">
      <formula>3.2</formula>
    </cfRule>
    <cfRule type="cellIs" dxfId="4800" priority="391" operator="equal">
      <formula>3.1</formula>
    </cfRule>
    <cfRule type="cellIs" dxfId="4799" priority="392" operator="equal">
      <formula>2.4</formula>
    </cfRule>
    <cfRule type="cellIs" dxfId="4798" priority="393" operator="equal">
      <formula>2.3</formula>
    </cfRule>
    <cfRule type="cellIs" dxfId="4797" priority="394" operator="equal">
      <formula>2.2</formula>
    </cfRule>
    <cfRule type="cellIs" dxfId="4796" priority="395" operator="equal">
      <formula>2.1</formula>
    </cfRule>
    <cfRule type="cellIs" dxfId="4795" priority="396" operator="equal">
      <formula>1.5</formula>
    </cfRule>
    <cfRule type="cellIs" dxfId="4794" priority="397" operator="equal">
      <formula>1.4</formula>
    </cfRule>
    <cfRule type="cellIs" dxfId="4793" priority="398" operator="equal">
      <formula>1.3</formula>
    </cfRule>
    <cfRule type="cellIs" dxfId="4792" priority="399" operator="equal">
      <formula>1.2</formula>
    </cfRule>
    <cfRule type="containsText" dxfId="4791" priority="400" operator="containsText" text="1.1">
      <formula>NOT(ISERROR(SEARCH("1.1",A145)))</formula>
    </cfRule>
  </conditionalFormatting>
  <conditionalFormatting sqref="A169:G171">
    <cfRule type="cellIs" dxfId="4790" priority="367" operator="equal">
      <formula>4.4</formula>
    </cfRule>
    <cfRule type="cellIs" dxfId="4789" priority="368" operator="equal">
      <formula>4.3</formula>
    </cfRule>
    <cfRule type="cellIs" dxfId="4788" priority="369" operator="equal">
      <formula>4.2</formula>
    </cfRule>
    <cfRule type="cellIs" dxfId="4787" priority="370" operator="equal">
      <formula>4.1</formula>
    </cfRule>
    <cfRule type="cellIs" dxfId="4786" priority="371" operator="equal">
      <formula>3.4</formula>
    </cfRule>
    <cfRule type="cellIs" dxfId="4785" priority="372" operator="equal">
      <formula>3.3</formula>
    </cfRule>
    <cfRule type="cellIs" dxfId="4784" priority="373" operator="equal">
      <formula>3.2</formula>
    </cfRule>
    <cfRule type="cellIs" dxfId="4783" priority="374" operator="equal">
      <formula>3.1</formula>
    </cfRule>
    <cfRule type="cellIs" dxfId="4782" priority="375" operator="equal">
      <formula>2.4</formula>
    </cfRule>
    <cfRule type="cellIs" dxfId="4781" priority="376" operator="equal">
      <formula>2.3</formula>
    </cfRule>
    <cfRule type="cellIs" dxfId="4780" priority="377" operator="equal">
      <formula>2.2</formula>
    </cfRule>
    <cfRule type="cellIs" dxfId="4779" priority="378" operator="equal">
      <formula>2.1</formula>
    </cfRule>
    <cfRule type="cellIs" dxfId="4778" priority="379" operator="equal">
      <formula>1.5</formula>
    </cfRule>
    <cfRule type="cellIs" dxfId="4777" priority="380" operator="equal">
      <formula>1.4</formula>
    </cfRule>
    <cfRule type="cellIs" dxfId="4776" priority="381" operator="equal">
      <formula>1.3</formula>
    </cfRule>
    <cfRule type="cellIs" dxfId="4775" priority="382" operator="equal">
      <formula>1.2</formula>
    </cfRule>
    <cfRule type="containsText" dxfId="4774" priority="383" operator="containsText" text="1.1">
      <formula>NOT(ISERROR(SEARCH("1.1",A169)))</formula>
    </cfRule>
  </conditionalFormatting>
  <conditionalFormatting sqref="A172:A174">
    <cfRule type="cellIs" dxfId="4773" priority="350" operator="equal">
      <formula>4.4</formula>
    </cfRule>
    <cfRule type="cellIs" dxfId="4772" priority="351" operator="equal">
      <formula>4.3</formula>
    </cfRule>
    <cfRule type="cellIs" dxfId="4771" priority="352" operator="equal">
      <formula>4.2</formula>
    </cfRule>
    <cfRule type="cellIs" dxfId="4770" priority="353" operator="equal">
      <formula>4.1</formula>
    </cfRule>
    <cfRule type="cellIs" dxfId="4769" priority="354" operator="equal">
      <formula>3.4</formula>
    </cfRule>
    <cfRule type="cellIs" dxfId="4768" priority="355" operator="equal">
      <formula>3.3</formula>
    </cfRule>
    <cfRule type="cellIs" dxfId="4767" priority="356" operator="equal">
      <formula>3.2</formula>
    </cfRule>
    <cfRule type="cellIs" dxfId="4766" priority="357" operator="equal">
      <formula>3.1</formula>
    </cfRule>
    <cfRule type="cellIs" dxfId="4765" priority="358" operator="equal">
      <formula>2.4</formula>
    </cfRule>
    <cfRule type="cellIs" dxfId="4764" priority="359" operator="equal">
      <formula>2.3</formula>
    </cfRule>
    <cfRule type="cellIs" dxfId="4763" priority="360" operator="equal">
      <formula>2.2</formula>
    </cfRule>
    <cfRule type="cellIs" dxfId="4762" priority="361" operator="equal">
      <formula>2.1</formula>
    </cfRule>
    <cfRule type="cellIs" dxfId="4761" priority="362" operator="equal">
      <formula>1.5</formula>
    </cfRule>
    <cfRule type="cellIs" dxfId="4760" priority="363" operator="equal">
      <formula>1.4</formula>
    </cfRule>
    <cfRule type="cellIs" dxfId="4759" priority="364" operator="equal">
      <formula>1.3</formula>
    </cfRule>
    <cfRule type="cellIs" dxfId="4758" priority="365" operator="equal">
      <formula>1.2</formula>
    </cfRule>
    <cfRule type="containsText" dxfId="4757" priority="366" operator="containsText" text="1.1">
      <formula>NOT(ISERROR(SEARCH("1.1",A172)))</formula>
    </cfRule>
  </conditionalFormatting>
  <conditionalFormatting sqref="B172:G174">
    <cfRule type="cellIs" dxfId="4756" priority="333" operator="equal">
      <formula>4.4</formula>
    </cfRule>
    <cfRule type="cellIs" dxfId="4755" priority="334" operator="equal">
      <formula>4.3</formula>
    </cfRule>
    <cfRule type="cellIs" dxfId="4754" priority="335" operator="equal">
      <formula>4.2</formula>
    </cfRule>
    <cfRule type="cellIs" dxfId="4753" priority="336" operator="equal">
      <formula>4.1</formula>
    </cfRule>
    <cfRule type="cellIs" dxfId="4752" priority="337" operator="equal">
      <formula>3.4</formula>
    </cfRule>
    <cfRule type="cellIs" dxfId="4751" priority="338" operator="equal">
      <formula>3.3</formula>
    </cfRule>
    <cfRule type="cellIs" dxfId="4750" priority="339" operator="equal">
      <formula>3.2</formula>
    </cfRule>
    <cfRule type="cellIs" dxfId="4749" priority="340" operator="equal">
      <formula>3.1</formula>
    </cfRule>
    <cfRule type="cellIs" dxfId="4748" priority="341" operator="equal">
      <formula>2.4</formula>
    </cfRule>
    <cfRule type="cellIs" dxfId="4747" priority="342" operator="equal">
      <formula>2.3</formula>
    </cfRule>
    <cfRule type="cellIs" dxfId="4746" priority="343" operator="equal">
      <formula>2.2</formula>
    </cfRule>
    <cfRule type="cellIs" dxfId="4745" priority="344" operator="equal">
      <formula>2.1</formula>
    </cfRule>
    <cfRule type="cellIs" dxfId="4744" priority="345" operator="equal">
      <formula>1.5</formula>
    </cfRule>
    <cfRule type="cellIs" dxfId="4743" priority="346" operator="equal">
      <formula>1.4</formula>
    </cfRule>
    <cfRule type="cellIs" dxfId="4742" priority="347" operator="equal">
      <formula>1.3</formula>
    </cfRule>
    <cfRule type="cellIs" dxfId="4741" priority="348" operator="equal">
      <formula>1.2</formula>
    </cfRule>
    <cfRule type="containsText" dxfId="4740" priority="349" operator="containsText" text="1.1">
      <formula>NOT(ISERROR(SEARCH("1.1",B172)))</formula>
    </cfRule>
  </conditionalFormatting>
  <conditionalFormatting sqref="B185:G187">
    <cfRule type="cellIs" dxfId="4739" priority="299" operator="equal">
      <formula>4.4</formula>
    </cfRule>
    <cfRule type="cellIs" dxfId="4738" priority="300" operator="equal">
      <formula>4.3</formula>
    </cfRule>
    <cfRule type="cellIs" dxfId="4737" priority="301" operator="equal">
      <formula>4.2</formula>
    </cfRule>
    <cfRule type="cellIs" dxfId="4736" priority="302" operator="equal">
      <formula>4.1</formula>
    </cfRule>
    <cfRule type="cellIs" dxfId="4735" priority="303" operator="equal">
      <formula>3.4</formula>
    </cfRule>
    <cfRule type="cellIs" dxfId="4734" priority="304" operator="equal">
      <formula>3.3</formula>
    </cfRule>
    <cfRule type="cellIs" dxfId="4733" priority="305" operator="equal">
      <formula>3.2</formula>
    </cfRule>
    <cfRule type="cellIs" dxfId="4732" priority="306" operator="equal">
      <formula>3.1</formula>
    </cfRule>
    <cfRule type="cellIs" dxfId="4731" priority="307" operator="equal">
      <formula>2.4</formula>
    </cfRule>
    <cfRule type="cellIs" dxfId="4730" priority="308" operator="equal">
      <formula>2.3</formula>
    </cfRule>
    <cfRule type="cellIs" dxfId="4729" priority="309" operator="equal">
      <formula>2.2</formula>
    </cfRule>
    <cfRule type="cellIs" dxfId="4728" priority="310" operator="equal">
      <formula>2.1</formula>
    </cfRule>
    <cfRule type="cellIs" dxfId="4727" priority="311" operator="equal">
      <formula>1.5</formula>
    </cfRule>
    <cfRule type="cellIs" dxfId="4726" priority="312" operator="equal">
      <formula>1.4</formula>
    </cfRule>
    <cfRule type="cellIs" dxfId="4725" priority="313" operator="equal">
      <formula>1.3</formula>
    </cfRule>
    <cfRule type="cellIs" dxfId="4724" priority="314" operator="equal">
      <formula>1.2</formula>
    </cfRule>
    <cfRule type="containsText" dxfId="4723" priority="315" operator="containsText" text="1.1">
      <formula>NOT(ISERROR(SEARCH("1.1",B185)))</formula>
    </cfRule>
  </conditionalFormatting>
  <conditionalFormatting sqref="A185:A187">
    <cfRule type="cellIs" dxfId="4722" priority="316" operator="equal">
      <formula>4.4</formula>
    </cfRule>
    <cfRule type="cellIs" dxfId="4721" priority="317" operator="equal">
      <formula>4.3</formula>
    </cfRule>
    <cfRule type="cellIs" dxfId="4720" priority="318" operator="equal">
      <formula>4.2</formula>
    </cfRule>
    <cfRule type="cellIs" dxfId="4719" priority="319" operator="equal">
      <formula>4.1</formula>
    </cfRule>
    <cfRule type="cellIs" dxfId="4718" priority="320" operator="equal">
      <formula>3.4</formula>
    </cfRule>
    <cfRule type="cellIs" dxfId="4717" priority="321" operator="equal">
      <formula>3.3</formula>
    </cfRule>
    <cfRule type="cellIs" dxfId="4716" priority="322" operator="equal">
      <formula>3.2</formula>
    </cfRule>
    <cfRule type="cellIs" dxfId="4715" priority="323" operator="equal">
      <formula>3.1</formula>
    </cfRule>
    <cfRule type="cellIs" dxfId="4714" priority="324" operator="equal">
      <formula>2.4</formula>
    </cfRule>
    <cfRule type="cellIs" dxfId="4713" priority="325" operator="equal">
      <formula>2.3</formula>
    </cfRule>
    <cfRule type="cellIs" dxfId="4712" priority="326" operator="equal">
      <formula>2.2</formula>
    </cfRule>
    <cfRule type="cellIs" dxfId="4711" priority="327" operator="equal">
      <formula>2.1</formula>
    </cfRule>
    <cfRule type="cellIs" dxfId="4710" priority="328" operator="equal">
      <formula>1.5</formula>
    </cfRule>
    <cfRule type="cellIs" dxfId="4709" priority="329" operator="equal">
      <formula>1.4</formula>
    </cfRule>
    <cfRule type="cellIs" dxfId="4708" priority="330" operator="equal">
      <formula>1.3</formula>
    </cfRule>
    <cfRule type="cellIs" dxfId="4707" priority="331" operator="equal">
      <formula>1.2</formula>
    </cfRule>
    <cfRule type="containsText" dxfId="4706" priority="332" operator="containsText" text="1.1">
      <formula>NOT(ISERROR(SEARCH("1.1",A185)))</formula>
    </cfRule>
  </conditionalFormatting>
  <conditionalFormatting sqref="M179">
    <cfRule type="cellIs" dxfId="4705" priority="452" operator="equal">
      <formula>4.4</formula>
    </cfRule>
    <cfRule type="cellIs" dxfId="4704" priority="453" operator="equal">
      <formula>4.3</formula>
    </cfRule>
    <cfRule type="cellIs" dxfId="4703" priority="454" operator="equal">
      <formula>4.2</formula>
    </cfRule>
    <cfRule type="cellIs" dxfId="4702" priority="455" operator="equal">
      <formula>4.1</formula>
    </cfRule>
    <cfRule type="cellIs" dxfId="4701" priority="456" operator="equal">
      <formula>3.4</formula>
    </cfRule>
    <cfRule type="cellIs" dxfId="4700" priority="457" operator="equal">
      <formula>3.3</formula>
    </cfRule>
    <cfRule type="cellIs" dxfId="4699" priority="458" operator="equal">
      <formula>3.2</formula>
    </cfRule>
    <cfRule type="cellIs" dxfId="4698" priority="459" operator="equal">
      <formula>3.1</formula>
    </cfRule>
    <cfRule type="cellIs" dxfId="4697" priority="460" operator="equal">
      <formula>2.4</formula>
    </cfRule>
    <cfRule type="cellIs" dxfId="4696" priority="461" operator="equal">
      <formula>2.3</formula>
    </cfRule>
    <cfRule type="cellIs" dxfId="4695" priority="462" operator="equal">
      <formula>2.2</formula>
    </cfRule>
    <cfRule type="cellIs" dxfId="4694" priority="463" operator="equal">
      <formula>2.1</formula>
    </cfRule>
    <cfRule type="cellIs" dxfId="4693" priority="464" operator="equal">
      <formula>1.5</formula>
    </cfRule>
    <cfRule type="cellIs" dxfId="4692" priority="465" operator="equal">
      <formula>1.4</formula>
    </cfRule>
    <cfRule type="cellIs" dxfId="4691" priority="466" operator="equal">
      <formula>1.3</formula>
    </cfRule>
    <cfRule type="cellIs" dxfId="4690" priority="467" operator="equal">
      <formula>1.2</formula>
    </cfRule>
    <cfRule type="containsText" dxfId="4689" priority="468" operator="containsText" text="1.1">
      <formula>NOT(ISERROR(SEARCH("1.1",M179)))</formula>
    </cfRule>
  </conditionalFormatting>
  <conditionalFormatting sqref="A176:E177 A148:G168 A175:G175 H145:M147 F176:G178">
    <cfRule type="cellIs" dxfId="4688" priority="435" operator="equal">
      <formula>4.4</formula>
    </cfRule>
    <cfRule type="cellIs" dxfId="4687" priority="436" operator="equal">
      <formula>4.3</formula>
    </cfRule>
    <cfRule type="cellIs" dxfId="4686" priority="437" operator="equal">
      <formula>4.2</formula>
    </cfRule>
    <cfRule type="cellIs" dxfId="4685" priority="438" operator="equal">
      <formula>4.1</formula>
    </cfRule>
    <cfRule type="cellIs" dxfId="4684" priority="439" operator="equal">
      <formula>3.4</formula>
    </cfRule>
    <cfRule type="cellIs" dxfId="4683" priority="440" operator="equal">
      <formula>3.3</formula>
    </cfRule>
    <cfRule type="cellIs" dxfId="4682" priority="441" operator="equal">
      <formula>3.2</formula>
    </cfRule>
    <cfRule type="cellIs" dxfId="4681" priority="442" operator="equal">
      <formula>3.1</formula>
    </cfRule>
    <cfRule type="cellIs" dxfId="4680" priority="443" operator="equal">
      <formula>2.4</formula>
    </cfRule>
    <cfRule type="cellIs" dxfId="4679" priority="444" operator="equal">
      <formula>2.3</formula>
    </cfRule>
    <cfRule type="cellIs" dxfId="4678" priority="445" operator="equal">
      <formula>2.2</formula>
    </cfRule>
    <cfRule type="cellIs" dxfId="4677" priority="446" operator="equal">
      <formula>2.1</formula>
    </cfRule>
    <cfRule type="cellIs" dxfId="4676" priority="447" operator="equal">
      <formula>1.5</formula>
    </cfRule>
    <cfRule type="cellIs" dxfId="4675" priority="448" operator="equal">
      <formula>1.4</formula>
    </cfRule>
    <cfRule type="cellIs" dxfId="4674" priority="449" operator="equal">
      <formula>1.3</formula>
    </cfRule>
    <cfRule type="cellIs" dxfId="4673" priority="450" operator="equal">
      <formula>1.2</formula>
    </cfRule>
    <cfRule type="containsText" dxfId="4672" priority="451" operator="containsText" text="1.1">
      <formula>NOT(ISERROR(SEARCH("1.1",A145)))</formula>
    </cfRule>
  </conditionalFormatting>
  <conditionalFormatting sqref="H148:M174">
    <cfRule type="cellIs" dxfId="4671" priority="281" operator="equal">
      <formula>4.4</formula>
    </cfRule>
    <cfRule type="cellIs" dxfId="4670" priority="282" operator="equal">
      <formula>4.3</formula>
    </cfRule>
    <cfRule type="cellIs" dxfId="4669" priority="283" operator="equal">
      <formula>4.2</formula>
    </cfRule>
    <cfRule type="cellIs" dxfId="4668" priority="284" operator="equal">
      <formula>4.1</formula>
    </cfRule>
    <cfRule type="cellIs" dxfId="4667" priority="285" operator="equal">
      <formula>3.4</formula>
    </cfRule>
    <cfRule type="cellIs" dxfId="4666" priority="286" operator="equal">
      <formula>3.3</formula>
    </cfRule>
    <cfRule type="cellIs" dxfId="4665" priority="287" operator="equal">
      <formula>3.2</formula>
    </cfRule>
    <cfRule type="cellIs" dxfId="4664" priority="288" operator="equal">
      <formula>3.1</formula>
    </cfRule>
    <cfRule type="cellIs" dxfId="4663" priority="289" operator="equal">
      <formula>2.4</formula>
    </cfRule>
    <cfRule type="cellIs" dxfId="4662" priority="290" operator="equal">
      <formula>2.3</formula>
    </cfRule>
    <cfRule type="cellIs" dxfId="4661" priority="291" operator="equal">
      <formula>2.2</formula>
    </cfRule>
    <cfRule type="cellIs" dxfId="4660" priority="292" operator="equal">
      <formula>2.1</formula>
    </cfRule>
    <cfRule type="cellIs" dxfId="4659" priority="293" operator="equal">
      <formula>1.5</formula>
    </cfRule>
    <cfRule type="cellIs" dxfId="4658" priority="294" operator="equal">
      <formula>1.4</formula>
    </cfRule>
    <cfRule type="cellIs" dxfId="4657" priority="295" operator="equal">
      <formula>1.3</formula>
    </cfRule>
    <cfRule type="cellIs" dxfId="4656" priority="296" operator="equal">
      <formula>1.2</formula>
    </cfRule>
    <cfRule type="containsText" dxfId="4655" priority="297" operator="containsText" text="1.1">
      <formula>NOT(ISERROR(SEARCH("1.1",H148)))</formula>
    </cfRule>
  </conditionalFormatting>
  <conditionalFormatting sqref="H148:M174">
    <cfRule type="containsBlanks" dxfId="4654" priority="298">
      <formula>LEN(TRIM(H148))=0</formula>
    </cfRule>
  </conditionalFormatting>
  <conditionalFormatting sqref="H175:M178">
    <cfRule type="containsBlanks" dxfId="4653" priority="280">
      <formula>LEN(TRIM(H175))=0</formula>
    </cfRule>
  </conditionalFormatting>
  <conditionalFormatting sqref="H175:M178">
    <cfRule type="cellIs" dxfId="4652" priority="263" operator="equal">
      <formula>4.4</formula>
    </cfRule>
    <cfRule type="cellIs" dxfId="4651" priority="264" operator="equal">
      <formula>4.3</formula>
    </cfRule>
    <cfRule type="cellIs" dxfId="4650" priority="265" operator="equal">
      <formula>4.2</formula>
    </cfRule>
    <cfRule type="cellIs" dxfId="4649" priority="266" operator="equal">
      <formula>4.1</formula>
    </cfRule>
    <cfRule type="cellIs" dxfId="4648" priority="267" operator="equal">
      <formula>3.4</formula>
    </cfRule>
    <cfRule type="cellIs" dxfId="4647" priority="268" operator="equal">
      <formula>3.3</formula>
    </cfRule>
    <cfRule type="cellIs" dxfId="4646" priority="269" operator="equal">
      <formula>3.2</formula>
    </cfRule>
    <cfRule type="cellIs" dxfId="4645" priority="270" operator="equal">
      <formula>3.1</formula>
    </cfRule>
    <cfRule type="cellIs" dxfId="4644" priority="271" operator="equal">
      <formula>2.4</formula>
    </cfRule>
    <cfRule type="cellIs" dxfId="4643" priority="272" operator="equal">
      <formula>2.3</formula>
    </cfRule>
    <cfRule type="cellIs" dxfId="4642" priority="273" operator="equal">
      <formula>2.2</formula>
    </cfRule>
    <cfRule type="cellIs" dxfId="4641" priority="274" operator="equal">
      <formula>2.1</formula>
    </cfRule>
    <cfRule type="cellIs" dxfId="4640" priority="275" operator="equal">
      <formula>1.5</formula>
    </cfRule>
    <cfRule type="cellIs" dxfId="4639" priority="276" operator="equal">
      <formula>1.4</formula>
    </cfRule>
    <cfRule type="cellIs" dxfId="4638" priority="277" operator="equal">
      <formula>1.3</formula>
    </cfRule>
    <cfRule type="cellIs" dxfId="4637" priority="278" operator="equal">
      <formula>1.2</formula>
    </cfRule>
    <cfRule type="containsText" dxfId="4636" priority="279" operator="containsText" text="1.1">
      <formula>NOT(ISERROR(SEARCH("1.1",H175)))</formula>
    </cfRule>
  </conditionalFormatting>
  <conditionalFormatting sqref="H182:M184">
    <cfRule type="containsBlanks" dxfId="4635" priority="262">
      <formula>LEN(TRIM(H182))=0</formula>
    </cfRule>
  </conditionalFormatting>
  <conditionalFormatting sqref="H182:M184">
    <cfRule type="cellIs" dxfId="4634" priority="245" operator="equal">
      <formula>4.4</formula>
    </cfRule>
    <cfRule type="cellIs" dxfId="4633" priority="246" operator="equal">
      <formula>4.3</formula>
    </cfRule>
    <cfRule type="cellIs" dxfId="4632" priority="247" operator="equal">
      <formula>4.2</formula>
    </cfRule>
    <cfRule type="cellIs" dxfId="4631" priority="248" operator="equal">
      <formula>4.1</formula>
    </cfRule>
    <cfRule type="cellIs" dxfId="4630" priority="249" operator="equal">
      <formula>3.4</formula>
    </cfRule>
    <cfRule type="cellIs" dxfId="4629" priority="250" operator="equal">
      <formula>3.3</formula>
    </cfRule>
    <cfRule type="cellIs" dxfId="4628" priority="251" operator="equal">
      <formula>3.2</formula>
    </cfRule>
    <cfRule type="cellIs" dxfId="4627" priority="252" operator="equal">
      <formula>3.1</formula>
    </cfRule>
    <cfRule type="cellIs" dxfId="4626" priority="253" operator="equal">
      <formula>2.4</formula>
    </cfRule>
    <cfRule type="cellIs" dxfId="4625" priority="254" operator="equal">
      <formula>2.3</formula>
    </cfRule>
    <cfRule type="cellIs" dxfId="4624" priority="255" operator="equal">
      <formula>2.2</formula>
    </cfRule>
    <cfRule type="cellIs" dxfId="4623" priority="256" operator="equal">
      <formula>2.1</formula>
    </cfRule>
    <cfRule type="cellIs" dxfId="4622" priority="257" operator="equal">
      <formula>1.5</formula>
    </cfRule>
    <cfRule type="cellIs" dxfId="4621" priority="258" operator="equal">
      <formula>1.4</formula>
    </cfRule>
    <cfRule type="cellIs" dxfId="4620" priority="259" operator="equal">
      <formula>1.3</formula>
    </cfRule>
    <cfRule type="cellIs" dxfId="4619" priority="260" operator="equal">
      <formula>1.2</formula>
    </cfRule>
    <cfRule type="containsText" dxfId="4618" priority="261" operator="containsText" text="1.1">
      <formula>NOT(ISERROR(SEARCH("1.1",H182)))</formula>
    </cfRule>
  </conditionalFormatting>
  <conditionalFormatting sqref="H185:M187">
    <cfRule type="containsBlanks" dxfId="4617" priority="244">
      <formula>LEN(TRIM(H185))=0</formula>
    </cfRule>
  </conditionalFormatting>
  <conditionalFormatting sqref="H185:M187">
    <cfRule type="cellIs" dxfId="4616" priority="227" operator="equal">
      <formula>4.4</formula>
    </cfRule>
    <cfRule type="cellIs" dxfId="4615" priority="228" operator="equal">
      <formula>4.3</formula>
    </cfRule>
    <cfRule type="cellIs" dxfId="4614" priority="229" operator="equal">
      <formula>4.2</formula>
    </cfRule>
    <cfRule type="cellIs" dxfId="4613" priority="230" operator="equal">
      <formula>4.1</formula>
    </cfRule>
    <cfRule type="cellIs" dxfId="4612" priority="231" operator="equal">
      <formula>3.4</formula>
    </cfRule>
    <cfRule type="cellIs" dxfId="4611" priority="232" operator="equal">
      <formula>3.3</formula>
    </cfRule>
    <cfRule type="cellIs" dxfId="4610" priority="233" operator="equal">
      <formula>3.2</formula>
    </cfRule>
    <cfRule type="cellIs" dxfId="4609" priority="234" operator="equal">
      <formula>3.1</formula>
    </cfRule>
    <cfRule type="cellIs" dxfId="4608" priority="235" operator="equal">
      <formula>2.4</formula>
    </cfRule>
    <cfRule type="cellIs" dxfId="4607" priority="236" operator="equal">
      <formula>2.3</formula>
    </cfRule>
    <cfRule type="cellIs" dxfId="4606" priority="237" operator="equal">
      <formula>2.2</formula>
    </cfRule>
    <cfRule type="cellIs" dxfId="4605" priority="238" operator="equal">
      <formula>2.1</formula>
    </cfRule>
    <cfRule type="cellIs" dxfId="4604" priority="239" operator="equal">
      <formula>1.5</formula>
    </cfRule>
    <cfRule type="cellIs" dxfId="4603" priority="240" operator="equal">
      <formula>1.4</formula>
    </cfRule>
    <cfRule type="cellIs" dxfId="4602" priority="241" operator="equal">
      <formula>1.3</formula>
    </cfRule>
    <cfRule type="cellIs" dxfId="4601" priority="242" operator="equal">
      <formula>1.2</formula>
    </cfRule>
    <cfRule type="containsText" dxfId="4600" priority="243" operator="containsText" text="1.1">
      <formula>NOT(ISERROR(SEARCH("1.1",H185)))</formula>
    </cfRule>
  </conditionalFormatting>
  <conditionalFormatting sqref="H188:M189">
    <cfRule type="containsBlanks" dxfId="4599" priority="226">
      <formula>LEN(TRIM(H188))=0</formula>
    </cfRule>
  </conditionalFormatting>
  <conditionalFormatting sqref="H188:M189">
    <cfRule type="cellIs" dxfId="4598" priority="209" operator="equal">
      <formula>4.4</formula>
    </cfRule>
    <cfRule type="cellIs" dxfId="4597" priority="210" operator="equal">
      <formula>4.3</formula>
    </cfRule>
    <cfRule type="cellIs" dxfId="4596" priority="211" operator="equal">
      <formula>4.2</formula>
    </cfRule>
    <cfRule type="cellIs" dxfId="4595" priority="212" operator="equal">
      <formula>4.1</formula>
    </cfRule>
    <cfRule type="cellIs" dxfId="4594" priority="213" operator="equal">
      <formula>3.4</formula>
    </cfRule>
    <cfRule type="cellIs" dxfId="4593" priority="214" operator="equal">
      <formula>3.3</formula>
    </cfRule>
    <cfRule type="cellIs" dxfId="4592" priority="215" operator="equal">
      <formula>3.2</formula>
    </cfRule>
    <cfRule type="cellIs" dxfId="4591" priority="216" operator="equal">
      <formula>3.1</formula>
    </cfRule>
    <cfRule type="cellIs" dxfId="4590" priority="217" operator="equal">
      <formula>2.4</formula>
    </cfRule>
    <cfRule type="cellIs" dxfId="4589" priority="218" operator="equal">
      <formula>2.3</formula>
    </cfRule>
    <cfRule type="cellIs" dxfId="4588" priority="219" operator="equal">
      <formula>2.2</formula>
    </cfRule>
    <cfRule type="cellIs" dxfId="4587" priority="220" operator="equal">
      <formula>2.1</formula>
    </cfRule>
    <cfRule type="cellIs" dxfId="4586" priority="221" operator="equal">
      <formula>1.5</formula>
    </cfRule>
    <cfRule type="cellIs" dxfId="4585" priority="222" operator="equal">
      <formula>1.4</formula>
    </cfRule>
    <cfRule type="cellIs" dxfId="4584" priority="223" operator="equal">
      <formula>1.3</formula>
    </cfRule>
    <cfRule type="cellIs" dxfId="4583" priority="224" operator="equal">
      <formula>1.2</formula>
    </cfRule>
    <cfRule type="containsText" dxfId="4582" priority="225" operator="containsText" text="1.1">
      <formula>NOT(ISERROR(SEARCH("1.1",H188)))</formula>
    </cfRule>
  </conditionalFormatting>
  <conditionalFormatting sqref="H238:K239">
    <cfRule type="cellIs" dxfId="4581" priority="19" operator="equal">
      <formula>4.4</formula>
    </cfRule>
    <cfRule type="cellIs" dxfId="4580" priority="20" operator="equal">
      <formula>4.3</formula>
    </cfRule>
    <cfRule type="cellIs" dxfId="4579" priority="21" operator="equal">
      <formula>4.2</formula>
    </cfRule>
    <cfRule type="cellIs" dxfId="4578" priority="22" operator="equal">
      <formula>4.1</formula>
    </cfRule>
    <cfRule type="cellIs" dxfId="4577" priority="23" operator="equal">
      <formula>3.4</formula>
    </cfRule>
    <cfRule type="cellIs" dxfId="4576" priority="24" operator="equal">
      <formula>3.3</formula>
    </cfRule>
    <cfRule type="cellIs" dxfId="4575" priority="25" operator="equal">
      <formula>3.2</formula>
    </cfRule>
    <cfRule type="cellIs" dxfId="4574" priority="26" operator="equal">
      <formula>3.1</formula>
    </cfRule>
    <cfRule type="cellIs" dxfId="4573" priority="27" operator="equal">
      <formula>2.4</formula>
    </cfRule>
    <cfRule type="cellIs" dxfId="4572" priority="28" operator="equal">
      <formula>2.3</formula>
    </cfRule>
    <cfRule type="cellIs" dxfId="4571" priority="29" operator="equal">
      <formula>2.2</formula>
    </cfRule>
    <cfRule type="cellIs" dxfId="4570" priority="30" operator="equal">
      <formula>2.1</formula>
    </cfRule>
    <cfRule type="cellIs" dxfId="4569" priority="31" operator="equal">
      <formula>1.5</formula>
    </cfRule>
    <cfRule type="cellIs" dxfId="4568" priority="32" operator="equal">
      <formula>1.4</formula>
    </cfRule>
    <cfRule type="cellIs" dxfId="4567" priority="33" operator="equal">
      <formula>1.3</formula>
    </cfRule>
    <cfRule type="cellIs" dxfId="4566" priority="34" operator="equal">
      <formula>1.2</formula>
    </cfRule>
    <cfRule type="containsText" dxfId="4565" priority="35" operator="containsText" text="1.1">
      <formula>NOT(ISERROR(SEARCH("1.1",H238)))</formula>
    </cfRule>
  </conditionalFormatting>
  <conditionalFormatting sqref="H198:K224">
    <cfRule type="containsBlanks" dxfId="4564" priority="208">
      <formula>LEN(TRIM(H198))=0</formula>
    </cfRule>
  </conditionalFormatting>
  <conditionalFormatting sqref="A198:K200 A226:E227 A201:G218 A225:G225 H195:K197 H201:K224 F226:G228">
    <cfRule type="cellIs" dxfId="4563" priority="191" operator="equal">
      <formula>4.4</formula>
    </cfRule>
    <cfRule type="cellIs" dxfId="4562" priority="192" operator="equal">
      <formula>4.3</formula>
    </cfRule>
    <cfRule type="cellIs" dxfId="4561" priority="193" operator="equal">
      <formula>4.2</formula>
    </cfRule>
    <cfRule type="cellIs" dxfId="4560" priority="194" operator="equal">
      <formula>4.1</formula>
    </cfRule>
    <cfRule type="cellIs" dxfId="4559" priority="195" operator="equal">
      <formula>3.4</formula>
    </cfRule>
    <cfRule type="cellIs" dxfId="4558" priority="196" operator="equal">
      <formula>3.3</formula>
    </cfRule>
    <cfRule type="cellIs" dxfId="4557" priority="197" operator="equal">
      <formula>3.2</formula>
    </cfRule>
    <cfRule type="cellIs" dxfId="4556" priority="198" operator="equal">
      <formula>3.1</formula>
    </cfRule>
    <cfRule type="cellIs" dxfId="4555" priority="199" operator="equal">
      <formula>2.4</formula>
    </cfRule>
    <cfRule type="cellIs" dxfId="4554" priority="200" operator="equal">
      <formula>2.3</formula>
    </cfRule>
    <cfRule type="cellIs" dxfId="4553" priority="201" operator="equal">
      <formula>2.2</formula>
    </cfRule>
    <cfRule type="cellIs" dxfId="4552" priority="202" operator="equal">
      <formula>2.1</formula>
    </cfRule>
    <cfRule type="cellIs" dxfId="4551" priority="203" operator="equal">
      <formula>1.5</formula>
    </cfRule>
    <cfRule type="cellIs" dxfId="4550" priority="204" operator="equal">
      <formula>1.4</formula>
    </cfRule>
    <cfRule type="cellIs" dxfId="4549" priority="205" operator="equal">
      <formula>1.3</formula>
    </cfRule>
    <cfRule type="cellIs" dxfId="4548" priority="206" operator="equal">
      <formula>1.2</formula>
    </cfRule>
    <cfRule type="containsText" dxfId="4547" priority="207" operator="containsText" text="1.1">
      <formula>NOT(ISERROR(SEARCH("1.1",A195)))</formula>
    </cfRule>
  </conditionalFormatting>
  <conditionalFormatting sqref="A232:A234 A238 A230:K231 F238:G239">
    <cfRule type="cellIs" dxfId="4546" priority="174" operator="equal">
      <formula>4.4</formula>
    </cfRule>
    <cfRule type="cellIs" dxfId="4545" priority="175" operator="equal">
      <formula>4.3</formula>
    </cfRule>
    <cfRule type="cellIs" dxfId="4544" priority="176" operator="equal">
      <formula>4.2</formula>
    </cfRule>
    <cfRule type="cellIs" dxfId="4543" priority="177" operator="equal">
      <formula>4.1</formula>
    </cfRule>
    <cfRule type="cellIs" dxfId="4542" priority="178" operator="equal">
      <formula>3.4</formula>
    </cfRule>
    <cfRule type="cellIs" dxfId="4541" priority="179" operator="equal">
      <formula>3.3</formula>
    </cfRule>
    <cfRule type="cellIs" dxfId="4540" priority="180" operator="equal">
      <formula>3.2</formula>
    </cfRule>
    <cfRule type="cellIs" dxfId="4539" priority="181" operator="equal">
      <formula>3.1</formula>
    </cfRule>
    <cfRule type="cellIs" dxfId="4538" priority="182" operator="equal">
      <formula>2.4</formula>
    </cfRule>
    <cfRule type="cellIs" dxfId="4537" priority="183" operator="equal">
      <formula>2.3</formula>
    </cfRule>
    <cfRule type="cellIs" dxfId="4536" priority="184" operator="equal">
      <formula>2.2</formula>
    </cfRule>
    <cfRule type="cellIs" dxfId="4535" priority="185" operator="equal">
      <formula>2.1</formula>
    </cfRule>
    <cfRule type="cellIs" dxfId="4534" priority="186" operator="equal">
      <formula>1.5</formula>
    </cfRule>
    <cfRule type="cellIs" dxfId="4533" priority="187" operator="equal">
      <formula>1.4</formula>
    </cfRule>
    <cfRule type="cellIs" dxfId="4532" priority="188" operator="equal">
      <formula>1.3</formula>
    </cfRule>
    <cfRule type="cellIs" dxfId="4531" priority="189" operator="equal">
      <formula>1.2</formula>
    </cfRule>
    <cfRule type="containsText" dxfId="4530" priority="190" operator="containsText" text="1.1">
      <formula>NOT(ISERROR(SEARCH("1.1",A230)))</formula>
    </cfRule>
  </conditionalFormatting>
  <conditionalFormatting sqref="B232:G234">
    <cfRule type="cellIs" dxfId="4529" priority="157" operator="equal">
      <formula>4.4</formula>
    </cfRule>
    <cfRule type="cellIs" dxfId="4528" priority="158" operator="equal">
      <formula>4.3</formula>
    </cfRule>
    <cfRule type="cellIs" dxfId="4527" priority="159" operator="equal">
      <formula>4.2</formula>
    </cfRule>
    <cfRule type="cellIs" dxfId="4526" priority="160" operator="equal">
      <formula>4.1</formula>
    </cfRule>
    <cfRule type="cellIs" dxfId="4525" priority="161" operator="equal">
      <formula>3.4</formula>
    </cfRule>
    <cfRule type="cellIs" dxfId="4524" priority="162" operator="equal">
      <formula>3.3</formula>
    </cfRule>
    <cfRule type="cellIs" dxfId="4523" priority="163" operator="equal">
      <formula>3.2</formula>
    </cfRule>
    <cfRule type="cellIs" dxfId="4522" priority="164" operator="equal">
      <formula>3.1</formula>
    </cfRule>
    <cfRule type="cellIs" dxfId="4521" priority="165" operator="equal">
      <formula>2.4</formula>
    </cfRule>
    <cfRule type="cellIs" dxfId="4520" priority="166" operator="equal">
      <formula>2.3</formula>
    </cfRule>
    <cfRule type="cellIs" dxfId="4519" priority="167" operator="equal">
      <formula>2.2</formula>
    </cfRule>
    <cfRule type="cellIs" dxfId="4518" priority="168" operator="equal">
      <formula>2.1</formula>
    </cfRule>
    <cfRule type="cellIs" dxfId="4517" priority="169" operator="equal">
      <formula>1.5</formula>
    </cfRule>
    <cfRule type="cellIs" dxfId="4516" priority="170" operator="equal">
      <formula>1.4</formula>
    </cfRule>
    <cfRule type="cellIs" dxfId="4515" priority="171" operator="equal">
      <formula>1.3</formula>
    </cfRule>
    <cfRule type="cellIs" dxfId="4514" priority="172" operator="equal">
      <formula>1.2</formula>
    </cfRule>
    <cfRule type="containsText" dxfId="4513" priority="173" operator="containsText" text="1.1">
      <formula>NOT(ISERROR(SEARCH("1.1",B232)))</formula>
    </cfRule>
  </conditionalFormatting>
  <conditionalFormatting sqref="A195:G197">
    <cfRule type="cellIs" dxfId="4512" priority="140" operator="equal">
      <formula>4.4</formula>
    </cfRule>
    <cfRule type="cellIs" dxfId="4511" priority="141" operator="equal">
      <formula>4.3</formula>
    </cfRule>
    <cfRule type="cellIs" dxfId="4510" priority="142" operator="equal">
      <formula>4.2</formula>
    </cfRule>
    <cfRule type="cellIs" dxfId="4509" priority="143" operator="equal">
      <formula>4.1</formula>
    </cfRule>
    <cfRule type="cellIs" dxfId="4508" priority="144" operator="equal">
      <formula>3.4</formula>
    </cfRule>
    <cfRule type="cellIs" dxfId="4507" priority="145" operator="equal">
      <formula>3.3</formula>
    </cfRule>
    <cfRule type="cellIs" dxfId="4506" priority="146" operator="equal">
      <formula>3.2</formula>
    </cfRule>
    <cfRule type="cellIs" dxfId="4505" priority="147" operator="equal">
      <formula>3.1</formula>
    </cfRule>
    <cfRule type="cellIs" dxfId="4504" priority="148" operator="equal">
      <formula>2.4</formula>
    </cfRule>
    <cfRule type="cellIs" dxfId="4503" priority="149" operator="equal">
      <formula>2.3</formula>
    </cfRule>
    <cfRule type="cellIs" dxfId="4502" priority="150" operator="equal">
      <formula>2.2</formula>
    </cfRule>
    <cfRule type="cellIs" dxfId="4501" priority="151" operator="equal">
      <formula>2.1</formula>
    </cfRule>
    <cfRule type="cellIs" dxfId="4500" priority="152" operator="equal">
      <formula>1.5</formula>
    </cfRule>
    <cfRule type="cellIs" dxfId="4499" priority="153" operator="equal">
      <formula>1.4</formula>
    </cfRule>
    <cfRule type="cellIs" dxfId="4498" priority="154" operator="equal">
      <formula>1.3</formula>
    </cfRule>
    <cfRule type="cellIs" dxfId="4497" priority="155" operator="equal">
      <formula>1.2</formula>
    </cfRule>
    <cfRule type="containsText" dxfId="4496" priority="156" operator="containsText" text="1.1">
      <formula>NOT(ISERROR(SEARCH("1.1",A195)))</formula>
    </cfRule>
  </conditionalFormatting>
  <conditionalFormatting sqref="A219:G221">
    <cfRule type="cellIs" dxfId="4495" priority="123" operator="equal">
      <formula>4.4</formula>
    </cfRule>
    <cfRule type="cellIs" dxfId="4494" priority="124" operator="equal">
      <formula>4.3</formula>
    </cfRule>
    <cfRule type="cellIs" dxfId="4493" priority="125" operator="equal">
      <formula>4.2</formula>
    </cfRule>
    <cfRule type="cellIs" dxfId="4492" priority="126" operator="equal">
      <formula>4.1</formula>
    </cfRule>
    <cfRule type="cellIs" dxfId="4491" priority="127" operator="equal">
      <formula>3.4</formula>
    </cfRule>
    <cfRule type="cellIs" dxfId="4490" priority="128" operator="equal">
      <formula>3.3</formula>
    </cfRule>
    <cfRule type="cellIs" dxfId="4489" priority="129" operator="equal">
      <formula>3.2</formula>
    </cfRule>
    <cfRule type="cellIs" dxfId="4488" priority="130" operator="equal">
      <formula>3.1</formula>
    </cfRule>
    <cfRule type="cellIs" dxfId="4487" priority="131" operator="equal">
      <formula>2.4</formula>
    </cfRule>
    <cfRule type="cellIs" dxfId="4486" priority="132" operator="equal">
      <formula>2.3</formula>
    </cfRule>
    <cfRule type="cellIs" dxfId="4485" priority="133" operator="equal">
      <formula>2.2</formula>
    </cfRule>
    <cfRule type="cellIs" dxfId="4484" priority="134" operator="equal">
      <formula>2.1</formula>
    </cfRule>
    <cfRule type="cellIs" dxfId="4483" priority="135" operator="equal">
      <formula>1.5</formula>
    </cfRule>
    <cfRule type="cellIs" dxfId="4482" priority="136" operator="equal">
      <formula>1.4</formula>
    </cfRule>
    <cfRule type="cellIs" dxfId="4481" priority="137" operator="equal">
      <formula>1.3</formula>
    </cfRule>
    <cfRule type="cellIs" dxfId="4480" priority="138" operator="equal">
      <formula>1.2</formula>
    </cfRule>
    <cfRule type="containsText" dxfId="4479" priority="139" operator="containsText" text="1.1">
      <formula>NOT(ISERROR(SEARCH("1.1",A219)))</formula>
    </cfRule>
  </conditionalFormatting>
  <conditionalFormatting sqref="B222:G224">
    <cfRule type="cellIs" dxfId="4478" priority="89" operator="equal">
      <formula>4.4</formula>
    </cfRule>
    <cfRule type="cellIs" dxfId="4477" priority="90" operator="equal">
      <formula>4.3</formula>
    </cfRule>
    <cfRule type="cellIs" dxfId="4476" priority="91" operator="equal">
      <formula>4.2</formula>
    </cfRule>
    <cfRule type="cellIs" dxfId="4475" priority="92" operator="equal">
      <formula>4.1</formula>
    </cfRule>
    <cfRule type="cellIs" dxfId="4474" priority="93" operator="equal">
      <formula>3.4</formula>
    </cfRule>
    <cfRule type="cellIs" dxfId="4473" priority="94" operator="equal">
      <formula>3.3</formula>
    </cfRule>
    <cfRule type="cellIs" dxfId="4472" priority="95" operator="equal">
      <formula>3.2</formula>
    </cfRule>
    <cfRule type="cellIs" dxfId="4471" priority="96" operator="equal">
      <formula>3.1</formula>
    </cfRule>
    <cfRule type="cellIs" dxfId="4470" priority="97" operator="equal">
      <formula>2.4</formula>
    </cfRule>
    <cfRule type="cellIs" dxfId="4469" priority="98" operator="equal">
      <formula>2.3</formula>
    </cfRule>
    <cfRule type="cellIs" dxfId="4468" priority="99" operator="equal">
      <formula>2.2</formula>
    </cfRule>
    <cfRule type="cellIs" dxfId="4467" priority="100" operator="equal">
      <formula>2.1</formula>
    </cfRule>
    <cfRule type="cellIs" dxfId="4466" priority="101" operator="equal">
      <formula>1.5</formula>
    </cfRule>
    <cfRule type="cellIs" dxfId="4465" priority="102" operator="equal">
      <formula>1.4</formula>
    </cfRule>
    <cfRule type="cellIs" dxfId="4464" priority="103" operator="equal">
      <formula>1.3</formula>
    </cfRule>
    <cfRule type="cellIs" dxfId="4463" priority="104" operator="equal">
      <formula>1.2</formula>
    </cfRule>
    <cfRule type="containsText" dxfId="4462" priority="105" operator="containsText" text="1.1">
      <formula>NOT(ISERROR(SEARCH("1.1",B222)))</formula>
    </cfRule>
  </conditionalFormatting>
  <conditionalFormatting sqref="A222:A224">
    <cfRule type="cellIs" dxfId="4461" priority="106" operator="equal">
      <formula>4.4</formula>
    </cfRule>
    <cfRule type="cellIs" dxfId="4460" priority="107" operator="equal">
      <formula>4.3</formula>
    </cfRule>
    <cfRule type="cellIs" dxfId="4459" priority="108" operator="equal">
      <formula>4.2</formula>
    </cfRule>
    <cfRule type="cellIs" dxfId="4458" priority="109" operator="equal">
      <formula>4.1</formula>
    </cfRule>
    <cfRule type="cellIs" dxfId="4457" priority="110" operator="equal">
      <formula>3.4</formula>
    </cfRule>
    <cfRule type="cellIs" dxfId="4456" priority="111" operator="equal">
      <formula>3.3</formula>
    </cfRule>
    <cfRule type="cellIs" dxfId="4455" priority="112" operator="equal">
      <formula>3.2</formula>
    </cfRule>
    <cfRule type="cellIs" dxfId="4454" priority="113" operator="equal">
      <formula>3.1</formula>
    </cfRule>
    <cfRule type="cellIs" dxfId="4453" priority="114" operator="equal">
      <formula>2.4</formula>
    </cfRule>
    <cfRule type="cellIs" dxfId="4452" priority="115" operator="equal">
      <formula>2.3</formula>
    </cfRule>
    <cfRule type="cellIs" dxfId="4451" priority="116" operator="equal">
      <formula>2.2</formula>
    </cfRule>
    <cfRule type="cellIs" dxfId="4450" priority="117" operator="equal">
      <formula>2.1</formula>
    </cfRule>
    <cfRule type="cellIs" dxfId="4449" priority="118" operator="equal">
      <formula>1.5</formula>
    </cfRule>
    <cfRule type="cellIs" dxfId="4448" priority="119" operator="equal">
      <formula>1.4</formula>
    </cfRule>
    <cfRule type="cellIs" dxfId="4447" priority="120" operator="equal">
      <formula>1.3</formula>
    </cfRule>
    <cfRule type="cellIs" dxfId="4446" priority="121" operator="equal">
      <formula>1.2</formula>
    </cfRule>
    <cfRule type="containsText" dxfId="4445" priority="122" operator="containsText" text="1.1">
      <formula>NOT(ISERROR(SEARCH("1.1",A222)))</formula>
    </cfRule>
  </conditionalFormatting>
  <conditionalFormatting sqref="B235:G237">
    <cfRule type="cellIs" dxfId="4444" priority="55" operator="equal">
      <formula>4.4</formula>
    </cfRule>
    <cfRule type="cellIs" dxfId="4443" priority="56" operator="equal">
      <formula>4.3</formula>
    </cfRule>
    <cfRule type="cellIs" dxfId="4442" priority="57" operator="equal">
      <formula>4.2</formula>
    </cfRule>
    <cfRule type="cellIs" dxfId="4441" priority="58" operator="equal">
      <formula>4.1</formula>
    </cfRule>
    <cfRule type="cellIs" dxfId="4440" priority="59" operator="equal">
      <formula>3.4</formula>
    </cfRule>
    <cfRule type="cellIs" dxfId="4439" priority="60" operator="equal">
      <formula>3.3</formula>
    </cfRule>
    <cfRule type="cellIs" dxfId="4438" priority="61" operator="equal">
      <formula>3.2</formula>
    </cfRule>
    <cfRule type="cellIs" dxfId="4437" priority="62" operator="equal">
      <formula>3.1</formula>
    </cfRule>
    <cfRule type="cellIs" dxfId="4436" priority="63" operator="equal">
      <formula>2.4</formula>
    </cfRule>
    <cfRule type="cellIs" dxfId="4435" priority="64" operator="equal">
      <formula>2.3</formula>
    </cfRule>
    <cfRule type="cellIs" dxfId="4434" priority="65" operator="equal">
      <formula>2.2</formula>
    </cfRule>
    <cfRule type="cellIs" dxfId="4433" priority="66" operator="equal">
      <formula>2.1</formula>
    </cfRule>
    <cfRule type="cellIs" dxfId="4432" priority="67" operator="equal">
      <formula>1.5</formula>
    </cfRule>
    <cfRule type="cellIs" dxfId="4431" priority="68" operator="equal">
      <formula>1.4</formula>
    </cfRule>
    <cfRule type="cellIs" dxfId="4430" priority="69" operator="equal">
      <formula>1.3</formula>
    </cfRule>
    <cfRule type="cellIs" dxfId="4429" priority="70" operator="equal">
      <formula>1.2</formula>
    </cfRule>
    <cfRule type="containsText" dxfId="4428" priority="71" operator="containsText" text="1.1">
      <formula>NOT(ISERROR(SEARCH("1.1",B235)))</formula>
    </cfRule>
  </conditionalFormatting>
  <conditionalFormatting sqref="A235:A237">
    <cfRule type="cellIs" dxfId="4427" priority="72" operator="equal">
      <formula>4.4</formula>
    </cfRule>
    <cfRule type="cellIs" dxfId="4426" priority="73" operator="equal">
      <formula>4.3</formula>
    </cfRule>
    <cfRule type="cellIs" dxfId="4425" priority="74" operator="equal">
      <formula>4.2</formula>
    </cfRule>
    <cfRule type="cellIs" dxfId="4424" priority="75" operator="equal">
      <formula>4.1</formula>
    </cfRule>
    <cfRule type="cellIs" dxfId="4423" priority="76" operator="equal">
      <formula>3.4</formula>
    </cfRule>
    <cfRule type="cellIs" dxfId="4422" priority="77" operator="equal">
      <formula>3.3</formula>
    </cfRule>
    <cfRule type="cellIs" dxfId="4421" priority="78" operator="equal">
      <formula>3.2</formula>
    </cfRule>
    <cfRule type="cellIs" dxfId="4420" priority="79" operator="equal">
      <formula>3.1</formula>
    </cfRule>
    <cfRule type="cellIs" dxfId="4419" priority="80" operator="equal">
      <formula>2.4</formula>
    </cfRule>
    <cfRule type="cellIs" dxfId="4418" priority="81" operator="equal">
      <formula>2.3</formula>
    </cfRule>
    <cfRule type="cellIs" dxfId="4417" priority="82" operator="equal">
      <formula>2.2</formula>
    </cfRule>
    <cfRule type="cellIs" dxfId="4416" priority="83" operator="equal">
      <formula>2.1</formula>
    </cfRule>
    <cfRule type="cellIs" dxfId="4415" priority="84" operator="equal">
      <formula>1.5</formula>
    </cfRule>
    <cfRule type="cellIs" dxfId="4414" priority="85" operator="equal">
      <formula>1.4</formula>
    </cfRule>
    <cfRule type="cellIs" dxfId="4413" priority="86" operator="equal">
      <formula>1.3</formula>
    </cfRule>
    <cfRule type="cellIs" dxfId="4412" priority="87" operator="equal">
      <formula>1.2</formula>
    </cfRule>
    <cfRule type="containsText" dxfId="4411" priority="88" operator="containsText" text="1.1">
      <formula>NOT(ISERROR(SEARCH("1.1",A235)))</formula>
    </cfRule>
  </conditionalFormatting>
  <conditionalFormatting sqref="H238:K239">
    <cfRule type="containsBlanks" dxfId="4410" priority="36">
      <formula>LEN(TRIM(H238))=0</formula>
    </cfRule>
  </conditionalFormatting>
  <conditionalFormatting sqref="H225:K228">
    <cfRule type="containsBlanks" dxfId="4409" priority="54">
      <formula>LEN(TRIM(H225))=0</formula>
    </cfRule>
  </conditionalFormatting>
  <conditionalFormatting sqref="H225:K228">
    <cfRule type="cellIs" dxfId="4408" priority="37" operator="equal">
      <formula>4.4</formula>
    </cfRule>
    <cfRule type="cellIs" dxfId="4407" priority="38" operator="equal">
      <formula>4.3</formula>
    </cfRule>
    <cfRule type="cellIs" dxfId="4406" priority="39" operator="equal">
      <formula>4.2</formula>
    </cfRule>
    <cfRule type="cellIs" dxfId="4405" priority="40" operator="equal">
      <formula>4.1</formula>
    </cfRule>
    <cfRule type="cellIs" dxfId="4404" priority="41" operator="equal">
      <formula>3.4</formula>
    </cfRule>
    <cfRule type="cellIs" dxfId="4403" priority="42" operator="equal">
      <formula>3.3</formula>
    </cfRule>
    <cfRule type="cellIs" dxfId="4402" priority="43" operator="equal">
      <formula>3.2</formula>
    </cfRule>
    <cfRule type="cellIs" dxfId="4401" priority="44" operator="equal">
      <formula>3.1</formula>
    </cfRule>
    <cfRule type="cellIs" dxfId="4400" priority="45" operator="equal">
      <formula>2.4</formula>
    </cfRule>
    <cfRule type="cellIs" dxfId="4399" priority="46" operator="equal">
      <formula>2.3</formula>
    </cfRule>
    <cfRule type="cellIs" dxfId="4398" priority="47" operator="equal">
      <formula>2.2</formula>
    </cfRule>
    <cfRule type="cellIs" dxfId="4397" priority="48" operator="equal">
      <formula>2.1</formula>
    </cfRule>
    <cfRule type="cellIs" dxfId="4396" priority="49" operator="equal">
      <formula>1.5</formula>
    </cfRule>
    <cfRule type="cellIs" dxfId="4395" priority="50" operator="equal">
      <formula>1.4</formula>
    </cfRule>
    <cfRule type="cellIs" dxfId="4394" priority="51" operator="equal">
      <formula>1.3</formula>
    </cfRule>
    <cfRule type="cellIs" dxfId="4393" priority="52" operator="equal">
      <formula>1.2</formula>
    </cfRule>
    <cfRule type="containsText" dxfId="4392" priority="53" operator="containsText" text="1.1">
      <formula>NOT(ISERROR(SEARCH("1.1",H225)))</formula>
    </cfRule>
  </conditionalFormatting>
  <conditionalFormatting sqref="H232:K237">
    <cfRule type="containsBlanks" dxfId="4391" priority="18">
      <formula>LEN(TRIM(H232))=0</formula>
    </cfRule>
  </conditionalFormatting>
  <hyperlinks>
    <hyperlink ref="BK1:BN2" location="CustomerProfiles" display="CustomerProfiles" xr:uid="{00000000-0004-0000-0B00-000000000000}"/>
    <hyperlink ref="BN1:BP2" location="CustomerScenariors" display="CustomerScenariors" xr:uid="{00000000-0004-0000-0B00-000001000000}"/>
    <hyperlink ref="E3:G4" location="Welcome_Services_DEL" display="Welcome_Services_DEL" xr:uid="{00000000-0004-0000-0B00-000002000000}"/>
    <hyperlink ref="I3:K4" location="Welcome_Services_DEL" display="Welcome_Services_DEL" xr:uid="{00000000-0004-0000-0B00-000003000000}"/>
    <hyperlink ref="M3:O4" location="Lunch__CAT_3_DEL" display="Lunch__CAT_3_DEL" xr:uid="{00000000-0004-0000-0B00-000004000000}"/>
    <hyperlink ref="Q3:S4" location="Lunch__CAT_3_DEL" display="Lunch__CAT_3_DEL" xr:uid="{00000000-0004-0000-0B00-000005000000}"/>
    <hyperlink ref="U3:W4" location="Lunch__CAT_3_DEL" display="Lunch__CAT_3_DEL" xr:uid="{00000000-0004-0000-0B00-000006000000}"/>
    <hyperlink ref="Y3:AA4" location="Lunch__CAT_3_DEL" display="Lunch__CAT_3_DEL" xr:uid="{00000000-0004-0000-0B00-000007000000}"/>
    <hyperlink ref="AC3:AE4" location="Lunch__CAT_3_DEL" display="Lunch__CAT_3_DEL" xr:uid="{00000000-0004-0000-0B00-000008000000}"/>
    <hyperlink ref="AG3:AI4" location="Lunch__CAT_3_DEL" display="Lunch__CAT_3_DEL" xr:uid="{00000000-0004-0000-0B00-000009000000}"/>
    <hyperlink ref="Y5:AA6" location="Drinks2" display="Drinks2" xr:uid="{00000000-0004-0000-0B00-00000A000000}"/>
    <hyperlink ref="AC5:AE6" location="Drinks2" display="Drinks2" xr:uid="{00000000-0004-0000-0B00-00000B000000}"/>
    <hyperlink ref="AG5:AI6" location="Drinks2" display="Drinks2" xr:uid="{00000000-0004-0000-0B00-00000C000000}"/>
    <hyperlink ref="AK5:AM6" location="Drinks2" display="Drinks2" xr:uid="{00000000-0004-0000-0B00-00000D000000}"/>
    <hyperlink ref="AO5:AQ6" location="Drinks2" display="Drinks2" xr:uid="{00000000-0004-0000-0B00-00000E000000}"/>
    <hyperlink ref="AS5:AU6" location="Drinks2" display="Drinks2" xr:uid="{00000000-0004-0000-0B00-00000F000000}"/>
    <hyperlink ref="AW5:AY6" location="Drinks3" display="Drinks3" xr:uid="{00000000-0004-0000-0B00-000010000000}"/>
    <hyperlink ref="U5:W6" location="Drinks1" display="Drinks1" xr:uid="{00000000-0004-0000-0B00-000011000000}"/>
    <hyperlink ref="Q5:S6" location="Drinks1" display="Drinks1" xr:uid="{00000000-0004-0000-0B00-000012000000}"/>
    <hyperlink ref="M5:O6" location="Drinks1" display="Drinks1" xr:uid="{00000000-0004-0000-0B00-000013000000}"/>
    <hyperlink ref="I5:K6" location="Drinks1" display="Drinks1" xr:uid="{00000000-0004-0000-0B00-000014000000}"/>
    <hyperlink ref="E5:G6" location="Drinks1" display="Drinks1" xr:uid="{00000000-0004-0000-0B00-000015000000}"/>
    <hyperlink ref="A5:C6" location="Drinks1" display="Drinks1" xr:uid="{00000000-0004-0000-0B00-000016000000}"/>
    <hyperlink ref="BA5:BC6" location="Drinks3" display="Drinks3" xr:uid="{00000000-0004-0000-0B00-000017000000}"/>
    <hyperlink ref="BE5:BG6" location="Drinks3" display="Drinks3" xr:uid="{00000000-0004-0000-0B00-000018000000}"/>
    <hyperlink ref="BI5:BK6" location="Drinks3" display="Drinks3" xr:uid="{00000000-0004-0000-0B00-000019000000}"/>
  </hyperlinks>
  <pageMargins left="0.70866141732283472" right="0.70866141732283472" top="0" bottom="0.74803149606299213" header="0.31496062992125984" footer="0.31496062992125984"/>
  <pageSetup paperSize="9" scale="62" fitToHeight="0" orientation="landscape" r:id="rId2"/>
  <rowBreaks count="4" manualBreakCount="4">
    <brk id="44" max="67" man="1"/>
    <brk id="92" max="67" man="1"/>
    <brk id="142" max="67" man="1"/>
    <brk id="192" max="67"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pageSetUpPr fitToPage="1"/>
  </sheetPr>
  <dimension ref="A1:CK248"/>
  <sheetViews>
    <sheetView showGridLines="0" view="pageBreakPreview" zoomScale="85" zoomScaleNormal="85" zoomScaleSheetLayoutView="85" workbookViewId="0">
      <selection activeCell="H3" sqref="H3:H4"/>
    </sheetView>
  </sheetViews>
  <sheetFormatPr baseColWidth="10" defaultColWidth="2.6640625" defaultRowHeight="15" customHeight="1"/>
  <cols>
    <col min="1" max="1" width="2.6640625" style="242"/>
    <col min="2" max="7" width="2.6640625" style="52"/>
    <col min="8" max="12" width="3.1640625" style="52" bestFit="1" customWidth="1"/>
    <col min="13" max="13" width="3.33203125" style="52" customWidth="1"/>
    <col min="14" max="14" width="2.6640625" style="52"/>
    <col min="15" max="15" width="2.6640625" style="242"/>
    <col min="16" max="22" width="2.6640625" style="52"/>
    <col min="23" max="23" width="2.6640625" style="242"/>
    <col min="24" max="28" width="2.6640625" style="52"/>
    <col min="29" max="29" width="2.6640625" style="52" customWidth="1"/>
    <col min="30" max="31" width="2.6640625" style="52"/>
    <col min="32" max="32" width="2.6640625" style="242"/>
    <col min="33" max="40" width="2.6640625" style="52"/>
    <col min="41" max="41" width="2.6640625" style="242"/>
    <col min="42" max="16384" width="2.6640625" style="52"/>
  </cols>
  <sheetData>
    <row r="1" spans="1:89" ht="15" customHeight="1">
      <c r="A1" s="295"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95" t="str">
        <f>"Abinitio No : "&amp;Group</f>
        <v xml:space="preserve">Abinitio No : </v>
      </c>
      <c r="AB1" s="259"/>
      <c r="AC1" s="259"/>
      <c r="AD1" s="259"/>
      <c r="AE1" s="259"/>
      <c r="AF1" s="259"/>
      <c r="AG1" s="259"/>
      <c r="AH1" s="259"/>
      <c r="AI1" s="259"/>
      <c r="AJ1" s="259"/>
      <c r="AK1" s="259"/>
      <c r="AL1" s="259"/>
      <c r="AM1" s="259"/>
      <c r="AN1" s="259"/>
      <c r="AO1" s="259"/>
      <c r="AP1" s="259"/>
      <c r="AQ1" s="259"/>
      <c r="AR1" s="295"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89" ht="15" customHeight="1">
      <c r="A2" s="295"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672</v>
      </c>
      <c r="AS2" s="259"/>
      <c r="AT2" s="259"/>
      <c r="AU2" s="259"/>
      <c r="AV2" s="259"/>
      <c r="AW2" s="259"/>
      <c r="AX2" s="295"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89"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AG9</f>
        <v>3. Kit Bags</v>
      </c>
      <c r="N3" s="1220"/>
      <c r="O3" s="1221"/>
      <c r="P3" s="1225"/>
      <c r="Q3" s="1219" t="str">
        <f>O47</f>
        <v>1. SPML</v>
      </c>
      <c r="R3" s="1220"/>
      <c r="S3" s="1221"/>
      <c r="T3" s="1225"/>
      <c r="U3" s="1219" t="str">
        <f>W47</f>
        <v>2. Bar Cart</v>
      </c>
      <c r="V3" s="1220"/>
      <c r="W3" s="1221"/>
      <c r="X3" s="1225"/>
      <c r="Y3" s="1219" t="str">
        <f>AE47</f>
        <v>3. Meal Cart</v>
      </c>
      <c r="Z3" s="1220"/>
      <c r="AA3" s="1221"/>
      <c r="AB3" s="1225"/>
      <c r="AC3" s="1219" t="str">
        <f>AM47</f>
        <v>4. Hot Beverage - By Hand</v>
      </c>
      <c r="AD3" s="1220"/>
      <c r="AE3" s="1221"/>
      <c r="AF3" s="1225"/>
      <c r="AG3" s="1219" t="str">
        <f>AU47</f>
        <v>5. Clearance Cart</v>
      </c>
      <c r="AH3" s="1220"/>
      <c r="AI3" s="1221"/>
      <c r="AJ3" s="1225"/>
      <c r="AK3" s="1219" t="str">
        <f>BC47</f>
        <v>6. Final Clearance</v>
      </c>
      <c r="AL3" s="1220"/>
      <c r="AM3" s="1221"/>
      <c r="AN3" s="1225"/>
      <c r="AO3" s="251"/>
      <c r="AP3" s="251"/>
      <c r="AQ3" s="251"/>
      <c r="AR3" s="251"/>
      <c r="AS3" s="251"/>
      <c r="AT3" s="251"/>
      <c r="AU3" s="251"/>
      <c r="AV3" s="251"/>
      <c r="AW3" s="251"/>
      <c r="AX3" s="251"/>
      <c r="AY3" s="251"/>
      <c r="AZ3" s="251"/>
      <c r="BA3" s="251"/>
      <c r="BB3" s="251"/>
    </row>
    <row r="4" spans="1:89"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1222"/>
      <c r="AH4" s="1223"/>
      <c r="AI4" s="1224"/>
      <c r="AJ4" s="1226"/>
      <c r="AK4" s="1222"/>
      <c r="AL4" s="1223"/>
      <c r="AM4" s="1224"/>
      <c r="AN4" s="1226"/>
      <c r="AO4" s="251"/>
      <c r="AP4" s="251"/>
      <c r="AQ4" s="251"/>
      <c r="AR4" s="251"/>
      <c r="AS4" s="251"/>
      <c r="AT4" s="251"/>
      <c r="AU4" s="251"/>
      <c r="AV4" s="251"/>
      <c r="AW4" s="251"/>
      <c r="AX4" s="251"/>
      <c r="AY4" s="251"/>
      <c r="AZ4" s="251"/>
      <c r="BA4" s="251"/>
      <c r="BB4" s="251"/>
    </row>
    <row r="5" spans="1:89" ht="15" customHeight="1">
      <c r="A5" s="1219" t="str">
        <f>O95</f>
        <v>1. Champagne</v>
      </c>
      <c r="B5" s="1220"/>
      <c r="C5" s="1221"/>
      <c r="D5" s="1225"/>
      <c r="E5" s="1219" t="str">
        <f>W95</f>
        <v>2. Wine 
- Small Bottles</v>
      </c>
      <c r="F5" s="1220"/>
      <c r="G5" s="1221"/>
      <c r="H5" s="1225"/>
      <c r="I5" s="1219" t="str">
        <f>AE95</f>
        <v>3. White Wine Spritzer
- Small Bottles</v>
      </c>
      <c r="J5" s="1220"/>
      <c r="K5" s="1221"/>
      <c r="L5" s="1225"/>
      <c r="M5" s="1219" t="str">
        <f>AM95</f>
        <v>4. Wine
- Big Bottles</v>
      </c>
      <c r="N5" s="1220"/>
      <c r="O5" s="1221"/>
      <c r="P5" s="1225"/>
      <c r="Q5" s="1219" t="str">
        <f>AU95</f>
        <v>5. Dry - White Wine Spritzer - Big Bottle of Wine</v>
      </c>
      <c r="R5" s="1220"/>
      <c r="S5" s="1221"/>
      <c r="T5" s="1225"/>
      <c r="U5" s="1219" t="str">
        <f>BC95</f>
        <v>6. Sweet - White Wine Spritzer- Big Bottle of Wine</v>
      </c>
      <c r="V5" s="1220"/>
      <c r="W5" s="1221"/>
      <c r="X5" s="1225"/>
      <c r="Y5" s="1219" t="str">
        <f>O145</f>
        <v>7. Liqueur</v>
      </c>
      <c r="Z5" s="1220"/>
      <c r="AA5" s="1221"/>
      <c r="AB5" s="1225"/>
      <c r="AC5" s="1219" t="str">
        <f>W145</f>
        <v>8. Shandy</v>
      </c>
      <c r="AD5" s="1220"/>
      <c r="AE5" s="1221"/>
      <c r="AF5" s="1225"/>
      <c r="AG5" s="1219" t="str">
        <f>AE145</f>
        <v>9. Hot Beverage 
- Tea</v>
      </c>
      <c r="AH5" s="1220"/>
      <c r="AI5" s="1221"/>
      <c r="AJ5" s="1225"/>
      <c r="AK5" s="1219" t="str">
        <f>AM145</f>
        <v>10. Beer</v>
      </c>
      <c r="AL5" s="1220"/>
      <c r="AM5" s="1221"/>
      <c r="AN5" s="1225"/>
      <c r="AO5" s="1219" t="str">
        <f>AU145</f>
        <v>11. Screwdriver</v>
      </c>
      <c r="AP5" s="1220"/>
      <c r="AQ5" s="1221"/>
      <c r="AR5" s="1225"/>
      <c r="AS5" s="1219" t="str">
        <f>BC145</f>
        <v>12. Gin &amp; Orange Juice</v>
      </c>
      <c r="AT5" s="1220"/>
      <c r="AU5" s="1221"/>
      <c r="AV5" s="1225"/>
      <c r="AW5" s="1219" t="str">
        <f>O195</f>
        <v>13. Rum &amp; Pepsi</v>
      </c>
      <c r="AX5" s="1220"/>
      <c r="AY5" s="1221"/>
      <c r="AZ5" s="1225"/>
      <c r="BA5" s="1219" t="str">
        <f>W195</f>
        <v>14. Gin &amp; Tonic</v>
      </c>
      <c r="BB5" s="1220"/>
      <c r="BC5" s="1221"/>
      <c r="BD5" s="1225"/>
      <c r="BE5" s="1219" t="str">
        <f>AE195</f>
        <v>15. Scotch &amp; Soda</v>
      </c>
      <c r="BF5" s="1220"/>
      <c r="BG5" s="1221"/>
      <c r="BH5" s="1225"/>
      <c r="BI5" s="1219" t="str">
        <f>AM195</f>
        <v>16. Bloody Mary</v>
      </c>
      <c r="BJ5" s="1220"/>
      <c r="BK5" s="1221"/>
      <c r="BL5" s="1225"/>
    </row>
    <row r="6" spans="1:89"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9"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9"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9" ht="15" customHeight="1">
      <c r="A9" s="1172"/>
      <c r="B9" s="1173" t="s">
        <v>608</v>
      </c>
      <c r="C9" s="1173"/>
      <c r="D9" s="1173"/>
      <c r="E9" s="1173"/>
      <c r="F9" s="1173"/>
      <c r="G9" s="1173"/>
      <c r="H9" s="1173"/>
      <c r="I9" s="1174">
        <v>1</v>
      </c>
      <c r="J9" s="1174">
        <v>2</v>
      </c>
      <c r="K9" s="1174">
        <v>3</v>
      </c>
      <c r="L9" s="1537"/>
      <c r="M9" s="1541" t="s">
        <v>662</v>
      </c>
      <c r="N9" s="1541"/>
      <c r="O9" s="1541"/>
      <c r="P9" s="1541"/>
      <c r="Q9" s="1541"/>
      <c r="R9" s="1541"/>
      <c r="S9" s="1541"/>
      <c r="T9" s="1249"/>
      <c r="U9" s="1250"/>
      <c r="V9" s="1251"/>
      <c r="W9" s="1529" t="s">
        <v>677</v>
      </c>
      <c r="X9" s="1252"/>
      <c r="Y9" s="1252"/>
      <c r="Z9" s="1252"/>
      <c r="AA9" s="1252"/>
      <c r="AB9" s="1252"/>
      <c r="AC9" s="1253"/>
      <c r="AD9" s="1256"/>
      <c r="AE9" s="256"/>
      <c r="AF9" s="1806"/>
      <c r="AG9" s="1802" t="s">
        <v>678</v>
      </c>
      <c r="AH9" s="1803"/>
      <c r="AI9" s="1803"/>
      <c r="AJ9" s="1803"/>
      <c r="AK9" s="1803"/>
      <c r="AL9" s="1803"/>
      <c r="AM9" s="1803"/>
      <c r="AN9" s="1256"/>
      <c r="AO9" s="52"/>
      <c r="BJ9" s="1182" t="s">
        <v>263</v>
      </c>
      <c r="BK9" s="1183"/>
      <c r="BL9" s="1183"/>
      <c r="BM9" s="1183"/>
      <c r="BN9" s="1183"/>
      <c r="BO9" s="1184"/>
      <c r="BP9" s="255"/>
      <c r="BQ9" s="255"/>
      <c r="BR9" s="255"/>
      <c r="BS9" s="242"/>
      <c r="CB9" s="242"/>
    </row>
    <row r="10" spans="1:89" ht="15" customHeight="1" thickBot="1">
      <c r="A10" s="1172"/>
      <c r="B10" s="1173"/>
      <c r="C10" s="1173"/>
      <c r="D10" s="1173"/>
      <c r="E10" s="1173"/>
      <c r="F10" s="1173"/>
      <c r="G10" s="1173"/>
      <c r="H10" s="1173"/>
      <c r="I10" s="1174"/>
      <c r="J10" s="1174"/>
      <c r="K10" s="1174"/>
      <c r="L10" s="1539"/>
      <c r="M10" s="1547"/>
      <c r="N10" s="1547"/>
      <c r="O10" s="1547"/>
      <c r="P10" s="1547"/>
      <c r="Q10" s="1547"/>
      <c r="R10" s="1547"/>
      <c r="S10" s="1547"/>
      <c r="T10" s="1249" t="s">
        <v>312</v>
      </c>
      <c r="U10" s="1250"/>
      <c r="V10" s="1251"/>
      <c r="W10" s="1531"/>
      <c r="X10" s="1254"/>
      <c r="Y10" s="1254"/>
      <c r="Z10" s="1254"/>
      <c r="AA10" s="1254"/>
      <c r="AB10" s="1254"/>
      <c r="AC10" s="1255"/>
      <c r="AD10" s="1257"/>
      <c r="AE10" s="256"/>
      <c r="AF10" s="1807"/>
      <c r="AG10" s="1804"/>
      <c r="AH10" s="1805"/>
      <c r="AI10" s="1805"/>
      <c r="AJ10" s="1805"/>
      <c r="AK10" s="1805"/>
      <c r="AL10" s="1805"/>
      <c r="AM10" s="1805"/>
      <c r="AN10" s="1257"/>
      <c r="AO10" s="52"/>
      <c r="BJ10" s="1185"/>
      <c r="BK10" s="1186"/>
      <c r="BL10" s="1186"/>
      <c r="BM10" s="1186"/>
      <c r="BN10" s="1186"/>
      <c r="BO10" s="1187"/>
      <c r="BP10" s="255"/>
      <c r="BQ10" s="255"/>
      <c r="BR10" s="255"/>
      <c r="BS10" s="242"/>
      <c r="CB10" s="242"/>
    </row>
    <row r="11" spans="1:89" ht="15" customHeight="1">
      <c r="A11" s="1307">
        <v>1.1000000000000001</v>
      </c>
      <c r="B11" s="1395" t="s">
        <v>939</v>
      </c>
      <c r="C11" s="1396"/>
      <c r="D11" s="1396"/>
      <c r="E11" s="1396"/>
      <c r="F11" s="1396"/>
      <c r="G11" s="1396"/>
      <c r="H11" s="1536"/>
      <c r="I11" s="1205" t="str">
        <f>IF(ISBLANK(H$3),"",1)</f>
        <v/>
      </c>
      <c r="J11" s="1205" t="str">
        <f>IF(ISBLANK(L$3),"",1)</f>
        <v/>
      </c>
      <c r="K11" s="1205" t="str">
        <f>IF(ISBLANK(P$3),"",1)</f>
        <v/>
      </c>
      <c r="L11" s="1236">
        <v>1.5</v>
      </c>
      <c r="M11" s="1395" t="s">
        <v>314</v>
      </c>
      <c r="N11" s="1396"/>
      <c r="O11" s="1396"/>
      <c r="P11" s="1396"/>
      <c r="Q11" s="1396"/>
      <c r="R11" s="1396"/>
      <c r="S11" s="1396"/>
      <c r="T11" s="1205" t="str">
        <f>IF(ISBLANK(H$3),"",1)</f>
        <v/>
      </c>
      <c r="U11" s="1241"/>
      <c r="V11" s="1236">
        <v>4.4000000000000004</v>
      </c>
      <c r="W11" s="1526" t="s">
        <v>628</v>
      </c>
      <c r="X11" s="1527"/>
      <c r="Y11" s="1527"/>
      <c r="Z11" s="1527"/>
      <c r="AA11" s="1527"/>
      <c r="AB11" s="1527"/>
      <c r="AC11" s="1533"/>
      <c r="AD11" s="1205" t="str">
        <f>IF(ISBLANK(L$3),"",1)</f>
        <v/>
      </c>
      <c r="AE11" s="256"/>
      <c r="AF11" s="1236">
        <v>1.5</v>
      </c>
      <c r="AG11" s="1161" t="s">
        <v>314</v>
      </c>
      <c r="AH11" s="1162"/>
      <c r="AI11" s="1162"/>
      <c r="AJ11" s="1162"/>
      <c r="AK11" s="1162"/>
      <c r="AL11" s="1162"/>
      <c r="AM11" s="1199"/>
      <c r="AN11" s="1205" t="str">
        <f>IF(ISBLANK(P$3),"",1)</f>
        <v/>
      </c>
      <c r="AO11" s="52"/>
      <c r="BJ11" s="1188"/>
      <c r="BK11" s="1189"/>
      <c r="BL11" s="1189"/>
      <c r="BM11" s="1189"/>
      <c r="BN11" s="1189"/>
      <c r="BO11" s="1190"/>
      <c r="BP11" s="255"/>
      <c r="BQ11" s="255"/>
      <c r="BR11" s="255"/>
      <c r="BS11" s="242"/>
      <c r="CB11" s="242"/>
    </row>
    <row r="12" spans="1:89" ht="15" customHeight="1">
      <c r="A12" s="1308"/>
      <c r="B12" s="1163"/>
      <c r="C12" s="1164"/>
      <c r="D12" s="1164"/>
      <c r="E12" s="1164"/>
      <c r="F12" s="1164"/>
      <c r="G12" s="1164"/>
      <c r="H12" s="1266"/>
      <c r="I12" s="1206"/>
      <c r="J12" s="1206"/>
      <c r="K12" s="1206"/>
      <c r="L12" s="1236"/>
      <c r="M12" s="1163"/>
      <c r="N12" s="1164"/>
      <c r="O12" s="1164"/>
      <c r="P12" s="1164"/>
      <c r="Q12" s="1164"/>
      <c r="R12" s="1164"/>
      <c r="S12" s="1164"/>
      <c r="T12" s="1206"/>
      <c r="U12" s="1241"/>
      <c r="V12" s="1236"/>
      <c r="W12" s="1317"/>
      <c r="X12" s="1296"/>
      <c r="Y12" s="1296"/>
      <c r="Z12" s="1296"/>
      <c r="AA12" s="1296"/>
      <c r="AB12" s="1296"/>
      <c r="AC12" s="1297"/>
      <c r="AD12" s="1206"/>
      <c r="AE12" s="256"/>
      <c r="AF12" s="1236"/>
      <c r="AG12" s="1163"/>
      <c r="AH12" s="1164"/>
      <c r="AI12" s="1164"/>
      <c r="AJ12" s="1164"/>
      <c r="AK12" s="1164"/>
      <c r="AL12" s="1164"/>
      <c r="AM12" s="1201"/>
      <c r="AN12" s="1206"/>
      <c r="AO12" s="52"/>
      <c r="BJ12" s="1188"/>
      <c r="BK12" s="1189"/>
      <c r="BL12" s="1189"/>
      <c r="BM12" s="1189"/>
      <c r="BN12" s="1189"/>
      <c r="BO12" s="1190"/>
      <c r="BP12" s="255"/>
      <c r="BQ12" s="255"/>
      <c r="BR12" s="255"/>
      <c r="BS12" s="242"/>
      <c r="CB12" s="242"/>
    </row>
    <row r="13" spans="1:89" ht="15" customHeight="1">
      <c r="A13" s="1309"/>
      <c r="B13" s="1163"/>
      <c r="C13" s="1164"/>
      <c r="D13" s="1164"/>
      <c r="E13" s="1164"/>
      <c r="F13" s="1164"/>
      <c r="G13" s="1164"/>
      <c r="H13" s="1266"/>
      <c r="I13" s="1207"/>
      <c r="J13" s="1207"/>
      <c r="K13" s="1207"/>
      <c r="L13" s="1236"/>
      <c r="M13" s="1165"/>
      <c r="N13" s="1166"/>
      <c r="O13" s="1166"/>
      <c r="P13" s="1166"/>
      <c r="Q13" s="1166"/>
      <c r="R13" s="1166"/>
      <c r="S13" s="1166"/>
      <c r="T13" s="1207"/>
      <c r="U13" s="1241"/>
      <c r="V13" s="1236"/>
      <c r="W13" s="1317"/>
      <c r="X13" s="1296"/>
      <c r="Y13" s="1296"/>
      <c r="Z13" s="1296"/>
      <c r="AA13" s="1296"/>
      <c r="AB13" s="1296"/>
      <c r="AC13" s="1297"/>
      <c r="AD13" s="1207"/>
      <c r="AE13" s="256"/>
      <c r="AF13" s="1236"/>
      <c r="AG13" s="1165"/>
      <c r="AH13" s="1166"/>
      <c r="AI13" s="1166"/>
      <c r="AJ13" s="1166"/>
      <c r="AK13" s="1166"/>
      <c r="AL13" s="1166"/>
      <c r="AM13" s="1292"/>
      <c r="AN13" s="1207"/>
      <c r="AO13" s="52"/>
      <c r="BJ13" s="1188"/>
      <c r="BK13" s="1189"/>
      <c r="BL13" s="1189"/>
      <c r="BM13" s="1189"/>
      <c r="BN13" s="1189"/>
      <c r="BO13" s="1190"/>
      <c r="BP13" s="255"/>
      <c r="BQ13" s="255"/>
      <c r="BR13" s="255"/>
      <c r="BS13" s="242"/>
      <c r="CB13" s="242"/>
    </row>
    <row r="14" spans="1:89" ht="15" customHeight="1">
      <c r="A14" s="1307">
        <v>1.1000000000000001</v>
      </c>
      <c r="B14" s="1395" t="s">
        <v>316</v>
      </c>
      <c r="C14" s="1396"/>
      <c r="D14" s="1396"/>
      <c r="E14" s="1396"/>
      <c r="F14" s="1396"/>
      <c r="G14" s="1396"/>
      <c r="H14" s="1536"/>
      <c r="I14" s="1205" t="str">
        <f t="shared" ref="I14" si="0">IF(ISBLANK(H$3),"",1)</f>
        <v/>
      </c>
      <c r="J14" s="1205" t="str">
        <f>IF(ISBLANK(L$3),"",1)</f>
        <v/>
      </c>
      <c r="K14" s="1205" t="str">
        <f t="shared" ref="K14" si="1">IF(ISBLANK(P$3),"",1)</f>
        <v/>
      </c>
      <c r="L14" s="1258">
        <v>4.4000000000000004</v>
      </c>
      <c r="M14" s="1161" t="s">
        <v>317</v>
      </c>
      <c r="N14" s="1162"/>
      <c r="O14" s="1162"/>
      <c r="P14" s="1162"/>
      <c r="Q14" s="1162"/>
      <c r="R14" s="1162"/>
      <c r="S14" s="1162"/>
      <c r="T14" s="1205" t="str">
        <f>IF(ISBLANK(H$3),"",1)</f>
        <v/>
      </c>
      <c r="U14" s="1241"/>
      <c r="V14" s="1258">
        <v>4.4000000000000004</v>
      </c>
      <c r="W14" s="1526" t="s">
        <v>874</v>
      </c>
      <c r="X14" s="1527"/>
      <c r="Y14" s="1527"/>
      <c r="Z14" s="1527"/>
      <c r="AA14" s="1527"/>
      <c r="AB14" s="1527"/>
      <c r="AC14" s="1533" t="s">
        <v>696</v>
      </c>
      <c r="AD14" s="1205" t="str">
        <f>IF(ISBLANK(L$3),"",1)</f>
        <v/>
      </c>
      <c r="AE14" s="256"/>
      <c r="AF14" s="1258">
        <v>4.4000000000000004</v>
      </c>
      <c r="AG14" s="1161" t="s">
        <v>317</v>
      </c>
      <c r="AH14" s="1162"/>
      <c r="AI14" s="1162"/>
      <c r="AJ14" s="1162"/>
      <c r="AK14" s="1162"/>
      <c r="AL14" s="1162"/>
      <c r="AM14" s="1199"/>
      <c r="AN14" s="1205" t="str">
        <f t="shared" ref="AN14" si="2">IF(ISBLANK(P$3),"",1)</f>
        <v/>
      </c>
      <c r="AO14" s="52"/>
      <c r="BJ14" s="1188"/>
      <c r="BK14" s="1189"/>
      <c r="BL14" s="1189"/>
      <c r="BM14" s="1189"/>
      <c r="BN14" s="1189"/>
      <c r="BO14" s="1190"/>
      <c r="BP14" s="255"/>
      <c r="BQ14" s="255"/>
      <c r="BR14" s="255"/>
      <c r="BS14" s="242"/>
      <c r="CB14" s="242"/>
      <c r="CK14" s="242"/>
    </row>
    <row r="15" spans="1:89" ht="15" customHeight="1">
      <c r="A15" s="1308"/>
      <c r="B15" s="1163"/>
      <c r="C15" s="1164"/>
      <c r="D15" s="1164"/>
      <c r="E15" s="1164"/>
      <c r="F15" s="1164"/>
      <c r="G15" s="1164"/>
      <c r="H15" s="1266"/>
      <c r="I15" s="1206"/>
      <c r="J15" s="1206"/>
      <c r="K15" s="1206"/>
      <c r="L15" s="1258"/>
      <c r="M15" s="1163"/>
      <c r="N15" s="1164"/>
      <c r="O15" s="1164"/>
      <c r="P15" s="1164"/>
      <c r="Q15" s="1164"/>
      <c r="R15" s="1164"/>
      <c r="S15" s="1164"/>
      <c r="T15" s="1206"/>
      <c r="U15" s="1241"/>
      <c r="V15" s="1258"/>
      <c r="W15" s="1317"/>
      <c r="X15" s="1296"/>
      <c r="Y15" s="1296"/>
      <c r="Z15" s="1296"/>
      <c r="AA15" s="1296"/>
      <c r="AB15" s="1296"/>
      <c r="AC15" s="1297"/>
      <c r="AD15" s="1206"/>
      <c r="AE15" s="256"/>
      <c r="AF15" s="1258"/>
      <c r="AG15" s="1163"/>
      <c r="AH15" s="1164"/>
      <c r="AI15" s="1164"/>
      <c r="AJ15" s="1164"/>
      <c r="AK15" s="1164"/>
      <c r="AL15" s="1164"/>
      <c r="AM15" s="1201"/>
      <c r="AN15" s="1206"/>
      <c r="AO15" s="52"/>
      <c r="BJ15" s="1188"/>
      <c r="BK15" s="1189"/>
      <c r="BL15" s="1189"/>
      <c r="BM15" s="1189"/>
      <c r="BN15" s="1189"/>
      <c r="BO15" s="1190"/>
      <c r="BP15" s="255"/>
      <c r="BQ15" s="255"/>
      <c r="BR15" s="255"/>
      <c r="BS15" s="242"/>
      <c r="CB15" s="242"/>
      <c r="CK15" s="242"/>
    </row>
    <row r="16" spans="1:89" ht="15" customHeight="1">
      <c r="A16" s="1309"/>
      <c r="B16" s="1163"/>
      <c r="C16" s="1164"/>
      <c r="D16" s="1164"/>
      <c r="E16" s="1164"/>
      <c r="F16" s="1164"/>
      <c r="G16" s="1164"/>
      <c r="H16" s="1266"/>
      <c r="I16" s="1207"/>
      <c r="J16" s="1207"/>
      <c r="K16" s="1207"/>
      <c r="L16" s="1258"/>
      <c r="M16" s="1165"/>
      <c r="N16" s="1166"/>
      <c r="O16" s="1166"/>
      <c r="P16" s="1166"/>
      <c r="Q16" s="1166"/>
      <c r="R16" s="1166"/>
      <c r="S16" s="1166"/>
      <c r="T16" s="1207"/>
      <c r="U16" s="1241"/>
      <c r="V16" s="1258"/>
      <c r="W16" s="1317"/>
      <c r="X16" s="1296"/>
      <c r="Y16" s="1296"/>
      <c r="Z16" s="1296"/>
      <c r="AA16" s="1296"/>
      <c r="AB16" s="1296"/>
      <c r="AC16" s="1297"/>
      <c r="AD16" s="1207"/>
      <c r="AE16" s="256"/>
      <c r="AF16" s="1258"/>
      <c r="AG16" s="1165"/>
      <c r="AH16" s="1166"/>
      <c r="AI16" s="1166"/>
      <c r="AJ16" s="1166"/>
      <c r="AK16" s="1166"/>
      <c r="AL16" s="1166"/>
      <c r="AM16" s="1292"/>
      <c r="AN16" s="1207"/>
      <c r="AO16" s="52"/>
      <c r="BJ16" s="1188"/>
      <c r="BK16" s="1189"/>
      <c r="BL16" s="1189"/>
      <c r="BM16" s="1189"/>
      <c r="BN16" s="1189"/>
      <c r="BO16" s="1190"/>
      <c r="BP16" s="255"/>
      <c r="BQ16" s="255"/>
      <c r="BR16" s="255"/>
      <c r="BS16" s="242"/>
      <c r="CB16" s="242"/>
      <c r="CK16" s="242"/>
    </row>
    <row r="17" spans="1:89" ht="15" customHeight="1">
      <c r="A17" s="1304">
        <v>2.4</v>
      </c>
      <c r="B17" s="1395" t="s">
        <v>320</v>
      </c>
      <c r="C17" s="1396"/>
      <c r="D17" s="1396"/>
      <c r="E17" s="1396"/>
      <c r="F17" s="1396"/>
      <c r="G17" s="1396"/>
      <c r="H17" s="1536"/>
      <c r="I17" s="1205" t="str">
        <f t="shared" ref="I17" si="3">IF(ISBLANK(H$3),"",1)</f>
        <v/>
      </c>
      <c r="J17" s="1205" t="str">
        <f>IF(ISBLANK(L$3),"",1)</f>
        <v/>
      </c>
      <c r="K17" s="1205" t="str">
        <f t="shared" ref="K17" si="4">IF(ISBLANK(P$3),"",1)</f>
        <v/>
      </c>
      <c r="L17" s="1258">
        <v>4.4000000000000004</v>
      </c>
      <c r="M17" s="1163" t="s">
        <v>319</v>
      </c>
      <c r="N17" s="1164"/>
      <c r="O17" s="1164"/>
      <c r="P17" s="1164"/>
      <c r="Q17" s="1164"/>
      <c r="R17" s="1164"/>
      <c r="S17" s="1164"/>
      <c r="T17" s="1205" t="str">
        <f>IF(ISBLANK(H$3),"",1)</f>
        <v/>
      </c>
      <c r="U17" s="1241"/>
      <c r="V17" s="1258">
        <v>4.4000000000000004</v>
      </c>
      <c r="W17" s="1526" t="s">
        <v>321</v>
      </c>
      <c r="X17" s="1527"/>
      <c r="Y17" s="1527"/>
      <c r="Z17" s="1527"/>
      <c r="AA17" s="1527"/>
      <c r="AB17" s="1527"/>
      <c r="AC17" s="1533" t="s">
        <v>696</v>
      </c>
      <c r="AD17" s="1205" t="str">
        <f>IF(ISBLANK(L$3),"",1)</f>
        <v/>
      </c>
      <c r="AE17" s="256"/>
      <c r="AF17" s="1258">
        <v>4.4000000000000004</v>
      </c>
      <c r="AG17" s="1161" t="s">
        <v>875</v>
      </c>
      <c r="AH17" s="1162"/>
      <c r="AI17" s="1162"/>
      <c r="AJ17" s="1162"/>
      <c r="AK17" s="1162"/>
      <c r="AL17" s="1162"/>
      <c r="AM17" s="1199"/>
      <c r="AN17" s="1205" t="str">
        <f t="shared" ref="AN17" si="5">IF(ISBLANK(P$3),"",1)</f>
        <v/>
      </c>
      <c r="AO17" s="52"/>
      <c r="BJ17" s="1188"/>
      <c r="BK17" s="1189"/>
      <c r="BL17" s="1189"/>
      <c r="BM17" s="1189"/>
      <c r="BN17" s="1189"/>
      <c r="BO17" s="1190"/>
      <c r="BP17" s="255"/>
      <c r="BQ17" s="255"/>
      <c r="BR17" s="255"/>
      <c r="BS17" s="242"/>
      <c r="CB17" s="242"/>
      <c r="CK17" s="242"/>
    </row>
    <row r="18" spans="1:89" ht="15" customHeight="1">
      <c r="A18" s="1290"/>
      <c r="B18" s="1163"/>
      <c r="C18" s="1164"/>
      <c r="D18" s="1164"/>
      <c r="E18" s="1164"/>
      <c r="F18" s="1164"/>
      <c r="G18" s="1164"/>
      <c r="H18" s="1266"/>
      <c r="I18" s="1206"/>
      <c r="J18" s="1206"/>
      <c r="K18" s="1206"/>
      <c r="L18" s="1258"/>
      <c r="M18" s="1163"/>
      <c r="N18" s="1164"/>
      <c r="O18" s="1164"/>
      <c r="P18" s="1164"/>
      <c r="Q18" s="1164"/>
      <c r="R18" s="1164"/>
      <c r="S18" s="1164"/>
      <c r="T18" s="1206"/>
      <c r="U18" s="1241"/>
      <c r="V18" s="1258"/>
      <c r="W18" s="1317"/>
      <c r="X18" s="1296"/>
      <c r="Y18" s="1296"/>
      <c r="Z18" s="1296"/>
      <c r="AA18" s="1296"/>
      <c r="AB18" s="1296"/>
      <c r="AC18" s="1297"/>
      <c r="AD18" s="1206"/>
      <c r="AE18" s="256"/>
      <c r="AF18" s="1258"/>
      <c r="AG18" s="1163"/>
      <c r="AH18" s="1164"/>
      <c r="AI18" s="1164"/>
      <c r="AJ18" s="1164"/>
      <c r="AK18" s="1164"/>
      <c r="AL18" s="1164"/>
      <c r="AM18" s="1201"/>
      <c r="AN18" s="1206"/>
      <c r="AO18" s="52"/>
      <c r="BJ18" s="1188"/>
      <c r="BK18" s="1189"/>
      <c r="BL18" s="1189"/>
      <c r="BM18" s="1189"/>
      <c r="BN18" s="1189"/>
      <c r="BO18" s="1190"/>
      <c r="BP18" s="255"/>
      <c r="BQ18" s="255"/>
      <c r="BR18" s="255"/>
      <c r="BS18" s="242"/>
      <c r="CB18" s="242"/>
      <c r="CK18" s="242"/>
    </row>
    <row r="19" spans="1:89" ht="15" customHeight="1">
      <c r="A19" s="1291"/>
      <c r="B19" s="1163"/>
      <c r="C19" s="1164"/>
      <c r="D19" s="1164"/>
      <c r="E19" s="1164"/>
      <c r="F19" s="1164"/>
      <c r="G19" s="1164"/>
      <c r="H19" s="1266"/>
      <c r="I19" s="1207"/>
      <c r="J19" s="1207"/>
      <c r="K19" s="1207"/>
      <c r="L19" s="1258"/>
      <c r="M19" s="1552"/>
      <c r="N19" s="1203"/>
      <c r="O19" s="1203"/>
      <c r="P19" s="1203"/>
      <c r="Q19" s="1203"/>
      <c r="R19" s="1203"/>
      <c r="S19" s="1203"/>
      <c r="T19" s="1207"/>
      <c r="U19" s="1241"/>
      <c r="V19" s="1258"/>
      <c r="W19" s="1317"/>
      <c r="X19" s="1296"/>
      <c r="Y19" s="1296"/>
      <c r="Z19" s="1296"/>
      <c r="AA19" s="1296"/>
      <c r="AB19" s="1296"/>
      <c r="AC19" s="1297"/>
      <c r="AD19" s="1207"/>
      <c r="AE19" s="256"/>
      <c r="AF19" s="1258"/>
      <c r="AG19" s="1165"/>
      <c r="AH19" s="1166"/>
      <c r="AI19" s="1166"/>
      <c r="AJ19" s="1166"/>
      <c r="AK19" s="1166"/>
      <c r="AL19" s="1166"/>
      <c r="AM19" s="1292"/>
      <c r="AN19" s="1207"/>
      <c r="AO19" s="52"/>
      <c r="BJ19" s="1188"/>
      <c r="BK19" s="1189"/>
      <c r="BL19" s="1189"/>
      <c r="BM19" s="1189"/>
      <c r="BN19" s="1189"/>
      <c r="BO19" s="1190"/>
      <c r="BP19" s="255"/>
      <c r="BQ19" s="255"/>
      <c r="BR19" s="255"/>
      <c r="BS19" s="242"/>
      <c r="CB19" s="242"/>
      <c r="CK19" s="242"/>
    </row>
    <row r="20" spans="1:89" ht="15" customHeight="1">
      <c r="A20" s="1307">
        <v>1.1000000000000001</v>
      </c>
      <c r="B20" s="1395" t="s">
        <v>322</v>
      </c>
      <c r="C20" s="1396"/>
      <c r="D20" s="1396"/>
      <c r="E20" s="1396"/>
      <c r="F20" s="1396"/>
      <c r="G20" s="1396"/>
      <c r="H20" s="1536"/>
      <c r="I20" s="1205" t="str">
        <f t="shared" ref="I20" si="6">IF(ISBLANK(H$3),"",1)</f>
        <v/>
      </c>
      <c r="J20" s="1205" t="str">
        <f>IF(ISBLANK(L$3),"",1)</f>
        <v/>
      </c>
      <c r="K20" s="1205" t="str">
        <f t="shared" ref="K20" si="7">IF(ISBLANK(P$3),"",1)</f>
        <v/>
      </c>
      <c r="L20" s="1258">
        <v>4.4000000000000004</v>
      </c>
      <c r="M20" s="1395" t="s">
        <v>873</v>
      </c>
      <c r="N20" s="1396"/>
      <c r="O20" s="1396"/>
      <c r="P20" s="1396"/>
      <c r="Q20" s="1396"/>
      <c r="R20" s="1396"/>
      <c r="S20" s="1536"/>
      <c r="T20" s="1205" t="str">
        <f>IF(ISBLANK(H$3),"",1)</f>
        <v/>
      </c>
      <c r="U20" s="1241"/>
      <c r="V20" s="1258">
        <v>4.4000000000000004</v>
      </c>
      <c r="W20" s="1526" t="s">
        <v>323</v>
      </c>
      <c r="X20" s="1527"/>
      <c r="Y20" s="1527"/>
      <c r="Z20" s="1527"/>
      <c r="AA20" s="1527"/>
      <c r="AB20" s="1527"/>
      <c r="AC20" s="1533" t="s">
        <v>696</v>
      </c>
      <c r="AD20" s="1205" t="str">
        <f>IF(ISBLANK(L$3),"",1)</f>
        <v/>
      </c>
      <c r="AE20" s="256"/>
      <c r="AF20" s="1258">
        <v>4.4000000000000004</v>
      </c>
      <c r="AG20" s="1161" t="s">
        <v>321</v>
      </c>
      <c r="AH20" s="1162"/>
      <c r="AI20" s="1162"/>
      <c r="AJ20" s="1162"/>
      <c r="AK20" s="1162"/>
      <c r="AL20" s="1162"/>
      <c r="AM20" s="1199"/>
      <c r="AN20" s="1205" t="str">
        <f t="shared" ref="AN20" si="8">IF(ISBLANK(P$3),"",1)</f>
        <v/>
      </c>
      <c r="AO20" s="52"/>
      <c r="BJ20" s="1188"/>
      <c r="BK20" s="1189"/>
      <c r="BL20" s="1189"/>
      <c r="BM20" s="1189"/>
      <c r="BN20" s="1189"/>
      <c r="BO20" s="1190"/>
      <c r="BP20" s="255"/>
      <c r="BQ20" s="255"/>
      <c r="BR20" s="255"/>
      <c r="BS20" s="242"/>
      <c r="CB20" s="242"/>
      <c r="CK20" s="242"/>
    </row>
    <row r="21" spans="1:89" ht="15" customHeight="1">
      <c r="A21" s="1308"/>
      <c r="B21" s="1163"/>
      <c r="C21" s="1164"/>
      <c r="D21" s="1164"/>
      <c r="E21" s="1164"/>
      <c r="F21" s="1164"/>
      <c r="G21" s="1164"/>
      <c r="H21" s="1266"/>
      <c r="I21" s="1206"/>
      <c r="J21" s="1206"/>
      <c r="K21" s="1206"/>
      <c r="L21" s="1258"/>
      <c r="M21" s="1163"/>
      <c r="N21" s="1164"/>
      <c r="O21" s="1164"/>
      <c r="P21" s="1164"/>
      <c r="Q21" s="1164"/>
      <c r="R21" s="1164"/>
      <c r="S21" s="1266"/>
      <c r="T21" s="1206"/>
      <c r="U21" s="1241"/>
      <c r="V21" s="1258"/>
      <c r="W21" s="1317"/>
      <c r="X21" s="1296"/>
      <c r="Y21" s="1296"/>
      <c r="Z21" s="1296"/>
      <c r="AA21" s="1296"/>
      <c r="AB21" s="1296"/>
      <c r="AC21" s="1297"/>
      <c r="AD21" s="1206"/>
      <c r="AE21" s="256"/>
      <c r="AF21" s="1258"/>
      <c r="AG21" s="1163"/>
      <c r="AH21" s="1164"/>
      <c r="AI21" s="1164"/>
      <c r="AJ21" s="1164"/>
      <c r="AK21" s="1164"/>
      <c r="AL21" s="1164"/>
      <c r="AM21" s="1201"/>
      <c r="AN21" s="1206"/>
      <c r="AO21" s="52"/>
      <c r="BJ21" s="1188"/>
      <c r="BK21" s="1189"/>
      <c r="BL21" s="1189"/>
      <c r="BM21" s="1189"/>
      <c r="BN21" s="1189"/>
      <c r="BO21" s="1190"/>
      <c r="BP21" s="255"/>
      <c r="BQ21" s="255"/>
      <c r="BR21" s="255"/>
      <c r="BS21" s="242"/>
      <c r="CB21" s="242"/>
      <c r="CK21" s="242"/>
    </row>
    <row r="22" spans="1:89" ht="15" customHeight="1">
      <c r="A22" s="1309"/>
      <c r="B22" s="1163"/>
      <c r="C22" s="1164"/>
      <c r="D22" s="1164"/>
      <c r="E22" s="1164"/>
      <c r="F22" s="1164"/>
      <c r="G22" s="1164"/>
      <c r="H22" s="1266"/>
      <c r="I22" s="1207"/>
      <c r="J22" s="1207"/>
      <c r="K22" s="1207"/>
      <c r="L22" s="1258"/>
      <c r="M22" s="1163"/>
      <c r="N22" s="1164"/>
      <c r="O22" s="1164"/>
      <c r="P22" s="1164"/>
      <c r="Q22" s="1164"/>
      <c r="R22" s="1164"/>
      <c r="S22" s="1266"/>
      <c r="T22" s="1207"/>
      <c r="U22" s="1241"/>
      <c r="V22" s="1258"/>
      <c r="W22" s="1317"/>
      <c r="X22" s="1296"/>
      <c r="Y22" s="1296"/>
      <c r="Z22" s="1296"/>
      <c r="AA22" s="1296"/>
      <c r="AB22" s="1296"/>
      <c r="AC22" s="1297"/>
      <c r="AD22" s="1207"/>
      <c r="AE22" s="256"/>
      <c r="AF22" s="1258"/>
      <c r="AG22" s="1165"/>
      <c r="AH22" s="1166"/>
      <c r="AI22" s="1166"/>
      <c r="AJ22" s="1166"/>
      <c r="AK22" s="1166"/>
      <c r="AL22" s="1166"/>
      <c r="AM22" s="1292"/>
      <c r="AN22" s="1207"/>
      <c r="AO22" s="52"/>
      <c r="BJ22" s="1188"/>
      <c r="BK22" s="1189"/>
      <c r="BL22" s="1189"/>
      <c r="BM22" s="1189"/>
      <c r="BN22" s="1189"/>
      <c r="BO22" s="1190"/>
      <c r="BP22" s="255"/>
      <c r="BQ22" s="255"/>
      <c r="BR22" s="255"/>
      <c r="BS22" s="242"/>
      <c r="CB22" s="242"/>
      <c r="CK22" s="242"/>
    </row>
    <row r="23" spans="1:89" ht="15" customHeight="1">
      <c r="A23" s="1304">
        <v>2.1</v>
      </c>
      <c r="B23" s="1395" t="s">
        <v>940</v>
      </c>
      <c r="C23" s="1396"/>
      <c r="D23" s="1396"/>
      <c r="E23" s="1396"/>
      <c r="F23" s="1396"/>
      <c r="G23" s="1396"/>
      <c r="H23" s="1536"/>
      <c r="I23" s="1205" t="str">
        <f t="shared" ref="I23" si="9">IF(ISBLANK(H$3),"",1)</f>
        <v/>
      </c>
      <c r="J23" s="1205" t="str">
        <f>IF(ISBLANK(L$3),"",1)</f>
        <v/>
      </c>
      <c r="K23" s="1205" t="str">
        <f t="shared" ref="K23" si="10">IF(ISBLANK(P$3),"",1)</f>
        <v/>
      </c>
      <c r="L23" s="1258">
        <v>4.3</v>
      </c>
      <c r="M23" s="1562" t="s">
        <v>326</v>
      </c>
      <c r="N23" s="1626" t="s">
        <v>327</v>
      </c>
      <c r="O23" s="1627"/>
      <c r="P23" s="1627"/>
      <c r="Q23" s="1627"/>
      <c r="R23" s="1627"/>
      <c r="S23" s="1627"/>
      <c r="T23" s="1205" t="str">
        <f>IF(ISBLANK(H$3),"",1)</f>
        <v/>
      </c>
      <c r="U23" s="1241"/>
      <c r="V23" s="1258">
        <v>4.4000000000000004</v>
      </c>
      <c r="W23" s="1526" t="s">
        <v>328</v>
      </c>
      <c r="X23" s="1527"/>
      <c r="Y23" s="1527"/>
      <c r="Z23" s="1527"/>
      <c r="AA23" s="1527"/>
      <c r="AB23" s="1527"/>
      <c r="AC23" s="1533" t="s">
        <v>696</v>
      </c>
      <c r="AD23" s="1205" t="str">
        <f>IF(ISBLANK(L$3),"",1)</f>
        <v/>
      </c>
      <c r="AE23" s="256"/>
      <c r="AF23" s="1258">
        <v>4.4000000000000004</v>
      </c>
      <c r="AG23" s="1161" t="s">
        <v>636</v>
      </c>
      <c r="AH23" s="1162"/>
      <c r="AI23" s="1162"/>
      <c r="AJ23" s="1162"/>
      <c r="AK23" s="1162"/>
      <c r="AL23" s="1162"/>
      <c r="AM23" s="1199"/>
      <c r="AN23" s="1205" t="str">
        <f t="shared" ref="AN23" si="11">IF(ISBLANK(P$3),"",1)</f>
        <v/>
      </c>
      <c r="AO23" s="52"/>
      <c r="BJ23" s="1188"/>
      <c r="BK23" s="1189"/>
      <c r="BL23" s="1189"/>
      <c r="BM23" s="1189"/>
      <c r="BN23" s="1189"/>
      <c r="BO23" s="1190"/>
      <c r="BP23" s="255"/>
      <c r="BQ23" s="255"/>
      <c r="BR23" s="255"/>
      <c r="BS23" s="242"/>
      <c r="CB23" s="242"/>
      <c r="CK23" s="242"/>
    </row>
    <row r="24" spans="1:89" ht="15" customHeight="1">
      <c r="A24" s="1290"/>
      <c r="B24" s="1163"/>
      <c r="C24" s="1164"/>
      <c r="D24" s="1164"/>
      <c r="E24" s="1164"/>
      <c r="F24" s="1164"/>
      <c r="G24" s="1164"/>
      <c r="H24" s="1266"/>
      <c r="I24" s="1206"/>
      <c r="J24" s="1206"/>
      <c r="K24" s="1206"/>
      <c r="L24" s="1258"/>
      <c r="M24" s="1562"/>
      <c r="N24" s="1624"/>
      <c r="O24" s="1625"/>
      <c r="P24" s="1625"/>
      <c r="Q24" s="1625"/>
      <c r="R24" s="1625"/>
      <c r="S24" s="1625"/>
      <c r="T24" s="1206"/>
      <c r="U24" s="1241"/>
      <c r="V24" s="1258"/>
      <c r="W24" s="1317"/>
      <c r="X24" s="1296"/>
      <c r="Y24" s="1296"/>
      <c r="Z24" s="1296"/>
      <c r="AA24" s="1296"/>
      <c r="AB24" s="1296"/>
      <c r="AC24" s="1297"/>
      <c r="AD24" s="1206"/>
      <c r="AE24" s="256"/>
      <c r="AF24" s="1258"/>
      <c r="AG24" s="1163"/>
      <c r="AH24" s="1164"/>
      <c r="AI24" s="1164"/>
      <c r="AJ24" s="1164"/>
      <c r="AK24" s="1164"/>
      <c r="AL24" s="1164"/>
      <c r="AM24" s="1201"/>
      <c r="AN24" s="1206"/>
      <c r="AO24" s="52"/>
      <c r="BJ24" s="1188"/>
      <c r="BK24" s="1189"/>
      <c r="BL24" s="1189"/>
      <c r="BM24" s="1189"/>
      <c r="BN24" s="1189"/>
      <c r="BO24" s="1190"/>
      <c r="BP24" s="255"/>
      <c r="BQ24" s="255"/>
      <c r="BR24" s="255"/>
      <c r="BS24" s="242"/>
      <c r="CB24" s="242"/>
      <c r="CK24" s="242"/>
    </row>
    <row r="25" spans="1:89" ht="15" customHeight="1">
      <c r="A25" s="1291"/>
      <c r="B25" s="1163"/>
      <c r="C25" s="1164"/>
      <c r="D25" s="1164"/>
      <c r="E25" s="1164"/>
      <c r="F25" s="1164"/>
      <c r="G25" s="1164"/>
      <c r="H25" s="1266"/>
      <c r="I25" s="1207"/>
      <c r="J25" s="1207"/>
      <c r="K25" s="1207"/>
      <c r="L25" s="1258"/>
      <c r="M25" s="1562"/>
      <c r="N25" s="1624"/>
      <c r="O25" s="1625"/>
      <c r="P25" s="1625"/>
      <c r="Q25" s="1625"/>
      <c r="R25" s="1625"/>
      <c r="S25" s="1625"/>
      <c r="T25" s="1207"/>
      <c r="U25" s="1241"/>
      <c r="V25" s="1258"/>
      <c r="W25" s="1317"/>
      <c r="X25" s="1296"/>
      <c r="Y25" s="1296"/>
      <c r="Z25" s="1296"/>
      <c r="AA25" s="1296"/>
      <c r="AB25" s="1296"/>
      <c r="AC25" s="1297"/>
      <c r="AD25" s="1207"/>
      <c r="AE25" s="256"/>
      <c r="AF25" s="1258"/>
      <c r="AG25" s="1165"/>
      <c r="AH25" s="1166"/>
      <c r="AI25" s="1166"/>
      <c r="AJ25" s="1166"/>
      <c r="AK25" s="1166"/>
      <c r="AL25" s="1166"/>
      <c r="AM25" s="1292"/>
      <c r="AN25" s="1207"/>
      <c r="AO25" s="52"/>
      <c r="BJ25" s="1188"/>
      <c r="BK25" s="1189"/>
      <c r="BL25" s="1189"/>
      <c r="BM25" s="1189"/>
      <c r="BN25" s="1189"/>
      <c r="BO25" s="1190"/>
      <c r="BP25" s="255"/>
      <c r="BQ25" s="255"/>
      <c r="BR25" s="255"/>
      <c r="BS25" s="242"/>
      <c r="CB25" s="242"/>
      <c r="CK25" s="242"/>
    </row>
    <row r="26" spans="1:89" ht="15" customHeight="1">
      <c r="A26" s="1307">
        <v>1.1000000000000001</v>
      </c>
      <c r="B26" s="1395" t="s">
        <v>330</v>
      </c>
      <c r="C26" s="1396"/>
      <c r="D26" s="1396"/>
      <c r="E26" s="1396"/>
      <c r="F26" s="1396"/>
      <c r="G26" s="1396"/>
      <c r="H26" s="1536"/>
      <c r="I26" s="1205" t="str">
        <f t="shared" ref="I26" si="12">IF(ISBLANK(H$3),"",1)</f>
        <v/>
      </c>
      <c r="J26" s="1205" t="str">
        <f>IF(ISBLANK(L$3),"",1)</f>
        <v/>
      </c>
      <c r="K26" s="1205" t="str">
        <f t="shared" ref="K26" si="13">IF(ISBLANK(P$3),"",1)</f>
        <v/>
      </c>
      <c r="L26" s="1236">
        <v>1.5</v>
      </c>
      <c r="M26" s="1562" t="s">
        <v>332</v>
      </c>
      <c r="N26" s="1624" t="s">
        <v>333</v>
      </c>
      <c r="O26" s="1625"/>
      <c r="P26" s="1625"/>
      <c r="Q26" s="1625"/>
      <c r="R26" s="1625"/>
      <c r="S26" s="1625"/>
      <c r="T26" s="1205" t="str">
        <f>IF(ISBLANK(H$3),"",1)</f>
        <v/>
      </c>
      <c r="U26" s="1241"/>
      <c r="V26" s="1236">
        <v>4.3</v>
      </c>
      <c r="W26" s="1526" t="s">
        <v>324</v>
      </c>
      <c r="X26" s="1527"/>
      <c r="Y26" s="1527"/>
      <c r="Z26" s="1527"/>
      <c r="AA26" s="1527"/>
      <c r="AB26" s="1527"/>
      <c r="AC26" s="1533" t="s">
        <v>696</v>
      </c>
      <c r="AD26" s="1205" t="str">
        <f>IF(ISBLANK(L$3),"",1)</f>
        <v/>
      </c>
      <c r="AE26" s="256"/>
      <c r="AF26" s="1258">
        <v>4.3</v>
      </c>
      <c r="AG26" s="1161" t="s">
        <v>331</v>
      </c>
      <c r="AH26" s="1162"/>
      <c r="AI26" s="1162"/>
      <c r="AJ26" s="1162"/>
      <c r="AK26" s="1162"/>
      <c r="AL26" s="1162"/>
      <c r="AM26" s="1199"/>
      <c r="AN26" s="1205" t="str">
        <f t="shared" ref="AN26" si="14">IF(ISBLANK(P$3),"",1)</f>
        <v/>
      </c>
      <c r="AO26" s="52"/>
      <c r="BJ26" s="1188"/>
      <c r="BK26" s="1189"/>
      <c r="BL26" s="1189"/>
      <c r="BM26" s="1189"/>
      <c r="BN26" s="1189"/>
      <c r="BO26" s="1190"/>
      <c r="BP26" s="255"/>
      <c r="BQ26" s="255"/>
      <c r="BR26" s="255"/>
      <c r="BS26" s="242"/>
      <c r="CB26" s="242"/>
      <c r="CK26" s="242"/>
    </row>
    <row r="27" spans="1:89" ht="15" customHeight="1">
      <c r="A27" s="1308"/>
      <c r="B27" s="1163"/>
      <c r="C27" s="1164"/>
      <c r="D27" s="1164"/>
      <c r="E27" s="1164"/>
      <c r="F27" s="1164"/>
      <c r="G27" s="1164"/>
      <c r="H27" s="1266"/>
      <c r="I27" s="1206"/>
      <c r="J27" s="1206"/>
      <c r="K27" s="1206"/>
      <c r="L27" s="1236"/>
      <c r="M27" s="1562"/>
      <c r="N27" s="1624"/>
      <c r="O27" s="1625"/>
      <c r="P27" s="1625"/>
      <c r="Q27" s="1625"/>
      <c r="R27" s="1625"/>
      <c r="S27" s="1625"/>
      <c r="T27" s="1206"/>
      <c r="U27" s="1241"/>
      <c r="V27" s="1236"/>
      <c r="W27" s="1317"/>
      <c r="X27" s="1296"/>
      <c r="Y27" s="1296"/>
      <c r="Z27" s="1296"/>
      <c r="AA27" s="1296"/>
      <c r="AB27" s="1296"/>
      <c r="AC27" s="1297"/>
      <c r="AD27" s="1206"/>
      <c r="AE27" s="256"/>
      <c r="AF27" s="1258"/>
      <c r="AG27" s="1163"/>
      <c r="AH27" s="1164"/>
      <c r="AI27" s="1164"/>
      <c r="AJ27" s="1164"/>
      <c r="AK27" s="1164"/>
      <c r="AL27" s="1164"/>
      <c r="AM27" s="1201"/>
      <c r="AN27" s="1206"/>
      <c r="AO27" s="52"/>
      <c r="BJ27" s="1188"/>
      <c r="BK27" s="1189"/>
      <c r="BL27" s="1189"/>
      <c r="BM27" s="1189"/>
      <c r="BN27" s="1189"/>
      <c r="BO27" s="1190"/>
      <c r="BP27" s="255"/>
      <c r="BQ27" s="255"/>
      <c r="BR27" s="255"/>
      <c r="BS27" s="242"/>
      <c r="CB27" s="242"/>
      <c r="CK27" s="242"/>
    </row>
    <row r="28" spans="1:89" ht="15" customHeight="1">
      <c r="A28" s="1308"/>
      <c r="B28" s="1163"/>
      <c r="C28" s="1164"/>
      <c r="D28" s="1164"/>
      <c r="E28" s="1164"/>
      <c r="F28" s="1164"/>
      <c r="G28" s="1164"/>
      <c r="H28" s="1266"/>
      <c r="I28" s="1207"/>
      <c r="J28" s="1207"/>
      <c r="K28" s="1207"/>
      <c r="L28" s="1236"/>
      <c r="M28" s="1562"/>
      <c r="N28" s="1624"/>
      <c r="O28" s="1625"/>
      <c r="P28" s="1625"/>
      <c r="Q28" s="1625"/>
      <c r="R28" s="1625"/>
      <c r="S28" s="1625"/>
      <c r="T28" s="1207"/>
      <c r="U28" s="1241"/>
      <c r="V28" s="1236"/>
      <c r="W28" s="1317"/>
      <c r="X28" s="1296"/>
      <c r="Y28" s="1296"/>
      <c r="Z28" s="1296"/>
      <c r="AA28" s="1296"/>
      <c r="AB28" s="1296"/>
      <c r="AC28" s="1297"/>
      <c r="AD28" s="1207"/>
      <c r="AE28" s="256"/>
      <c r="AF28" s="1258"/>
      <c r="AG28" s="1165"/>
      <c r="AH28" s="1166"/>
      <c r="AI28" s="1166"/>
      <c r="AJ28" s="1166"/>
      <c r="AK28" s="1166"/>
      <c r="AL28" s="1166"/>
      <c r="AM28" s="1292"/>
      <c r="AN28" s="1207"/>
      <c r="AO28" s="52"/>
      <c r="BJ28" s="1188"/>
      <c r="BK28" s="1189"/>
      <c r="BL28" s="1189"/>
      <c r="BM28" s="1189"/>
      <c r="BN28" s="1189"/>
      <c r="BO28" s="1190"/>
      <c r="BP28" s="255"/>
      <c r="BQ28" s="255"/>
      <c r="BR28" s="255"/>
      <c r="BS28" s="242"/>
      <c r="CB28" s="242"/>
      <c r="CK28" s="242"/>
    </row>
    <row r="29" spans="1:89" ht="15" customHeight="1">
      <c r="A29" s="1307">
        <v>1.5</v>
      </c>
      <c r="B29" s="1549" t="s">
        <v>336</v>
      </c>
      <c r="C29" s="1549"/>
      <c r="D29" s="1549"/>
      <c r="E29" s="1549"/>
      <c r="F29" s="1549"/>
      <c r="G29" s="1549"/>
      <c r="H29" s="1549"/>
      <c r="I29" s="1205" t="str">
        <f t="shared" ref="I29" si="15">IF(ISBLANK(H$3),"",1)</f>
        <v/>
      </c>
      <c r="J29" s="1205" t="str">
        <f>IF(ISBLANK(L$3),"",1)</f>
        <v/>
      </c>
      <c r="K29" s="1205" t="str">
        <f t="shared" ref="K29" si="16">IF(ISBLANK(P$3),"",1)</f>
        <v/>
      </c>
      <c r="L29" s="1258">
        <v>4.3</v>
      </c>
      <c r="M29" s="1163" t="s">
        <v>331</v>
      </c>
      <c r="N29" s="1164"/>
      <c r="O29" s="1164"/>
      <c r="P29" s="1164"/>
      <c r="Q29" s="1164"/>
      <c r="R29" s="1164"/>
      <c r="S29" s="1164"/>
      <c r="T29" s="1205" t="str">
        <f>IF(ISBLANK(H$3),"",1)</f>
        <v/>
      </c>
      <c r="U29" s="1241"/>
      <c r="V29" s="1258">
        <v>4.4000000000000004</v>
      </c>
      <c r="W29" s="1526" t="s">
        <v>329</v>
      </c>
      <c r="X29" s="1527"/>
      <c r="Y29" s="1527"/>
      <c r="Z29" s="1527"/>
      <c r="AA29" s="1527"/>
      <c r="AB29" s="1527"/>
      <c r="AC29" s="1533" t="s">
        <v>696</v>
      </c>
      <c r="AD29" s="1205" t="str">
        <f>IF(ISBLANK(L$3),"",1)</f>
        <v/>
      </c>
      <c r="AE29" s="256"/>
      <c r="AF29" s="1262" t="s">
        <v>637</v>
      </c>
      <c r="AG29" s="1262"/>
      <c r="AH29" s="1262"/>
      <c r="AI29" s="1262"/>
      <c r="AJ29" s="1262"/>
      <c r="AK29" s="1263"/>
      <c r="AL29" s="294">
        <v>1.5</v>
      </c>
      <c r="AM29" s="311">
        <f>COUNTIF($AF$11:$AF$28,AL29)</f>
        <v>1</v>
      </c>
      <c r="AN29" s="240" t="str">
        <f>IF($P$3=1,SUMIF($AF$11:$AF$28,AL29,$AN$11:$AN$28),"")</f>
        <v/>
      </c>
      <c r="AO29" s="52"/>
      <c r="BJ29" s="1188"/>
      <c r="BK29" s="1189"/>
      <c r="BL29" s="1189"/>
      <c r="BM29" s="1189"/>
      <c r="BN29" s="1189"/>
      <c r="BO29" s="1190"/>
      <c r="BP29" s="255"/>
      <c r="BQ29" s="255"/>
      <c r="BR29" s="255"/>
    </row>
    <row r="30" spans="1:89" ht="15" customHeight="1">
      <c r="A30" s="1308"/>
      <c r="B30" s="1550"/>
      <c r="C30" s="1550"/>
      <c r="D30" s="1550"/>
      <c r="E30" s="1550"/>
      <c r="F30" s="1550"/>
      <c r="G30" s="1550"/>
      <c r="H30" s="1550"/>
      <c r="I30" s="1206"/>
      <c r="J30" s="1206"/>
      <c r="K30" s="1206"/>
      <c r="L30" s="1258"/>
      <c r="M30" s="1163"/>
      <c r="N30" s="1164"/>
      <c r="O30" s="1164"/>
      <c r="P30" s="1164"/>
      <c r="Q30" s="1164"/>
      <c r="R30" s="1164"/>
      <c r="S30" s="1164"/>
      <c r="T30" s="1206"/>
      <c r="U30" s="1241"/>
      <c r="V30" s="1258"/>
      <c r="W30" s="1317"/>
      <c r="X30" s="1296"/>
      <c r="Y30" s="1296"/>
      <c r="Z30" s="1296"/>
      <c r="AA30" s="1296"/>
      <c r="AB30" s="1296"/>
      <c r="AC30" s="1297"/>
      <c r="AD30" s="1206"/>
      <c r="AE30" s="256"/>
      <c r="AF30" s="253"/>
      <c r="AG30" s="244"/>
      <c r="AH30" s="244"/>
      <c r="AI30" s="244"/>
      <c r="AL30" s="274">
        <v>4.3</v>
      </c>
      <c r="AM30" s="311">
        <f t="shared" ref="AM30:AM31" si="17">COUNTIF($AF$11:$AF$28,AL30)</f>
        <v>1</v>
      </c>
      <c r="AN30" s="240" t="str">
        <f t="shared" ref="AN30:AN31" si="18">IF($P$3=1,SUMIF($AF$11:$AF$28,AL30,$AN$11:$AN$28),"")</f>
        <v/>
      </c>
      <c r="AO30" s="52"/>
      <c r="BJ30" s="1188"/>
      <c r="BK30" s="1189"/>
      <c r="BL30" s="1189"/>
      <c r="BM30" s="1189"/>
      <c r="BN30" s="1189"/>
      <c r="BO30" s="1190"/>
      <c r="BP30" s="255"/>
      <c r="BQ30" s="255"/>
      <c r="BR30" s="255"/>
    </row>
    <row r="31" spans="1:89" ht="15" customHeight="1">
      <c r="A31" s="1309"/>
      <c r="B31" s="1551"/>
      <c r="C31" s="1551"/>
      <c r="D31" s="1551"/>
      <c r="E31" s="1551"/>
      <c r="F31" s="1551"/>
      <c r="G31" s="1551"/>
      <c r="H31" s="1551"/>
      <c r="I31" s="1207"/>
      <c r="J31" s="1207"/>
      <c r="K31" s="1207"/>
      <c r="L31" s="1258"/>
      <c r="M31" s="1552"/>
      <c r="N31" s="1203"/>
      <c r="O31" s="1203"/>
      <c r="P31" s="1203"/>
      <c r="Q31" s="1203"/>
      <c r="R31" s="1203"/>
      <c r="S31" s="1203"/>
      <c r="T31" s="1207"/>
      <c r="U31" s="1241"/>
      <c r="V31" s="1258"/>
      <c r="W31" s="1317"/>
      <c r="X31" s="1296"/>
      <c r="Y31" s="1296"/>
      <c r="Z31" s="1296"/>
      <c r="AA31" s="1296"/>
      <c r="AB31" s="1296"/>
      <c r="AC31" s="1297"/>
      <c r="AD31" s="1207"/>
      <c r="AE31" s="256"/>
      <c r="AF31" s="253"/>
      <c r="AG31" s="244"/>
      <c r="AH31" s="244"/>
      <c r="AI31" s="244"/>
      <c r="AL31" s="274">
        <v>4.4000000000000004</v>
      </c>
      <c r="AM31" s="311">
        <f t="shared" si="17"/>
        <v>4</v>
      </c>
      <c r="AN31" s="240" t="str">
        <f t="shared" si="18"/>
        <v/>
      </c>
      <c r="AO31" s="52"/>
      <c r="BJ31" s="1188"/>
      <c r="BK31" s="1189"/>
      <c r="BL31" s="1189"/>
      <c r="BM31" s="1189"/>
      <c r="BN31" s="1189"/>
      <c r="BO31" s="1190"/>
      <c r="BP31" s="255"/>
      <c r="BQ31" s="255"/>
      <c r="BR31" s="255"/>
    </row>
    <row r="32" spans="1:89" ht="15" customHeight="1">
      <c r="A32" s="1260" t="s">
        <v>637</v>
      </c>
      <c r="B32" s="1260"/>
      <c r="C32" s="1260"/>
      <c r="D32" s="1260"/>
      <c r="E32" s="1260"/>
      <c r="F32" s="1261"/>
      <c r="G32" s="294">
        <v>1.1000000000000001</v>
      </c>
      <c r="H32" s="311">
        <f>COUNTIF($A$11:$A$31,G32)</f>
        <v>4</v>
      </c>
      <c r="I32" s="240" t="str">
        <f>IF($H$3=1,SUMIF($A$11:$A$31,G32,$I$11:$I$31),"")</f>
        <v/>
      </c>
      <c r="J32" s="240" t="str">
        <f>IF($L$3=1,SUMIF($A$11:$A$31,G32,$J$11:$J$31),"")</f>
        <v/>
      </c>
      <c r="K32" s="240" t="str">
        <f>IF($P$3=1,SUMIF($A$11:$A$31,G32,$K$11:$K$31),"")</f>
        <v/>
      </c>
      <c r="L32" s="1262" t="s">
        <v>637</v>
      </c>
      <c r="M32" s="1262"/>
      <c r="N32" s="1262"/>
      <c r="O32" s="1262"/>
      <c r="P32" s="1262"/>
      <c r="Q32" s="1263"/>
      <c r="R32" s="273">
        <v>1.5</v>
      </c>
      <c r="S32" s="311">
        <f>COUNTIF($L$11:$L$31,R32)</f>
        <v>2</v>
      </c>
      <c r="T32" s="240" t="str">
        <f>IF($H$3=1,SUMIF($L$11:$L$31,R32,$T$11:$T$31),"")</f>
        <v/>
      </c>
      <c r="U32" s="301"/>
      <c r="V32" s="1236">
        <v>2.4</v>
      </c>
      <c r="W32" s="1526" t="s">
        <v>334</v>
      </c>
      <c r="X32" s="1527"/>
      <c r="Y32" s="1527"/>
      <c r="Z32" s="1527"/>
      <c r="AA32" s="1527"/>
      <c r="AB32" s="1527"/>
      <c r="AC32" s="1533" t="s">
        <v>696</v>
      </c>
      <c r="AD32" s="1205" t="str">
        <f>IF(ISBLANK(L$3),"",1)</f>
        <v/>
      </c>
      <c r="AE32" s="256"/>
      <c r="AF32" s="253"/>
      <c r="AG32" s="244"/>
      <c r="AH32" s="244"/>
      <c r="AI32" s="244"/>
      <c r="AO32" s="52"/>
      <c r="BJ32" s="1188"/>
      <c r="BK32" s="1189"/>
      <c r="BL32" s="1189"/>
      <c r="BM32" s="1189"/>
      <c r="BN32" s="1189"/>
      <c r="BO32" s="1190"/>
      <c r="BP32" s="255"/>
      <c r="BQ32" s="255"/>
      <c r="BR32" s="255"/>
    </row>
    <row r="33" spans="1:70" ht="15" customHeight="1">
      <c r="A33" s="52"/>
      <c r="B33" s="248"/>
      <c r="C33" s="248"/>
      <c r="D33" s="248"/>
      <c r="E33" s="248"/>
      <c r="F33" s="299"/>
      <c r="G33" s="273">
        <v>1.5</v>
      </c>
      <c r="H33" s="311">
        <f t="shared" ref="H33:H35" si="19">COUNTIF($A$11:$A$31,G33)</f>
        <v>1</v>
      </c>
      <c r="I33" s="240" t="str">
        <f t="shared" ref="I33:I35" si="20">IF($H$3=1,SUMIF($A$11:$A$31,G33,$I$11:$I$31),"")</f>
        <v/>
      </c>
      <c r="J33" s="240" t="str">
        <f t="shared" ref="J33:J35" si="21">IF($L$3=1,SUMIF($A$11:$A$31,G33,$J$11:$J$31),"")</f>
        <v/>
      </c>
      <c r="K33" s="240" t="str">
        <f t="shared" ref="K33:K35" si="22">IF($P$3=1,SUMIF($A$11:$A$31,G33,$K$11:$K$31),"")</f>
        <v/>
      </c>
      <c r="L33" s="248"/>
      <c r="M33" s="248"/>
      <c r="N33" s="248"/>
      <c r="O33" s="248"/>
      <c r="P33" s="248"/>
      <c r="R33" s="274">
        <v>4.3</v>
      </c>
      <c r="S33" s="311">
        <f t="shared" ref="S33:S34" si="23">COUNTIF($L$11:$L$31,R33)</f>
        <v>2</v>
      </c>
      <c r="T33" s="240" t="str">
        <f t="shared" ref="T33:T34" si="24">IF($H$3=1,SUMIF($L$11:$L$31,R33,$T$11:$T$31),"")</f>
        <v/>
      </c>
      <c r="U33" s="301"/>
      <c r="V33" s="1236"/>
      <c r="W33" s="1317"/>
      <c r="X33" s="1296"/>
      <c r="Y33" s="1296"/>
      <c r="Z33" s="1296"/>
      <c r="AA33" s="1296"/>
      <c r="AB33" s="1296"/>
      <c r="AC33" s="1297"/>
      <c r="AD33" s="1206"/>
      <c r="AE33" s="256"/>
      <c r="AF33" s="256"/>
      <c r="AO33" s="52"/>
      <c r="BJ33" s="1188"/>
      <c r="BK33" s="1189"/>
      <c r="BL33" s="1189"/>
      <c r="BM33" s="1189"/>
      <c r="BN33" s="1189"/>
      <c r="BO33" s="1190"/>
      <c r="BP33" s="255"/>
      <c r="BQ33" s="255"/>
      <c r="BR33" s="255"/>
    </row>
    <row r="34" spans="1:70" ht="15" customHeight="1">
      <c r="A34" s="255"/>
      <c r="B34" s="255"/>
      <c r="C34" s="255"/>
      <c r="D34" s="255"/>
      <c r="E34" s="255"/>
      <c r="G34" s="272">
        <v>2.1</v>
      </c>
      <c r="H34" s="311">
        <f t="shared" si="19"/>
        <v>1</v>
      </c>
      <c r="I34" s="240" t="str">
        <f t="shared" si="20"/>
        <v/>
      </c>
      <c r="J34" s="240" t="str">
        <f t="shared" si="21"/>
        <v/>
      </c>
      <c r="K34" s="240" t="str">
        <f t="shared" si="22"/>
        <v/>
      </c>
      <c r="L34" s="255"/>
      <c r="M34" s="255"/>
      <c r="N34" s="255"/>
      <c r="O34" s="255"/>
      <c r="P34" s="255"/>
      <c r="R34" s="274">
        <v>4.4000000000000004</v>
      </c>
      <c r="S34" s="311">
        <f t="shared" si="23"/>
        <v>3</v>
      </c>
      <c r="T34" s="240" t="str">
        <f t="shared" si="24"/>
        <v/>
      </c>
      <c r="U34" s="255"/>
      <c r="V34" s="1236"/>
      <c r="W34" s="1317"/>
      <c r="X34" s="1296"/>
      <c r="Y34" s="1296"/>
      <c r="Z34" s="1296"/>
      <c r="AA34" s="1296"/>
      <c r="AB34" s="1296"/>
      <c r="AC34" s="1297"/>
      <c r="AD34" s="1207"/>
      <c r="AE34" s="256"/>
      <c r="AF34" s="256"/>
      <c r="AO34" s="52"/>
      <c r="BJ34" s="1188"/>
      <c r="BK34" s="1189"/>
      <c r="BL34" s="1189"/>
      <c r="BM34" s="1189"/>
      <c r="BN34" s="1189"/>
      <c r="BO34" s="1190"/>
      <c r="BP34" s="255"/>
      <c r="BQ34" s="255"/>
      <c r="BR34" s="255"/>
    </row>
    <row r="35" spans="1:70" ht="15" customHeight="1">
      <c r="A35" s="255"/>
      <c r="B35" s="255"/>
      <c r="C35" s="255"/>
      <c r="D35" s="255"/>
      <c r="E35" s="255"/>
      <c r="G35" s="272">
        <v>2.4</v>
      </c>
      <c r="H35" s="311">
        <f t="shared" si="19"/>
        <v>1</v>
      </c>
      <c r="I35" s="240" t="str">
        <f t="shared" si="20"/>
        <v/>
      </c>
      <c r="J35" s="240" t="str">
        <f t="shared" si="21"/>
        <v/>
      </c>
      <c r="K35" s="240" t="str">
        <f t="shared" si="22"/>
        <v/>
      </c>
      <c r="L35" s="255"/>
      <c r="M35" s="255"/>
      <c r="N35" s="255"/>
      <c r="O35" s="255"/>
      <c r="P35" s="255"/>
      <c r="Q35" s="255"/>
      <c r="R35" s="255"/>
      <c r="S35" s="255"/>
      <c r="T35" s="255"/>
      <c r="U35" s="255"/>
      <c r="V35" s="1258">
        <v>2.4</v>
      </c>
      <c r="W35" s="1526" t="s">
        <v>337</v>
      </c>
      <c r="X35" s="1527"/>
      <c r="Y35" s="1527"/>
      <c r="Z35" s="1527"/>
      <c r="AA35" s="1527"/>
      <c r="AB35" s="1527"/>
      <c r="AC35" s="1533" t="s">
        <v>696</v>
      </c>
      <c r="AD35" s="1205" t="str">
        <f>IF(ISBLANK(L$3),"",1)</f>
        <v/>
      </c>
      <c r="AE35" s="256"/>
      <c r="AF35" s="256"/>
      <c r="AO35" s="52"/>
      <c r="BJ35" s="1188"/>
      <c r="BK35" s="1189"/>
      <c r="BL35" s="1189"/>
      <c r="BM35" s="1189"/>
      <c r="BN35" s="1189"/>
      <c r="BO35" s="1190"/>
      <c r="BP35" s="255"/>
      <c r="BQ35" s="255"/>
      <c r="BR35" s="255"/>
    </row>
    <row r="36" spans="1:70" ht="15" customHeight="1">
      <c r="A36" s="255"/>
      <c r="B36" s="255"/>
      <c r="C36" s="255"/>
      <c r="D36" s="255"/>
      <c r="E36" s="255"/>
      <c r="F36" s="255"/>
      <c r="G36" s="255"/>
      <c r="H36" s="255"/>
      <c r="I36" s="255"/>
      <c r="J36" s="255"/>
      <c r="K36" s="255"/>
      <c r="L36" s="255"/>
      <c r="M36" s="255"/>
      <c r="N36" s="255"/>
      <c r="O36" s="255"/>
      <c r="P36" s="255"/>
      <c r="Q36" s="255"/>
      <c r="R36" s="255"/>
      <c r="S36" s="255"/>
      <c r="T36" s="255"/>
      <c r="U36" s="255"/>
      <c r="V36" s="1258"/>
      <c r="W36" s="1317"/>
      <c r="X36" s="1296"/>
      <c r="Y36" s="1296"/>
      <c r="Z36" s="1296"/>
      <c r="AA36" s="1296"/>
      <c r="AB36" s="1296"/>
      <c r="AC36" s="1297"/>
      <c r="AD36" s="1206"/>
      <c r="AE36" s="256"/>
      <c r="AF36" s="256"/>
      <c r="AO36" s="52"/>
      <c r="BJ36" s="1188"/>
      <c r="BK36" s="1189"/>
      <c r="BL36" s="1189"/>
      <c r="BM36" s="1189"/>
      <c r="BN36" s="1189"/>
      <c r="BO36" s="1190"/>
      <c r="BP36" s="255"/>
      <c r="BQ36" s="255"/>
      <c r="BR36" s="255"/>
    </row>
    <row r="37" spans="1:70" ht="15" customHeight="1">
      <c r="A37" s="1209"/>
      <c r="B37" s="1210" t="s">
        <v>609</v>
      </c>
      <c r="C37" s="1211"/>
      <c r="D37" s="1211"/>
      <c r="E37" s="1211"/>
      <c r="F37" s="1211"/>
      <c r="G37" s="1211"/>
      <c r="H37" s="1272"/>
      <c r="I37" s="1174">
        <v>1</v>
      </c>
      <c r="J37" s="1174">
        <v>2</v>
      </c>
      <c r="K37" s="1174">
        <v>3</v>
      </c>
      <c r="L37" s="255"/>
      <c r="M37" s="255"/>
      <c r="N37" s="255"/>
      <c r="O37" s="255"/>
      <c r="P37" s="255"/>
      <c r="Q37" s="255"/>
      <c r="R37" s="255"/>
      <c r="S37" s="255"/>
      <c r="T37" s="255"/>
      <c r="U37" s="255"/>
      <c r="V37" s="1258"/>
      <c r="W37" s="1317"/>
      <c r="X37" s="1296"/>
      <c r="Y37" s="1296"/>
      <c r="Z37" s="1296"/>
      <c r="AA37" s="1296"/>
      <c r="AB37" s="1296"/>
      <c r="AC37" s="1297"/>
      <c r="AD37" s="1207"/>
      <c r="AE37" s="256"/>
      <c r="AF37" s="256"/>
      <c r="AO37" s="52"/>
      <c r="BJ37" s="1188"/>
      <c r="BK37" s="1189"/>
      <c r="BL37" s="1189"/>
      <c r="BM37" s="1189"/>
      <c r="BN37" s="1189"/>
      <c r="BO37" s="1190"/>
      <c r="BP37" s="256"/>
      <c r="BQ37" s="256"/>
      <c r="BR37" s="256"/>
    </row>
    <row r="38" spans="1:70" ht="15" customHeight="1">
      <c r="A38" s="1209"/>
      <c r="B38" s="1212"/>
      <c r="C38" s="1213"/>
      <c r="D38" s="1213"/>
      <c r="E38" s="1213"/>
      <c r="F38" s="1213"/>
      <c r="G38" s="1213"/>
      <c r="H38" s="1273"/>
      <c r="I38" s="1174"/>
      <c r="J38" s="1174"/>
      <c r="K38" s="1174"/>
      <c r="L38" s="255"/>
      <c r="M38" s="255"/>
      <c r="N38" s="255"/>
      <c r="O38" s="255"/>
      <c r="P38" s="255"/>
      <c r="Q38" s="255"/>
      <c r="R38" s="255"/>
      <c r="S38" s="255"/>
      <c r="T38" s="255"/>
      <c r="U38" s="256"/>
      <c r="V38" s="1258">
        <v>1.5</v>
      </c>
      <c r="W38" s="1526" t="s">
        <v>331</v>
      </c>
      <c r="X38" s="1527"/>
      <c r="Y38" s="1527"/>
      <c r="Z38" s="1527"/>
      <c r="AA38" s="1527"/>
      <c r="AB38" s="1527"/>
      <c r="AC38" s="1533" t="s">
        <v>696</v>
      </c>
      <c r="AD38" s="1205" t="str">
        <f>IF(ISBLANK(L$3),"",1)</f>
        <v/>
      </c>
      <c r="AE38" s="256"/>
      <c r="AF38" s="256"/>
      <c r="AO38" s="52"/>
      <c r="BJ38" s="1188"/>
      <c r="BK38" s="1189"/>
      <c r="BL38" s="1189"/>
      <c r="BM38" s="1189"/>
      <c r="BN38" s="1189"/>
      <c r="BO38" s="1190"/>
      <c r="BP38" s="255"/>
      <c r="BQ38" s="256"/>
      <c r="BR38" s="255"/>
    </row>
    <row r="39" spans="1:70" ht="15" customHeight="1">
      <c r="A39" s="1264">
        <v>3.1</v>
      </c>
      <c r="B39" s="1553" t="s">
        <v>338</v>
      </c>
      <c r="C39" s="1554"/>
      <c r="D39" s="1554"/>
      <c r="E39" s="1554"/>
      <c r="F39" s="1554"/>
      <c r="G39" s="1554"/>
      <c r="H39" s="1555"/>
      <c r="I39" s="1205" t="str">
        <f t="shared" ref="I39" si="25">IF(ISBLANK(H$3),"",1)</f>
        <v/>
      </c>
      <c r="J39" s="1205" t="str">
        <f>IF(ISBLANK(L$3),"",1)</f>
        <v/>
      </c>
      <c r="K39" s="1205" t="str">
        <f t="shared" ref="K39" si="26">IF(ISBLANK(P$3),"",1)</f>
        <v/>
      </c>
      <c r="L39" s="255"/>
      <c r="M39" s="255"/>
      <c r="N39" s="255"/>
      <c r="O39" s="255"/>
      <c r="P39" s="255"/>
      <c r="Q39" s="255"/>
      <c r="R39" s="255"/>
      <c r="S39" s="255"/>
      <c r="T39" s="255"/>
      <c r="U39" s="256"/>
      <c r="V39" s="1258"/>
      <c r="W39" s="1317"/>
      <c r="X39" s="1296"/>
      <c r="Y39" s="1296"/>
      <c r="Z39" s="1296"/>
      <c r="AA39" s="1296"/>
      <c r="AB39" s="1296"/>
      <c r="AC39" s="1297"/>
      <c r="AD39" s="1206"/>
      <c r="AE39" s="256"/>
      <c r="AF39" s="256"/>
      <c r="AO39" s="52"/>
      <c r="BJ39" s="1191"/>
      <c r="BK39" s="1192"/>
      <c r="BL39" s="1192"/>
      <c r="BM39" s="1192"/>
      <c r="BN39" s="1192"/>
      <c r="BO39" s="1193"/>
      <c r="BP39" s="255"/>
      <c r="BQ39" s="256"/>
      <c r="BR39" s="255"/>
    </row>
    <row r="40" spans="1:70" ht="15" customHeight="1">
      <c r="A40" s="1264"/>
      <c r="B40" s="1556"/>
      <c r="C40" s="1557"/>
      <c r="D40" s="1557"/>
      <c r="E40" s="1557"/>
      <c r="F40" s="1557"/>
      <c r="G40" s="1557"/>
      <c r="H40" s="1558"/>
      <c r="I40" s="1206"/>
      <c r="J40" s="1206"/>
      <c r="K40" s="1206"/>
      <c r="L40" s="255"/>
      <c r="M40" s="255"/>
      <c r="N40" s="255"/>
      <c r="O40" s="255"/>
      <c r="P40" s="255"/>
      <c r="Q40" s="255"/>
      <c r="R40" s="255"/>
      <c r="S40" s="255"/>
      <c r="T40" s="255"/>
      <c r="U40" s="256"/>
      <c r="V40" s="1258"/>
      <c r="W40" s="1319"/>
      <c r="X40" s="1320"/>
      <c r="Y40" s="1320"/>
      <c r="Z40" s="1320"/>
      <c r="AA40" s="1320"/>
      <c r="AB40" s="1320"/>
      <c r="AC40" s="1534"/>
      <c r="AD40" s="1207"/>
      <c r="AE40" s="256"/>
      <c r="AF40" s="256"/>
      <c r="AO40" s="52"/>
      <c r="BO40" s="255"/>
      <c r="BP40" s="255"/>
      <c r="BQ40" s="256"/>
      <c r="BR40" s="255"/>
    </row>
    <row r="41" spans="1:70" ht="15" customHeight="1">
      <c r="A41" s="1264"/>
      <c r="B41" s="1559"/>
      <c r="C41" s="1560"/>
      <c r="D41" s="1560"/>
      <c r="E41" s="1560"/>
      <c r="F41" s="1560"/>
      <c r="G41" s="1560"/>
      <c r="H41" s="1561"/>
      <c r="I41" s="1207"/>
      <c r="J41" s="1207"/>
      <c r="K41" s="1207"/>
      <c r="L41" s="256"/>
      <c r="M41" s="256"/>
      <c r="N41" s="256"/>
      <c r="O41" s="256"/>
      <c r="P41" s="256"/>
      <c r="Q41" s="256"/>
      <c r="R41" s="256"/>
      <c r="S41" s="256"/>
      <c r="T41" s="256"/>
      <c r="U41" s="255"/>
      <c r="V41" s="1262" t="s">
        <v>637</v>
      </c>
      <c r="W41" s="1262"/>
      <c r="X41" s="1262"/>
      <c r="Y41" s="1262"/>
      <c r="Z41" s="1262"/>
      <c r="AA41" s="1263"/>
      <c r="AB41" s="294">
        <v>1.5</v>
      </c>
      <c r="AC41" s="311">
        <f>COUNTIF($V$11:$V$40,AB41)</f>
        <v>1</v>
      </c>
      <c r="AD41" s="240" t="str">
        <f>IF($L$3=1,SUMIF($V$11:$V$40,AB41,$AD$11:$AD$40),"")</f>
        <v/>
      </c>
      <c r="AE41" s="255"/>
      <c r="AF41" s="256"/>
      <c r="AG41" s="256"/>
      <c r="AO41" s="52"/>
      <c r="BP41" s="255"/>
      <c r="BQ41" s="255"/>
      <c r="BR41" s="255"/>
    </row>
    <row r="42" spans="1:70" ht="15" customHeight="1">
      <c r="A42" s="1260" t="s">
        <v>637</v>
      </c>
      <c r="B42" s="1260"/>
      <c r="C42" s="1260"/>
      <c r="D42" s="1260"/>
      <c r="E42" s="1260"/>
      <c r="F42" s="1271"/>
      <c r="G42" s="302">
        <v>3.1</v>
      </c>
      <c r="H42" s="311">
        <f>COUNTIF(A39,G42)</f>
        <v>1</v>
      </c>
      <c r="I42" s="240" t="str">
        <f>IF($H$3=1,SUMIF($A$39,G42,$I$39),"")</f>
        <v/>
      </c>
      <c r="J42" s="240" t="str">
        <f>IF(L3=1,SUMIF($A$39,G42,$J$39),"")</f>
        <v/>
      </c>
      <c r="K42" s="240" t="str">
        <f>IF(P3=1,SUMIF($A$39,G42,$K$39),"")</f>
        <v/>
      </c>
      <c r="L42" s="256"/>
      <c r="M42" s="256"/>
      <c r="N42" s="256"/>
      <c r="O42" s="256"/>
      <c r="P42" s="256"/>
      <c r="Q42" s="256"/>
      <c r="R42" s="256"/>
      <c r="S42" s="256"/>
      <c r="T42" s="256"/>
      <c r="U42" s="256"/>
      <c r="V42" s="253"/>
      <c r="W42" s="244"/>
      <c r="X42" s="244"/>
      <c r="Y42" s="244"/>
      <c r="AB42" s="272">
        <v>2.4</v>
      </c>
      <c r="AC42" s="311">
        <f>COUNTIF($V$11:$V$40,AB42)</f>
        <v>2</v>
      </c>
      <c r="AD42" s="240" t="str">
        <f>IF($L$3=1,SUMIF($V$11:$V$40,AB42,$AD$11:$AD$40),"")</f>
        <v/>
      </c>
      <c r="AE42" s="255"/>
      <c r="AF42" s="256"/>
      <c r="AG42" s="256"/>
      <c r="AO42" s="52"/>
      <c r="BP42" s="255"/>
      <c r="BQ42" s="255"/>
      <c r="BR42" s="255"/>
    </row>
    <row r="43" spans="1:70" ht="15" customHeight="1">
      <c r="A43" s="255"/>
      <c r="B43" s="255"/>
      <c r="C43" s="255"/>
      <c r="D43" s="255"/>
      <c r="E43" s="255"/>
      <c r="F43" s="255"/>
      <c r="G43" s="255"/>
      <c r="H43" s="255"/>
      <c r="I43" s="255"/>
      <c r="J43" s="255"/>
      <c r="K43" s="255"/>
      <c r="L43" s="255"/>
      <c r="M43" s="255"/>
      <c r="N43" s="255"/>
      <c r="O43" s="255"/>
      <c r="P43" s="255"/>
      <c r="Q43" s="255"/>
      <c r="R43" s="255"/>
      <c r="S43" s="255"/>
      <c r="T43" s="255"/>
      <c r="U43" s="256"/>
      <c r="V43" s="253"/>
      <c r="W43" s="244"/>
      <c r="X43" s="244"/>
      <c r="Y43" s="244"/>
      <c r="AB43" s="274">
        <v>4.3</v>
      </c>
      <c r="AC43" s="311">
        <f>COUNTIF($V$11:$V$40,AB43)</f>
        <v>1</v>
      </c>
      <c r="AD43" s="240" t="str">
        <f>IF($L$3=1,SUMIF($V$11:$V$40,AB43,$AD$11:$AD$40),"")</f>
        <v/>
      </c>
      <c r="AE43" s="255"/>
      <c r="AF43" s="255"/>
      <c r="AG43" s="255"/>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5"/>
      <c r="V44" s="253"/>
      <c r="W44" s="244"/>
      <c r="X44" s="244"/>
      <c r="Y44" s="244"/>
      <c r="AB44" s="274">
        <v>4.4000000000000004</v>
      </c>
      <c r="AC44" s="311">
        <f>COUNTIF($V$11:$V$40,AB44)</f>
        <v>6</v>
      </c>
      <c r="AD44" s="240" t="str">
        <f>IF($L$3=1,SUMIF($V$11:$V$40,AB44,$AD$11:$AD$40),"")</f>
        <v/>
      </c>
      <c r="AE44" s="255"/>
      <c r="AF44" s="255"/>
      <c r="AG44" s="255"/>
      <c r="AO44" s="52"/>
      <c r="BP44" s="255"/>
      <c r="BQ44" s="255"/>
      <c r="BR44" s="255"/>
    </row>
    <row r="45" spans="1:70" ht="15" customHeight="1">
      <c r="A45" s="1171" t="s">
        <v>645</v>
      </c>
      <c r="B45" s="1171"/>
      <c r="C45" s="1171"/>
      <c r="D45" s="1171"/>
      <c r="E45" s="1171"/>
      <c r="F45" s="1171"/>
      <c r="G45" s="1171"/>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1"/>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255"/>
      <c r="BO45" s="255"/>
      <c r="BP45" s="255"/>
      <c r="BQ45" s="255"/>
      <c r="BR45" s="255"/>
    </row>
    <row r="46" spans="1:70" ht="15" customHeight="1" thickBot="1">
      <c r="A46" s="1171"/>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255"/>
      <c r="BO46" s="255"/>
      <c r="BP46" s="255"/>
      <c r="BQ46" s="255"/>
      <c r="BR46" s="305"/>
    </row>
    <row r="47" spans="1:70" ht="15" customHeight="1">
      <c r="A47" s="1172"/>
      <c r="B47" s="1173" t="s">
        <v>608</v>
      </c>
      <c r="C47" s="1173"/>
      <c r="D47" s="1173"/>
      <c r="E47" s="1173"/>
      <c r="F47" s="1173"/>
      <c r="G47" s="1173"/>
      <c r="H47" s="1343">
        <v>1</v>
      </c>
      <c r="I47" s="1174">
        <v>2</v>
      </c>
      <c r="J47" s="1174">
        <v>3</v>
      </c>
      <c r="K47" s="1174">
        <v>4</v>
      </c>
      <c r="L47" s="1174">
        <v>5</v>
      </c>
      <c r="M47" s="1174">
        <v>6</v>
      </c>
      <c r="N47" s="1645"/>
      <c r="O47" s="1648" t="s">
        <v>426</v>
      </c>
      <c r="P47" s="1648">
        <v>1</v>
      </c>
      <c r="Q47" s="1648" t="s">
        <v>16</v>
      </c>
      <c r="R47" s="1648"/>
      <c r="S47" s="1648"/>
      <c r="T47" s="1648"/>
      <c r="U47" s="1731"/>
      <c r="V47" s="1537"/>
      <c r="W47" s="1796" t="s">
        <v>444</v>
      </c>
      <c r="X47" s="1797"/>
      <c r="Y47" s="1797"/>
      <c r="Z47" s="1797"/>
      <c r="AA47" s="1797"/>
      <c r="AB47" s="1797"/>
      <c r="AC47" s="1731"/>
      <c r="AD47" s="1653"/>
      <c r="AE47" s="1656" t="s">
        <v>445</v>
      </c>
      <c r="AF47" s="1657"/>
      <c r="AG47" s="1657"/>
      <c r="AH47" s="1657"/>
      <c r="AI47" s="1657"/>
      <c r="AJ47" s="1657"/>
      <c r="AK47" s="1760"/>
      <c r="AL47" s="1628"/>
      <c r="AM47" s="1631" t="s">
        <v>675</v>
      </c>
      <c r="AN47" s="1632"/>
      <c r="AO47" s="1632"/>
      <c r="AP47" s="1632"/>
      <c r="AQ47" s="1632"/>
      <c r="AR47" s="1632"/>
      <c r="AS47" s="1731"/>
      <c r="AT47" s="1708"/>
      <c r="AU47" s="1711" t="s">
        <v>446</v>
      </c>
      <c r="AV47" s="1712"/>
      <c r="AW47" s="1712"/>
      <c r="AX47" s="1712"/>
      <c r="AY47" s="1712"/>
      <c r="AZ47" s="1712"/>
      <c r="BA47" s="1731"/>
      <c r="BB47" s="1725"/>
      <c r="BC47" s="1691" t="s">
        <v>447</v>
      </c>
      <c r="BD47" s="1692"/>
      <c r="BE47" s="1692"/>
      <c r="BF47" s="1692"/>
      <c r="BG47" s="1692"/>
      <c r="BH47" s="1692"/>
      <c r="BI47" s="1256"/>
      <c r="BJ47" s="1182" t="s">
        <v>263</v>
      </c>
      <c r="BK47" s="1183"/>
      <c r="BL47" s="1183"/>
      <c r="BM47" s="1183"/>
      <c r="BN47" s="1183"/>
      <c r="BO47" s="1184"/>
      <c r="BP47" s="255"/>
      <c r="BQ47" s="255"/>
      <c r="BR47" s="255"/>
    </row>
    <row r="48" spans="1:70" ht="15" customHeight="1">
      <c r="A48" s="1172"/>
      <c r="B48" s="1173"/>
      <c r="C48" s="1173"/>
      <c r="D48" s="1173"/>
      <c r="E48" s="1173"/>
      <c r="F48" s="1173"/>
      <c r="G48" s="1173"/>
      <c r="H48" s="1344"/>
      <c r="I48" s="1174"/>
      <c r="J48" s="1174"/>
      <c r="K48" s="1174"/>
      <c r="L48" s="1174"/>
      <c r="M48" s="1174"/>
      <c r="N48" s="1646"/>
      <c r="O48" s="1386"/>
      <c r="P48" s="1386"/>
      <c r="Q48" s="1386"/>
      <c r="R48" s="1386"/>
      <c r="S48" s="1386"/>
      <c r="T48" s="1386"/>
      <c r="U48" s="1732"/>
      <c r="V48" s="1538"/>
      <c r="W48" s="1798"/>
      <c r="X48" s="1799"/>
      <c r="Y48" s="1799"/>
      <c r="Z48" s="1799"/>
      <c r="AA48" s="1799"/>
      <c r="AB48" s="1799"/>
      <c r="AC48" s="1732"/>
      <c r="AD48" s="1654"/>
      <c r="AE48" s="1659"/>
      <c r="AF48" s="1660"/>
      <c r="AG48" s="1660"/>
      <c r="AH48" s="1660"/>
      <c r="AI48" s="1660"/>
      <c r="AJ48" s="1660"/>
      <c r="AK48" s="1761"/>
      <c r="AL48" s="1629"/>
      <c r="AM48" s="1634"/>
      <c r="AN48" s="1365"/>
      <c r="AO48" s="1365"/>
      <c r="AP48" s="1365"/>
      <c r="AQ48" s="1365"/>
      <c r="AR48" s="1365"/>
      <c r="AS48" s="1732"/>
      <c r="AT48" s="1709"/>
      <c r="AU48" s="1714"/>
      <c r="AV48" s="1715"/>
      <c r="AW48" s="1715"/>
      <c r="AX48" s="1715"/>
      <c r="AY48" s="1715"/>
      <c r="AZ48" s="1715"/>
      <c r="BA48" s="1732"/>
      <c r="BB48" s="1726"/>
      <c r="BC48" s="1694"/>
      <c r="BD48" s="1695"/>
      <c r="BE48" s="1695"/>
      <c r="BF48" s="1695"/>
      <c r="BG48" s="1695"/>
      <c r="BH48" s="1695"/>
      <c r="BI48" s="1793"/>
      <c r="BJ48" s="1219"/>
      <c r="BK48" s="1220"/>
      <c r="BL48" s="1220"/>
      <c r="BM48" s="1220"/>
      <c r="BN48" s="1220"/>
      <c r="BO48" s="1221"/>
      <c r="BP48" s="255"/>
      <c r="BQ48" s="255"/>
      <c r="BR48" s="255"/>
    </row>
    <row r="49" spans="1:70" ht="15" customHeight="1" thickBot="1">
      <c r="A49" s="1172"/>
      <c r="B49" s="1173"/>
      <c r="C49" s="1173"/>
      <c r="D49" s="1173"/>
      <c r="E49" s="1173"/>
      <c r="F49" s="1173"/>
      <c r="G49" s="1173"/>
      <c r="H49" s="1345"/>
      <c r="I49" s="1174"/>
      <c r="J49" s="1174"/>
      <c r="K49" s="1174"/>
      <c r="L49" s="1174"/>
      <c r="M49" s="1174"/>
      <c r="N49" s="1647"/>
      <c r="O49" s="1651"/>
      <c r="P49" s="1651"/>
      <c r="Q49" s="1651"/>
      <c r="R49" s="1651"/>
      <c r="S49" s="1651"/>
      <c r="T49" s="1651"/>
      <c r="U49" s="1733"/>
      <c r="V49" s="1539"/>
      <c r="W49" s="1800"/>
      <c r="X49" s="1801"/>
      <c r="Y49" s="1801"/>
      <c r="Z49" s="1801"/>
      <c r="AA49" s="1801"/>
      <c r="AB49" s="1801"/>
      <c r="AC49" s="1733"/>
      <c r="AD49" s="1655"/>
      <c r="AE49" s="1662"/>
      <c r="AF49" s="1663"/>
      <c r="AG49" s="1663"/>
      <c r="AH49" s="1663"/>
      <c r="AI49" s="1663"/>
      <c r="AJ49" s="1663"/>
      <c r="AK49" s="1762"/>
      <c r="AL49" s="1630"/>
      <c r="AM49" s="1636"/>
      <c r="AN49" s="1637"/>
      <c r="AO49" s="1637"/>
      <c r="AP49" s="1637"/>
      <c r="AQ49" s="1637"/>
      <c r="AR49" s="1637"/>
      <c r="AS49" s="1733"/>
      <c r="AT49" s="1710"/>
      <c r="AU49" s="1717"/>
      <c r="AV49" s="1718"/>
      <c r="AW49" s="1718"/>
      <c r="AX49" s="1718"/>
      <c r="AY49" s="1718"/>
      <c r="AZ49" s="1718"/>
      <c r="BA49" s="1733"/>
      <c r="BB49" s="1727"/>
      <c r="BC49" s="1697"/>
      <c r="BD49" s="1698"/>
      <c r="BE49" s="1698"/>
      <c r="BF49" s="1698"/>
      <c r="BG49" s="1698"/>
      <c r="BH49" s="1698"/>
      <c r="BI49" s="1794"/>
      <c r="BJ49" s="1337"/>
      <c r="BK49" s="1338"/>
      <c r="BL49" s="1338"/>
      <c r="BM49" s="1338"/>
      <c r="BN49" s="1338"/>
      <c r="BO49" s="1339"/>
      <c r="BP49" s="255"/>
      <c r="BQ49" s="255"/>
      <c r="BR49" s="255"/>
    </row>
    <row r="50" spans="1:70" ht="15" customHeight="1">
      <c r="A50" s="1307">
        <v>1.1000000000000001</v>
      </c>
      <c r="B50" s="1161" t="s">
        <v>941</v>
      </c>
      <c r="C50" s="1162"/>
      <c r="D50" s="1162"/>
      <c r="E50" s="1162"/>
      <c r="F50" s="1162"/>
      <c r="G50" s="1199"/>
      <c r="H50" s="1205" t="str">
        <f>IF(ISBLANK(T$3),"",1)</f>
        <v/>
      </c>
      <c r="I50" s="1205" t="str">
        <f>IF(ISBLANK(X$3),"",1)</f>
        <v/>
      </c>
      <c r="J50" s="1205" t="str">
        <f>IF(ISBLANK(AB$3),"",1)</f>
        <v/>
      </c>
      <c r="K50" s="1205" t="str">
        <f>IF(ISBLANK(AF$3),"",1)</f>
        <v/>
      </c>
      <c r="L50" s="1205" t="str">
        <f>IF(ISBLANK(AJ$3),"",1)</f>
        <v/>
      </c>
      <c r="M50" s="1205" t="str">
        <f>IF(ISBLANK(AN$3),"",1)</f>
        <v/>
      </c>
      <c r="N50" s="1303">
        <v>4.4000000000000004</v>
      </c>
      <c r="O50" s="1684" t="s">
        <v>642</v>
      </c>
      <c r="P50" s="1684"/>
      <c r="Q50" s="1684"/>
      <c r="R50" s="1684"/>
      <c r="S50" s="1684"/>
      <c r="T50" s="1684"/>
      <c r="U50" s="1342" t="str">
        <f>IF(ISBLANK(T$3),"",1)</f>
        <v/>
      </c>
      <c r="V50" s="1303">
        <v>4.4000000000000004</v>
      </c>
      <c r="W50" s="1790" t="s">
        <v>340</v>
      </c>
      <c r="X50" s="1790"/>
      <c r="Y50" s="1790"/>
      <c r="Z50" s="1790"/>
      <c r="AA50" s="1790"/>
      <c r="AB50" s="1790"/>
      <c r="AC50" s="1342" t="str">
        <f>IF(ISBLANK(X$3),"",1)</f>
        <v/>
      </c>
      <c r="AD50" s="1303">
        <v>4.4000000000000004</v>
      </c>
      <c r="AE50" s="1684" t="s">
        <v>340</v>
      </c>
      <c r="AF50" s="1684"/>
      <c r="AG50" s="1684"/>
      <c r="AH50" s="1684"/>
      <c r="AI50" s="1684"/>
      <c r="AJ50" s="1684"/>
      <c r="AK50" s="1342" t="str">
        <f>IF(ISBLANK(AB$3),"",1)</f>
        <v/>
      </c>
      <c r="AL50" s="1303">
        <v>4.4000000000000004</v>
      </c>
      <c r="AM50" s="1684" t="s">
        <v>341</v>
      </c>
      <c r="AN50" s="1684"/>
      <c r="AO50" s="1684"/>
      <c r="AP50" s="1684"/>
      <c r="AQ50" s="1684"/>
      <c r="AR50" s="1684"/>
      <c r="AS50" s="1342" t="str">
        <f>IF(ISBLANK(AF$3),"",1)</f>
        <v/>
      </c>
      <c r="AT50" s="1303">
        <v>4.4000000000000004</v>
      </c>
      <c r="AU50" s="1684" t="s">
        <v>340</v>
      </c>
      <c r="AV50" s="1684"/>
      <c r="AW50" s="1684"/>
      <c r="AX50" s="1684"/>
      <c r="AY50" s="1684"/>
      <c r="AZ50" s="1684"/>
      <c r="BA50" s="1342" t="str">
        <f>IF(ISBLANK(AJ$3),"",1)</f>
        <v/>
      </c>
      <c r="BB50" s="1258">
        <v>4.4000000000000004</v>
      </c>
      <c r="BC50" s="1795" t="s">
        <v>342</v>
      </c>
      <c r="BD50" s="1795"/>
      <c r="BE50" s="1795"/>
      <c r="BF50" s="1795"/>
      <c r="BG50" s="1795"/>
      <c r="BH50" s="1795"/>
      <c r="BI50" s="1788" t="str">
        <f>IF(ISBLANK(AN$3),"",1)</f>
        <v/>
      </c>
      <c r="BJ50" s="1337"/>
      <c r="BK50" s="1338"/>
      <c r="BL50" s="1338"/>
      <c r="BM50" s="1338"/>
      <c r="BN50" s="1338"/>
      <c r="BO50" s="1339"/>
      <c r="BP50" s="255"/>
      <c r="BQ50" s="255"/>
      <c r="BR50" s="255"/>
    </row>
    <row r="51" spans="1:70" ht="15" customHeight="1">
      <c r="A51" s="1308"/>
      <c r="B51" s="1163"/>
      <c r="C51" s="1164"/>
      <c r="D51" s="1164"/>
      <c r="E51" s="1164"/>
      <c r="F51" s="1164"/>
      <c r="G51" s="1201"/>
      <c r="H51" s="1206"/>
      <c r="I51" s="1206"/>
      <c r="J51" s="1206"/>
      <c r="K51" s="1206"/>
      <c r="L51" s="1206"/>
      <c r="M51" s="1206"/>
      <c r="N51" s="1258"/>
      <c r="O51" s="1684"/>
      <c r="P51" s="1684"/>
      <c r="Q51" s="1684"/>
      <c r="R51" s="1684"/>
      <c r="S51" s="1684"/>
      <c r="T51" s="1684"/>
      <c r="U51" s="1342"/>
      <c r="V51" s="1258"/>
      <c r="W51" s="1684"/>
      <c r="X51" s="1684"/>
      <c r="Y51" s="1684"/>
      <c r="Z51" s="1684"/>
      <c r="AA51" s="1684"/>
      <c r="AB51" s="1684"/>
      <c r="AC51" s="1342"/>
      <c r="AD51" s="1258"/>
      <c r="AE51" s="1684"/>
      <c r="AF51" s="1684"/>
      <c r="AG51" s="1684"/>
      <c r="AH51" s="1684"/>
      <c r="AI51" s="1684"/>
      <c r="AJ51" s="1684"/>
      <c r="AK51" s="1342"/>
      <c r="AL51" s="1258"/>
      <c r="AM51" s="1684"/>
      <c r="AN51" s="1684"/>
      <c r="AO51" s="1684"/>
      <c r="AP51" s="1684"/>
      <c r="AQ51" s="1684"/>
      <c r="AR51" s="1684"/>
      <c r="AS51" s="1342"/>
      <c r="AT51" s="1258"/>
      <c r="AU51" s="1684"/>
      <c r="AV51" s="1684"/>
      <c r="AW51" s="1684"/>
      <c r="AX51" s="1684"/>
      <c r="AY51" s="1684"/>
      <c r="AZ51" s="1684"/>
      <c r="BA51" s="1342"/>
      <c r="BB51" s="1258"/>
      <c r="BC51" s="1795"/>
      <c r="BD51" s="1795"/>
      <c r="BE51" s="1795"/>
      <c r="BF51" s="1795"/>
      <c r="BG51" s="1795"/>
      <c r="BH51" s="1795"/>
      <c r="BI51" s="1788"/>
      <c r="BJ51" s="1337"/>
      <c r="BK51" s="1338"/>
      <c r="BL51" s="1338"/>
      <c r="BM51" s="1338"/>
      <c r="BN51" s="1338"/>
      <c r="BO51" s="1339"/>
      <c r="BP51" s="255"/>
      <c r="BQ51" s="255"/>
      <c r="BR51" s="255"/>
    </row>
    <row r="52" spans="1:70" ht="15" customHeight="1">
      <c r="A52" s="1309"/>
      <c r="B52" s="1165"/>
      <c r="C52" s="1166"/>
      <c r="D52" s="1166"/>
      <c r="E52" s="1166"/>
      <c r="F52" s="1166"/>
      <c r="G52" s="1292"/>
      <c r="H52" s="1207"/>
      <c r="I52" s="1207"/>
      <c r="J52" s="1207"/>
      <c r="K52" s="1207"/>
      <c r="L52" s="1207"/>
      <c r="M52" s="1207"/>
      <c r="N52" s="1258"/>
      <c r="O52" s="1684"/>
      <c r="P52" s="1684"/>
      <c r="Q52" s="1684"/>
      <c r="R52" s="1684"/>
      <c r="S52" s="1684"/>
      <c r="T52" s="1684"/>
      <c r="U52" s="1342"/>
      <c r="V52" s="1258"/>
      <c r="W52" s="1684"/>
      <c r="X52" s="1684"/>
      <c r="Y52" s="1684"/>
      <c r="Z52" s="1684"/>
      <c r="AA52" s="1684"/>
      <c r="AB52" s="1684"/>
      <c r="AC52" s="1342"/>
      <c r="AD52" s="1258"/>
      <c r="AE52" s="1684"/>
      <c r="AF52" s="1684"/>
      <c r="AG52" s="1684"/>
      <c r="AH52" s="1684"/>
      <c r="AI52" s="1684"/>
      <c r="AJ52" s="1684"/>
      <c r="AK52" s="1342"/>
      <c r="AL52" s="1258"/>
      <c r="AM52" s="1684"/>
      <c r="AN52" s="1684"/>
      <c r="AO52" s="1684"/>
      <c r="AP52" s="1684"/>
      <c r="AQ52" s="1684"/>
      <c r="AR52" s="1684"/>
      <c r="AS52" s="1342"/>
      <c r="AT52" s="1258"/>
      <c r="AU52" s="1684"/>
      <c r="AV52" s="1684"/>
      <c r="AW52" s="1684"/>
      <c r="AX52" s="1684"/>
      <c r="AY52" s="1684"/>
      <c r="AZ52" s="1684"/>
      <c r="BA52" s="1342"/>
      <c r="BB52" s="1258"/>
      <c r="BC52" s="1795"/>
      <c r="BD52" s="1795"/>
      <c r="BE52" s="1795"/>
      <c r="BF52" s="1795"/>
      <c r="BG52" s="1795"/>
      <c r="BH52" s="1795"/>
      <c r="BI52" s="1788"/>
      <c r="BJ52" s="1337"/>
      <c r="BK52" s="1338"/>
      <c r="BL52" s="1338"/>
      <c r="BM52" s="1338"/>
      <c r="BN52" s="1338"/>
      <c r="BO52" s="1339"/>
      <c r="BP52" s="255"/>
      <c r="BQ52" s="255"/>
      <c r="BR52" s="255"/>
    </row>
    <row r="53" spans="1:70" ht="15" customHeight="1">
      <c r="A53" s="1304">
        <v>2.4</v>
      </c>
      <c r="B53" s="1161" t="s">
        <v>316</v>
      </c>
      <c r="C53" s="1162"/>
      <c r="D53" s="1162"/>
      <c r="E53" s="1162"/>
      <c r="F53" s="1162"/>
      <c r="G53" s="1199"/>
      <c r="H53" s="1205" t="str">
        <f t="shared" ref="H53" si="27">IF(ISBLANK(T$3),"",1)</f>
        <v/>
      </c>
      <c r="I53" s="1205" t="str">
        <f t="shared" ref="I53" si="28">IF(ISBLANK(X$3),"",1)</f>
        <v/>
      </c>
      <c r="J53" s="1205" t="str">
        <f t="shared" ref="J53" si="29">IF(ISBLANK(AB$3),"",1)</f>
        <v/>
      </c>
      <c r="K53" s="1205" t="str">
        <f t="shared" ref="K53" si="30">IF(ISBLANK(AF$3),"",1)</f>
        <v/>
      </c>
      <c r="L53" s="1205" t="str">
        <f t="shared" ref="L53" si="31">IF(ISBLANK(AJ$3),"",1)</f>
        <v/>
      </c>
      <c r="M53" s="1205" t="str">
        <f t="shared" ref="M53" si="32">IF(ISBLANK(AN$3),"",1)</f>
        <v/>
      </c>
      <c r="N53" s="1258">
        <v>4.4000000000000004</v>
      </c>
      <c r="O53" s="1749" t="s">
        <v>343</v>
      </c>
      <c r="P53" s="1396"/>
      <c r="Q53" s="1396"/>
      <c r="R53" s="1396"/>
      <c r="S53" s="1396"/>
      <c r="T53" s="1396"/>
      <c r="U53" s="1342" t="str">
        <f>IF(ISBLANK(T$3),"",1)</f>
        <v/>
      </c>
      <c r="V53" s="1746">
        <v>4.3</v>
      </c>
      <c r="W53" s="1749" t="s">
        <v>319</v>
      </c>
      <c r="X53" s="1396"/>
      <c r="Y53" s="1396"/>
      <c r="Z53" s="1396"/>
      <c r="AA53" s="1396"/>
      <c r="AB53" s="1396"/>
      <c r="AC53" s="1342" t="str">
        <f>IF(ISBLANK(X$3),"",1)</f>
        <v/>
      </c>
      <c r="AD53" s="1258">
        <v>4.3</v>
      </c>
      <c r="AE53" s="1684" t="s">
        <v>319</v>
      </c>
      <c r="AF53" s="1684"/>
      <c r="AG53" s="1684"/>
      <c r="AH53" s="1684"/>
      <c r="AI53" s="1684"/>
      <c r="AJ53" s="1684"/>
      <c r="AK53" s="1342" t="str">
        <f>IF(ISBLANK(AB$3),"",1)</f>
        <v/>
      </c>
      <c r="AL53" s="1258">
        <v>4.4000000000000004</v>
      </c>
      <c r="AM53" s="1684" t="s">
        <v>344</v>
      </c>
      <c r="AN53" s="1684"/>
      <c r="AO53" s="1684"/>
      <c r="AP53" s="1684"/>
      <c r="AQ53" s="1684"/>
      <c r="AR53" s="1684"/>
      <c r="AS53" s="1342" t="str">
        <f>IF(ISBLANK(AF$3),"",1)</f>
        <v/>
      </c>
      <c r="AT53" s="1258">
        <v>4.3</v>
      </c>
      <c r="AU53" s="1684" t="s">
        <v>319</v>
      </c>
      <c r="AV53" s="1684"/>
      <c r="AW53" s="1684"/>
      <c r="AX53" s="1684"/>
      <c r="AY53" s="1684"/>
      <c r="AZ53" s="1684"/>
      <c r="BA53" s="1342" t="str">
        <f>IF(ISBLANK(AJ$3),"",1)</f>
        <v/>
      </c>
      <c r="BB53" s="1258">
        <v>4.3</v>
      </c>
      <c r="BC53" s="1684" t="s">
        <v>319</v>
      </c>
      <c r="BD53" s="1684"/>
      <c r="BE53" s="1684"/>
      <c r="BF53" s="1684"/>
      <c r="BG53" s="1684"/>
      <c r="BH53" s="1684"/>
      <c r="BI53" s="1788" t="str">
        <f>IF(ISBLANK(AN$3),"",1)</f>
        <v/>
      </c>
      <c r="BJ53" s="1337"/>
      <c r="BK53" s="1338"/>
      <c r="BL53" s="1338"/>
      <c r="BM53" s="1338"/>
      <c r="BN53" s="1338"/>
      <c r="BO53" s="1339"/>
      <c r="BP53" s="255"/>
      <c r="BQ53" s="255"/>
      <c r="BR53" s="255"/>
    </row>
    <row r="54" spans="1:70" ht="15" customHeight="1">
      <c r="A54" s="1290"/>
      <c r="B54" s="1163"/>
      <c r="C54" s="1164"/>
      <c r="D54" s="1164"/>
      <c r="E54" s="1164"/>
      <c r="F54" s="1164"/>
      <c r="G54" s="1201"/>
      <c r="H54" s="1206"/>
      <c r="I54" s="1206"/>
      <c r="J54" s="1206"/>
      <c r="K54" s="1206"/>
      <c r="L54" s="1206"/>
      <c r="M54" s="1206"/>
      <c r="N54" s="1258"/>
      <c r="O54" s="1200"/>
      <c r="P54" s="1164"/>
      <c r="Q54" s="1164"/>
      <c r="R54" s="1164"/>
      <c r="S54" s="1164"/>
      <c r="T54" s="1164"/>
      <c r="U54" s="1342"/>
      <c r="V54" s="1747"/>
      <c r="W54" s="1200"/>
      <c r="X54" s="1164"/>
      <c r="Y54" s="1164"/>
      <c r="Z54" s="1164"/>
      <c r="AA54" s="1164"/>
      <c r="AB54" s="1164"/>
      <c r="AC54" s="1342"/>
      <c r="AD54" s="1258"/>
      <c r="AE54" s="1684"/>
      <c r="AF54" s="1684"/>
      <c r="AG54" s="1684"/>
      <c r="AH54" s="1684"/>
      <c r="AI54" s="1684"/>
      <c r="AJ54" s="1684"/>
      <c r="AK54" s="1342"/>
      <c r="AL54" s="1258"/>
      <c r="AM54" s="1684"/>
      <c r="AN54" s="1684"/>
      <c r="AO54" s="1684"/>
      <c r="AP54" s="1684"/>
      <c r="AQ54" s="1684"/>
      <c r="AR54" s="1684"/>
      <c r="AS54" s="1342"/>
      <c r="AT54" s="1258"/>
      <c r="AU54" s="1684"/>
      <c r="AV54" s="1684"/>
      <c r="AW54" s="1684"/>
      <c r="AX54" s="1684"/>
      <c r="AY54" s="1684"/>
      <c r="AZ54" s="1684"/>
      <c r="BA54" s="1342"/>
      <c r="BB54" s="1258"/>
      <c r="BC54" s="1684"/>
      <c r="BD54" s="1684"/>
      <c r="BE54" s="1684"/>
      <c r="BF54" s="1684"/>
      <c r="BG54" s="1684"/>
      <c r="BH54" s="1684"/>
      <c r="BI54" s="1788"/>
      <c r="BJ54" s="1337"/>
      <c r="BK54" s="1338"/>
      <c r="BL54" s="1338"/>
      <c r="BM54" s="1338"/>
      <c r="BN54" s="1338"/>
      <c r="BO54" s="1339"/>
      <c r="BP54" s="255"/>
      <c r="BQ54" s="255"/>
      <c r="BR54" s="255"/>
    </row>
    <row r="55" spans="1:70" ht="15" customHeight="1">
      <c r="A55" s="1291"/>
      <c r="B55" s="1165"/>
      <c r="C55" s="1166"/>
      <c r="D55" s="1166"/>
      <c r="E55" s="1166"/>
      <c r="F55" s="1166"/>
      <c r="G55" s="1292"/>
      <c r="H55" s="1207"/>
      <c r="I55" s="1207"/>
      <c r="J55" s="1207"/>
      <c r="K55" s="1207"/>
      <c r="L55" s="1207"/>
      <c r="M55" s="1207"/>
      <c r="N55" s="1258"/>
      <c r="O55" s="1202"/>
      <c r="P55" s="1203"/>
      <c r="Q55" s="1203"/>
      <c r="R55" s="1203"/>
      <c r="S55" s="1203"/>
      <c r="T55" s="1203"/>
      <c r="U55" s="1342"/>
      <c r="V55" s="1748"/>
      <c r="W55" s="1202"/>
      <c r="X55" s="1203"/>
      <c r="Y55" s="1203"/>
      <c r="Z55" s="1203"/>
      <c r="AA55" s="1203"/>
      <c r="AB55" s="1203"/>
      <c r="AC55" s="1342"/>
      <c r="AD55" s="1258"/>
      <c r="AE55" s="1684"/>
      <c r="AF55" s="1684"/>
      <c r="AG55" s="1684"/>
      <c r="AH55" s="1684"/>
      <c r="AI55" s="1684"/>
      <c r="AJ55" s="1684"/>
      <c r="AK55" s="1342"/>
      <c r="AL55" s="1258"/>
      <c r="AM55" s="1684"/>
      <c r="AN55" s="1684"/>
      <c r="AO55" s="1684"/>
      <c r="AP55" s="1684"/>
      <c r="AQ55" s="1684"/>
      <c r="AR55" s="1684"/>
      <c r="AS55" s="1342"/>
      <c r="AT55" s="1258"/>
      <c r="AU55" s="1684"/>
      <c r="AV55" s="1684"/>
      <c r="AW55" s="1684"/>
      <c r="AX55" s="1684"/>
      <c r="AY55" s="1684"/>
      <c r="AZ55" s="1684"/>
      <c r="BA55" s="1342"/>
      <c r="BB55" s="1258"/>
      <c r="BC55" s="1684"/>
      <c r="BD55" s="1684"/>
      <c r="BE55" s="1684"/>
      <c r="BF55" s="1684"/>
      <c r="BG55" s="1684"/>
      <c r="BH55" s="1684"/>
      <c r="BI55" s="1788"/>
      <c r="BJ55" s="1337"/>
      <c r="BK55" s="1338"/>
      <c r="BL55" s="1338"/>
      <c r="BM55" s="1338"/>
      <c r="BN55" s="1338"/>
      <c r="BO55" s="1339"/>
      <c r="BP55" s="255"/>
      <c r="BQ55" s="255"/>
      <c r="BR55" s="255"/>
    </row>
    <row r="56" spans="1:70" ht="15" customHeight="1">
      <c r="A56" s="1307">
        <v>1.1000000000000001</v>
      </c>
      <c r="B56" s="1161" t="s">
        <v>320</v>
      </c>
      <c r="C56" s="1162"/>
      <c r="D56" s="1162"/>
      <c r="E56" s="1162"/>
      <c r="F56" s="1162"/>
      <c r="G56" s="1199"/>
      <c r="H56" s="1205" t="str">
        <f t="shared" ref="H56" si="33">IF(ISBLANK(T$3),"",1)</f>
        <v/>
      </c>
      <c r="I56" s="1205" t="str">
        <f t="shared" ref="I56" si="34">IF(ISBLANK(X$3),"",1)</f>
        <v/>
      </c>
      <c r="J56" s="1205" t="str">
        <f t="shared" ref="J56" si="35">IF(ISBLANK(AB$3),"",1)</f>
        <v/>
      </c>
      <c r="K56" s="1205" t="str">
        <f t="shared" ref="K56" si="36">IF(ISBLANK(AF$3),"",1)</f>
        <v/>
      </c>
      <c r="L56" s="1205" t="str">
        <f t="shared" ref="L56" si="37">IF(ISBLANK(AJ$3),"",1)</f>
        <v/>
      </c>
      <c r="M56" s="1205" t="str">
        <f t="shared" ref="M56" si="38">IF(ISBLANK(AN$3),"",1)</f>
        <v/>
      </c>
      <c r="N56" s="1236">
        <v>1.5</v>
      </c>
      <c r="O56" s="1684" t="s">
        <v>345</v>
      </c>
      <c r="P56" s="1684"/>
      <c r="Q56" s="1684"/>
      <c r="R56" s="1684"/>
      <c r="S56" s="1684"/>
      <c r="T56" s="1684"/>
      <c r="U56" s="1342" t="str">
        <f>IF(ISBLANK(T$3),"",1)</f>
        <v/>
      </c>
      <c r="V56" s="1194">
        <v>2.4</v>
      </c>
      <c r="W56" s="1808" t="s">
        <v>367</v>
      </c>
      <c r="X56" s="1396"/>
      <c r="Y56" s="1396"/>
      <c r="Z56" s="1396"/>
      <c r="AA56" s="1396"/>
      <c r="AB56" s="1396"/>
      <c r="AC56" s="1342" t="str">
        <f>IF(ISBLANK(X$3),"",1)</f>
        <v/>
      </c>
      <c r="AD56" s="1194">
        <v>2.4</v>
      </c>
      <c r="AE56" s="1791" t="s">
        <v>346</v>
      </c>
      <c r="AF56" s="1684"/>
      <c r="AG56" s="1684"/>
      <c r="AH56" s="1684"/>
      <c r="AI56" s="1684"/>
      <c r="AJ56" s="1684"/>
      <c r="AK56" s="1342" t="str">
        <f>IF(ISBLANK(AB$3),"",1)</f>
        <v/>
      </c>
      <c r="AL56" s="1258">
        <v>4.3</v>
      </c>
      <c r="AM56" s="1749" t="s">
        <v>319</v>
      </c>
      <c r="AN56" s="1396"/>
      <c r="AO56" s="1396"/>
      <c r="AP56" s="1396"/>
      <c r="AQ56" s="1396"/>
      <c r="AR56" s="1396"/>
      <c r="AS56" s="1342" t="str">
        <f>IF(ISBLANK(AF$3),"",1)</f>
        <v/>
      </c>
      <c r="AT56" s="1194">
        <v>2.4</v>
      </c>
      <c r="AU56" s="1791" t="s">
        <v>346</v>
      </c>
      <c r="AV56" s="1684"/>
      <c r="AW56" s="1684"/>
      <c r="AX56" s="1684"/>
      <c r="AY56" s="1684"/>
      <c r="AZ56" s="1684"/>
      <c r="BA56" s="1342" t="str">
        <f>IF(ISBLANK(AJ$3),"",1)</f>
        <v/>
      </c>
      <c r="BB56" s="1258">
        <v>4.4000000000000004</v>
      </c>
      <c r="BC56" s="1684" t="s">
        <v>347</v>
      </c>
      <c r="BD56" s="1684"/>
      <c r="BE56" s="1684"/>
      <c r="BF56" s="1684"/>
      <c r="BG56" s="1684"/>
      <c r="BH56" s="1684"/>
      <c r="BI56" s="1788" t="str">
        <f>IF(ISBLANK(AN$3),"",1)</f>
        <v/>
      </c>
      <c r="BJ56" s="1337"/>
      <c r="BK56" s="1338"/>
      <c r="BL56" s="1338"/>
      <c r="BM56" s="1338"/>
      <c r="BN56" s="1338"/>
      <c r="BO56" s="1339"/>
      <c r="BP56" s="255"/>
      <c r="BQ56" s="255"/>
      <c r="BR56" s="255"/>
    </row>
    <row r="57" spans="1:70" ht="15" customHeight="1">
      <c r="A57" s="1308"/>
      <c r="B57" s="1163"/>
      <c r="C57" s="1164"/>
      <c r="D57" s="1164"/>
      <c r="E57" s="1164"/>
      <c r="F57" s="1164"/>
      <c r="G57" s="1201"/>
      <c r="H57" s="1206"/>
      <c r="I57" s="1206"/>
      <c r="J57" s="1206"/>
      <c r="K57" s="1206"/>
      <c r="L57" s="1206"/>
      <c r="M57" s="1206"/>
      <c r="N57" s="1236"/>
      <c r="O57" s="1684"/>
      <c r="P57" s="1684"/>
      <c r="Q57" s="1684"/>
      <c r="R57" s="1684"/>
      <c r="S57" s="1684"/>
      <c r="T57" s="1684"/>
      <c r="U57" s="1342"/>
      <c r="V57" s="1194"/>
      <c r="W57" s="1200" t="s">
        <v>368</v>
      </c>
      <c r="X57" s="1164"/>
      <c r="Y57" s="1164"/>
      <c r="Z57" s="1164"/>
      <c r="AA57" s="1164"/>
      <c r="AB57" s="1164"/>
      <c r="AC57" s="1342"/>
      <c r="AD57" s="1194"/>
      <c r="AE57" s="1684"/>
      <c r="AF57" s="1684"/>
      <c r="AG57" s="1684"/>
      <c r="AH57" s="1684"/>
      <c r="AI57" s="1684"/>
      <c r="AJ57" s="1684"/>
      <c r="AK57" s="1342"/>
      <c r="AL57" s="1258"/>
      <c r="AM57" s="1200"/>
      <c r="AN57" s="1164"/>
      <c r="AO57" s="1164"/>
      <c r="AP57" s="1164"/>
      <c r="AQ57" s="1164"/>
      <c r="AR57" s="1164"/>
      <c r="AS57" s="1342"/>
      <c r="AT57" s="1194"/>
      <c r="AU57" s="1684"/>
      <c r="AV57" s="1684"/>
      <c r="AW57" s="1684"/>
      <c r="AX57" s="1684"/>
      <c r="AY57" s="1684"/>
      <c r="AZ57" s="1684"/>
      <c r="BA57" s="1342"/>
      <c r="BB57" s="1258"/>
      <c r="BC57" s="1684"/>
      <c r="BD57" s="1684"/>
      <c r="BE57" s="1684"/>
      <c r="BF57" s="1684"/>
      <c r="BG57" s="1684"/>
      <c r="BH57" s="1684"/>
      <c r="BI57" s="1788"/>
      <c r="BJ57" s="1337"/>
      <c r="BK57" s="1338"/>
      <c r="BL57" s="1338"/>
      <c r="BM57" s="1338"/>
      <c r="BN57" s="1338"/>
      <c r="BO57" s="1339"/>
      <c r="BP57" s="255"/>
      <c r="BQ57" s="255"/>
      <c r="BR57" s="255"/>
    </row>
    <row r="58" spans="1:70" ht="15" customHeight="1">
      <c r="A58" s="1309"/>
      <c r="B58" s="1165"/>
      <c r="C58" s="1166"/>
      <c r="D58" s="1166"/>
      <c r="E58" s="1166"/>
      <c r="F58" s="1166"/>
      <c r="G58" s="1292"/>
      <c r="H58" s="1207"/>
      <c r="I58" s="1207"/>
      <c r="J58" s="1207"/>
      <c r="K58" s="1207"/>
      <c r="L58" s="1207"/>
      <c r="M58" s="1207"/>
      <c r="N58" s="1236"/>
      <c r="O58" s="1684"/>
      <c r="P58" s="1684"/>
      <c r="Q58" s="1684"/>
      <c r="R58" s="1684"/>
      <c r="S58" s="1684"/>
      <c r="T58" s="1684"/>
      <c r="U58" s="1342"/>
      <c r="V58" s="1194"/>
      <c r="W58" s="1202" t="s">
        <v>369</v>
      </c>
      <c r="X58" s="1203"/>
      <c r="Y58" s="1203"/>
      <c r="Z58" s="1203"/>
      <c r="AA58" s="1203"/>
      <c r="AB58" s="1203"/>
      <c r="AC58" s="1342"/>
      <c r="AD58" s="1194"/>
      <c r="AE58" s="1684"/>
      <c r="AF58" s="1684"/>
      <c r="AG58" s="1684"/>
      <c r="AH58" s="1684"/>
      <c r="AI58" s="1684"/>
      <c r="AJ58" s="1684"/>
      <c r="AK58" s="1342"/>
      <c r="AL58" s="1258"/>
      <c r="AM58" s="1202"/>
      <c r="AN58" s="1203"/>
      <c r="AO58" s="1203"/>
      <c r="AP58" s="1203"/>
      <c r="AQ58" s="1203"/>
      <c r="AR58" s="1203"/>
      <c r="AS58" s="1342"/>
      <c r="AT58" s="1194"/>
      <c r="AU58" s="1684"/>
      <c r="AV58" s="1684"/>
      <c r="AW58" s="1684"/>
      <c r="AX58" s="1684"/>
      <c r="AY58" s="1684"/>
      <c r="AZ58" s="1684"/>
      <c r="BA58" s="1342"/>
      <c r="BB58" s="1258"/>
      <c r="BC58" s="1684"/>
      <c r="BD58" s="1684"/>
      <c r="BE58" s="1684"/>
      <c r="BF58" s="1684"/>
      <c r="BG58" s="1684"/>
      <c r="BH58" s="1684"/>
      <c r="BI58" s="1788"/>
      <c r="BJ58" s="1337"/>
      <c r="BK58" s="1338"/>
      <c r="BL58" s="1338"/>
      <c r="BM58" s="1338"/>
      <c r="BN58" s="1338"/>
      <c r="BO58" s="1339"/>
      <c r="BP58" s="255"/>
      <c r="BQ58" s="255"/>
      <c r="BR58" s="255"/>
    </row>
    <row r="59" spans="1:70" ht="15" customHeight="1">
      <c r="A59" s="1304">
        <v>2.1</v>
      </c>
      <c r="B59" s="1161" t="s">
        <v>322</v>
      </c>
      <c r="C59" s="1162"/>
      <c r="D59" s="1162"/>
      <c r="E59" s="1162"/>
      <c r="F59" s="1162"/>
      <c r="G59" s="1199"/>
      <c r="H59" s="1205" t="str">
        <f t="shared" ref="H59" si="39">IF(ISBLANK(T$3),"",1)</f>
        <v/>
      </c>
      <c r="I59" s="1205" t="str">
        <f t="shared" ref="I59" si="40">IF(ISBLANK(X$3),"",1)</f>
        <v/>
      </c>
      <c r="J59" s="1205" t="str">
        <f t="shared" ref="J59" si="41">IF(ISBLANK(AB$3),"",1)</f>
        <v/>
      </c>
      <c r="K59" s="1205" t="str">
        <f t="shared" ref="K59" si="42">IF(ISBLANK(AF$3),"",1)</f>
        <v/>
      </c>
      <c r="L59" s="1205" t="str">
        <f t="shared" ref="L59" si="43">IF(ISBLANK(AJ$3),"",1)</f>
        <v/>
      </c>
      <c r="M59" s="1205" t="str">
        <f t="shared" ref="M59" si="44">IF(ISBLANK(AN$3),"",1)</f>
        <v/>
      </c>
      <c r="N59" s="1258">
        <v>4.3</v>
      </c>
      <c r="O59" s="1684" t="s">
        <v>348</v>
      </c>
      <c r="P59" s="1684"/>
      <c r="Q59" s="1684"/>
      <c r="R59" s="1684"/>
      <c r="S59" s="1684"/>
      <c r="T59" s="1684"/>
      <c r="U59" s="1342" t="str">
        <f>IF(ISBLANK(T$3),"",1)</f>
        <v/>
      </c>
      <c r="V59" s="1746">
        <v>4.3</v>
      </c>
      <c r="W59" s="1749" t="s">
        <v>321</v>
      </c>
      <c r="X59" s="1396"/>
      <c r="Y59" s="1396"/>
      <c r="Z59" s="1396"/>
      <c r="AA59" s="1396"/>
      <c r="AB59" s="1396"/>
      <c r="AC59" s="1342" t="str">
        <f>IF(ISBLANK(X$3),"",1)</f>
        <v/>
      </c>
      <c r="AD59" s="1258">
        <v>4.3</v>
      </c>
      <c r="AE59" s="1684" t="s">
        <v>321</v>
      </c>
      <c r="AF59" s="1684"/>
      <c r="AG59" s="1684"/>
      <c r="AH59" s="1684"/>
      <c r="AI59" s="1684"/>
      <c r="AJ59" s="1684"/>
      <c r="AK59" s="1342" t="str">
        <f>IF(ISBLANK(AB$3),"",1)</f>
        <v/>
      </c>
      <c r="AL59" s="1258">
        <v>4.3</v>
      </c>
      <c r="AM59" s="1684" t="s">
        <v>321</v>
      </c>
      <c r="AN59" s="1684"/>
      <c r="AO59" s="1684"/>
      <c r="AP59" s="1684"/>
      <c r="AQ59" s="1684"/>
      <c r="AR59" s="1684"/>
      <c r="AS59" s="1342" t="str">
        <f>IF(ISBLANK(AF$3),"",1)</f>
        <v/>
      </c>
      <c r="AT59" s="1258">
        <v>4.4000000000000004</v>
      </c>
      <c r="AU59" s="1684" t="s">
        <v>347</v>
      </c>
      <c r="AV59" s="1684"/>
      <c r="AW59" s="1684"/>
      <c r="AX59" s="1684"/>
      <c r="AY59" s="1684"/>
      <c r="AZ59" s="1684"/>
      <c r="BA59" s="1342" t="str">
        <f>IF(ISBLANK(AJ$3),"",1)</f>
        <v/>
      </c>
      <c r="BB59" s="1566">
        <v>4.4000000000000004</v>
      </c>
      <c r="BC59" s="1684" t="s">
        <v>349</v>
      </c>
      <c r="BD59" s="1684"/>
      <c r="BE59" s="1684"/>
      <c r="BF59" s="1684"/>
      <c r="BG59" s="1684"/>
      <c r="BH59" s="1684"/>
      <c r="BI59" s="1788" t="str">
        <f>IF(ISBLANK(AN$3),"",1)</f>
        <v/>
      </c>
      <c r="BJ59" s="1337"/>
      <c r="BK59" s="1338"/>
      <c r="BL59" s="1338"/>
      <c r="BM59" s="1338"/>
      <c r="BN59" s="1338"/>
      <c r="BO59" s="1339"/>
      <c r="BP59" s="255"/>
      <c r="BQ59" s="255"/>
      <c r="BR59" s="255"/>
    </row>
    <row r="60" spans="1:70" ht="15" customHeight="1">
      <c r="A60" s="1290"/>
      <c r="B60" s="1163"/>
      <c r="C60" s="1164"/>
      <c r="D60" s="1164"/>
      <c r="E60" s="1164"/>
      <c r="F60" s="1164"/>
      <c r="G60" s="1201"/>
      <c r="H60" s="1206"/>
      <c r="I60" s="1206"/>
      <c r="J60" s="1206"/>
      <c r="K60" s="1206"/>
      <c r="L60" s="1206"/>
      <c r="M60" s="1206"/>
      <c r="N60" s="1258"/>
      <c r="O60" s="1684"/>
      <c r="P60" s="1684"/>
      <c r="Q60" s="1684"/>
      <c r="R60" s="1684"/>
      <c r="S60" s="1684"/>
      <c r="T60" s="1684"/>
      <c r="U60" s="1342"/>
      <c r="V60" s="1747"/>
      <c r="W60" s="1200"/>
      <c r="X60" s="1164"/>
      <c r="Y60" s="1164"/>
      <c r="Z60" s="1164"/>
      <c r="AA60" s="1164"/>
      <c r="AB60" s="1164"/>
      <c r="AC60" s="1342"/>
      <c r="AD60" s="1258"/>
      <c r="AE60" s="1684"/>
      <c r="AF60" s="1684"/>
      <c r="AG60" s="1684"/>
      <c r="AH60" s="1684"/>
      <c r="AI60" s="1684"/>
      <c r="AJ60" s="1684"/>
      <c r="AK60" s="1342"/>
      <c r="AL60" s="1258"/>
      <c r="AM60" s="1684"/>
      <c r="AN60" s="1684"/>
      <c r="AO60" s="1684"/>
      <c r="AP60" s="1684"/>
      <c r="AQ60" s="1684"/>
      <c r="AR60" s="1684"/>
      <c r="AS60" s="1342"/>
      <c r="AT60" s="1258"/>
      <c r="AU60" s="1684"/>
      <c r="AV60" s="1684"/>
      <c r="AW60" s="1684"/>
      <c r="AX60" s="1684"/>
      <c r="AY60" s="1684"/>
      <c r="AZ60" s="1684"/>
      <c r="BA60" s="1342"/>
      <c r="BB60" s="1566"/>
      <c r="BC60" s="1684"/>
      <c r="BD60" s="1684"/>
      <c r="BE60" s="1684"/>
      <c r="BF60" s="1684"/>
      <c r="BG60" s="1684"/>
      <c r="BH60" s="1684"/>
      <c r="BI60" s="1788"/>
      <c r="BJ60" s="1337"/>
      <c r="BK60" s="1338"/>
      <c r="BL60" s="1338"/>
      <c r="BM60" s="1338"/>
      <c r="BN60" s="1338"/>
      <c r="BO60" s="1339"/>
      <c r="BP60" s="255"/>
      <c r="BQ60" s="255"/>
      <c r="BR60" s="255"/>
    </row>
    <row r="61" spans="1:70" ht="15" customHeight="1">
      <c r="A61" s="1291"/>
      <c r="B61" s="1165"/>
      <c r="C61" s="1166"/>
      <c r="D61" s="1166"/>
      <c r="E61" s="1166"/>
      <c r="F61" s="1166"/>
      <c r="G61" s="1292"/>
      <c r="H61" s="1207"/>
      <c r="I61" s="1207"/>
      <c r="J61" s="1207"/>
      <c r="K61" s="1207"/>
      <c r="L61" s="1207"/>
      <c r="M61" s="1207"/>
      <c r="N61" s="1258"/>
      <c r="O61" s="1684"/>
      <c r="P61" s="1684"/>
      <c r="Q61" s="1684"/>
      <c r="R61" s="1684"/>
      <c r="S61" s="1684"/>
      <c r="T61" s="1684"/>
      <c r="U61" s="1342"/>
      <c r="V61" s="1748"/>
      <c r="W61" s="1202"/>
      <c r="X61" s="1203"/>
      <c r="Y61" s="1203"/>
      <c r="Z61" s="1203"/>
      <c r="AA61" s="1203"/>
      <c r="AB61" s="1203"/>
      <c r="AC61" s="1342"/>
      <c r="AD61" s="1258"/>
      <c r="AE61" s="1684"/>
      <c r="AF61" s="1684"/>
      <c r="AG61" s="1684"/>
      <c r="AH61" s="1684"/>
      <c r="AI61" s="1684"/>
      <c r="AJ61" s="1684"/>
      <c r="AK61" s="1342"/>
      <c r="AL61" s="1258"/>
      <c r="AM61" s="1684"/>
      <c r="AN61" s="1684"/>
      <c r="AO61" s="1684"/>
      <c r="AP61" s="1684"/>
      <c r="AQ61" s="1684"/>
      <c r="AR61" s="1684"/>
      <c r="AS61" s="1342"/>
      <c r="AT61" s="1258"/>
      <c r="AU61" s="1684"/>
      <c r="AV61" s="1684"/>
      <c r="AW61" s="1684"/>
      <c r="AX61" s="1684"/>
      <c r="AY61" s="1684"/>
      <c r="AZ61" s="1684"/>
      <c r="BA61" s="1342"/>
      <c r="BB61" s="1566"/>
      <c r="BC61" s="1684"/>
      <c r="BD61" s="1684"/>
      <c r="BE61" s="1684"/>
      <c r="BF61" s="1684"/>
      <c r="BG61" s="1684"/>
      <c r="BH61" s="1684"/>
      <c r="BI61" s="1788"/>
      <c r="BJ61" s="1337"/>
      <c r="BK61" s="1338"/>
      <c r="BL61" s="1338"/>
      <c r="BM61" s="1338"/>
      <c r="BN61" s="1338"/>
      <c r="BO61" s="1339"/>
      <c r="BP61" s="255"/>
      <c r="BQ61" s="255"/>
      <c r="BR61" s="255"/>
    </row>
    <row r="62" spans="1:70" ht="15" customHeight="1">
      <c r="A62" s="1307">
        <v>1.1000000000000001</v>
      </c>
      <c r="B62" s="1161" t="s">
        <v>940</v>
      </c>
      <c r="C62" s="1162"/>
      <c r="D62" s="1162"/>
      <c r="E62" s="1162"/>
      <c r="F62" s="1162"/>
      <c r="G62" s="1199"/>
      <c r="H62" s="1205" t="str">
        <f t="shared" ref="H62" si="45">IF(ISBLANK(T$3),"",1)</f>
        <v/>
      </c>
      <c r="I62" s="1205" t="str">
        <f t="shared" ref="I62" si="46">IF(ISBLANK(X$3),"",1)</f>
        <v/>
      </c>
      <c r="J62" s="1205" t="str">
        <f t="shared" ref="J62" si="47">IF(ISBLANK(AB$3),"",1)</f>
        <v/>
      </c>
      <c r="K62" s="1205" t="str">
        <f t="shared" ref="K62" si="48">IF(ISBLANK(AF$3),"",1)</f>
        <v/>
      </c>
      <c r="L62" s="1205" t="str">
        <f t="shared" ref="L62" si="49">IF(ISBLANK(AJ$3),"",1)</f>
        <v/>
      </c>
      <c r="M62" s="1205" t="str">
        <f t="shared" ref="M62" si="50">IF(ISBLANK(AN$3),"",1)</f>
        <v/>
      </c>
      <c r="N62" s="1576">
        <v>2.1</v>
      </c>
      <c r="O62" s="1684" t="s">
        <v>350</v>
      </c>
      <c r="P62" s="1684"/>
      <c r="Q62" s="1684"/>
      <c r="R62" s="1684"/>
      <c r="S62" s="1684"/>
      <c r="T62" s="1684"/>
      <c r="U62" s="1342" t="str">
        <f>IF(ISBLANK(T$3),"",1)</f>
        <v/>
      </c>
      <c r="V62" s="1258">
        <v>4.3</v>
      </c>
      <c r="W62" s="1684" t="s">
        <v>364</v>
      </c>
      <c r="X62" s="1684"/>
      <c r="Y62" s="1684"/>
      <c r="Z62" s="1684"/>
      <c r="AA62" s="1684"/>
      <c r="AB62" s="1684"/>
      <c r="AC62" s="1342" t="str">
        <f>IF(ISBLANK(X$3),"",1)</f>
        <v/>
      </c>
      <c r="AD62" s="1258">
        <v>4.4000000000000004</v>
      </c>
      <c r="AE62" s="1684" t="s">
        <v>351</v>
      </c>
      <c r="AF62" s="1684"/>
      <c r="AG62" s="1684"/>
      <c r="AH62" s="1684"/>
      <c r="AI62" s="1684"/>
      <c r="AJ62" s="1684"/>
      <c r="AK62" s="1342" t="str">
        <f>IF(ISBLANK(AB$3),"",1)</f>
        <v/>
      </c>
      <c r="AL62" s="1258">
        <v>4.3</v>
      </c>
      <c r="AM62" s="1684" t="s">
        <v>352</v>
      </c>
      <c r="AN62" s="1684"/>
      <c r="AO62" s="1684"/>
      <c r="AP62" s="1684"/>
      <c r="AQ62" s="1684"/>
      <c r="AR62" s="1684"/>
      <c r="AS62" s="1342" t="str">
        <f>IF(ISBLANK(AF$3),"",1)</f>
        <v/>
      </c>
      <c r="AT62" s="1194">
        <v>2.4</v>
      </c>
      <c r="AU62" s="1684" t="s">
        <v>353</v>
      </c>
      <c r="AV62" s="1684"/>
      <c r="AW62" s="1684"/>
      <c r="AX62" s="1684"/>
      <c r="AY62" s="1684"/>
      <c r="AZ62" s="1684"/>
      <c r="BA62" s="1342" t="str">
        <f>IF(ISBLANK(AJ$3),"",1)</f>
        <v/>
      </c>
      <c r="BB62" s="1566">
        <v>4.4000000000000004</v>
      </c>
      <c r="BC62" s="1684" t="s">
        <v>354</v>
      </c>
      <c r="BD62" s="1684"/>
      <c r="BE62" s="1684"/>
      <c r="BF62" s="1684"/>
      <c r="BG62" s="1684"/>
      <c r="BH62" s="1684"/>
      <c r="BI62" s="1788" t="str">
        <f>IF(ISBLANK(AN$3),"",1)</f>
        <v/>
      </c>
      <c r="BJ62" s="1337"/>
      <c r="BK62" s="1338"/>
      <c r="BL62" s="1338"/>
      <c r="BM62" s="1338"/>
      <c r="BN62" s="1338"/>
      <c r="BO62" s="1339"/>
      <c r="BP62" s="255"/>
      <c r="BQ62" s="255"/>
      <c r="BR62" s="255"/>
    </row>
    <row r="63" spans="1:70" ht="15" customHeight="1">
      <c r="A63" s="1308"/>
      <c r="B63" s="1163"/>
      <c r="C63" s="1164"/>
      <c r="D63" s="1164"/>
      <c r="E63" s="1164"/>
      <c r="F63" s="1164"/>
      <c r="G63" s="1201"/>
      <c r="H63" s="1206"/>
      <c r="I63" s="1206"/>
      <c r="J63" s="1206"/>
      <c r="K63" s="1206"/>
      <c r="L63" s="1206"/>
      <c r="M63" s="1206"/>
      <c r="N63" s="1576"/>
      <c r="O63" s="1684"/>
      <c r="P63" s="1684"/>
      <c r="Q63" s="1684"/>
      <c r="R63" s="1684"/>
      <c r="S63" s="1684"/>
      <c r="T63" s="1684"/>
      <c r="U63" s="1342"/>
      <c r="V63" s="1258"/>
      <c r="W63" s="1684" t="s">
        <v>370</v>
      </c>
      <c r="X63" s="1684"/>
      <c r="Y63" s="1684"/>
      <c r="Z63" s="1684"/>
      <c r="AA63" s="1684"/>
      <c r="AB63" s="1684"/>
      <c r="AC63" s="1342"/>
      <c r="AD63" s="1258"/>
      <c r="AE63" s="1684"/>
      <c r="AF63" s="1684"/>
      <c r="AG63" s="1684"/>
      <c r="AH63" s="1684"/>
      <c r="AI63" s="1684"/>
      <c r="AJ63" s="1684"/>
      <c r="AK63" s="1342"/>
      <c r="AL63" s="1258"/>
      <c r="AM63" s="1684"/>
      <c r="AN63" s="1684"/>
      <c r="AO63" s="1684"/>
      <c r="AP63" s="1684"/>
      <c r="AQ63" s="1684"/>
      <c r="AR63" s="1684"/>
      <c r="AS63" s="1342"/>
      <c r="AT63" s="1194"/>
      <c r="AU63" s="1684"/>
      <c r="AV63" s="1684"/>
      <c r="AW63" s="1684"/>
      <c r="AX63" s="1684"/>
      <c r="AY63" s="1684"/>
      <c r="AZ63" s="1684"/>
      <c r="BA63" s="1342"/>
      <c r="BB63" s="1566"/>
      <c r="BC63" s="1684"/>
      <c r="BD63" s="1684"/>
      <c r="BE63" s="1684"/>
      <c r="BF63" s="1684"/>
      <c r="BG63" s="1684"/>
      <c r="BH63" s="1684"/>
      <c r="BI63" s="1788"/>
      <c r="BJ63" s="1337"/>
      <c r="BK63" s="1338"/>
      <c r="BL63" s="1338"/>
      <c r="BM63" s="1338"/>
      <c r="BN63" s="1338"/>
      <c r="BO63" s="1339"/>
      <c r="BP63" s="255"/>
      <c r="BQ63" s="255"/>
      <c r="BR63" s="255"/>
    </row>
    <row r="64" spans="1:70" ht="15" customHeight="1">
      <c r="A64" s="1309"/>
      <c r="B64" s="1165"/>
      <c r="C64" s="1166"/>
      <c r="D64" s="1166"/>
      <c r="E64" s="1166"/>
      <c r="F64" s="1166"/>
      <c r="G64" s="1292"/>
      <c r="H64" s="1207"/>
      <c r="I64" s="1207"/>
      <c r="J64" s="1207"/>
      <c r="K64" s="1207"/>
      <c r="L64" s="1207"/>
      <c r="M64" s="1207"/>
      <c r="N64" s="1576"/>
      <c r="O64" s="1684"/>
      <c r="P64" s="1684"/>
      <c r="Q64" s="1684"/>
      <c r="R64" s="1684"/>
      <c r="S64" s="1782"/>
      <c r="T64" s="1782"/>
      <c r="U64" s="1225"/>
      <c r="V64" s="1258"/>
      <c r="W64" s="1684" t="s">
        <v>371</v>
      </c>
      <c r="X64" s="1684"/>
      <c r="Y64" s="1684"/>
      <c r="Z64" s="1684"/>
      <c r="AA64" s="1684"/>
      <c r="AB64" s="1684"/>
      <c r="AC64" s="1342"/>
      <c r="AD64" s="1258"/>
      <c r="AE64" s="1684"/>
      <c r="AF64" s="1684"/>
      <c r="AG64" s="1684"/>
      <c r="AH64" s="1684"/>
      <c r="AI64" s="1684"/>
      <c r="AJ64" s="1684"/>
      <c r="AK64" s="1342"/>
      <c r="AL64" s="1258"/>
      <c r="AM64" s="1684"/>
      <c r="AN64" s="1684"/>
      <c r="AO64" s="1684"/>
      <c r="AP64" s="1684"/>
      <c r="AQ64" s="1684"/>
      <c r="AR64" s="1684"/>
      <c r="AS64" s="1342"/>
      <c r="AT64" s="1194"/>
      <c r="AU64" s="1684"/>
      <c r="AV64" s="1684"/>
      <c r="AW64" s="1684"/>
      <c r="AX64" s="1684"/>
      <c r="AY64" s="1684"/>
      <c r="AZ64" s="1684"/>
      <c r="BA64" s="1342"/>
      <c r="BB64" s="1566"/>
      <c r="BC64" s="1684"/>
      <c r="BD64" s="1684"/>
      <c r="BE64" s="1684"/>
      <c r="BF64" s="1684"/>
      <c r="BG64" s="1684"/>
      <c r="BH64" s="1684"/>
      <c r="BI64" s="1788"/>
      <c r="BJ64" s="1337"/>
      <c r="BK64" s="1338"/>
      <c r="BL64" s="1338"/>
      <c r="BM64" s="1338"/>
      <c r="BN64" s="1338"/>
      <c r="BO64" s="1339"/>
      <c r="BP64" s="255"/>
      <c r="BQ64" s="255"/>
      <c r="BR64" s="255"/>
    </row>
    <row r="65" spans="1:70" ht="15" customHeight="1">
      <c r="A65" s="1307">
        <v>1.1000000000000001</v>
      </c>
      <c r="B65" s="1161" t="s">
        <v>330</v>
      </c>
      <c r="C65" s="1162"/>
      <c r="D65" s="1162"/>
      <c r="E65" s="1162"/>
      <c r="F65" s="1162"/>
      <c r="G65" s="1199"/>
      <c r="H65" s="1205" t="str">
        <f t="shared" ref="H65" si="51">IF(ISBLANK(T$3),"",1)</f>
        <v/>
      </c>
      <c r="I65" s="1205" t="str">
        <f t="shared" ref="I65" si="52">IF(ISBLANK(X$3),"",1)</f>
        <v/>
      </c>
      <c r="J65" s="1205" t="str">
        <f t="shared" ref="J65" si="53">IF(ISBLANK(AB$3),"",1)</f>
        <v/>
      </c>
      <c r="K65" s="1205" t="str">
        <f t="shared" ref="K65" si="54">IF(ISBLANK(AF$3),"",1)</f>
        <v/>
      </c>
      <c r="L65" s="1205" t="str">
        <f t="shared" ref="L65" si="55">IF(ISBLANK(AJ$3),"",1)</f>
        <v/>
      </c>
      <c r="M65" s="1205" t="str">
        <f t="shared" ref="M65" si="56">IF(ISBLANK(AN$3),"",1)</f>
        <v/>
      </c>
      <c r="N65" s="256"/>
      <c r="O65" s="256"/>
      <c r="P65" s="256"/>
      <c r="Q65" s="256"/>
      <c r="R65" s="256"/>
      <c r="S65" s="517">
        <v>1.5</v>
      </c>
      <c r="T65" s="312">
        <f>COUNTIF($N$50:$N$64,S65)</f>
        <v>1</v>
      </c>
      <c r="U65" s="518" t="str">
        <f>IF($T$3=1,SUMIF($N$50:$N$64,S65,$U$50:$U$64),"")</f>
        <v/>
      </c>
      <c r="V65" s="1685">
        <v>4.3</v>
      </c>
      <c r="W65" s="1684" t="s">
        <v>364</v>
      </c>
      <c r="X65" s="1684"/>
      <c r="Y65" s="1684"/>
      <c r="Z65" s="1684"/>
      <c r="AA65" s="1684"/>
      <c r="AB65" s="1684"/>
      <c r="AC65" s="1342" t="str">
        <f>IF(ISBLANK(X$3),"",1)</f>
        <v/>
      </c>
      <c r="AD65" s="1391">
        <v>2.4</v>
      </c>
      <c r="AE65" s="1749" t="s">
        <v>357</v>
      </c>
      <c r="AF65" s="1396"/>
      <c r="AG65" s="1396"/>
      <c r="AH65" s="1396"/>
      <c r="AI65" s="1396"/>
      <c r="AJ65" s="1396"/>
      <c r="AK65" s="1342" t="str">
        <f>IF(ISBLANK(AB$3),"",1)</f>
        <v/>
      </c>
      <c r="AL65" s="1576">
        <v>2.4</v>
      </c>
      <c r="AM65" s="1684" t="s">
        <v>355</v>
      </c>
      <c r="AN65" s="1684"/>
      <c r="AO65" s="1684"/>
      <c r="AP65" s="1684"/>
      <c r="AQ65" s="1684"/>
      <c r="AR65" s="1684"/>
      <c r="AS65" s="1342" t="str">
        <f>IF(ISBLANK(AF$3),"",1)</f>
        <v/>
      </c>
      <c r="AT65" s="1566">
        <v>4.4000000000000004</v>
      </c>
      <c r="AU65" s="1684" t="s">
        <v>356</v>
      </c>
      <c r="AV65" s="1684"/>
      <c r="AW65" s="1684"/>
      <c r="AX65" s="1684"/>
      <c r="AY65" s="1684"/>
      <c r="AZ65" s="1684"/>
      <c r="BA65" s="1342" t="str">
        <f>IF(ISBLANK(AJ$3),"",1)</f>
        <v/>
      </c>
      <c r="BB65" s="1194">
        <v>2.4</v>
      </c>
      <c r="BC65" s="1684" t="s">
        <v>335</v>
      </c>
      <c r="BD65" s="1684"/>
      <c r="BE65" s="1684"/>
      <c r="BF65" s="1684"/>
      <c r="BG65" s="1684"/>
      <c r="BH65" s="1684"/>
      <c r="BI65" s="1788" t="str">
        <f>IF(ISBLANK(AN$3),"",1)</f>
        <v/>
      </c>
      <c r="BJ65" s="1337"/>
      <c r="BK65" s="1338"/>
      <c r="BL65" s="1338"/>
      <c r="BM65" s="1338"/>
      <c r="BN65" s="1338"/>
      <c r="BO65" s="1339"/>
      <c r="BP65" s="255"/>
      <c r="BQ65" s="255"/>
      <c r="BR65" s="255"/>
    </row>
    <row r="66" spans="1:70" ht="15" customHeight="1">
      <c r="A66" s="1308"/>
      <c r="B66" s="1163"/>
      <c r="C66" s="1164"/>
      <c r="D66" s="1164"/>
      <c r="E66" s="1164"/>
      <c r="F66" s="1164"/>
      <c r="G66" s="1201"/>
      <c r="H66" s="1206"/>
      <c r="I66" s="1206"/>
      <c r="J66" s="1206"/>
      <c r="K66" s="1206"/>
      <c r="L66" s="1206"/>
      <c r="M66" s="1206"/>
      <c r="N66" s="256"/>
      <c r="O66" s="256"/>
      <c r="P66" s="256"/>
      <c r="Q66" s="256"/>
      <c r="R66" s="256"/>
      <c r="S66" s="519">
        <v>2.1</v>
      </c>
      <c r="T66" s="312">
        <f t="shared" ref="T66:T68" si="57">COUNTIF($N$50:$N$64,S66)</f>
        <v>1</v>
      </c>
      <c r="U66" s="518" t="str">
        <f>IF($T$3=1,SUMIF($N$50:$N$64,S66,$U$50:$U$64),"")</f>
        <v/>
      </c>
      <c r="V66" s="1685"/>
      <c r="W66" s="1684" t="s">
        <v>370</v>
      </c>
      <c r="X66" s="1684"/>
      <c r="Y66" s="1684"/>
      <c r="Z66" s="1684"/>
      <c r="AA66" s="1684"/>
      <c r="AB66" s="1684"/>
      <c r="AC66" s="1342"/>
      <c r="AD66" s="1392"/>
      <c r="AE66" s="1200"/>
      <c r="AF66" s="1164"/>
      <c r="AG66" s="1164"/>
      <c r="AH66" s="1164"/>
      <c r="AI66" s="1164"/>
      <c r="AJ66" s="1164"/>
      <c r="AK66" s="1342"/>
      <c r="AL66" s="1576"/>
      <c r="AM66" s="1684"/>
      <c r="AN66" s="1684"/>
      <c r="AO66" s="1684"/>
      <c r="AP66" s="1684"/>
      <c r="AQ66" s="1684"/>
      <c r="AR66" s="1684"/>
      <c r="AS66" s="1342"/>
      <c r="AT66" s="1566"/>
      <c r="AU66" s="1684"/>
      <c r="AV66" s="1684"/>
      <c r="AW66" s="1684"/>
      <c r="AX66" s="1684"/>
      <c r="AY66" s="1684"/>
      <c r="AZ66" s="1684"/>
      <c r="BA66" s="1342"/>
      <c r="BB66" s="1194"/>
      <c r="BC66" s="1684"/>
      <c r="BD66" s="1684"/>
      <c r="BE66" s="1684"/>
      <c r="BF66" s="1684"/>
      <c r="BG66" s="1684"/>
      <c r="BH66" s="1684"/>
      <c r="BI66" s="1788"/>
      <c r="BJ66" s="1337"/>
      <c r="BK66" s="1338"/>
      <c r="BL66" s="1338"/>
      <c r="BM66" s="1338"/>
      <c r="BN66" s="1338"/>
      <c r="BO66" s="1339"/>
      <c r="BP66" s="255"/>
      <c r="BQ66" s="255"/>
      <c r="BR66" s="255"/>
    </row>
    <row r="67" spans="1:70" ht="15" customHeight="1">
      <c r="A67" s="1309"/>
      <c r="B67" s="1165"/>
      <c r="C67" s="1166"/>
      <c r="D67" s="1166"/>
      <c r="E67" s="1166"/>
      <c r="F67" s="1166"/>
      <c r="G67" s="1292"/>
      <c r="H67" s="1207"/>
      <c r="I67" s="1207"/>
      <c r="J67" s="1207"/>
      <c r="K67" s="1207"/>
      <c r="L67" s="1207"/>
      <c r="M67" s="1207"/>
      <c r="N67" s="256"/>
      <c r="O67" s="256"/>
      <c r="P67" s="256"/>
      <c r="Q67" s="256"/>
      <c r="R67" s="256"/>
      <c r="S67" s="508">
        <v>4.3</v>
      </c>
      <c r="T67" s="312">
        <f t="shared" si="57"/>
        <v>1</v>
      </c>
      <c r="U67" s="518" t="str">
        <f>IF($T$3=1,SUMIF($N$50:$N$64,S67,$U$50:$U$64),"")</f>
        <v/>
      </c>
      <c r="V67" s="1685"/>
      <c r="W67" s="1684" t="s">
        <v>371</v>
      </c>
      <c r="X67" s="1684"/>
      <c r="Y67" s="1684"/>
      <c r="Z67" s="1684"/>
      <c r="AA67" s="1684"/>
      <c r="AB67" s="1684"/>
      <c r="AC67" s="1342"/>
      <c r="AD67" s="1393"/>
      <c r="AE67" s="1202"/>
      <c r="AF67" s="1203"/>
      <c r="AG67" s="1203"/>
      <c r="AH67" s="1203"/>
      <c r="AI67" s="1203"/>
      <c r="AJ67" s="1203"/>
      <c r="AK67" s="1342"/>
      <c r="AL67" s="1576"/>
      <c r="AM67" s="1684"/>
      <c r="AN67" s="1684"/>
      <c r="AO67" s="1684"/>
      <c r="AP67" s="1684"/>
      <c r="AQ67" s="1684"/>
      <c r="AR67" s="1684"/>
      <c r="AS67" s="1342"/>
      <c r="AT67" s="1566"/>
      <c r="AU67" s="1684"/>
      <c r="AV67" s="1684"/>
      <c r="AW67" s="1684"/>
      <c r="AX67" s="1684"/>
      <c r="AY67" s="1684"/>
      <c r="AZ67" s="1684"/>
      <c r="BA67" s="1342"/>
      <c r="BB67" s="1194"/>
      <c r="BC67" s="1684"/>
      <c r="BD67" s="1684"/>
      <c r="BE67" s="1684"/>
      <c r="BF67" s="1684"/>
      <c r="BG67" s="1684"/>
      <c r="BH67" s="1684"/>
      <c r="BI67" s="1789"/>
      <c r="BJ67" s="1337"/>
      <c r="BK67" s="1338"/>
      <c r="BL67" s="1338"/>
      <c r="BM67" s="1338"/>
      <c r="BN67" s="1338"/>
      <c r="BO67" s="1339"/>
      <c r="BP67" s="255"/>
      <c r="BQ67" s="255"/>
      <c r="BR67" s="255"/>
    </row>
    <row r="68" spans="1:70" ht="15" customHeight="1">
      <c r="A68" s="1304">
        <v>1.5</v>
      </c>
      <c r="B68" s="1161" t="s">
        <v>336</v>
      </c>
      <c r="C68" s="1162"/>
      <c r="D68" s="1162"/>
      <c r="E68" s="1162"/>
      <c r="F68" s="1162"/>
      <c r="G68" s="1199"/>
      <c r="H68" s="1205" t="str">
        <f t="shared" ref="H68" si="58">IF(ISBLANK(T$3),"",1)</f>
        <v/>
      </c>
      <c r="I68" s="1205" t="str">
        <f t="shared" ref="I68" si="59">IF(ISBLANK(X$3),"",1)</f>
        <v/>
      </c>
      <c r="J68" s="1205" t="str">
        <f t="shared" ref="J68" si="60">IF(ISBLANK(AB$3),"",1)</f>
        <v/>
      </c>
      <c r="K68" s="1205" t="str">
        <f t="shared" ref="K68" si="61">IF(ISBLANK(AF$3),"",1)</f>
        <v/>
      </c>
      <c r="L68" s="1205" t="str">
        <f t="shared" ref="L68" si="62">IF(ISBLANK(AJ$3),"",1)</f>
        <v/>
      </c>
      <c r="M68" s="1205" t="str">
        <f t="shared" ref="M68" si="63">IF(ISBLANK(AN$3),"",1)</f>
        <v/>
      </c>
      <c r="N68" s="256"/>
      <c r="O68" s="256"/>
      <c r="P68" s="256"/>
      <c r="Q68" s="256"/>
      <c r="R68" s="256"/>
      <c r="S68" s="508">
        <v>4.4000000000000004</v>
      </c>
      <c r="T68" s="312">
        <f t="shared" si="57"/>
        <v>2</v>
      </c>
      <c r="U68" s="518" t="str">
        <f>IF($T$3=1,SUMIF($N$50:$N$64,S68,$U$50:$U$64),"")</f>
        <v/>
      </c>
      <c r="V68" s="331"/>
      <c r="W68" s="340"/>
      <c r="X68" s="340"/>
      <c r="Y68" s="340"/>
      <c r="Z68" s="340"/>
      <c r="AA68" s="316">
        <v>2.4</v>
      </c>
      <c r="AB68" s="311">
        <f>COUNTIF($V$50:$V$67,AA68)</f>
        <v>1</v>
      </c>
      <c r="AC68" s="245" t="str">
        <f>IF($X$3=1,SUMIF($V$50:$V$67,AA68,$AC$50:$AC$67),"")</f>
        <v/>
      </c>
      <c r="AD68" s="1301">
        <v>4.4000000000000004</v>
      </c>
      <c r="AE68" s="1395" t="s">
        <v>361</v>
      </c>
      <c r="AF68" s="1396"/>
      <c r="AG68" s="1396"/>
      <c r="AH68" s="1396"/>
      <c r="AI68" s="1396"/>
      <c r="AJ68" s="1396"/>
      <c r="AK68" s="1342" t="str">
        <f>IF(ISBLANK(AB$3),"",1)</f>
        <v/>
      </c>
      <c r="AL68" s="1576">
        <v>2.4</v>
      </c>
      <c r="AM68" s="1684" t="s">
        <v>358</v>
      </c>
      <c r="AN68" s="1684"/>
      <c r="AO68" s="1684"/>
      <c r="AP68" s="1684"/>
      <c r="AQ68" s="1684"/>
      <c r="AR68" s="1684"/>
      <c r="AS68" s="1342" t="str">
        <f>IF(ISBLANK(AF$3),"",1)</f>
        <v/>
      </c>
      <c r="AT68" s="1194">
        <v>2.4</v>
      </c>
      <c r="AU68" s="1749" t="s">
        <v>359</v>
      </c>
      <c r="AV68" s="1396"/>
      <c r="AW68" s="1396"/>
      <c r="AX68" s="1396"/>
      <c r="AY68" s="1396"/>
      <c r="AZ68" s="1396"/>
      <c r="BA68" s="1342" t="str">
        <f>IF(ISBLANK(AJ$3),"",1)</f>
        <v/>
      </c>
      <c r="BB68" s="1576">
        <v>2.4</v>
      </c>
      <c r="BC68" s="1684" t="s">
        <v>337</v>
      </c>
      <c r="BD68" s="1684"/>
      <c r="BE68" s="1684"/>
      <c r="BF68" s="1684"/>
      <c r="BG68" s="1684"/>
      <c r="BH68" s="1684"/>
      <c r="BI68" s="1788" t="str">
        <f>IF(ISBLANK(AN$3),"",1)</f>
        <v/>
      </c>
      <c r="BJ68" s="1337"/>
      <c r="BK68" s="1338"/>
      <c r="BL68" s="1338"/>
      <c r="BM68" s="1338"/>
      <c r="BN68" s="1338"/>
      <c r="BO68" s="1339"/>
      <c r="BP68" s="255"/>
      <c r="BQ68" s="255"/>
      <c r="BR68" s="255"/>
    </row>
    <row r="69" spans="1:70" ht="15" customHeight="1">
      <c r="A69" s="1290"/>
      <c r="B69" s="1163"/>
      <c r="C69" s="1164"/>
      <c r="D69" s="1164"/>
      <c r="E69" s="1164"/>
      <c r="F69" s="1164"/>
      <c r="G69" s="1201"/>
      <c r="H69" s="1206"/>
      <c r="I69" s="1206"/>
      <c r="J69" s="1206"/>
      <c r="K69" s="1206"/>
      <c r="L69" s="1206"/>
      <c r="M69" s="1206"/>
      <c r="N69" s="256"/>
      <c r="O69" s="256"/>
      <c r="P69" s="256"/>
      <c r="Q69" s="256"/>
      <c r="R69" s="256"/>
      <c r="S69" s="256"/>
      <c r="T69" s="256"/>
      <c r="U69" s="256"/>
      <c r="V69" s="331"/>
      <c r="W69" s="340"/>
      <c r="X69" s="340"/>
      <c r="Y69" s="340"/>
      <c r="Z69" s="340"/>
      <c r="AA69" s="330">
        <v>4.3</v>
      </c>
      <c r="AB69" s="311">
        <f t="shared" ref="AB69:AB70" si="64">COUNTIF($V$50:$V$67,AA69)</f>
        <v>4</v>
      </c>
      <c r="AC69" s="245" t="str">
        <f>IF($X$3=1,SUMIF($V$50:$V$67,AA69,$AC$50:$AC$67),"")</f>
        <v/>
      </c>
      <c r="AD69" s="1302"/>
      <c r="AE69" s="1163"/>
      <c r="AF69" s="1164"/>
      <c r="AG69" s="1164"/>
      <c r="AH69" s="1164"/>
      <c r="AI69" s="1164"/>
      <c r="AJ69" s="1164"/>
      <c r="AK69" s="1342"/>
      <c r="AL69" s="1576"/>
      <c r="AM69" s="1684"/>
      <c r="AN69" s="1684"/>
      <c r="AO69" s="1684"/>
      <c r="AP69" s="1684"/>
      <c r="AQ69" s="1684"/>
      <c r="AR69" s="1684"/>
      <c r="AS69" s="1342"/>
      <c r="AT69" s="1194"/>
      <c r="AU69" s="1200"/>
      <c r="AV69" s="1164"/>
      <c r="AW69" s="1164"/>
      <c r="AX69" s="1164"/>
      <c r="AY69" s="1164"/>
      <c r="AZ69" s="1164"/>
      <c r="BA69" s="1342"/>
      <c r="BB69" s="1576"/>
      <c r="BC69" s="1684"/>
      <c r="BD69" s="1684"/>
      <c r="BE69" s="1684"/>
      <c r="BF69" s="1684"/>
      <c r="BG69" s="1684"/>
      <c r="BH69" s="1684"/>
      <c r="BI69" s="1788"/>
      <c r="BJ69" s="1337"/>
      <c r="BK69" s="1338"/>
      <c r="BL69" s="1338"/>
      <c r="BM69" s="1338"/>
      <c r="BN69" s="1338"/>
      <c r="BO69" s="1339"/>
      <c r="BP69" s="255"/>
      <c r="BQ69" s="255"/>
      <c r="BR69" s="255"/>
    </row>
    <row r="70" spans="1:70" ht="15" customHeight="1">
      <c r="A70" s="1291"/>
      <c r="B70" s="1165"/>
      <c r="C70" s="1166"/>
      <c r="D70" s="1166"/>
      <c r="E70" s="1166"/>
      <c r="F70" s="1166"/>
      <c r="G70" s="1292"/>
      <c r="H70" s="1207"/>
      <c r="I70" s="1207"/>
      <c r="J70" s="1207"/>
      <c r="K70" s="1207"/>
      <c r="L70" s="1207"/>
      <c r="M70" s="1207"/>
      <c r="N70" s="256"/>
      <c r="O70" s="256"/>
      <c r="P70" s="256"/>
      <c r="Q70" s="256"/>
      <c r="R70" s="256"/>
      <c r="S70" s="256"/>
      <c r="T70" s="256"/>
      <c r="U70" s="256"/>
      <c r="V70" s="331"/>
      <c r="W70" s="340"/>
      <c r="X70" s="340"/>
      <c r="Y70" s="340"/>
      <c r="Z70" s="340"/>
      <c r="AA70" s="334">
        <v>4.4000000000000004</v>
      </c>
      <c r="AB70" s="311">
        <f t="shared" si="64"/>
        <v>1</v>
      </c>
      <c r="AC70" s="245" t="str">
        <f>IF($X$3=1,SUMIF($V$50:$V$67,AA70,$AC$50:$AC$67),"")</f>
        <v/>
      </c>
      <c r="AD70" s="1303"/>
      <c r="AE70" s="1552"/>
      <c r="AF70" s="1203"/>
      <c r="AG70" s="1203"/>
      <c r="AH70" s="1203"/>
      <c r="AI70" s="1203"/>
      <c r="AJ70" s="1203"/>
      <c r="AK70" s="1342"/>
      <c r="AL70" s="1576"/>
      <c r="AM70" s="1684"/>
      <c r="AN70" s="1684"/>
      <c r="AO70" s="1684"/>
      <c r="AP70" s="1684"/>
      <c r="AQ70" s="1684"/>
      <c r="AR70" s="1684"/>
      <c r="AS70" s="1342"/>
      <c r="AT70" s="1194"/>
      <c r="AU70" s="1202"/>
      <c r="AV70" s="1203"/>
      <c r="AW70" s="1203"/>
      <c r="AX70" s="1203"/>
      <c r="AY70" s="1203"/>
      <c r="AZ70" s="1203"/>
      <c r="BA70" s="1225"/>
      <c r="BB70" s="1576"/>
      <c r="BC70" s="1684"/>
      <c r="BD70" s="1684"/>
      <c r="BE70" s="1684"/>
      <c r="BF70" s="1684"/>
      <c r="BG70" s="1684"/>
      <c r="BH70" s="1684"/>
      <c r="BI70" s="1788"/>
      <c r="BJ70" s="1337"/>
      <c r="BK70" s="1338"/>
      <c r="BL70" s="1338"/>
      <c r="BM70" s="1338"/>
      <c r="BN70" s="1338"/>
      <c r="BO70" s="1339"/>
      <c r="BP70" s="255"/>
      <c r="BQ70" s="255"/>
      <c r="BR70" s="255"/>
    </row>
    <row r="71" spans="1:70" ht="15" customHeight="1">
      <c r="A71" s="1304">
        <v>2.1</v>
      </c>
      <c r="B71" s="1161" t="s">
        <v>360</v>
      </c>
      <c r="C71" s="1162"/>
      <c r="D71" s="1162"/>
      <c r="E71" s="1162"/>
      <c r="F71" s="1162"/>
      <c r="G71" s="1199"/>
      <c r="H71" s="1205" t="str">
        <f t="shared" ref="H71" si="65">IF(ISBLANK(T$3),"",1)</f>
        <v/>
      </c>
      <c r="I71" s="1205" t="str">
        <f t="shared" ref="I71" si="66">IF(ISBLANK(X$3),"",1)</f>
        <v/>
      </c>
      <c r="J71" s="1205" t="str">
        <f t="shared" ref="J71" si="67">IF(ISBLANK(AB$3),"",1)</f>
        <v/>
      </c>
      <c r="K71" s="1205" t="str">
        <f t="shared" ref="K71" si="68">IF(ISBLANK(AF$3),"",1)</f>
        <v/>
      </c>
      <c r="L71" s="1205" t="str">
        <f t="shared" ref="L71" si="69">IF(ISBLANK(AJ$3),"",1)</f>
        <v/>
      </c>
      <c r="M71" s="1205" t="str">
        <f t="shared" ref="M71" si="70">IF(ISBLANK(AN$3),"",1)</f>
        <v/>
      </c>
      <c r="N71" s="256"/>
      <c r="O71" s="256"/>
      <c r="P71" s="256"/>
      <c r="Q71" s="256"/>
      <c r="R71" s="256"/>
      <c r="S71" s="256"/>
      <c r="T71" s="256"/>
      <c r="U71" s="256"/>
      <c r="V71" s="331"/>
      <c r="W71" s="340"/>
      <c r="X71" s="340"/>
      <c r="Y71" s="340"/>
      <c r="Z71" s="340"/>
      <c r="AD71" s="1301">
        <v>4.3</v>
      </c>
      <c r="AE71" s="1395" t="s">
        <v>364</v>
      </c>
      <c r="AF71" s="1396"/>
      <c r="AG71" s="1396"/>
      <c r="AH71" s="1396"/>
      <c r="AI71" s="1396"/>
      <c r="AJ71" s="1396"/>
      <c r="AK71" s="1342" t="str">
        <f>IF(ISBLANK(AB$3),"",1)</f>
        <v/>
      </c>
      <c r="AL71" s="1258">
        <v>4.3</v>
      </c>
      <c r="AM71" s="1684" t="s">
        <v>362</v>
      </c>
      <c r="AN71" s="1684"/>
      <c r="AO71" s="1684"/>
      <c r="AP71" s="1684"/>
      <c r="AQ71" s="1684"/>
      <c r="AR71" s="1684"/>
      <c r="AS71" s="1342" t="str">
        <f>IF(ISBLANK(AF$3),"",1)</f>
        <v/>
      </c>
      <c r="AT71" s="1194">
        <v>2.4</v>
      </c>
      <c r="AU71" s="1684" t="s">
        <v>363</v>
      </c>
      <c r="AV71" s="1684"/>
      <c r="AW71" s="1684"/>
      <c r="AX71" s="1684"/>
      <c r="AY71" s="1684"/>
      <c r="AZ71" s="1684"/>
      <c r="BA71" s="1783" t="str">
        <f>IF(ISBLANK(AJ$3),"",1)</f>
        <v/>
      </c>
      <c r="BB71" s="331"/>
      <c r="BC71" s="340"/>
      <c r="BD71" s="340"/>
      <c r="BE71" s="340"/>
      <c r="BF71" s="340"/>
      <c r="BG71" s="296">
        <v>2.4</v>
      </c>
      <c r="BH71" s="311">
        <f>COUNTIF($BB$50:$BB$70,BG71)</f>
        <v>2</v>
      </c>
      <c r="BI71" s="343" t="str">
        <f>IF($AN$3=1,SUMIF($BB$50:$BB$70,BG71,$BI$50:$BI$70),"")</f>
        <v/>
      </c>
      <c r="BJ71" s="1337"/>
      <c r="BK71" s="1338"/>
      <c r="BL71" s="1338"/>
      <c r="BM71" s="1338"/>
      <c r="BN71" s="1338"/>
      <c r="BO71" s="1339"/>
      <c r="BP71" s="255"/>
      <c r="BQ71" s="255"/>
      <c r="BR71" s="255"/>
    </row>
    <row r="72" spans="1:70" ht="15" customHeight="1">
      <c r="A72" s="1290"/>
      <c r="B72" s="1163"/>
      <c r="C72" s="1164"/>
      <c r="D72" s="1164"/>
      <c r="E72" s="1164"/>
      <c r="F72" s="1164"/>
      <c r="G72" s="1201"/>
      <c r="H72" s="1206"/>
      <c r="I72" s="1206"/>
      <c r="J72" s="1206"/>
      <c r="K72" s="1206"/>
      <c r="L72" s="1206"/>
      <c r="M72" s="1206"/>
      <c r="N72" s="256"/>
      <c r="O72" s="256"/>
      <c r="P72" s="256"/>
      <c r="Q72" s="256"/>
      <c r="R72" s="256"/>
      <c r="S72" s="256"/>
      <c r="T72" s="256"/>
      <c r="U72" s="256"/>
      <c r="V72" s="331"/>
      <c r="W72" s="340"/>
      <c r="X72" s="340"/>
      <c r="Y72" s="340"/>
      <c r="Z72" s="340"/>
      <c r="AA72" s="340"/>
      <c r="AB72" s="340"/>
      <c r="AC72" s="340"/>
      <c r="AD72" s="1302"/>
      <c r="AE72" s="1163"/>
      <c r="AF72" s="1164"/>
      <c r="AG72" s="1164"/>
      <c r="AH72" s="1164"/>
      <c r="AI72" s="1164"/>
      <c r="AJ72" s="1164"/>
      <c r="AK72" s="1342"/>
      <c r="AL72" s="1258"/>
      <c r="AM72" s="1684"/>
      <c r="AN72" s="1684"/>
      <c r="AO72" s="1684"/>
      <c r="AP72" s="1684"/>
      <c r="AQ72" s="1684"/>
      <c r="AR72" s="1684"/>
      <c r="AS72" s="1342"/>
      <c r="AT72" s="1194"/>
      <c r="AU72" s="1684"/>
      <c r="AV72" s="1684"/>
      <c r="AW72" s="1684"/>
      <c r="AX72" s="1684"/>
      <c r="AY72" s="1684"/>
      <c r="AZ72" s="1684"/>
      <c r="BA72" s="1784"/>
      <c r="BB72" s="331"/>
      <c r="BC72" s="340"/>
      <c r="BD72" s="340"/>
      <c r="BE72" s="340"/>
      <c r="BF72" s="340"/>
      <c r="BG72" s="297">
        <v>4.3</v>
      </c>
      <c r="BH72" s="311">
        <f t="shared" ref="BH72:BH73" si="71">COUNTIF($BB$50:$BB$70,BG72)</f>
        <v>1</v>
      </c>
      <c r="BI72" s="343" t="str">
        <f>IF($AN$3=1,SUMIF($BB$50:$BB$70,BG72,$BI$50:$BI$70),"")</f>
        <v/>
      </c>
      <c r="BJ72" s="1337"/>
      <c r="BK72" s="1338"/>
      <c r="BL72" s="1338"/>
      <c r="BM72" s="1338"/>
      <c r="BN72" s="1338"/>
      <c r="BO72" s="1339"/>
      <c r="BP72" s="255"/>
      <c r="BQ72" s="255"/>
      <c r="BR72" s="255"/>
    </row>
    <row r="73" spans="1:70" ht="15" customHeight="1">
      <c r="A73" s="1291"/>
      <c r="B73" s="1165"/>
      <c r="C73" s="1166"/>
      <c r="D73" s="1166"/>
      <c r="E73" s="1166"/>
      <c r="F73" s="1166"/>
      <c r="G73" s="1292"/>
      <c r="H73" s="1207"/>
      <c r="I73" s="1207"/>
      <c r="J73" s="1207"/>
      <c r="K73" s="1207"/>
      <c r="L73" s="1207"/>
      <c r="M73" s="1207"/>
      <c r="N73" s="256"/>
      <c r="O73" s="256"/>
      <c r="P73" s="256"/>
      <c r="Q73" s="256"/>
      <c r="R73" s="256"/>
      <c r="S73" s="256"/>
      <c r="T73" s="256"/>
      <c r="U73" s="256"/>
      <c r="V73" s="331"/>
      <c r="W73" s="340"/>
      <c r="X73" s="340"/>
      <c r="Y73" s="340"/>
      <c r="Z73" s="340"/>
      <c r="AA73" s="340"/>
      <c r="AB73" s="340"/>
      <c r="AC73" s="340"/>
      <c r="AD73" s="1303"/>
      <c r="AE73" s="1552"/>
      <c r="AF73" s="1203"/>
      <c r="AG73" s="1203"/>
      <c r="AH73" s="1203"/>
      <c r="AI73" s="1203"/>
      <c r="AJ73" s="1203"/>
      <c r="AK73" s="1342"/>
      <c r="AL73" s="1258"/>
      <c r="AM73" s="1684"/>
      <c r="AN73" s="1684"/>
      <c r="AO73" s="1684"/>
      <c r="AP73" s="1684"/>
      <c r="AQ73" s="1684"/>
      <c r="AR73" s="1684"/>
      <c r="AS73" s="1342"/>
      <c r="AT73" s="1194"/>
      <c r="AU73" s="1684"/>
      <c r="AV73" s="1684"/>
      <c r="AW73" s="1684"/>
      <c r="AX73" s="1684"/>
      <c r="AY73" s="1684"/>
      <c r="AZ73" s="1782"/>
      <c r="BA73" s="1785"/>
      <c r="BB73" s="331"/>
      <c r="BC73" s="340"/>
      <c r="BD73" s="340"/>
      <c r="BE73" s="340"/>
      <c r="BF73" s="340"/>
      <c r="BG73" s="297">
        <v>4.4000000000000004</v>
      </c>
      <c r="BH73" s="311">
        <f t="shared" si="71"/>
        <v>4</v>
      </c>
      <c r="BI73" s="343" t="str">
        <f>IF($AN$3=1,SUMIF($BB$50:$BB$70,BG73,$BI$50:$BI$70),"")</f>
        <v/>
      </c>
      <c r="BJ73" s="1337"/>
      <c r="BK73" s="1338"/>
      <c r="BL73" s="1338"/>
      <c r="BM73" s="1338"/>
      <c r="BN73" s="1338"/>
      <c r="BO73" s="1339"/>
      <c r="BP73" s="255"/>
      <c r="BQ73" s="255"/>
      <c r="BR73" s="255"/>
    </row>
    <row r="74" spans="1:70" ht="15" customHeight="1">
      <c r="A74" s="1304">
        <v>2.4</v>
      </c>
      <c r="B74" s="1161" t="s">
        <v>942</v>
      </c>
      <c r="C74" s="1162"/>
      <c r="D74" s="1162"/>
      <c r="E74" s="1162"/>
      <c r="F74" s="1162"/>
      <c r="G74" s="1199"/>
      <c r="H74" s="1205" t="str">
        <f t="shared" ref="H74" si="72">IF(ISBLANK(T$3),"",1)</f>
        <v/>
      </c>
      <c r="I74" s="1205" t="str">
        <f t="shared" ref="I74" si="73">IF(ISBLANK(X$3),"",1)</f>
        <v/>
      </c>
      <c r="J74" s="1205" t="str">
        <f t="shared" ref="J74" si="74">IF(ISBLANK(AB$3),"",1)</f>
        <v/>
      </c>
      <c r="K74" s="1205" t="str">
        <f t="shared" ref="K74" si="75">IF(ISBLANK(AF$3),"",1)</f>
        <v/>
      </c>
      <c r="L74" s="1205" t="str">
        <f t="shared" ref="L74" si="76">IF(ISBLANK(AJ$3),"",1)</f>
        <v/>
      </c>
      <c r="M74" s="1205" t="str">
        <f t="shared" ref="M74" si="77">IF(ISBLANK(AN$3),"",1)</f>
        <v/>
      </c>
      <c r="N74" s="255"/>
      <c r="O74" s="255"/>
      <c r="P74" s="256"/>
      <c r="Q74" s="256"/>
      <c r="R74" s="256"/>
      <c r="S74" s="256"/>
      <c r="T74" s="256"/>
      <c r="U74" s="256"/>
      <c r="V74" s="331"/>
      <c r="W74" s="340"/>
      <c r="X74" s="340"/>
      <c r="Y74" s="340"/>
      <c r="Z74" s="340"/>
      <c r="AA74" s="340"/>
      <c r="AB74" s="340"/>
      <c r="AC74" s="340"/>
      <c r="AD74" s="1258">
        <v>4.3</v>
      </c>
      <c r="AE74" s="1684" t="s">
        <v>382</v>
      </c>
      <c r="AF74" s="1684"/>
      <c r="AG74" s="1684"/>
      <c r="AH74" s="1684"/>
      <c r="AI74" s="1684"/>
      <c r="AJ74" s="1684"/>
      <c r="AK74" s="1342" t="str">
        <f>IF(ISBLANK(AB$3),"",1)</f>
        <v/>
      </c>
      <c r="AL74" s="1576">
        <v>2.4</v>
      </c>
      <c r="AM74" s="1749" t="s">
        <v>365</v>
      </c>
      <c r="AN74" s="1396"/>
      <c r="AO74" s="1396"/>
      <c r="AP74" s="1396"/>
      <c r="AQ74" s="1396"/>
      <c r="AR74" s="1396"/>
      <c r="AS74" s="1342" t="str">
        <f>IF(ISBLANK(AF$3),"",1)</f>
        <v/>
      </c>
      <c r="AT74" s="255"/>
      <c r="AU74" s="255"/>
      <c r="AV74" s="255"/>
      <c r="AW74" s="255"/>
      <c r="AX74" s="255"/>
      <c r="AY74" s="298">
        <v>2.4</v>
      </c>
      <c r="AZ74" s="347">
        <f>COUNTIF($AT$50:$AT$73,AY74)</f>
        <v>4</v>
      </c>
      <c r="BA74" s="245" t="str">
        <f>IF($AJ$3=1,SUMIF($AT$50:$AT$73,AY74,$BA$50:$BA$73),"")</f>
        <v/>
      </c>
      <c r="BB74" s="331"/>
      <c r="BC74" s="340"/>
      <c r="BD74" s="340"/>
      <c r="BE74" s="340"/>
      <c r="BF74" s="340"/>
      <c r="BG74" s="340"/>
      <c r="BH74" s="340"/>
      <c r="BI74" s="340"/>
      <c r="BJ74" s="1337"/>
      <c r="BK74" s="1338"/>
      <c r="BL74" s="1338"/>
      <c r="BM74" s="1338"/>
      <c r="BN74" s="1338"/>
      <c r="BO74" s="1339"/>
      <c r="BP74" s="255"/>
      <c r="BQ74" s="255"/>
      <c r="BR74" s="255"/>
    </row>
    <row r="75" spans="1:70" ht="15" customHeight="1">
      <c r="A75" s="1290"/>
      <c r="B75" s="1163"/>
      <c r="C75" s="1164"/>
      <c r="D75" s="1164"/>
      <c r="E75" s="1164"/>
      <c r="F75" s="1164"/>
      <c r="G75" s="1201"/>
      <c r="H75" s="1206"/>
      <c r="I75" s="1206"/>
      <c r="J75" s="1206"/>
      <c r="K75" s="1206"/>
      <c r="L75" s="1206"/>
      <c r="M75" s="1206"/>
      <c r="N75" s="255"/>
      <c r="O75" s="255"/>
      <c r="P75" s="256"/>
      <c r="Q75" s="256"/>
      <c r="R75" s="256"/>
      <c r="S75" s="256"/>
      <c r="T75" s="256"/>
      <c r="U75" s="256"/>
      <c r="V75" s="331"/>
      <c r="W75" s="340"/>
      <c r="X75" s="340"/>
      <c r="Y75" s="340"/>
      <c r="Z75" s="340"/>
      <c r="AA75" s="340"/>
      <c r="AB75" s="340"/>
      <c r="AC75" s="340"/>
      <c r="AD75" s="1258"/>
      <c r="AE75" s="1684"/>
      <c r="AF75" s="1684"/>
      <c r="AG75" s="1684"/>
      <c r="AH75" s="1684"/>
      <c r="AI75" s="1684"/>
      <c r="AJ75" s="1684"/>
      <c r="AK75" s="1342"/>
      <c r="AL75" s="1576"/>
      <c r="AM75" s="1200"/>
      <c r="AN75" s="1164"/>
      <c r="AO75" s="1164"/>
      <c r="AP75" s="1164"/>
      <c r="AQ75" s="1164"/>
      <c r="AR75" s="1164"/>
      <c r="AS75" s="1342"/>
      <c r="AT75" s="255"/>
      <c r="AU75" s="255"/>
      <c r="AV75" s="255"/>
      <c r="AW75" s="255"/>
      <c r="AX75" s="255"/>
      <c r="AY75" s="297">
        <v>4.3</v>
      </c>
      <c r="AZ75" s="347">
        <f t="shared" ref="AZ75:AZ76" si="78">COUNTIF($AT$50:$AT$73,AY75)</f>
        <v>1</v>
      </c>
      <c r="BA75" s="240" t="str">
        <f>IF($AJ$3=1,SUMIF($AT$50:$AT$73,AY75,$BA$50:$BA$73),"")</f>
        <v/>
      </c>
      <c r="BB75" s="331"/>
      <c r="BC75" s="340"/>
      <c r="BD75" s="340"/>
      <c r="BE75" s="340"/>
      <c r="BF75" s="340"/>
      <c r="BG75" s="340"/>
      <c r="BH75" s="340"/>
      <c r="BI75" s="340"/>
      <c r="BJ75" s="1337"/>
      <c r="BK75" s="1338"/>
      <c r="BL75" s="1338"/>
      <c r="BM75" s="1338"/>
      <c r="BN75" s="1338"/>
      <c r="BO75" s="1339"/>
      <c r="BP75" s="255"/>
      <c r="BQ75" s="255"/>
      <c r="BR75" s="255"/>
    </row>
    <row r="76" spans="1:70" ht="15" customHeight="1">
      <c r="A76" s="1291"/>
      <c r="B76" s="1165"/>
      <c r="C76" s="1166"/>
      <c r="D76" s="1166"/>
      <c r="E76" s="1166"/>
      <c r="F76" s="1166"/>
      <c r="G76" s="1292"/>
      <c r="H76" s="1207"/>
      <c r="I76" s="1207"/>
      <c r="J76" s="1207"/>
      <c r="K76" s="1207"/>
      <c r="L76" s="1207"/>
      <c r="M76" s="1207"/>
      <c r="N76" s="256"/>
      <c r="O76" s="256"/>
      <c r="P76" s="256"/>
      <c r="Q76" s="256"/>
      <c r="R76" s="256"/>
      <c r="S76" s="256"/>
      <c r="T76" s="256"/>
      <c r="U76" s="256"/>
      <c r="V76" s="331"/>
      <c r="W76" s="340"/>
      <c r="X76" s="340"/>
      <c r="Y76" s="340"/>
      <c r="Z76" s="340"/>
      <c r="AA76" s="340"/>
      <c r="AB76" s="340"/>
      <c r="AC76" s="340"/>
      <c r="AD76" s="1258"/>
      <c r="AE76" s="1684"/>
      <c r="AF76" s="1684"/>
      <c r="AG76" s="1684"/>
      <c r="AH76" s="1684"/>
      <c r="AI76" s="1684"/>
      <c r="AJ76" s="1684"/>
      <c r="AK76" s="1342"/>
      <c r="AL76" s="1576"/>
      <c r="AM76" s="1202"/>
      <c r="AN76" s="1203"/>
      <c r="AO76" s="1203"/>
      <c r="AP76" s="1203"/>
      <c r="AQ76" s="1203"/>
      <c r="AR76" s="1203"/>
      <c r="AS76" s="1342"/>
      <c r="AT76" s="255"/>
      <c r="AU76" s="255"/>
      <c r="AV76" s="255"/>
      <c r="AW76" s="255"/>
      <c r="AX76" s="255"/>
      <c r="AY76" s="297">
        <v>4.4000000000000004</v>
      </c>
      <c r="AZ76" s="347">
        <f t="shared" si="78"/>
        <v>3</v>
      </c>
      <c r="BA76" s="240" t="str">
        <f>IF($AJ$3=1,SUMIF($AT$50:$AT$73,AY76,$BA$50:$BA$73),"")</f>
        <v/>
      </c>
      <c r="BB76" s="331"/>
      <c r="BC76" s="340"/>
      <c r="BD76" s="340"/>
      <c r="BE76" s="340"/>
      <c r="BF76" s="340"/>
      <c r="BG76" s="340"/>
      <c r="BH76" s="340"/>
      <c r="BI76" s="340"/>
      <c r="BJ76" s="1337"/>
      <c r="BK76" s="1338"/>
      <c r="BL76" s="1338"/>
      <c r="BM76" s="1338"/>
      <c r="BN76" s="1338"/>
      <c r="BO76" s="1339"/>
      <c r="BP76" s="255"/>
      <c r="BQ76" s="255"/>
      <c r="BR76" s="255"/>
    </row>
    <row r="77" spans="1:70" ht="15" customHeight="1">
      <c r="A77" s="252"/>
      <c r="B77" s="243"/>
      <c r="C77" s="242"/>
      <c r="D77" s="242"/>
      <c r="F77" s="278">
        <v>1.1000000000000001</v>
      </c>
      <c r="G77" s="311">
        <f>COUNTIF($A$50:$A$76,F77)</f>
        <v>4</v>
      </c>
      <c r="H77" s="240" t="str">
        <f>IF($T$3=1,SUMIF($A$50:$A$76,$F77,$H$50:$H$76),"")</f>
        <v/>
      </c>
      <c r="I77" s="240" t="str">
        <f>IF($X$3=1,SUMIF($A$50:$A$76,$F77,$I$50:$I$76),"")</f>
        <v/>
      </c>
      <c r="J77" s="240" t="str">
        <f>IF($AB$3=1,SUMIF($A$50:$A$76,$F77,$J$50:$J$76),"")</f>
        <v/>
      </c>
      <c r="K77" s="240" t="str">
        <f>IF($AF$3=1,SUMIF($A$50:$A$76,$F77,$K$50:$K$76),"")</f>
        <v/>
      </c>
      <c r="L77" s="240" t="str">
        <f>IF($AJ$3=1,SUMIF($A$50:$A$76,$F77,$L$50:$L$76),"")</f>
        <v/>
      </c>
      <c r="M77" s="240" t="str">
        <f>IF($AN$3=1,SUMIF($A$50:$A$76,$F77,$M$50:$M$76),"")</f>
        <v/>
      </c>
      <c r="N77" s="256"/>
      <c r="O77" s="256"/>
      <c r="P77" s="256"/>
      <c r="Q77" s="256"/>
      <c r="R77" s="256"/>
      <c r="S77" s="256"/>
      <c r="T77" s="256"/>
      <c r="U77" s="256"/>
      <c r="V77" s="331"/>
      <c r="W77" s="340"/>
      <c r="X77" s="340"/>
      <c r="Y77" s="340"/>
      <c r="Z77" s="340"/>
      <c r="AA77" s="340"/>
      <c r="AB77" s="340"/>
      <c r="AC77" s="340"/>
      <c r="AD77" s="255"/>
      <c r="AE77" s="255"/>
      <c r="AF77" s="255"/>
      <c r="AG77" s="255"/>
      <c r="AH77" s="255"/>
      <c r="AI77" s="298">
        <v>2.4</v>
      </c>
      <c r="AJ77" s="312">
        <f>COUNTIF($AD$50:$AD$76,AI77)</f>
        <v>2</v>
      </c>
      <c r="AK77" s="240" t="str">
        <f>IF($AB$3=1,SUMIF($AD$50:$AD$76,AI77,$AK$50:$AK$76),"")</f>
        <v/>
      </c>
      <c r="AL77" s="255"/>
      <c r="AM77" s="255"/>
      <c r="AN77" s="255"/>
      <c r="AO77" s="255"/>
      <c r="AP77" s="255"/>
      <c r="AQ77" s="298">
        <v>2.4</v>
      </c>
      <c r="AR77" s="312">
        <f>COUNTIF($AL$50:$AL$76,AQ77)</f>
        <v>3</v>
      </c>
      <c r="AS77" s="240" t="str">
        <f>IF($AF$3=1,SUMIF($AL$50:$AL$76,AQ77,$AS$50:$AS$76),"")</f>
        <v/>
      </c>
      <c r="AT77" s="255"/>
      <c r="AU77" s="255"/>
      <c r="AV77" s="255"/>
      <c r="AW77" s="255"/>
      <c r="AX77" s="255"/>
      <c r="AY77" s="255"/>
      <c r="AZ77" s="255"/>
      <c r="BA77" s="255"/>
      <c r="BB77" s="331"/>
      <c r="BC77" s="340"/>
      <c r="BD77" s="340"/>
      <c r="BE77" s="340"/>
      <c r="BF77" s="340"/>
      <c r="BG77" s="340"/>
      <c r="BH77" s="340"/>
      <c r="BI77" s="340"/>
      <c r="BJ77" s="1337"/>
      <c r="BK77" s="1338"/>
      <c r="BL77" s="1338"/>
      <c r="BM77" s="1338"/>
      <c r="BN77" s="1338"/>
      <c r="BO77" s="1339"/>
      <c r="BP77" s="255"/>
      <c r="BQ77" s="255"/>
      <c r="BR77" s="255"/>
    </row>
    <row r="78" spans="1:70" ht="15" customHeight="1">
      <c r="A78" s="252"/>
      <c r="B78" s="243"/>
      <c r="C78" s="242"/>
      <c r="D78" s="242"/>
      <c r="F78" s="278">
        <v>1.5</v>
      </c>
      <c r="G78" s="311">
        <f t="shared" ref="G78:G80" si="79">COUNTIF($A$50:$A$76,F78)</f>
        <v>1</v>
      </c>
      <c r="H78" s="240" t="str">
        <f>IF($T$3=1,SUMIF($A$50:$A$76,$F78,$H$50:$H$76),"")</f>
        <v/>
      </c>
      <c r="I78" s="240" t="str">
        <f>IF($X$3=1,SUMIF($A$50:$A$76,$F78,$I$50:$I$76),"")</f>
        <v/>
      </c>
      <c r="J78" s="240" t="str">
        <f>IF($AB$3=1,SUMIF($A$50:$A$76,$F78,$J$50:$J$76),"")</f>
        <v/>
      </c>
      <c r="K78" s="240" t="str">
        <f>IF($AF$3=1,SUMIF($A$50:$A$76,$F78,$K$50:$K$76),"")</f>
        <v/>
      </c>
      <c r="L78" s="240" t="str">
        <f>IF($AJ$3=1,SUMIF($A$50:$A$76,$F78,$L$50:$L$76),"")</f>
        <v/>
      </c>
      <c r="M78" s="240" t="str">
        <f>IF($AN$3=1,SUMIF($A$50:$A$76,$F78,$M$50:$M$76),"")</f>
        <v/>
      </c>
      <c r="N78" s="256"/>
      <c r="O78" s="256"/>
      <c r="P78" s="256"/>
      <c r="Q78" s="256"/>
      <c r="R78" s="256"/>
      <c r="S78" s="256"/>
      <c r="T78" s="256"/>
      <c r="U78" s="256"/>
      <c r="V78" s="331"/>
      <c r="W78" s="340"/>
      <c r="X78" s="340"/>
      <c r="Y78" s="340"/>
      <c r="Z78" s="340"/>
      <c r="AA78" s="340"/>
      <c r="AB78" s="340"/>
      <c r="AC78" s="340"/>
      <c r="AD78" s="255"/>
      <c r="AE78" s="255"/>
      <c r="AF78" s="255"/>
      <c r="AG78" s="255"/>
      <c r="AH78" s="255"/>
      <c r="AI78" s="297">
        <v>4.3</v>
      </c>
      <c r="AJ78" s="312">
        <f t="shared" ref="AJ78:AJ79" si="80">COUNTIF($AD$50:$AD$76,AI78)</f>
        <v>4</v>
      </c>
      <c r="AK78" s="240" t="str">
        <f>IF($AB$3=1,SUMIF($AD$50:$AD$76,AI78,$AK$50:$AK$76),"")</f>
        <v/>
      </c>
      <c r="AL78" s="255"/>
      <c r="AM78" s="255"/>
      <c r="AN78" s="255"/>
      <c r="AO78" s="255"/>
      <c r="AP78" s="255"/>
      <c r="AQ78" s="297">
        <v>4.3</v>
      </c>
      <c r="AR78" s="312">
        <f>COUNTIF($AL$50:$AL$76,AQ78)</f>
        <v>4</v>
      </c>
      <c r="AS78" s="240" t="str">
        <f>IF($AF$3=1,SUMIF($AL$50:$AL$76,AQ78,$AS$50:$AS$76),"")</f>
        <v/>
      </c>
      <c r="AT78" s="255"/>
      <c r="AU78" s="255"/>
      <c r="AV78" s="255"/>
      <c r="AW78" s="255"/>
      <c r="AX78" s="255"/>
      <c r="AY78" s="255"/>
      <c r="AZ78" s="255"/>
      <c r="BA78" s="255"/>
      <c r="BB78" s="331"/>
      <c r="BC78" s="340"/>
      <c r="BD78" s="340"/>
      <c r="BE78" s="340"/>
      <c r="BF78" s="340"/>
      <c r="BG78" s="340"/>
      <c r="BH78" s="340"/>
      <c r="BI78" s="340"/>
      <c r="BJ78" s="1222"/>
      <c r="BK78" s="1223"/>
      <c r="BL78" s="1223"/>
      <c r="BM78" s="1223"/>
      <c r="BN78" s="1223"/>
      <c r="BO78" s="1224"/>
      <c r="BP78" s="255"/>
      <c r="BQ78" s="255"/>
      <c r="BR78" s="255"/>
    </row>
    <row r="79" spans="1:70" ht="15" customHeight="1">
      <c r="A79" s="249"/>
      <c r="B79" s="249"/>
      <c r="C79" s="249"/>
      <c r="D79" s="249"/>
      <c r="F79" s="277">
        <v>2.1</v>
      </c>
      <c r="G79" s="311">
        <f t="shared" si="79"/>
        <v>2</v>
      </c>
      <c r="H79" s="240" t="str">
        <f>IF($T$3=1,SUMIF($A$50:$A$76,$F79,$H$50:$H$76),"")</f>
        <v/>
      </c>
      <c r="I79" s="240" t="str">
        <f>IF($X$3=1,SUMIF($A$50:$A$76,$F79,$I$50:$I$76),"")</f>
        <v/>
      </c>
      <c r="J79" s="240" t="str">
        <f>IF($AB$3=1,SUMIF($A$50:$A$76,$F79,$J$50:$J$76),"")</f>
        <v/>
      </c>
      <c r="K79" s="240" t="str">
        <f>IF($AF$3=1,SUMIF($A$50:$A$76,$F79,$K$50:$K$76),"")</f>
        <v/>
      </c>
      <c r="L79" s="240" t="str">
        <f>IF($AJ$3=1,SUMIF($A$50:$A$76,$F79,$L$50:$L$76),"")</f>
        <v/>
      </c>
      <c r="M79" s="240" t="str">
        <f>IF($AN$3=1,SUMIF($A$50:$A$76,$F79,$M$50:$M$76),"")</f>
        <v/>
      </c>
      <c r="N79" s="256"/>
      <c r="O79" s="256"/>
      <c r="P79" s="256"/>
      <c r="Q79" s="256"/>
      <c r="R79" s="256"/>
      <c r="S79" s="256"/>
      <c r="T79" s="256"/>
      <c r="U79" s="256"/>
      <c r="V79" s="331"/>
      <c r="W79" s="340"/>
      <c r="X79" s="340"/>
      <c r="Y79" s="340"/>
      <c r="Z79" s="340"/>
      <c r="AA79" s="340"/>
      <c r="AB79" s="340"/>
      <c r="AC79" s="340"/>
      <c r="AD79" s="255"/>
      <c r="AE79" s="255"/>
      <c r="AF79" s="255"/>
      <c r="AG79" s="255"/>
      <c r="AH79" s="255"/>
      <c r="AI79" s="297">
        <v>4.4000000000000004</v>
      </c>
      <c r="AJ79" s="312">
        <f t="shared" si="80"/>
        <v>3</v>
      </c>
      <c r="AK79" s="240" t="str">
        <f>IF($AB$3=1,SUMIF($AD$50:$AD$76,AI79,$AK$50:$AK$76),"")</f>
        <v/>
      </c>
      <c r="AL79" s="255"/>
      <c r="AM79" s="255"/>
      <c r="AN79" s="255"/>
      <c r="AO79" s="255"/>
      <c r="AP79" s="255"/>
      <c r="AQ79" s="297">
        <v>4.4000000000000004</v>
      </c>
      <c r="AR79" s="312">
        <f>COUNTIF($AL$50:$AL$76,AQ79)</f>
        <v>2</v>
      </c>
      <c r="AS79" s="240" t="str">
        <f>IF($AF$3=1,SUMIF($AL$50:$AL$76,AQ79,$AS$50:$AS$76),"")</f>
        <v/>
      </c>
      <c r="AT79" s="255"/>
      <c r="AU79" s="255"/>
      <c r="AV79" s="255"/>
      <c r="AW79" s="255"/>
      <c r="AX79" s="255"/>
      <c r="AY79" s="255"/>
      <c r="AZ79" s="255"/>
      <c r="BA79" s="255"/>
      <c r="BB79" s="331"/>
      <c r="BC79" s="340"/>
      <c r="BD79" s="340"/>
      <c r="BE79" s="340"/>
      <c r="BF79" s="340"/>
      <c r="BG79" s="340"/>
      <c r="BH79" s="340"/>
      <c r="BI79" s="340"/>
      <c r="BJ79" s="255"/>
      <c r="BK79" s="255"/>
      <c r="BL79" s="255"/>
      <c r="BM79" s="255"/>
      <c r="BN79" s="255"/>
      <c r="BO79" s="255"/>
      <c r="BP79" s="255"/>
      <c r="BQ79" s="255"/>
      <c r="BR79" s="255"/>
    </row>
    <row r="80" spans="1:70" ht="15" customHeight="1">
      <c r="F80" s="277">
        <v>2.4</v>
      </c>
      <c r="G80" s="311">
        <f t="shared" si="79"/>
        <v>2</v>
      </c>
      <c r="H80" s="240" t="str">
        <f>IF($T$3=1,SUMIF($A$50:$A$76,$F80,$H$50:$H$76),"")</f>
        <v/>
      </c>
      <c r="I80" s="240" t="str">
        <f>IF($X$3=1,SUMIF($A$50:$A$76,$F80,$I$50:$I$76),"")</f>
        <v/>
      </c>
      <c r="J80" s="240" t="str">
        <f>IF($AB$3=1,SUMIF($A$50:$A$76,$F80,$J$50:$J$76),"")</f>
        <v/>
      </c>
      <c r="K80" s="240" t="str">
        <f>IF($AF$3=1,SUMIF($A$50:$A$76,$F80,$K$50:$K$76),"")</f>
        <v/>
      </c>
      <c r="L80" s="240" t="str">
        <f>IF($AJ$3=1,SUMIF($A$50:$A$76,$F80,$L$50:$L$76),"")</f>
        <v/>
      </c>
      <c r="M80" s="240" t="str">
        <f>IF($AN$3=1,SUMIF($A$50:$A$76,$F80,$M$50:$M$76),"")</f>
        <v/>
      </c>
      <c r="N80" s="256"/>
      <c r="O80" s="256"/>
      <c r="P80" s="256"/>
      <c r="Q80" s="256"/>
      <c r="R80" s="256"/>
      <c r="S80" s="256"/>
      <c r="T80" s="256"/>
      <c r="U80" s="256"/>
      <c r="V80" s="331"/>
      <c r="W80" s="340"/>
      <c r="X80" s="340"/>
      <c r="Y80" s="340"/>
      <c r="Z80" s="340"/>
      <c r="AA80" s="340"/>
      <c r="AB80" s="340"/>
      <c r="AC80" s="340"/>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J80" s="255"/>
      <c r="BK80" s="255"/>
      <c r="BL80" s="255"/>
      <c r="BM80" s="255"/>
      <c r="BN80" s="255"/>
      <c r="BO80" s="255"/>
      <c r="BP80" s="255"/>
      <c r="BQ80" s="255"/>
      <c r="BR80" s="255"/>
    </row>
    <row r="81" spans="1:70" ht="15" customHeight="1">
      <c r="N81" s="339"/>
      <c r="O81" s="339"/>
      <c r="P81" s="255"/>
      <c r="Q81" s="256"/>
      <c r="R81" s="256"/>
      <c r="S81" s="256"/>
      <c r="T81" s="256"/>
      <c r="U81" s="256"/>
      <c r="V81" s="331"/>
      <c r="W81" s="340"/>
      <c r="X81" s="340"/>
      <c r="Y81" s="340"/>
      <c r="Z81" s="340"/>
      <c r="AA81" s="340"/>
      <c r="AB81" s="340"/>
      <c r="AC81" s="340"/>
      <c r="AD81" s="255"/>
      <c r="AE81" s="255"/>
      <c r="AF81" s="255"/>
      <c r="AG81" s="255"/>
      <c r="AH81" s="255"/>
      <c r="AI81" s="255"/>
      <c r="AJ81" s="255"/>
      <c r="AK81" s="255"/>
      <c r="AL81" s="255"/>
      <c r="AM81" s="255"/>
      <c r="AN81" s="255"/>
      <c r="AO81" s="255"/>
      <c r="AP81" s="255"/>
      <c r="AQ81" s="255"/>
      <c r="AR81" s="255"/>
      <c r="AS81" s="255"/>
      <c r="AT81" s="255"/>
      <c r="AU81" s="255"/>
      <c r="AV81" s="255"/>
      <c r="AW81" s="255"/>
      <c r="AX81" s="255"/>
      <c r="AY81" s="255"/>
      <c r="AZ81" s="255"/>
      <c r="BA81" s="255"/>
      <c r="BB81" s="255"/>
      <c r="BC81" s="255"/>
      <c r="BD81" s="255"/>
      <c r="BE81" s="255"/>
      <c r="BF81" s="255"/>
      <c r="BJ81" s="332"/>
      <c r="BK81" s="332"/>
      <c r="BL81" s="332"/>
      <c r="BM81" s="332"/>
      <c r="BN81" s="255"/>
      <c r="BO81" s="255"/>
      <c r="BP81" s="255"/>
      <c r="BQ81" s="255"/>
      <c r="BR81" s="255"/>
    </row>
    <row r="82" spans="1:70" ht="15" customHeight="1">
      <c r="A82" s="1209"/>
      <c r="B82" s="1210" t="s">
        <v>609</v>
      </c>
      <c r="C82" s="1211"/>
      <c r="D82" s="1211"/>
      <c r="E82" s="1211"/>
      <c r="F82" s="1211"/>
      <c r="G82" s="1211"/>
      <c r="H82" s="1174">
        <v>1</v>
      </c>
      <c r="I82" s="1174">
        <v>2</v>
      </c>
      <c r="J82" s="1174">
        <v>3</v>
      </c>
      <c r="K82" s="1174">
        <v>4</v>
      </c>
      <c r="L82" s="1174">
        <v>5</v>
      </c>
      <c r="M82" s="1174">
        <v>6</v>
      </c>
      <c r="N82" s="339"/>
      <c r="O82" s="339"/>
      <c r="P82" s="255"/>
      <c r="Q82" s="256"/>
      <c r="R82" s="256"/>
      <c r="S82" s="256"/>
      <c r="T82" s="256"/>
      <c r="U82" s="256"/>
      <c r="V82" s="331"/>
      <c r="W82" s="340"/>
      <c r="X82" s="340"/>
      <c r="Y82" s="340"/>
      <c r="Z82" s="340"/>
      <c r="AA82" s="340"/>
      <c r="AB82" s="340"/>
      <c r="AC82" s="340"/>
      <c r="AD82" s="255"/>
      <c r="AH82" s="255"/>
      <c r="AI82" s="255"/>
      <c r="AJ82" s="255"/>
      <c r="AK82" s="255"/>
      <c r="AL82" s="255"/>
      <c r="AM82" s="255"/>
      <c r="AN82" s="255"/>
      <c r="AO82" s="255"/>
      <c r="AP82" s="255"/>
      <c r="AQ82" s="255"/>
      <c r="AR82" s="255"/>
      <c r="AS82" s="255"/>
      <c r="AT82" s="255"/>
      <c r="AU82" s="255"/>
      <c r="AV82" s="255"/>
      <c r="AW82" s="255"/>
      <c r="AX82" s="255"/>
      <c r="AY82" s="255"/>
      <c r="AZ82" s="255"/>
      <c r="BA82" s="255"/>
      <c r="BB82" s="255"/>
      <c r="BC82" s="255"/>
      <c r="BD82" s="255"/>
      <c r="BE82" s="255"/>
      <c r="BF82" s="255"/>
      <c r="BJ82" s="332"/>
      <c r="BK82" s="332"/>
      <c r="BL82" s="332"/>
      <c r="BM82" s="332"/>
      <c r="BN82" s="255"/>
      <c r="BO82" s="255"/>
      <c r="BP82" s="255"/>
    </row>
    <row r="83" spans="1:70" ht="15" customHeight="1">
      <c r="A83" s="1209"/>
      <c r="B83" s="1340"/>
      <c r="C83" s="1341"/>
      <c r="D83" s="1341"/>
      <c r="E83" s="1341"/>
      <c r="F83" s="1341"/>
      <c r="G83" s="1341"/>
      <c r="H83" s="1174"/>
      <c r="I83" s="1174"/>
      <c r="J83" s="1174"/>
      <c r="K83" s="1174"/>
      <c r="L83" s="1174"/>
      <c r="M83" s="1174"/>
      <c r="N83" s="339"/>
      <c r="O83" s="339"/>
      <c r="P83" s="255"/>
      <c r="Q83" s="255"/>
      <c r="R83" s="255"/>
      <c r="S83" s="255"/>
      <c r="T83" s="255"/>
      <c r="U83" s="256"/>
      <c r="V83" s="342"/>
      <c r="W83" s="340"/>
      <c r="X83" s="340"/>
      <c r="Y83" s="340"/>
      <c r="Z83" s="340"/>
      <c r="AA83" s="340"/>
      <c r="AB83" s="340"/>
      <c r="AC83" s="340"/>
      <c r="AD83" s="255"/>
      <c r="AH83" s="255"/>
      <c r="AI83" s="255"/>
      <c r="AJ83" s="255"/>
      <c r="AK83" s="255"/>
      <c r="AL83" s="255"/>
      <c r="AM83" s="255"/>
      <c r="AN83" s="255"/>
      <c r="AO83" s="255"/>
      <c r="AP83" s="255"/>
      <c r="AQ83" s="255"/>
      <c r="AR83" s="255"/>
      <c r="AS83" s="255"/>
      <c r="AT83" s="255"/>
      <c r="AU83" s="255"/>
      <c r="AV83" s="255"/>
      <c r="AW83" s="255"/>
      <c r="AX83" s="255"/>
      <c r="AY83" s="255"/>
      <c r="AZ83" s="255"/>
      <c r="BA83" s="255"/>
      <c r="BB83" s="255"/>
      <c r="BC83" s="255"/>
      <c r="BD83" s="255"/>
      <c r="BE83" s="255"/>
      <c r="BF83" s="255"/>
      <c r="BG83" s="255"/>
      <c r="BH83" s="255"/>
      <c r="BI83" s="255"/>
      <c r="BP83" s="255"/>
    </row>
    <row r="84" spans="1:70" ht="15" customHeight="1">
      <c r="A84" s="1209"/>
      <c r="B84" s="1212"/>
      <c r="C84" s="1213"/>
      <c r="D84" s="1213"/>
      <c r="E84" s="1213"/>
      <c r="F84" s="1213"/>
      <c r="G84" s="1213"/>
      <c r="H84" s="1174"/>
      <c r="I84" s="1174"/>
      <c r="J84" s="1174"/>
      <c r="K84" s="1174"/>
      <c r="L84" s="1174"/>
      <c r="M84" s="1174"/>
      <c r="N84" s="339"/>
      <c r="O84" s="339"/>
      <c r="P84" s="256"/>
      <c r="Q84" s="256"/>
      <c r="R84" s="256"/>
      <c r="S84" s="256"/>
      <c r="T84" s="256"/>
      <c r="U84" s="256"/>
      <c r="V84" s="342"/>
      <c r="W84" s="340"/>
      <c r="X84" s="340"/>
      <c r="Y84" s="340"/>
      <c r="Z84" s="340"/>
      <c r="AA84" s="340"/>
      <c r="AB84" s="340"/>
      <c r="AC84" s="340"/>
      <c r="AD84" s="255"/>
      <c r="AH84" s="255"/>
      <c r="AI84" s="255"/>
      <c r="AJ84" s="255"/>
      <c r="AK84" s="255"/>
      <c r="AL84" s="255"/>
      <c r="AM84" s="255"/>
      <c r="AN84" s="255"/>
      <c r="AO84" s="255"/>
      <c r="AP84" s="255"/>
      <c r="AQ84" s="255"/>
      <c r="AR84" s="255"/>
      <c r="AS84" s="255"/>
      <c r="AT84" s="255"/>
      <c r="AU84" s="255"/>
      <c r="AV84" s="255"/>
      <c r="AW84" s="255"/>
      <c r="AX84" s="255"/>
      <c r="AY84" s="255"/>
      <c r="AZ84" s="255"/>
      <c r="BA84" s="255"/>
      <c r="BB84" s="255"/>
      <c r="BC84" s="255"/>
      <c r="BD84" s="255"/>
      <c r="BE84" s="255"/>
      <c r="BF84" s="255"/>
      <c r="BG84" s="255"/>
      <c r="BH84" s="255"/>
      <c r="BI84" s="255"/>
      <c r="BP84" s="255"/>
    </row>
    <row r="85" spans="1:70" ht="15" customHeight="1">
      <c r="A85" s="1336">
        <v>3.1</v>
      </c>
      <c r="B85" s="1198" t="s">
        <v>366</v>
      </c>
      <c r="C85" s="1162"/>
      <c r="D85" s="1162"/>
      <c r="E85" s="1162"/>
      <c r="F85" s="1162"/>
      <c r="G85" s="1265"/>
      <c r="H85" s="1205" t="str">
        <f t="shared" ref="H85" si="81">IF(ISBLANK(T$3),"",1)</f>
        <v/>
      </c>
      <c r="I85" s="1205" t="str">
        <f t="shared" ref="I85" si="82">IF(ISBLANK(X$3),"",1)</f>
        <v/>
      </c>
      <c r="J85" s="1205" t="str">
        <f t="shared" ref="J85" si="83">IF(ISBLANK(AB$3),"",1)</f>
        <v/>
      </c>
      <c r="K85" s="1205" t="str">
        <f t="shared" ref="K85" si="84">IF(ISBLANK(AF$3),"",1)</f>
        <v/>
      </c>
      <c r="L85" s="1205" t="str">
        <f t="shared" ref="L85" si="85">IF(ISBLANK(AJ$3),"",1)</f>
        <v/>
      </c>
      <c r="M85" s="1205" t="str">
        <f t="shared" ref="M85" si="86">IF(ISBLANK(AN$3),"",1)</f>
        <v/>
      </c>
      <c r="N85" s="339"/>
      <c r="O85" s="339"/>
      <c r="P85" s="256"/>
      <c r="Q85" s="256"/>
      <c r="R85" s="256"/>
      <c r="S85" s="256"/>
      <c r="T85" s="256"/>
      <c r="U85" s="256"/>
      <c r="V85" s="342"/>
      <c r="W85" s="616"/>
      <c r="X85" s="616"/>
      <c r="Y85" s="616"/>
      <c r="Z85" s="616"/>
      <c r="AA85" s="616"/>
      <c r="AB85" s="616"/>
      <c r="AC85" s="616"/>
      <c r="AD85" s="255"/>
      <c r="AH85" s="255"/>
      <c r="AI85" s="255"/>
      <c r="AJ85" s="255"/>
      <c r="AK85" s="255"/>
      <c r="AL85" s="255"/>
      <c r="AM85" s="255"/>
      <c r="AN85" s="255"/>
      <c r="AO85" s="255"/>
      <c r="AP85" s="255"/>
      <c r="AQ85" s="255"/>
      <c r="AR85" s="255"/>
      <c r="AS85" s="255"/>
      <c r="AT85" s="255"/>
      <c r="AU85" s="255"/>
      <c r="AV85" s="255"/>
      <c r="AW85" s="255"/>
      <c r="AX85" s="255"/>
      <c r="AY85" s="255"/>
      <c r="AZ85" s="255"/>
      <c r="BA85" s="255"/>
      <c r="BB85" s="255"/>
      <c r="BC85" s="255"/>
      <c r="BD85" s="255"/>
      <c r="BE85" s="255"/>
      <c r="BF85" s="255"/>
      <c r="BG85" s="255"/>
      <c r="BH85" s="255"/>
      <c r="BI85" s="255"/>
      <c r="BP85" s="255"/>
    </row>
    <row r="86" spans="1:70" ht="15" customHeight="1">
      <c r="A86" s="1159"/>
      <c r="B86" s="1200"/>
      <c r="C86" s="1164"/>
      <c r="D86" s="1164"/>
      <c r="E86" s="1164"/>
      <c r="F86" s="1164"/>
      <c r="G86" s="1266"/>
      <c r="H86" s="1206"/>
      <c r="I86" s="1206"/>
      <c r="J86" s="1206"/>
      <c r="K86" s="1206"/>
      <c r="L86" s="1206"/>
      <c r="M86" s="1206"/>
      <c r="N86" s="339"/>
      <c r="O86" s="339"/>
      <c r="P86" s="256"/>
      <c r="Q86" s="256"/>
      <c r="R86" s="256"/>
      <c r="S86" s="256"/>
      <c r="T86" s="256"/>
      <c r="U86" s="256"/>
      <c r="V86" s="342"/>
      <c r="W86" s="616"/>
      <c r="X86" s="616"/>
      <c r="Y86" s="616"/>
      <c r="Z86" s="616"/>
      <c r="AA86" s="616"/>
      <c r="AB86" s="616"/>
      <c r="AC86" s="616"/>
      <c r="AD86" s="255"/>
      <c r="AH86" s="255"/>
      <c r="AI86" s="255"/>
      <c r="AJ86" s="255"/>
      <c r="AK86" s="255"/>
      <c r="AL86" s="255"/>
      <c r="AM86" s="255"/>
      <c r="AN86" s="255"/>
      <c r="AO86" s="255"/>
      <c r="AP86" s="255"/>
      <c r="AQ86" s="255"/>
      <c r="AR86" s="255"/>
      <c r="AS86" s="255"/>
      <c r="AT86" s="255"/>
      <c r="AU86" s="255"/>
      <c r="AV86" s="255"/>
      <c r="AW86" s="255"/>
      <c r="AX86" s="255"/>
      <c r="AY86" s="255"/>
      <c r="AZ86" s="255"/>
      <c r="BA86" s="255"/>
      <c r="BB86" s="255"/>
      <c r="BC86" s="255"/>
      <c r="BD86" s="255"/>
      <c r="BE86" s="255"/>
      <c r="BF86" s="255"/>
      <c r="BG86" s="255"/>
      <c r="BH86" s="255"/>
      <c r="BI86" s="255"/>
      <c r="BP86" s="255"/>
    </row>
    <row r="87" spans="1:70" ht="15" customHeight="1">
      <c r="A87" s="1160"/>
      <c r="B87" s="1200"/>
      <c r="C87" s="1164"/>
      <c r="D87" s="1164"/>
      <c r="E87" s="1164"/>
      <c r="F87" s="1164"/>
      <c r="G87" s="1266"/>
      <c r="H87" s="1207"/>
      <c r="I87" s="1207"/>
      <c r="J87" s="1207"/>
      <c r="K87" s="1207"/>
      <c r="L87" s="1207"/>
      <c r="M87" s="1207"/>
      <c r="N87" s="339"/>
      <c r="O87" s="339"/>
      <c r="P87" s="256"/>
      <c r="Q87" s="256"/>
      <c r="R87" s="256"/>
      <c r="S87" s="256"/>
      <c r="T87" s="256"/>
      <c r="U87" s="256"/>
      <c r="V87" s="342"/>
      <c r="W87" s="616"/>
      <c r="X87" s="616"/>
      <c r="Y87" s="616"/>
      <c r="Z87" s="616"/>
      <c r="AA87" s="616"/>
      <c r="AB87" s="616"/>
      <c r="AC87" s="616"/>
      <c r="AD87" s="255"/>
      <c r="AH87" s="255"/>
      <c r="AI87" s="255"/>
      <c r="AJ87" s="255"/>
      <c r="AK87" s="255"/>
      <c r="AL87" s="255"/>
      <c r="AM87" s="255"/>
      <c r="AN87" s="255"/>
      <c r="AO87" s="255"/>
      <c r="AP87" s="255"/>
      <c r="AQ87" s="255"/>
      <c r="AR87" s="255"/>
      <c r="AS87" s="255"/>
      <c r="AT87" s="255"/>
      <c r="AU87" s="255"/>
      <c r="AV87" s="255"/>
      <c r="AW87" s="255"/>
      <c r="AX87" s="255"/>
      <c r="AY87" s="255"/>
      <c r="AZ87" s="255"/>
      <c r="BA87" s="255"/>
      <c r="BB87" s="255"/>
      <c r="BC87" s="255"/>
      <c r="BD87" s="255"/>
      <c r="BE87" s="255"/>
      <c r="BF87" s="255"/>
      <c r="BG87" s="255"/>
      <c r="BH87" s="255"/>
      <c r="BI87" s="255"/>
      <c r="BP87" s="255"/>
    </row>
    <row r="88" spans="1:70" ht="15" customHeight="1">
      <c r="A88" s="1336">
        <v>1.4</v>
      </c>
      <c r="B88" s="1198" t="s">
        <v>943</v>
      </c>
      <c r="C88" s="1162"/>
      <c r="D88" s="1162"/>
      <c r="E88" s="1162"/>
      <c r="F88" s="1162"/>
      <c r="G88" s="1265"/>
      <c r="H88" s="1205" t="str">
        <f t="shared" ref="H88" si="87">IF(ISBLANK(T$3),"",1)</f>
        <v/>
      </c>
      <c r="I88" s="1205" t="str">
        <f t="shared" ref="I88" si="88">IF(ISBLANK(X$3),"",1)</f>
        <v/>
      </c>
      <c r="J88" s="1205" t="str">
        <f t="shared" ref="J88" si="89">IF(ISBLANK(AB$3),"",1)</f>
        <v/>
      </c>
      <c r="K88" s="1205" t="str">
        <f t="shared" ref="K88" si="90">IF(ISBLANK(AF$3),"",1)</f>
        <v/>
      </c>
      <c r="L88" s="1205" t="str">
        <f t="shared" ref="L88" si="91">IF(ISBLANK(AJ$3),"",1)</f>
        <v/>
      </c>
      <c r="M88" s="1205" t="str">
        <f t="shared" ref="M88" si="92">IF(ISBLANK(AN$3),"",1)</f>
        <v/>
      </c>
      <c r="N88" s="339"/>
      <c r="O88" s="339"/>
      <c r="P88" s="256"/>
      <c r="Q88" s="256"/>
      <c r="R88" s="256"/>
      <c r="S88" s="256"/>
      <c r="T88" s="256"/>
      <c r="U88" s="256"/>
      <c r="V88" s="342"/>
      <c r="W88" s="616"/>
      <c r="X88" s="616"/>
      <c r="Y88" s="616"/>
      <c r="Z88" s="616"/>
      <c r="AA88" s="616"/>
      <c r="AB88" s="616"/>
      <c r="AC88" s="616"/>
      <c r="AD88" s="255"/>
      <c r="AH88" s="255"/>
      <c r="AI88" s="255"/>
      <c r="AJ88" s="255"/>
      <c r="AK88" s="255"/>
      <c r="AL88" s="255"/>
      <c r="AM88" s="255"/>
      <c r="AN88" s="255"/>
      <c r="AO88" s="255"/>
      <c r="AP88" s="255"/>
      <c r="AQ88" s="255"/>
      <c r="AR88" s="255"/>
      <c r="AS88" s="255"/>
      <c r="AT88" s="255"/>
      <c r="AU88" s="255"/>
      <c r="AV88" s="255"/>
      <c r="AW88" s="255"/>
      <c r="AX88" s="255"/>
      <c r="AY88" s="255"/>
      <c r="AZ88" s="255"/>
      <c r="BA88" s="255"/>
      <c r="BB88" s="255"/>
      <c r="BC88" s="255"/>
      <c r="BD88" s="255"/>
      <c r="BE88" s="255"/>
      <c r="BF88" s="255"/>
      <c r="BG88" s="255"/>
      <c r="BH88" s="255"/>
      <c r="BI88" s="255"/>
      <c r="BP88" s="255"/>
    </row>
    <row r="89" spans="1:70" ht="15" customHeight="1">
      <c r="A89" s="1159"/>
      <c r="B89" s="1200"/>
      <c r="C89" s="1164"/>
      <c r="D89" s="1164"/>
      <c r="E89" s="1164"/>
      <c r="F89" s="1164"/>
      <c r="G89" s="1266"/>
      <c r="H89" s="1206"/>
      <c r="I89" s="1206"/>
      <c r="J89" s="1206"/>
      <c r="K89" s="1206"/>
      <c r="L89" s="1206"/>
      <c r="M89" s="1206"/>
      <c r="N89" s="339"/>
      <c r="O89" s="339"/>
      <c r="P89" s="256"/>
      <c r="Q89" s="256"/>
      <c r="R89" s="256"/>
      <c r="S89" s="256"/>
      <c r="T89" s="256"/>
      <c r="U89" s="256"/>
      <c r="V89" s="342"/>
      <c r="W89" s="616"/>
      <c r="X89" s="616"/>
      <c r="Y89" s="616"/>
      <c r="Z89" s="616"/>
      <c r="AA89" s="616"/>
      <c r="AB89" s="616"/>
      <c r="AC89" s="616"/>
      <c r="AD89" s="255"/>
      <c r="AH89" s="255"/>
      <c r="AI89" s="255"/>
      <c r="AJ89" s="255"/>
      <c r="AK89" s="255"/>
      <c r="AL89" s="255"/>
      <c r="AM89" s="255"/>
      <c r="AN89" s="255"/>
      <c r="AO89" s="255"/>
      <c r="AP89" s="255"/>
      <c r="AQ89" s="255"/>
      <c r="AR89" s="255"/>
      <c r="AS89" s="255"/>
      <c r="AT89" s="255"/>
      <c r="AU89" s="255"/>
      <c r="AV89" s="255"/>
      <c r="AW89" s="255"/>
      <c r="AX89" s="255"/>
      <c r="AY89" s="255"/>
      <c r="AZ89" s="255"/>
      <c r="BA89" s="255"/>
      <c r="BB89" s="255"/>
      <c r="BC89" s="255"/>
      <c r="BD89" s="255"/>
      <c r="BE89" s="255"/>
      <c r="BF89" s="255"/>
      <c r="BG89" s="255"/>
      <c r="BH89" s="255"/>
      <c r="BI89" s="255"/>
      <c r="BP89" s="255"/>
    </row>
    <row r="90" spans="1:70" ht="15" customHeight="1">
      <c r="A90" s="1160"/>
      <c r="B90" s="1200"/>
      <c r="C90" s="1164"/>
      <c r="D90" s="1164"/>
      <c r="E90" s="1164"/>
      <c r="F90" s="1164"/>
      <c r="G90" s="1266"/>
      <c r="H90" s="1207"/>
      <c r="I90" s="1207"/>
      <c r="J90" s="1207"/>
      <c r="K90" s="1207"/>
      <c r="L90" s="1207"/>
      <c r="M90" s="1207"/>
      <c r="N90" s="339"/>
      <c r="O90" s="339"/>
      <c r="P90" s="256"/>
      <c r="Q90" s="256"/>
      <c r="R90" s="256"/>
      <c r="S90" s="256"/>
      <c r="T90" s="256"/>
      <c r="U90" s="256"/>
      <c r="V90" s="342"/>
      <c r="W90" s="616"/>
      <c r="X90" s="616"/>
      <c r="Y90" s="616"/>
      <c r="Z90" s="616"/>
      <c r="AA90" s="616"/>
      <c r="AB90" s="616"/>
      <c r="AC90" s="616"/>
      <c r="AD90" s="255"/>
      <c r="AH90" s="255"/>
      <c r="AI90" s="255"/>
      <c r="AJ90" s="255"/>
      <c r="AK90" s="255"/>
      <c r="AL90" s="255"/>
      <c r="AM90" s="255"/>
      <c r="AN90" s="255"/>
      <c r="AO90" s="255"/>
      <c r="AP90" s="255"/>
      <c r="AQ90" s="255"/>
      <c r="AR90" s="255"/>
      <c r="AS90" s="255"/>
      <c r="AT90" s="255"/>
      <c r="AU90" s="255"/>
      <c r="AV90" s="255"/>
      <c r="AW90" s="255"/>
      <c r="AX90" s="255"/>
      <c r="AY90" s="255"/>
      <c r="AZ90" s="255"/>
      <c r="BA90" s="255"/>
      <c r="BB90" s="255"/>
      <c r="BC90" s="255"/>
      <c r="BD90" s="255"/>
      <c r="BE90" s="255"/>
      <c r="BF90" s="255"/>
      <c r="BG90" s="255"/>
      <c r="BH90" s="255"/>
      <c r="BI90" s="255"/>
      <c r="BP90" s="255"/>
    </row>
    <row r="91" spans="1:70" ht="15" customHeight="1">
      <c r="A91" s="1168" t="s">
        <v>637</v>
      </c>
      <c r="B91" s="1168"/>
      <c r="C91" s="1168"/>
      <c r="D91" s="1168"/>
      <c r="E91" s="1169"/>
      <c r="F91" s="617">
        <v>3.1</v>
      </c>
      <c r="G91" s="620">
        <f>COUNTIF($A$85:$A$90,F91)</f>
        <v>1</v>
      </c>
      <c r="H91" s="240" t="str">
        <f>IF($P$3=1,SUMIF($A$85:$A$90,$F91,$H$85:$H$90),"")</f>
        <v/>
      </c>
      <c r="I91" s="240" t="str">
        <f>IF($T$3=1,SUMIF($A$85:$A$90,$F91,$I$85:$I$90),"")</f>
        <v/>
      </c>
      <c r="J91" s="240" t="str">
        <f>IF($X$3=1,SUMIF($A$85:$A$90,$F91,$J$85:$J$90),"")</f>
        <v/>
      </c>
      <c r="K91" s="240" t="str">
        <f>IF($AB$3=1,SUMIF($A$85:$A$90,$F91,$K$85:$K$90),"")</f>
        <v/>
      </c>
      <c r="L91" s="240" t="str">
        <f>IF($AF$3=1,SUMIF($A$85:$A$90,$F91,$L$85:$L$90),"")</f>
        <v/>
      </c>
      <c r="M91" s="240" t="str">
        <f>IF($AJ$3=1,SUMIF($A$85:$A$90,$F91,$M$85:$M$90),"")</f>
        <v/>
      </c>
      <c r="N91" s="339"/>
      <c r="O91" s="339"/>
      <c r="P91" s="256"/>
      <c r="Q91" s="256"/>
      <c r="R91" s="256"/>
      <c r="S91" s="256"/>
      <c r="T91" s="256"/>
      <c r="U91" s="256"/>
      <c r="V91" s="342"/>
      <c r="W91" s="616"/>
      <c r="X91" s="616"/>
      <c r="Y91" s="616"/>
      <c r="Z91" s="616"/>
      <c r="AA91" s="616"/>
      <c r="AB91" s="616"/>
      <c r="AC91" s="616"/>
      <c r="AD91" s="255"/>
      <c r="AH91" s="255"/>
      <c r="AI91" s="255"/>
      <c r="AJ91" s="255"/>
      <c r="AK91" s="255"/>
      <c r="AL91" s="255"/>
      <c r="AM91" s="255"/>
      <c r="AN91" s="255"/>
      <c r="AO91" s="255"/>
      <c r="AP91" s="255"/>
      <c r="AQ91" s="255"/>
      <c r="AR91" s="255"/>
      <c r="AS91" s="255"/>
      <c r="AT91" s="255"/>
      <c r="AU91" s="255"/>
      <c r="AV91" s="255"/>
      <c r="AW91" s="255"/>
      <c r="AX91" s="255"/>
      <c r="AY91" s="255"/>
      <c r="AZ91" s="255"/>
      <c r="BA91" s="255"/>
      <c r="BB91" s="255"/>
      <c r="BC91" s="255"/>
      <c r="BD91" s="255"/>
      <c r="BE91" s="255"/>
      <c r="BF91" s="255"/>
      <c r="BG91" s="255"/>
      <c r="BH91" s="255"/>
      <c r="BI91" s="255"/>
      <c r="BP91" s="255"/>
    </row>
    <row r="92" spans="1:70" ht="15" customHeight="1">
      <c r="F92" s="617">
        <v>1.4</v>
      </c>
      <c r="G92" s="620">
        <f>COUNTIF($A$85:$A$90,F92)</f>
        <v>1</v>
      </c>
      <c r="H92" s="240" t="str">
        <f>IF($P$3=1,SUMIF($A$85:$A$90,$F92,$H$85:$H$90),"")</f>
        <v/>
      </c>
      <c r="I92" s="240" t="str">
        <f>IF($T$3=1,SUMIF($A$85:$A$90,$F92,$I$85:$I$90),"")</f>
        <v/>
      </c>
      <c r="J92" s="240" t="str">
        <f>IF($X$3=1,SUMIF($A$85:$A$90,$F92,$J$85:$J$90),"")</f>
        <v/>
      </c>
      <c r="K92" s="240" t="str">
        <f>IF($AB$3=1,SUMIF($A$85:$A$90,$F92,$K$85:$K$90),"")</f>
        <v/>
      </c>
      <c r="L92" s="240" t="str">
        <f>IF($AF$3=1,SUMIF($A$85:$A$90,$F92,$L$85:$L$90),"")</f>
        <v/>
      </c>
      <c r="M92" s="240" t="str">
        <f>IF($AJ$3=1,SUMIF($A$85:$A$90,$F92,$M$85:$M$90),"")</f>
        <v/>
      </c>
      <c r="N92" s="339"/>
      <c r="O92" s="339"/>
      <c r="P92" s="256"/>
      <c r="Q92" s="256"/>
      <c r="R92" s="256"/>
      <c r="S92" s="256"/>
      <c r="T92" s="256"/>
      <c r="U92" s="256"/>
      <c r="V92" s="342"/>
      <c r="W92" s="616"/>
      <c r="X92" s="616"/>
      <c r="Y92" s="616"/>
      <c r="Z92" s="616"/>
      <c r="AA92" s="616"/>
      <c r="AB92" s="616"/>
      <c r="AC92" s="616"/>
      <c r="AD92" s="255"/>
      <c r="AH92" s="255"/>
      <c r="AI92" s="255"/>
      <c r="AJ92" s="255"/>
      <c r="AK92" s="255"/>
      <c r="AL92" s="255"/>
      <c r="AM92" s="255"/>
      <c r="AN92" s="255"/>
      <c r="AO92" s="255"/>
      <c r="AP92" s="255"/>
      <c r="AQ92" s="255"/>
      <c r="AR92" s="255"/>
      <c r="AS92" s="255"/>
      <c r="AT92" s="255"/>
      <c r="AU92" s="255"/>
      <c r="AV92" s="255"/>
      <c r="AW92" s="255"/>
      <c r="AX92" s="255"/>
      <c r="AY92" s="255"/>
      <c r="AZ92" s="255"/>
      <c r="BA92" s="255"/>
      <c r="BB92" s="255"/>
      <c r="BC92" s="255"/>
      <c r="BD92" s="255"/>
      <c r="BE92" s="255"/>
      <c r="BF92" s="255"/>
      <c r="BG92" s="255"/>
      <c r="BH92" s="255"/>
      <c r="BI92" s="255"/>
      <c r="BP92" s="255"/>
    </row>
    <row r="93" spans="1:70" ht="15" customHeight="1">
      <c r="A93" s="1171" t="s">
        <v>17</v>
      </c>
      <c r="B93" s="1171"/>
      <c r="C93" s="1171"/>
      <c r="D93" s="1171"/>
      <c r="E93" s="1171"/>
      <c r="F93" s="1171"/>
      <c r="G93" s="1171"/>
      <c r="H93" s="1171"/>
      <c r="I93" s="1171"/>
      <c r="J93" s="1171"/>
      <c r="K93" s="1171"/>
      <c r="L93" s="1171"/>
      <c r="M93" s="1171"/>
      <c r="N93" s="1171"/>
      <c r="O93" s="1171"/>
      <c r="P93" s="1171"/>
      <c r="Q93" s="1171"/>
      <c r="R93" s="1171"/>
      <c r="S93" s="1171"/>
      <c r="T93" s="1171"/>
      <c r="U93" s="1171"/>
      <c r="V93" s="1171"/>
      <c r="W93" s="1171"/>
      <c r="X93" s="1171"/>
      <c r="Y93" s="1171"/>
      <c r="Z93" s="1171"/>
      <c r="AA93" s="1171"/>
      <c r="AB93" s="1171"/>
      <c r="AC93" s="1171"/>
      <c r="AD93" s="1171"/>
      <c r="AE93" s="1171"/>
      <c r="AF93" s="1171"/>
      <c r="AG93" s="1171"/>
      <c r="AH93" s="1171"/>
      <c r="AI93" s="117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P93" s="255"/>
    </row>
    <row r="94" spans="1:70" ht="15" customHeight="1">
      <c r="A94" s="1275"/>
      <c r="B94" s="1275"/>
      <c r="C94" s="1275"/>
      <c r="D94" s="1275"/>
      <c r="E94" s="1275"/>
      <c r="F94" s="1275"/>
      <c r="G94" s="1275"/>
      <c r="H94" s="1275"/>
      <c r="I94" s="1275"/>
      <c r="J94" s="1275"/>
      <c r="K94" s="1275"/>
      <c r="L94" s="1275"/>
      <c r="M94" s="1275"/>
      <c r="N94" s="1275"/>
      <c r="O94" s="1275"/>
      <c r="P94" s="1275"/>
      <c r="Q94" s="1275"/>
      <c r="R94" s="1275"/>
      <c r="S94" s="1275"/>
      <c r="T94" s="1275"/>
      <c r="U94" s="1275"/>
      <c r="V94" s="1275"/>
      <c r="W94" s="1275"/>
      <c r="X94" s="1275"/>
      <c r="Y94" s="1275"/>
      <c r="Z94" s="1275"/>
      <c r="AA94" s="1275"/>
      <c r="AB94" s="1275"/>
      <c r="AC94" s="1275"/>
      <c r="AD94" s="1275"/>
      <c r="AE94" s="1275"/>
      <c r="AF94" s="1275"/>
      <c r="AG94" s="1275"/>
      <c r="AH94" s="1275"/>
      <c r="AI94" s="1275"/>
      <c r="AJ94" s="1275"/>
      <c r="AK94" s="1275"/>
      <c r="AL94" s="1275"/>
      <c r="AM94" s="1275"/>
      <c r="AN94" s="1275"/>
      <c r="AO94" s="1275"/>
      <c r="AP94" s="1275"/>
      <c r="AQ94" s="1275"/>
      <c r="AR94" s="1275"/>
      <c r="AS94" s="1275"/>
      <c r="AT94" s="1275"/>
      <c r="AU94" s="1275"/>
      <c r="AV94" s="1275"/>
      <c r="AW94" s="1275"/>
      <c r="AX94" s="1275"/>
      <c r="AY94" s="1275"/>
      <c r="AZ94" s="1275"/>
      <c r="BA94" s="1275"/>
      <c r="BB94" s="1275"/>
      <c r="BC94" s="1275"/>
      <c r="BD94" s="1275"/>
      <c r="BE94" s="1275"/>
      <c r="BF94" s="1275"/>
      <c r="BG94" s="1275"/>
      <c r="BH94" s="1275"/>
      <c r="BI94" s="1275"/>
      <c r="BJ94" s="1275"/>
      <c r="BK94" s="1275"/>
      <c r="BL94" s="1275"/>
      <c r="BM94" s="1275"/>
    </row>
    <row r="95" spans="1:70" ht="15" customHeight="1">
      <c r="A95" s="1172"/>
      <c r="B95" s="1173" t="s">
        <v>608</v>
      </c>
      <c r="C95" s="1173"/>
      <c r="D95" s="1173"/>
      <c r="E95" s="1173"/>
      <c r="F95" s="1173"/>
      <c r="G95" s="1173"/>
      <c r="H95" s="1343">
        <v>1</v>
      </c>
      <c r="I95" s="1174">
        <v>2</v>
      </c>
      <c r="J95" s="1174">
        <v>3</v>
      </c>
      <c r="K95" s="1174">
        <v>4</v>
      </c>
      <c r="L95" s="1174">
        <v>5</v>
      </c>
      <c r="M95" s="1343">
        <v>6</v>
      </c>
      <c r="N95" s="1277"/>
      <c r="O95" s="1516" t="s">
        <v>432</v>
      </c>
      <c r="P95" s="1517"/>
      <c r="Q95" s="1517"/>
      <c r="R95" s="1517"/>
      <c r="S95" s="1517"/>
      <c r="T95" s="1517"/>
      <c r="U95" s="1518"/>
      <c r="V95" s="1281"/>
      <c r="W95" s="1464" t="s">
        <v>881</v>
      </c>
      <c r="X95" s="1465"/>
      <c r="Y95" s="1465"/>
      <c r="Z95" s="1465"/>
      <c r="AA95" s="1465"/>
      <c r="AB95" s="1465"/>
      <c r="AC95" s="1466"/>
      <c r="AD95" s="1473"/>
      <c r="AE95" s="1496" t="s">
        <v>911</v>
      </c>
      <c r="AF95" s="1497"/>
      <c r="AG95" s="1497"/>
      <c r="AH95" s="1497"/>
      <c r="AI95" s="1497"/>
      <c r="AJ95" s="1497"/>
      <c r="AK95" s="1498"/>
      <c r="AL95" s="1505"/>
      <c r="AM95" s="1476" t="s">
        <v>912</v>
      </c>
      <c r="AN95" s="1477"/>
      <c r="AO95" s="1477"/>
      <c r="AP95" s="1477"/>
      <c r="AQ95" s="1477"/>
      <c r="AR95" s="1477"/>
      <c r="AS95" s="1478"/>
      <c r="AT95" s="1485"/>
      <c r="AU95" s="1506" t="s">
        <v>913</v>
      </c>
      <c r="AV95" s="1507"/>
      <c r="AW95" s="1507"/>
      <c r="AX95" s="1507"/>
      <c r="AY95" s="1507"/>
      <c r="AZ95" s="1507"/>
      <c r="BA95" s="1508"/>
      <c r="BB95" s="1515"/>
      <c r="BC95" s="1487" t="s">
        <v>914</v>
      </c>
      <c r="BD95" s="1488"/>
      <c r="BE95" s="1488"/>
      <c r="BF95" s="1488"/>
      <c r="BG95" s="1488"/>
      <c r="BH95" s="1488"/>
      <c r="BI95" s="1489"/>
      <c r="BJ95" s="1182" t="s">
        <v>263</v>
      </c>
      <c r="BK95" s="1183"/>
      <c r="BL95" s="1183"/>
      <c r="BM95" s="1183"/>
      <c r="BN95" s="1183"/>
      <c r="BO95" s="1184"/>
    </row>
    <row r="96" spans="1:70" ht="15" customHeight="1">
      <c r="A96" s="1172"/>
      <c r="B96" s="1173"/>
      <c r="C96" s="1173"/>
      <c r="D96" s="1173"/>
      <c r="E96" s="1173"/>
      <c r="F96" s="1173"/>
      <c r="G96" s="1173"/>
      <c r="H96" s="1344"/>
      <c r="I96" s="1174"/>
      <c r="J96" s="1174"/>
      <c r="K96" s="1174"/>
      <c r="L96" s="1174"/>
      <c r="M96" s="1344"/>
      <c r="N96" s="1277"/>
      <c r="O96" s="1519"/>
      <c r="P96" s="1520"/>
      <c r="Q96" s="1520"/>
      <c r="R96" s="1520"/>
      <c r="S96" s="1520"/>
      <c r="T96" s="1520"/>
      <c r="U96" s="1521"/>
      <c r="V96" s="1281"/>
      <c r="W96" s="1467"/>
      <c r="X96" s="1468"/>
      <c r="Y96" s="1468"/>
      <c r="Z96" s="1468"/>
      <c r="AA96" s="1468"/>
      <c r="AB96" s="1468"/>
      <c r="AC96" s="1469"/>
      <c r="AD96" s="1474"/>
      <c r="AE96" s="1499"/>
      <c r="AF96" s="1500"/>
      <c r="AG96" s="1500"/>
      <c r="AH96" s="1500"/>
      <c r="AI96" s="1500"/>
      <c r="AJ96" s="1500"/>
      <c r="AK96" s="1501"/>
      <c r="AL96" s="1505"/>
      <c r="AM96" s="1479"/>
      <c r="AN96" s="1480"/>
      <c r="AO96" s="1480"/>
      <c r="AP96" s="1480"/>
      <c r="AQ96" s="1480"/>
      <c r="AR96" s="1480"/>
      <c r="AS96" s="1481"/>
      <c r="AT96" s="1485"/>
      <c r="AU96" s="1509"/>
      <c r="AV96" s="1510"/>
      <c r="AW96" s="1510"/>
      <c r="AX96" s="1510"/>
      <c r="AY96" s="1510"/>
      <c r="AZ96" s="1510"/>
      <c r="BA96" s="1511"/>
      <c r="BB96" s="1515"/>
      <c r="BC96" s="1490"/>
      <c r="BD96" s="1491"/>
      <c r="BE96" s="1491"/>
      <c r="BF96" s="1491"/>
      <c r="BG96" s="1491"/>
      <c r="BH96" s="1491"/>
      <c r="BI96" s="1492"/>
      <c r="BJ96" s="1219"/>
      <c r="BK96" s="1220"/>
      <c r="BL96" s="1220"/>
      <c r="BM96" s="1220"/>
      <c r="BN96" s="1220"/>
      <c r="BO96" s="1221"/>
    </row>
    <row r="97" spans="1:67" ht="15" customHeight="1" thickBot="1">
      <c r="A97" s="1172"/>
      <c r="B97" s="1173"/>
      <c r="C97" s="1173"/>
      <c r="D97" s="1173"/>
      <c r="E97" s="1173"/>
      <c r="F97" s="1173"/>
      <c r="G97" s="1173"/>
      <c r="H97" s="1345"/>
      <c r="I97" s="1174"/>
      <c r="J97" s="1174"/>
      <c r="K97" s="1174"/>
      <c r="L97" s="1174"/>
      <c r="M97" s="1486"/>
      <c r="N97" s="1277"/>
      <c r="O97" s="1522"/>
      <c r="P97" s="1523"/>
      <c r="Q97" s="1523"/>
      <c r="R97" s="1523"/>
      <c r="S97" s="1523"/>
      <c r="T97" s="1523"/>
      <c r="U97" s="1524"/>
      <c r="V97" s="1281"/>
      <c r="W97" s="1470"/>
      <c r="X97" s="1471"/>
      <c r="Y97" s="1471"/>
      <c r="Z97" s="1471"/>
      <c r="AA97" s="1471"/>
      <c r="AB97" s="1471"/>
      <c r="AC97" s="1472"/>
      <c r="AD97" s="1475"/>
      <c r="AE97" s="1502"/>
      <c r="AF97" s="1503"/>
      <c r="AG97" s="1503"/>
      <c r="AH97" s="1503"/>
      <c r="AI97" s="1503"/>
      <c r="AJ97" s="1503"/>
      <c r="AK97" s="1504"/>
      <c r="AL97" s="1505"/>
      <c r="AM97" s="1482"/>
      <c r="AN97" s="1483"/>
      <c r="AO97" s="1483"/>
      <c r="AP97" s="1483"/>
      <c r="AQ97" s="1483"/>
      <c r="AR97" s="1483"/>
      <c r="AS97" s="1484"/>
      <c r="AT97" s="1485"/>
      <c r="AU97" s="1512"/>
      <c r="AV97" s="1513"/>
      <c r="AW97" s="1513"/>
      <c r="AX97" s="1513"/>
      <c r="AY97" s="1513"/>
      <c r="AZ97" s="1513"/>
      <c r="BA97" s="1514"/>
      <c r="BB97" s="1515"/>
      <c r="BC97" s="1493"/>
      <c r="BD97" s="1494"/>
      <c r="BE97" s="1494"/>
      <c r="BF97" s="1494"/>
      <c r="BG97" s="1494"/>
      <c r="BH97" s="1494"/>
      <c r="BI97" s="1495"/>
      <c r="BJ97" s="1337"/>
      <c r="BK97" s="1338"/>
      <c r="BL97" s="1338"/>
      <c r="BM97" s="1338"/>
      <c r="BN97" s="1338"/>
      <c r="BO97" s="1339"/>
    </row>
    <row r="98" spans="1:67" ht="15" customHeight="1">
      <c r="A98" s="1307">
        <v>1.1000000000000001</v>
      </c>
      <c r="B98" s="1161" t="s">
        <v>941</v>
      </c>
      <c r="C98" s="1162"/>
      <c r="D98" s="1162"/>
      <c r="E98" s="1162"/>
      <c r="F98" s="1162"/>
      <c r="G98" s="1199"/>
      <c r="H98" s="1268" t="str">
        <f>IF(ISBLANK(D$5),"",1)</f>
        <v/>
      </c>
      <c r="I98" s="1205" t="str">
        <f>IF(ISBLANK(H$5),"",1)</f>
        <v/>
      </c>
      <c r="J98" s="1205" t="str">
        <f>IF(ISBLANK(L$5),"",1)</f>
        <v/>
      </c>
      <c r="K98" s="1205" t="str">
        <f>IF(ISBLANK(P$5),"",1)</f>
        <v/>
      </c>
      <c r="L98" s="1205" t="str">
        <f>IF(ISBLANK(T$5),"",1)</f>
        <v/>
      </c>
      <c r="M98" s="1248" t="str">
        <f>IF(ISBLANK(X$5),"",1)</f>
        <v/>
      </c>
      <c r="N98" s="1525">
        <v>4.3</v>
      </c>
      <c r="O98" s="1526" t="s">
        <v>629</v>
      </c>
      <c r="P98" s="1527"/>
      <c r="Q98" s="1527"/>
      <c r="R98" s="1527"/>
      <c r="S98" s="1527"/>
      <c r="T98" s="1528"/>
      <c r="U98" s="1399" t="str">
        <f>IF(ISBLANK(D$5),"",1)</f>
        <v/>
      </c>
      <c r="V98" s="1258">
        <v>4.3</v>
      </c>
      <c r="W98" s="1161" t="s">
        <v>404</v>
      </c>
      <c r="X98" s="1162"/>
      <c r="Y98" s="1162"/>
      <c r="Z98" s="1162"/>
      <c r="AA98" s="1162"/>
      <c r="AB98" s="1199"/>
      <c r="AC98" s="1399" t="str">
        <f>IF(ISBLANK(H$5),"",1)</f>
        <v/>
      </c>
      <c r="AD98" s="1258">
        <v>4.3</v>
      </c>
      <c r="AE98" s="1198" t="s">
        <v>387</v>
      </c>
      <c r="AF98" s="1162"/>
      <c r="AG98" s="1162"/>
      <c r="AH98" s="1162"/>
      <c r="AI98" s="1162"/>
      <c r="AJ98" s="1199"/>
      <c r="AK98" s="1226" t="str">
        <f>IF(ISBLANK(L$5),"",1)</f>
        <v/>
      </c>
      <c r="AL98" s="1196">
        <v>4.3</v>
      </c>
      <c r="AM98" s="1198" t="s">
        <v>404</v>
      </c>
      <c r="AN98" s="1162"/>
      <c r="AO98" s="1162"/>
      <c r="AP98" s="1162"/>
      <c r="AQ98" s="1162"/>
      <c r="AR98" s="1199"/>
      <c r="AS98" s="1226" t="str">
        <f>IF(ISBLANK(P$5),"",1)</f>
        <v/>
      </c>
      <c r="AT98" s="1258">
        <v>4.3</v>
      </c>
      <c r="AU98" s="1198" t="s">
        <v>398</v>
      </c>
      <c r="AV98" s="1162"/>
      <c r="AW98" s="1162"/>
      <c r="AX98" s="1162"/>
      <c r="AY98" s="1162"/>
      <c r="AZ98" s="1199"/>
      <c r="BA98" s="1226" t="str">
        <f>IF(ISBLANK(T$5),"",1)</f>
        <v/>
      </c>
      <c r="BB98" s="1258">
        <v>4.3</v>
      </c>
      <c r="BC98" s="1198" t="s">
        <v>398</v>
      </c>
      <c r="BD98" s="1162"/>
      <c r="BE98" s="1162"/>
      <c r="BF98" s="1162"/>
      <c r="BG98" s="1162"/>
      <c r="BH98" s="1199"/>
      <c r="BI98" s="1226" t="str">
        <f>IF(ISBLANK(X$5),"",1)</f>
        <v/>
      </c>
      <c r="BJ98" s="1337"/>
      <c r="BK98" s="1338"/>
      <c r="BL98" s="1338"/>
      <c r="BM98" s="1338"/>
      <c r="BN98" s="1338"/>
      <c r="BO98" s="1339"/>
    </row>
    <row r="99" spans="1:67" ht="15" customHeight="1">
      <c r="A99" s="1308"/>
      <c r="B99" s="1163"/>
      <c r="C99" s="1164"/>
      <c r="D99" s="1164"/>
      <c r="E99" s="1164"/>
      <c r="F99" s="1164"/>
      <c r="G99" s="1201"/>
      <c r="H99" s="1269"/>
      <c r="I99" s="1206"/>
      <c r="J99" s="1206"/>
      <c r="K99" s="1206"/>
      <c r="L99" s="1206"/>
      <c r="M99" s="1206"/>
      <c r="N99" s="1302"/>
      <c r="O99" s="1317"/>
      <c r="P99" s="1296"/>
      <c r="Q99" s="1296"/>
      <c r="R99" s="1296"/>
      <c r="S99" s="1296"/>
      <c r="T99" s="1318"/>
      <c r="U99" s="1269"/>
      <c r="V99" s="1258"/>
      <c r="W99" s="1163"/>
      <c r="X99" s="1164"/>
      <c r="Y99" s="1164"/>
      <c r="Z99" s="1164"/>
      <c r="AA99" s="1164"/>
      <c r="AB99" s="1201"/>
      <c r="AC99" s="1269"/>
      <c r="AD99" s="1258"/>
      <c r="AE99" s="1200"/>
      <c r="AF99" s="1164"/>
      <c r="AG99" s="1164"/>
      <c r="AH99" s="1164"/>
      <c r="AI99" s="1164"/>
      <c r="AJ99" s="1201"/>
      <c r="AK99" s="1342"/>
      <c r="AL99" s="1197"/>
      <c r="AM99" s="1200"/>
      <c r="AN99" s="1164"/>
      <c r="AO99" s="1164"/>
      <c r="AP99" s="1164"/>
      <c r="AQ99" s="1164"/>
      <c r="AR99" s="1201"/>
      <c r="AS99" s="1342"/>
      <c r="AT99" s="1258"/>
      <c r="AU99" s="1200"/>
      <c r="AV99" s="1164"/>
      <c r="AW99" s="1164"/>
      <c r="AX99" s="1164"/>
      <c r="AY99" s="1164"/>
      <c r="AZ99" s="1201"/>
      <c r="BA99" s="1342"/>
      <c r="BB99" s="1258"/>
      <c r="BC99" s="1200"/>
      <c r="BD99" s="1164"/>
      <c r="BE99" s="1164"/>
      <c r="BF99" s="1164"/>
      <c r="BG99" s="1164"/>
      <c r="BH99" s="1201"/>
      <c r="BI99" s="1342"/>
      <c r="BJ99" s="1337"/>
      <c r="BK99" s="1338"/>
      <c r="BL99" s="1338"/>
      <c r="BM99" s="1338"/>
      <c r="BN99" s="1338"/>
      <c r="BO99" s="1339"/>
    </row>
    <row r="100" spans="1:67" ht="15" customHeight="1">
      <c r="A100" s="1309"/>
      <c r="B100" s="1165"/>
      <c r="C100" s="1166"/>
      <c r="D100" s="1166"/>
      <c r="E100" s="1166"/>
      <c r="F100" s="1166"/>
      <c r="G100" s="1292"/>
      <c r="H100" s="1270"/>
      <c r="I100" s="1207"/>
      <c r="J100" s="1207"/>
      <c r="K100" s="1207"/>
      <c r="L100" s="1207"/>
      <c r="M100" s="1207"/>
      <c r="N100" s="1303"/>
      <c r="O100" s="1319"/>
      <c r="P100" s="1320"/>
      <c r="Q100" s="1320"/>
      <c r="R100" s="1320"/>
      <c r="S100" s="1320"/>
      <c r="T100" s="1321"/>
      <c r="U100" s="1270"/>
      <c r="V100" s="1258"/>
      <c r="W100" s="1165"/>
      <c r="X100" s="1166"/>
      <c r="Y100" s="1166"/>
      <c r="Z100" s="1166"/>
      <c r="AA100" s="1166"/>
      <c r="AB100" s="1292"/>
      <c r="AC100" s="1270"/>
      <c r="AD100" s="1258"/>
      <c r="AE100" s="1202"/>
      <c r="AF100" s="1203"/>
      <c r="AG100" s="1203"/>
      <c r="AH100" s="1203"/>
      <c r="AI100" s="1203"/>
      <c r="AJ100" s="1204"/>
      <c r="AK100" s="1342"/>
      <c r="AL100" s="1197"/>
      <c r="AM100" s="1202"/>
      <c r="AN100" s="1203"/>
      <c r="AO100" s="1203"/>
      <c r="AP100" s="1203"/>
      <c r="AQ100" s="1203"/>
      <c r="AR100" s="1204"/>
      <c r="AS100" s="1342"/>
      <c r="AT100" s="1258"/>
      <c r="AU100" s="1202"/>
      <c r="AV100" s="1203"/>
      <c r="AW100" s="1203"/>
      <c r="AX100" s="1203"/>
      <c r="AY100" s="1203"/>
      <c r="AZ100" s="1204"/>
      <c r="BA100" s="1342"/>
      <c r="BB100" s="1258"/>
      <c r="BC100" s="1202"/>
      <c r="BD100" s="1203"/>
      <c r="BE100" s="1203"/>
      <c r="BF100" s="1203"/>
      <c r="BG100" s="1203"/>
      <c r="BH100" s="1204"/>
      <c r="BI100" s="1342"/>
      <c r="BJ100" s="1337"/>
      <c r="BK100" s="1338"/>
      <c r="BL100" s="1338"/>
      <c r="BM100" s="1338"/>
      <c r="BN100" s="1338"/>
      <c r="BO100" s="1339"/>
    </row>
    <row r="101" spans="1:67" ht="15" customHeight="1">
      <c r="A101" s="1304">
        <v>2.4</v>
      </c>
      <c r="B101" s="1161" t="s">
        <v>316</v>
      </c>
      <c r="C101" s="1162"/>
      <c r="D101" s="1162"/>
      <c r="E101" s="1162"/>
      <c r="F101" s="1162"/>
      <c r="G101" s="1199"/>
      <c r="H101" s="1268" t="str">
        <f t="shared" ref="H101" si="93">IF(ISBLANK(D$5),"",1)</f>
        <v/>
      </c>
      <c r="I101" s="1205" t="str">
        <f t="shared" ref="I101" si="94">IF(ISBLANK(H$5),"",1)</f>
        <v/>
      </c>
      <c r="J101" s="1205" t="str">
        <f t="shared" ref="J101" si="95">IF(ISBLANK(L$5),"",1)</f>
        <v/>
      </c>
      <c r="K101" s="1205" t="str">
        <f t="shared" ref="K101" si="96">IF(ISBLANK(P$5),"",1)</f>
        <v/>
      </c>
      <c r="L101" s="1205" t="str">
        <f t="shared" ref="L101" si="97">IF(ISBLANK(T$5),"",1)</f>
        <v/>
      </c>
      <c r="M101" s="1248" t="str">
        <f t="shared" ref="M101" si="98">IF(ISBLANK(X$5),"",1)</f>
        <v/>
      </c>
      <c r="N101" s="1304">
        <v>4.3</v>
      </c>
      <c r="O101" s="1161" t="s">
        <v>399</v>
      </c>
      <c r="P101" s="1162"/>
      <c r="Q101" s="1162"/>
      <c r="R101" s="1162"/>
      <c r="S101" s="1162"/>
      <c r="T101" s="1199"/>
      <c r="U101" s="1399" t="str">
        <f t="shared" ref="U101" si="99">IF(ISBLANK(D$5),"",1)</f>
        <v/>
      </c>
      <c r="V101" s="1304">
        <v>4.3</v>
      </c>
      <c r="W101" s="1161" t="s">
        <v>405</v>
      </c>
      <c r="X101" s="1162"/>
      <c r="Y101" s="1162"/>
      <c r="Z101" s="1162"/>
      <c r="AA101" s="1162"/>
      <c r="AB101" s="1199"/>
      <c r="AC101" s="1399" t="str">
        <f t="shared" ref="AC101" si="100">IF(ISBLANK(H$5),"",1)</f>
        <v/>
      </c>
      <c r="AD101" s="1304">
        <v>4.3</v>
      </c>
      <c r="AE101" s="1198" t="s">
        <v>405</v>
      </c>
      <c r="AF101" s="1162"/>
      <c r="AG101" s="1162"/>
      <c r="AH101" s="1162"/>
      <c r="AI101" s="1162"/>
      <c r="AJ101" s="1199"/>
      <c r="AK101" s="1226" t="str">
        <f t="shared" ref="AK101" si="101">IF(ISBLANK(L$5),"",1)</f>
        <v/>
      </c>
      <c r="AL101" s="1304">
        <v>4.3</v>
      </c>
      <c r="AM101" s="1198" t="s">
        <v>891</v>
      </c>
      <c r="AN101" s="1162"/>
      <c r="AO101" s="1162"/>
      <c r="AP101" s="1162"/>
      <c r="AQ101" s="1162"/>
      <c r="AR101" s="1199"/>
      <c r="AS101" s="1226" t="str">
        <f t="shared" ref="AS101" si="102">IF(ISBLANK(P$5),"",1)</f>
        <v/>
      </c>
      <c r="AT101" s="1304">
        <v>4.3</v>
      </c>
      <c r="AU101" s="1198" t="s">
        <v>891</v>
      </c>
      <c r="AV101" s="1162"/>
      <c r="AW101" s="1162"/>
      <c r="AX101" s="1162"/>
      <c r="AY101" s="1162"/>
      <c r="AZ101" s="1199"/>
      <c r="BA101" s="1226" t="str">
        <f t="shared" ref="BA101" si="103">IF(ISBLANK(T$5),"",1)</f>
        <v/>
      </c>
      <c r="BB101" s="1304">
        <v>4.3</v>
      </c>
      <c r="BC101" s="1198" t="s">
        <v>891</v>
      </c>
      <c r="BD101" s="1162"/>
      <c r="BE101" s="1162"/>
      <c r="BF101" s="1162"/>
      <c r="BG101" s="1162"/>
      <c r="BH101" s="1199"/>
      <c r="BI101" s="1226" t="str">
        <f t="shared" ref="BI101" si="104">IF(ISBLANK(X$5),"",1)</f>
        <v/>
      </c>
      <c r="BJ101" s="1337"/>
      <c r="BK101" s="1338"/>
      <c r="BL101" s="1338"/>
      <c r="BM101" s="1338"/>
      <c r="BN101" s="1338"/>
      <c r="BO101" s="1339"/>
    </row>
    <row r="102" spans="1:67" ht="15" customHeight="1">
      <c r="A102" s="1290"/>
      <c r="B102" s="1163"/>
      <c r="C102" s="1164"/>
      <c r="D102" s="1164"/>
      <c r="E102" s="1164"/>
      <c r="F102" s="1164"/>
      <c r="G102" s="1201"/>
      <c r="H102" s="1269"/>
      <c r="I102" s="1206"/>
      <c r="J102" s="1206"/>
      <c r="K102" s="1206"/>
      <c r="L102" s="1206"/>
      <c r="M102" s="1206"/>
      <c r="N102" s="1290"/>
      <c r="O102" s="1163"/>
      <c r="P102" s="1164"/>
      <c r="Q102" s="1164"/>
      <c r="R102" s="1164"/>
      <c r="S102" s="1164"/>
      <c r="T102" s="1201"/>
      <c r="U102" s="1269"/>
      <c r="V102" s="1290"/>
      <c r="W102" s="1163"/>
      <c r="X102" s="1164"/>
      <c r="Y102" s="1164"/>
      <c r="Z102" s="1164"/>
      <c r="AA102" s="1164"/>
      <c r="AB102" s="1201"/>
      <c r="AC102" s="1269"/>
      <c r="AD102" s="1290"/>
      <c r="AE102" s="1200"/>
      <c r="AF102" s="1164"/>
      <c r="AG102" s="1164"/>
      <c r="AH102" s="1164"/>
      <c r="AI102" s="1164"/>
      <c r="AJ102" s="1201"/>
      <c r="AK102" s="1342"/>
      <c r="AL102" s="1290"/>
      <c r="AM102" s="1200"/>
      <c r="AN102" s="1164"/>
      <c r="AO102" s="1164"/>
      <c r="AP102" s="1164"/>
      <c r="AQ102" s="1164"/>
      <c r="AR102" s="1201"/>
      <c r="AS102" s="1342"/>
      <c r="AT102" s="1290"/>
      <c r="AU102" s="1200"/>
      <c r="AV102" s="1164"/>
      <c r="AW102" s="1164"/>
      <c r="AX102" s="1164"/>
      <c r="AY102" s="1164"/>
      <c r="AZ102" s="1201"/>
      <c r="BA102" s="1342"/>
      <c r="BB102" s="1290"/>
      <c r="BC102" s="1200"/>
      <c r="BD102" s="1164"/>
      <c r="BE102" s="1164"/>
      <c r="BF102" s="1164"/>
      <c r="BG102" s="1164"/>
      <c r="BH102" s="1201"/>
      <c r="BI102" s="1342"/>
      <c r="BJ102" s="1337"/>
      <c r="BK102" s="1338"/>
      <c r="BL102" s="1338"/>
      <c r="BM102" s="1338"/>
      <c r="BN102" s="1338"/>
      <c r="BO102" s="1339"/>
    </row>
    <row r="103" spans="1:67" ht="15" customHeight="1">
      <c r="A103" s="1291"/>
      <c r="B103" s="1165"/>
      <c r="C103" s="1166"/>
      <c r="D103" s="1166"/>
      <c r="E103" s="1166"/>
      <c r="F103" s="1166"/>
      <c r="G103" s="1292"/>
      <c r="H103" s="1270"/>
      <c r="I103" s="1207"/>
      <c r="J103" s="1207"/>
      <c r="K103" s="1207"/>
      <c r="L103" s="1207"/>
      <c r="M103" s="1207"/>
      <c r="N103" s="1291"/>
      <c r="O103" s="1165"/>
      <c r="P103" s="1166"/>
      <c r="Q103" s="1166"/>
      <c r="R103" s="1166"/>
      <c r="S103" s="1166"/>
      <c r="T103" s="1292"/>
      <c r="U103" s="1270"/>
      <c r="V103" s="1291"/>
      <c r="W103" s="1165"/>
      <c r="X103" s="1166"/>
      <c r="Y103" s="1166"/>
      <c r="Z103" s="1166"/>
      <c r="AA103" s="1166"/>
      <c r="AB103" s="1292"/>
      <c r="AC103" s="1270"/>
      <c r="AD103" s="1291"/>
      <c r="AE103" s="1202"/>
      <c r="AF103" s="1203"/>
      <c r="AG103" s="1203"/>
      <c r="AH103" s="1203"/>
      <c r="AI103" s="1203"/>
      <c r="AJ103" s="1204"/>
      <c r="AK103" s="1342"/>
      <c r="AL103" s="1291"/>
      <c r="AM103" s="1202"/>
      <c r="AN103" s="1203"/>
      <c r="AO103" s="1203"/>
      <c r="AP103" s="1203"/>
      <c r="AQ103" s="1203"/>
      <c r="AR103" s="1204"/>
      <c r="AS103" s="1342"/>
      <c r="AT103" s="1291"/>
      <c r="AU103" s="1202"/>
      <c r="AV103" s="1203"/>
      <c r="AW103" s="1203"/>
      <c r="AX103" s="1203"/>
      <c r="AY103" s="1203"/>
      <c r="AZ103" s="1204"/>
      <c r="BA103" s="1342"/>
      <c r="BB103" s="1291"/>
      <c r="BC103" s="1202"/>
      <c r="BD103" s="1203"/>
      <c r="BE103" s="1203"/>
      <c r="BF103" s="1203"/>
      <c r="BG103" s="1203"/>
      <c r="BH103" s="1204"/>
      <c r="BI103" s="1342"/>
      <c r="BJ103" s="1337"/>
      <c r="BK103" s="1338"/>
      <c r="BL103" s="1338"/>
      <c r="BM103" s="1338"/>
      <c r="BN103" s="1338"/>
      <c r="BO103" s="1339"/>
    </row>
    <row r="104" spans="1:67" ht="15" customHeight="1">
      <c r="A104" s="1307">
        <v>1.1000000000000001</v>
      </c>
      <c r="B104" s="1161" t="s">
        <v>320</v>
      </c>
      <c r="C104" s="1162"/>
      <c r="D104" s="1162"/>
      <c r="E104" s="1162"/>
      <c r="F104" s="1162"/>
      <c r="G104" s="1199"/>
      <c r="H104" s="1268" t="str">
        <f t="shared" ref="H104" si="105">IF(ISBLANK(D$5),"",1)</f>
        <v/>
      </c>
      <c r="I104" s="1205" t="str">
        <f t="shared" ref="I104" si="106">IF(ISBLANK(H$5),"",1)</f>
        <v/>
      </c>
      <c r="J104" s="1205" t="str">
        <f t="shared" ref="J104" si="107">IF(ISBLANK(L$5),"",1)</f>
        <v/>
      </c>
      <c r="K104" s="1205" t="str">
        <f t="shared" ref="K104" si="108">IF(ISBLANK(P$5),"",1)</f>
        <v/>
      </c>
      <c r="L104" s="1205" t="str">
        <f t="shared" ref="L104" si="109">IF(ISBLANK(T$5),"",1)</f>
        <v/>
      </c>
      <c r="M104" s="1248" t="str">
        <f t="shared" ref="M104" si="110">IF(ISBLANK(X$5),"",1)</f>
        <v/>
      </c>
      <c r="N104" s="1301">
        <v>4.3</v>
      </c>
      <c r="O104" s="1161" t="s">
        <v>388</v>
      </c>
      <c r="P104" s="1162"/>
      <c r="Q104" s="1162"/>
      <c r="R104" s="1162"/>
      <c r="S104" s="1162"/>
      <c r="T104" s="1199"/>
      <c r="U104" s="1399" t="str">
        <f t="shared" ref="U104" si="111">IF(ISBLANK(D$5),"",1)</f>
        <v/>
      </c>
      <c r="V104" s="1258">
        <v>4.3</v>
      </c>
      <c r="W104" s="1161" t="s">
        <v>406</v>
      </c>
      <c r="X104" s="1162"/>
      <c r="Y104" s="1162"/>
      <c r="Z104" s="1162"/>
      <c r="AA104" s="1162"/>
      <c r="AB104" s="1199"/>
      <c r="AC104" s="1399" t="str">
        <f t="shared" ref="AC104" si="112">IF(ISBLANK(H$5),"",1)</f>
        <v/>
      </c>
      <c r="AD104" s="1258">
        <v>4.3</v>
      </c>
      <c r="AE104" s="1198" t="s">
        <v>406</v>
      </c>
      <c r="AF104" s="1162"/>
      <c r="AG104" s="1162"/>
      <c r="AH104" s="1162"/>
      <c r="AI104" s="1162"/>
      <c r="AJ104" s="1199"/>
      <c r="AK104" s="1226" t="str">
        <f t="shared" ref="AK104" si="113">IF(ISBLANK(L$5),"",1)</f>
        <v/>
      </c>
      <c r="AL104" s="1196">
        <v>4.3</v>
      </c>
      <c r="AM104" s="1198" t="s">
        <v>406</v>
      </c>
      <c r="AN104" s="1162"/>
      <c r="AO104" s="1162"/>
      <c r="AP104" s="1162"/>
      <c r="AQ104" s="1162"/>
      <c r="AR104" s="1199"/>
      <c r="AS104" s="1226" t="str">
        <f t="shared" ref="AS104" si="114">IF(ISBLANK(P$5),"",1)</f>
        <v/>
      </c>
      <c r="AT104" s="1258">
        <v>4.3</v>
      </c>
      <c r="AU104" s="1198" t="s">
        <v>406</v>
      </c>
      <c r="AV104" s="1162"/>
      <c r="AW104" s="1162"/>
      <c r="AX104" s="1162"/>
      <c r="AY104" s="1162"/>
      <c r="AZ104" s="1199"/>
      <c r="BA104" s="1226" t="str">
        <f>IF(ISBLANK(T$5),"",1)</f>
        <v/>
      </c>
      <c r="BB104" s="1258">
        <v>4.3</v>
      </c>
      <c r="BC104" s="1198" t="s">
        <v>406</v>
      </c>
      <c r="BD104" s="1162"/>
      <c r="BE104" s="1162"/>
      <c r="BF104" s="1162"/>
      <c r="BG104" s="1162"/>
      <c r="BH104" s="1199"/>
      <c r="BI104" s="1226" t="str">
        <f t="shared" ref="BI104" si="115">IF(ISBLANK(X$5),"",1)</f>
        <v/>
      </c>
      <c r="BJ104" s="1337"/>
      <c r="BK104" s="1338"/>
      <c r="BL104" s="1338"/>
      <c r="BM104" s="1338"/>
      <c r="BN104" s="1338"/>
      <c r="BO104" s="1339"/>
    </row>
    <row r="105" spans="1:67" ht="15" customHeight="1">
      <c r="A105" s="1308"/>
      <c r="B105" s="1163"/>
      <c r="C105" s="1164"/>
      <c r="D105" s="1164"/>
      <c r="E105" s="1164"/>
      <c r="F105" s="1164"/>
      <c r="G105" s="1201"/>
      <c r="H105" s="1269"/>
      <c r="I105" s="1206"/>
      <c r="J105" s="1206"/>
      <c r="K105" s="1206"/>
      <c r="L105" s="1206"/>
      <c r="M105" s="1206"/>
      <c r="N105" s="1302"/>
      <c r="O105" s="1163"/>
      <c r="P105" s="1164"/>
      <c r="Q105" s="1164"/>
      <c r="R105" s="1164"/>
      <c r="S105" s="1164"/>
      <c r="T105" s="1201"/>
      <c r="U105" s="1269"/>
      <c r="V105" s="1258"/>
      <c r="W105" s="1163"/>
      <c r="X105" s="1164"/>
      <c r="Y105" s="1164"/>
      <c r="Z105" s="1164"/>
      <c r="AA105" s="1164"/>
      <c r="AB105" s="1201"/>
      <c r="AC105" s="1269"/>
      <c r="AD105" s="1258"/>
      <c r="AE105" s="1200"/>
      <c r="AF105" s="1164"/>
      <c r="AG105" s="1164"/>
      <c r="AH105" s="1164"/>
      <c r="AI105" s="1164"/>
      <c r="AJ105" s="1201"/>
      <c r="AK105" s="1342"/>
      <c r="AL105" s="1197"/>
      <c r="AM105" s="1200"/>
      <c r="AN105" s="1164"/>
      <c r="AO105" s="1164"/>
      <c r="AP105" s="1164"/>
      <c r="AQ105" s="1164"/>
      <c r="AR105" s="1201"/>
      <c r="AS105" s="1342"/>
      <c r="AT105" s="1258"/>
      <c r="AU105" s="1200"/>
      <c r="AV105" s="1164"/>
      <c r="AW105" s="1164"/>
      <c r="AX105" s="1164"/>
      <c r="AY105" s="1164"/>
      <c r="AZ105" s="1201"/>
      <c r="BA105" s="1342"/>
      <c r="BB105" s="1258"/>
      <c r="BC105" s="1200"/>
      <c r="BD105" s="1164"/>
      <c r="BE105" s="1164"/>
      <c r="BF105" s="1164"/>
      <c r="BG105" s="1164"/>
      <c r="BH105" s="1201"/>
      <c r="BI105" s="1342"/>
      <c r="BJ105" s="1337"/>
      <c r="BK105" s="1338"/>
      <c r="BL105" s="1338"/>
      <c r="BM105" s="1338"/>
      <c r="BN105" s="1338"/>
      <c r="BO105" s="1339"/>
    </row>
    <row r="106" spans="1:67" ht="15" customHeight="1">
      <c r="A106" s="1309"/>
      <c r="B106" s="1165"/>
      <c r="C106" s="1166"/>
      <c r="D106" s="1166"/>
      <c r="E106" s="1166"/>
      <c r="F106" s="1166"/>
      <c r="G106" s="1292"/>
      <c r="H106" s="1270"/>
      <c r="I106" s="1207"/>
      <c r="J106" s="1207"/>
      <c r="K106" s="1207"/>
      <c r="L106" s="1207"/>
      <c r="M106" s="1207"/>
      <c r="N106" s="1303"/>
      <c r="O106" s="1165"/>
      <c r="P106" s="1166"/>
      <c r="Q106" s="1166"/>
      <c r="R106" s="1166"/>
      <c r="S106" s="1166"/>
      <c r="T106" s="1292"/>
      <c r="U106" s="1270"/>
      <c r="V106" s="1258"/>
      <c r="W106" s="1165"/>
      <c r="X106" s="1166"/>
      <c r="Y106" s="1166"/>
      <c r="Z106" s="1166"/>
      <c r="AA106" s="1166"/>
      <c r="AB106" s="1292"/>
      <c r="AC106" s="1270"/>
      <c r="AD106" s="1258"/>
      <c r="AE106" s="1202"/>
      <c r="AF106" s="1203"/>
      <c r="AG106" s="1203"/>
      <c r="AH106" s="1203"/>
      <c r="AI106" s="1203"/>
      <c r="AJ106" s="1204"/>
      <c r="AK106" s="1342"/>
      <c r="AL106" s="1197"/>
      <c r="AM106" s="1202"/>
      <c r="AN106" s="1203"/>
      <c r="AO106" s="1203"/>
      <c r="AP106" s="1203"/>
      <c r="AQ106" s="1203"/>
      <c r="AR106" s="1204"/>
      <c r="AS106" s="1342"/>
      <c r="AT106" s="1258"/>
      <c r="AU106" s="1202"/>
      <c r="AV106" s="1203"/>
      <c r="AW106" s="1203"/>
      <c r="AX106" s="1203"/>
      <c r="AY106" s="1203"/>
      <c r="AZ106" s="1204"/>
      <c r="BA106" s="1342"/>
      <c r="BB106" s="1258"/>
      <c r="BC106" s="1202"/>
      <c r="BD106" s="1203"/>
      <c r="BE106" s="1203"/>
      <c r="BF106" s="1203"/>
      <c r="BG106" s="1203"/>
      <c r="BH106" s="1204"/>
      <c r="BI106" s="1342"/>
      <c r="BJ106" s="1337"/>
      <c r="BK106" s="1338"/>
      <c r="BL106" s="1338"/>
      <c r="BM106" s="1338"/>
      <c r="BN106" s="1338"/>
      <c r="BO106" s="1339"/>
    </row>
    <row r="107" spans="1:67" ht="15" customHeight="1">
      <c r="A107" s="1304">
        <v>2.1</v>
      </c>
      <c r="B107" s="1161" t="s">
        <v>322</v>
      </c>
      <c r="C107" s="1162"/>
      <c r="D107" s="1162"/>
      <c r="E107" s="1162"/>
      <c r="F107" s="1162"/>
      <c r="G107" s="1199"/>
      <c r="H107" s="1268" t="str">
        <f t="shared" ref="H107" si="116">IF(ISBLANK(D$5),"",1)</f>
        <v/>
      </c>
      <c r="I107" s="1205" t="str">
        <f t="shared" ref="I107" si="117">IF(ISBLANK(H$5),"",1)</f>
        <v/>
      </c>
      <c r="J107" s="1205" t="str">
        <f t="shared" ref="J107" si="118">IF(ISBLANK(L$5),"",1)</f>
        <v/>
      </c>
      <c r="K107" s="1205" t="str">
        <f t="shared" ref="K107" si="119">IF(ISBLANK(P$5),"",1)</f>
        <v/>
      </c>
      <c r="L107" s="1205" t="str">
        <f t="shared" ref="L107" si="120">IF(ISBLANK(T$5),"",1)</f>
        <v/>
      </c>
      <c r="M107" s="1248" t="str">
        <f t="shared" ref="M107" si="121">IF(ISBLANK(X$5),"",1)</f>
        <v/>
      </c>
      <c r="N107" s="1301">
        <v>4.4000000000000004</v>
      </c>
      <c r="O107" s="1161" t="s">
        <v>400</v>
      </c>
      <c r="P107" s="1162"/>
      <c r="Q107" s="1162"/>
      <c r="R107" s="1162"/>
      <c r="S107" s="1162"/>
      <c r="T107" s="1199"/>
      <c r="U107" s="1399" t="str">
        <f t="shared" ref="U107" si="122">IF(ISBLANK(D$5),"",1)</f>
        <v/>
      </c>
      <c r="V107" s="1258">
        <v>4.3</v>
      </c>
      <c r="W107" s="1161" t="s">
        <v>388</v>
      </c>
      <c r="X107" s="1162"/>
      <c r="Y107" s="1162"/>
      <c r="Z107" s="1162"/>
      <c r="AA107" s="1162"/>
      <c r="AB107" s="1199"/>
      <c r="AC107" s="1399" t="str">
        <f t="shared" ref="AC107" si="123">IF(ISBLANK(H$5),"",1)</f>
        <v/>
      </c>
      <c r="AD107" s="1258">
        <v>4.3</v>
      </c>
      <c r="AE107" s="1198" t="s">
        <v>388</v>
      </c>
      <c r="AF107" s="1162"/>
      <c r="AG107" s="1162"/>
      <c r="AH107" s="1162"/>
      <c r="AI107" s="1162"/>
      <c r="AJ107" s="1199"/>
      <c r="AK107" s="1226" t="str">
        <f t="shared" ref="AK107" si="124">IF(ISBLANK(L$5),"",1)</f>
        <v/>
      </c>
      <c r="AL107" s="1196">
        <v>4.3</v>
      </c>
      <c r="AM107" s="1198" t="s">
        <v>388</v>
      </c>
      <c r="AN107" s="1162"/>
      <c r="AO107" s="1162"/>
      <c r="AP107" s="1162"/>
      <c r="AQ107" s="1162"/>
      <c r="AR107" s="1199"/>
      <c r="AS107" s="1226" t="str">
        <f t="shared" ref="AS107" si="125">IF(ISBLANK(P$5),"",1)</f>
        <v/>
      </c>
      <c r="AT107" s="1258">
        <v>4.3</v>
      </c>
      <c r="AU107" s="1198" t="s">
        <v>388</v>
      </c>
      <c r="AV107" s="1162"/>
      <c r="AW107" s="1162"/>
      <c r="AX107" s="1162"/>
      <c r="AY107" s="1162"/>
      <c r="AZ107" s="1199"/>
      <c r="BA107" s="1226" t="str">
        <f t="shared" ref="BA107" si="126">IF(ISBLANK(T$5),"",1)</f>
        <v/>
      </c>
      <c r="BB107" s="1258">
        <v>4.3</v>
      </c>
      <c r="BC107" s="1198" t="s">
        <v>388</v>
      </c>
      <c r="BD107" s="1162"/>
      <c r="BE107" s="1162"/>
      <c r="BF107" s="1162"/>
      <c r="BG107" s="1162"/>
      <c r="BH107" s="1199"/>
      <c r="BI107" s="1226" t="str">
        <f t="shared" ref="BI107" si="127">IF(ISBLANK(X$5),"",1)</f>
        <v/>
      </c>
      <c r="BJ107" s="1337"/>
      <c r="BK107" s="1338"/>
      <c r="BL107" s="1338"/>
      <c r="BM107" s="1338"/>
      <c r="BN107" s="1338"/>
      <c r="BO107" s="1339"/>
    </row>
    <row r="108" spans="1:67" ht="15" customHeight="1">
      <c r="A108" s="1290"/>
      <c r="B108" s="1163"/>
      <c r="C108" s="1164"/>
      <c r="D108" s="1164"/>
      <c r="E108" s="1164"/>
      <c r="F108" s="1164"/>
      <c r="G108" s="1201"/>
      <c r="H108" s="1269"/>
      <c r="I108" s="1206"/>
      <c r="J108" s="1206"/>
      <c r="K108" s="1206"/>
      <c r="L108" s="1206"/>
      <c r="M108" s="1206"/>
      <c r="N108" s="1302"/>
      <c r="O108" s="1163"/>
      <c r="P108" s="1164"/>
      <c r="Q108" s="1164"/>
      <c r="R108" s="1164"/>
      <c r="S108" s="1164"/>
      <c r="T108" s="1201"/>
      <c r="U108" s="1269"/>
      <c r="V108" s="1258"/>
      <c r="W108" s="1163"/>
      <c r="X108" s="1164"/>
      <c r="Y108" s="1164"/>
      <c r="Z108" s="1164"/>
      <c r="AA108" s="1164"/>
      <c r="AB108" s="1201"/>
      <c r="AC108" s="1269"/>
      <c r="AD108" s="1258"/>
      <c r="AE108" s="1200"/>
      <c r="AF108" s="1164"/>
      <c r="AG108" s="1164"/>
      <c r="AH108" s="1164"/>
      <c r="AI108" s="1164"/>
      <c r="AJ108" s="1201"/>
      <c r="AK108" s="1342"/>
      <c r="AL108" s="1197"/>
      <c r="AM108" s="1200"/>
      <c r="AN108" s="1164"/>
      <c r="AO108" s="1164"/>
      <c r="AP108" s="1164"/>
      <c r="AQ108" s="1164"/>
      <c r="AR108" s="1201"/>
      <c r="AS108" s="1342"/>
      <c r="AT108" s="1258"/>
      <c r="AU108" s="1200"/>
      <c r="AV108" s="1164"/>
      <c r="AW108" s="1164"/>
      <c r="AX108" s="1164"/>
      <c r="AY108" s="1164"/>
      <c r="AZ108" s="1201"/>
      <c r="BA108" s="1342"/>
      <c r="BB108" s="1258"/>
      <c r="BC108" s="1200"/>
      <c r="BD108" s="1164"/>
      <c r="BE108" s="1164"/>
      <c r="BF108" s="1164"/>
      <c r="BG108" s="1164"/>
      <c r="BH108" s="1201"/>
      <c r="BI108" s="1342"/>
      <c r="BJ108" s="1337"/>
      <c r="BK108" s="1338"/>
      <c r="BL108" s="1338"/>
      <c r="BM108" s="1338"/>
      <c r="BN108" s="1338"/>
      <c r="BO108" s="1339"/>
    </row>
    <row r="109" spans="1:67" ht="15" customHeight="1">
      <c r="A109" s="1291"/>
      <c r="B109" s="1165"/>
      <c r="C109" s="1166"/>
      <c r="D109" s="1166"/>
      <c r="E109" s="1166"/>
      <c r="F109" s="1166"/>
      <c r="G109" s="1292"/>
      <c r="H109" s="1270"/>
      <c r="I109" s="1207"/>
      <c r="J109" s="1207"/>
      <c r="K109" s="1207"/>
      <c r="L109" s="1207"/>
      <c r="M109" s="1207"/>
      <c r="N109" s="1303"/>
      <c r="O109" s="1165"/>
      <c r="P109" s="1166"/>
      <c r="Q109" s="1166"/>
      <c r="R109" s="1166"/>
      <c r="S109" s="1166"/>
      <c r="T109" s="1292"/>
      <c r="U109" s="1270"/>
      <c r="V109" s="1258"/>
      <c r="W109" s="1165"/>
      <c r="X109" s="1166"/>
      <c r="Y109" s="1166"/>
      <c r="Z109" s="1166"/>
      <c r="AA109" s="1166"/>
      <c r="AB109" s="1292"/>
      <c r="AC109" s="1270"/>
      <c r="AD109" s="1258"/>
      <c r="AE109" s="1202"/>
      <c r="AF109" s="1203"/>
      <c r="AG109" s="1203"/>
      <c r="AH109" s="1203"/>
      <c r="AI109" s="1203"/>
      <c r="AJ109" s="1204"/>
      <c r="AK109" s="1342"/>
      <c r="AL109" s="1197"/>
      <c r="AM109" s="1202"/>
      <c r="AN109" s="1203"/>
      <c r="AO109" s="1203"/>
      <c r="AP109" s="1203"/>
      <c r="AQ109" s="1203"/>
      <c r="AR109" s="1204"/>
      <c r="AS109" s="1342"/>
      <c r="AT109" s="1258"/>
      <c r="AU109" s="1202"/>
      <c r="AV109" s="1203"/>
      <c r="AW109" s="1203"/>
      <c r="AX109" s="1203"/>
      <c r="AY109" s="1203"/>
      <c r="AZ109" s="1204"/>
      <c r="BA109" s="1342"/>
      <c r="BB109" s="1258"/>
      <c r="BC109" s="1202"/>
      <c r="BD109" s="1203"/>
      <c r="BE109" s="1203"/>
      <c r="BF109" s="1203"/>
      <c r="BG109" s="1203"/>
      <c r="BH109" s="1204"/>
      <c r="BI109" s="1342"/>
      <c r="BJ109" s="1337"/>
      <c r="BK109" s="1338"/>
      <c r="BL109" s="1338"/>
      <c r="BM109" s="1338"/>
      <c r="BN109" s="1338"/>
      <c r="BO109" s="1339"/>
    </row>
    <row r="110" spans="1:67" ht="15" customHeight="1">
      <c r="A110" s="1307">
        <v>1.1000000000000001</v>
      </c>
      <c r="B110" s="1161" t="s">
        <v>940</v>
      </c>
      <c r="C110" s="1162"/>
      <c r="D110" s="1162"/>
      <c r="E110" s="1162"/>
      <c r="F110" s="1162"/>
      <c r="G110" s="1199"/>
      <c r="H110" s="1268" t="str">
        <f t="shared" ref="H110" si="128">IF(ISBLANK(D$5),"",1)</f>
        <v/>
      </c>
      <c r="I110" s="1205" t="str">
        <f t="shared" ref="I110" si="129">IF(ISBLANK(H$5),"",1)</f>
        <v/>
      </c>
      <c r="J110" s="1205" t="str">
        <f t="shared" ref="J110" si="130">IF(ISBLANK(L$5),"",1)</f>
        <v/>
      </c>
      <c r="K110" s="1205" t="str">
        <f t="shared" ref="K110" si="131">IF(ISBLANK(P$5),"",1)</f>
        <v/>
      </c>
      <c r="L110" s="1205" t="str">
        <f t="shared" ref="L110" si="132">IF(ISBLANK(T$5),"",1)</f>
        <v/>
      </c>
      <c r="M110" s="1248" t="str">
        <f t="shared" ref="M110" si="133">IF(ISBLANK(X$5),"",1)</f>
        <v/>
      </c>
      <c r="N110" s="1301">
        <v>4.4000000000000004</v>
      </c>
      <c r="O110" s="1161" t="s">
        <v>401</v>
      </c>
      <c r="P110" s="1162"/>
      <c r="Q110" s="1162"/>
      <c r="R110" s="1162"/>
      <c r="S110" s="1162"/>
      <c r="T110" s="1199"/>
      <c r="U110" s="1399" t="str">
        <f t="shared" ref="U110" si="134">IF(ISBLANK(D$5),"",1)</f>
        <v/>
      </c>
      <c r="V110" s="1258">
        <v>4.4000000000000004</v>
      </c>
      <c r="W110" s="1161" t="s">
        <v>407</v>
      </c>
      <c r="X110" s="1162"/>
      <c r="Y110" s="1162"/>
      <c r="Z110" s="1162"/>
      <c r="AA110" s="1162"/>
      <c r="AB110" s="1199"/>
      <c r="AC110" s="1399" t="str">
        <f t="shared" ref="AC110" si="135">IF(ISBLANK(H$5),"",1)</f>
        <v/>
      </c>
      <c r="AD110" s="1258">
        <v>4.3</v>
      </c>
      <c r="AE110" s="1198" t="s">
        <v>390</v>
      </c>
      <c r="AF110" s="1162"/>
      <c r="AG110" s="1162"/>
      <c r="AH110" s="1162"/>
      <c r="AI110" s="1162"/>
      <c r="AJ110" s="1199"/>
      <c r="AK110" s="1226" t="str">
        <f t="shared" ref="AK110" si="136">IF(ISBLANK(L$5),"",1)</f>
        <v/>
      </c>
      <c r="AL110" s="1304">
        <v>4.4000000000000004</v>
      </c>
      <c r="AM110" s="1198" t="s">
        <v>407</v>
      </c>
      <c r="AN110" s="1162"/>
      <c r="AO110" s="1162"/>
      <c r="AP110" s="1162"/>
      <c r="AQ110" s="1162"/>
      <c r="AR110" s="1199"/>
      <c r="AS110" s="1226" t="str">
        <f t="shared" ref="AS110" si="137">IF(ISBLANK(P$5),"",1)</f>
        <v/>
      </c>
      <c r="AT110" s="1258">
        <v>4.3</v>
      </c>
      <c r="AU110" s="1198" t="s">
        <v>390</v>
      </c>
      <c r="AV110" s="1162"/>
      <c r="AW110" s="1162"/>
      <c r="AX110" s="1162"/>
      <c r="AY110" s="1162"/>
      <c r="AZ110" s="1199"/>
      <c r="BA110" s="1226" t="str">
        <f t="shared" ref="BA110" si="138">IF(ISBLANK(T$5),"",1)</f>
        <v/>
      </c>
      <c r="BB110" s="1258">
        <v>4.3</v>
      </c>
      <c r="BC110" s="1198" t="s">
        <v>390</v>
      </c>
      <c r="BD110" s="1162"/>
      <c r="BE110" s="1162"/>
      <c r="BF110" s="1162"/>
      <c r="BG110" s="1162"/>
      <c r="BH110" s="1199"/>
      <c r="BI110" s="1226" t="str">
        <f t="shared" ref="BI110" si="139">IF(ISBLANK(X$5),"",1)</f>
        <v/>
      </c>
      <c r="BJ110" s="1337"/>
      <c r="BK110" s="1338"/>
      <c r="BL110" s="1338"/>
      <c r="BM110" s="1338"/>
      <c r="BN110" s="1338"/>
      <c r="BO110" s="1339"/>
    </row>
    <row r="111" spans="1:67" ht="15" customHeight="1">
      <c r="A111" s="1308"/>
      <c r="B111" s="1163"/>
      <c r="C111" s="1164"/>
      <c r="D111" s="1164"/>
      <c r="E111" s="1164"/>
      <c r="F111" s="1164"/>
      <c r="G111" s="1201"/>
      <c r="H111" s="1269"/>
      <c r="I111" s="1206"/>
      <c r="J111" s="1206"/>
      <c r="K111" s="1206"/>
      <c r="L111" s="1206"/>
      <c r="M111" s="1206"/>
      <c r="N111" s="1302"/>
      <c r="O111" s="1163"/>
      <c r="P111" s="1164"/>
      <c r="Q111" s="1164"/>
      <c r="R111" s="1164"/>
      <c r="S111" s="1164"/>
      <c r="T111" s="1201"/>
      <c r="U111" s="1269"/>
      <c r="V111" s="1258"/>
      <c r="W111" s="1163"/>
      <c r="X111" s="1164"/>
      <c r="Y111" s="1164"/>
      <c r="Z111" s="1164"/>
      <c r="AA111" s="1164"/>
      <c r="AB111" s="1201"/>
      <c r="AC111" s="1269"/>
      <c r="AD111" s="1258"/>
      <c r="AE111" s="1200"/>
      <c r="AF111" s="1164"/>
      <c r="AG111" s="1164"/>
      <c r="AH111" s="1164"/>
      <c r="AI111" s="1164"/>
      <c r="AJ111" s="1201"/>
      <c r="AK111" s="1342"/>
      <c r="AL111" s="1290"/>
      <c r="AM111" s="1200"/>
      <c r="AN111" s="1164"/>
      <c r="AO111" s="1164"/>
      <c r="AP111" s="1164"/>
      <c r="AQ111" s="1164"/>
      <c r="AR111" s="1201"/>
      <c r="AS111" s="1342"/>
      <c r="AT111" s="1258"/>
      <c r="AU111" s="1200"/>
      <c r="AV111" s="1164"/>
      <c r="AW111" s="1164"/>
      <c r="AX111" s="1164"/>
      <c r="AY111" s="1164"/>
      <c r="AZ111" s="1201"/>
      <c r="BA111" s="1342"/>
      <c r="BB111" s="1258"/>
      <c r="BC111" s="1200"/>
      <c r="BD111" s="1164"/>
      <c r="BE111" s="1164"/>
      <c r="BF111" s="1164"/>
      <c r="BG111" s="1164"/>
      <c r="BH111" s="1201"/>
      <c r="BI111" s="1342"/>
      <c r="BJ111" s="1337"/>
      <c r="BK111" s="1338"/>
      <c r="BL111" s="1338"/>
      <c r="BM111" s="1338"/>
      <c r="BN111" s="1338"/>
      <c r="BO111" s="1339"/>
    </row>
    <row r="112" spans="1:67" ht="15" customHeight="1">
      <c r="A112" s="1309"/>
      <c r="B112" s="1165"/>
      <c r="C112" s="1166"/>
      <c r="D112" s="1166"/>
      <c r="E112" s="1166"/>
      <c r="F112" s="1166"/>
      <c r="G112" s="1292"/>
      <c r="H112" s="1270"/>
      <c r="I112" s="1207"/>
      <c r="J112" s="1207"/>
      <c r="K112" s="1207"/>
      <c r="L112" s="1207"/>
      <c r="M112" s="1207"/>
      <c r="N112" s="1303"/>
      <c r="O112" s="1165"/>
      <c r="P112" s="1166"/>
      <c r="Q112" s="1166"/>
      <c r="R112" s="1166"/>
      <c r="S112" s="1166"/>
      <c r="T112" s="1292"/>
      <c r="U112" s="1270"/>
      <c r="V112" s="1258"/>
      <c r="W112" s="1165"/>
      <c r="X112" s="1166"/>
      <c r="Y112" s="1166"/>
      <c r="Z112" s="1166"/>
      <c r="AA112" s="1166"/>
      <c r="AB112" s="1292"/>
      <c r="AC112" s="1270"/>
      <c r="AD112" s="1258"/>
      <c r="AE112" s="1202"/>
      <c r="AF112" s="1203"/>
      <c r="AG112" s="1203"/>
      <c r="AH112" s="1203"/>
      <c r="AI112" s="1203"/>
      <c r="AJ112" s="1204"/>
      <c r="AK112" s="1342"/>
      <c r="AL112" s="1291"/>
      <c r="AM112" s="1202"/>
      <c r="AN112" s="1203"/>
      <c r="AO112" s="1203"/>
      <c r="AP112" s="1203"/>
      <c r="AQ112" s="1203"/>
      <c r="AR112" s="1204"/>
      <c r="AS112" s="1342"/>
      <c r="AT112" s="1258"/>
      <c r="AU112" s="1202"/>
      <c r="AV112" s="1203"/>
      <c r="AW112" s="1203"/>
      <c r="AX112" s="1203"/>
      <c r="AY112" s="1203"/>
      <c r="AZ112" s="1204"/>
      <c r="BA112" s="1342"/>
      <c r="BB112" s="1258"/>
      <c r="BC112" s="1202"/>
      <c r="BD112" s="1203"/>
      <c r="BE112" s="1203"/>
      <c r="BF112" s="1203"/>
      <c r="BG112" s="1203"/>
      <c r="BH112" s="1204"/>
      <c r="BI112" s="1342"/>
      <c r="BJ112" s="1337"/>
      <c r="BK112" s="1338"/>
      <c r="BL112" s="1338"/>
      <c r="BM112" s="1338"/>
      <c r="BN112" s="1338"/>
      <c r="BO112" s="1339"/>
    </row>
    <row r="113" spans="1:67" ht="15" customHeight="1">
      <c r="A113" s="1307">
        <v>1.1000000000000001</v>
      </c>
      <c r="B113" s="1161" t="s">
        <v>330</v>
      </c>
      <c r="C113" s="1162"/>
      <c r="D113" s="1162"/>
      <c r="E113" s="1162"/>
      <c r="F113" s="1162"/>
      <c r="G113" s="1199"/>
      <c r="H113" s="1268" t="str">
        <f t="shared" ref="H113" si="140">IF(ISBLANK(D$5),"",1)</f>
        <v/>
      </c>
      <c r="I113" s="1205" t="str">
        <f t="shared" ref="I113" si="141">IF(ISBLANK(H$5),"",1)</f>
        <v/>
      </c>
      <c r="J113" s="1205" t="str">
        <f t="shared" ref="J113" si="142">IF(ISBLANK(L$5),"",1)</f>
        <v/>
      </c>
      <c r="K113" s="1205" t="str">
        <f t="shared" ref="K113" si="143">IF(ISBLANK(P$5),"",1)</f>
        <v/>
      </c>
      <c r="L113" s="1205" t="str">
        <f t="shared" ref="L113" si="144">IF(ISBLANK(T$5),"",1)</f>
        <v/>
      </c>
      <c r="M113" s="1248" t="str">
        <f t="shared" ref="M113" si="145">IF(ISBLANK(X$5),"",1)</f>
        <v/>
      </c>
      <c r="N113" s="1304">
        <v>4.4000000000000004</v>
      </c>
      <c r="O113" s="1161" t="s">
        <v>402</v>
      </c>
      <c r="P113" s="1162"/>
      <c r="Q113" s="1162"/>
      <c r="R113" s="1162"/>
      <c r="S113" s="1162"/>
      <c r="T113" s="1199"/>
      <c r="U113" s="1399" t="str">
        <f t="shared" ref="U113" si="146">IF(ISBLANK(D$5),"",1)</f>
        <v/>
      </c>
      <c r="V113" s="1258">
        <v>4.4000000000000004</v>
      </c>
      <c r="W113" s="1161" t="s">
        <v>393</v>
      </c>
      <c r="X113" s="1162"/>
      <c r="Y113" s="1162"/>
      <c r="Z113" s="1162"/>
      <c r="AA113" s="1162"/>
      <c r="AB113" s="1199"/>
      <c r="AC113" s="1399" t="str">
        <f t="shared" ref="AC113" si="147">IF(ISBLANK(H$5),"",1)</f>
        <v/>
      </c>
      <c r="AD113" s="1258">
        <v>4.4000000000000004</v>
      </c>
      <c r="AE113" s="1198" t="s">
        <v>415</v>
      </c>
      <c r="AF113" s="1162"/>
      <c r="AG113" s="1162"/>
      <c r="AH113" s="1162"/>
      <c r="AI113" s="1162"/>
      <c r="AJ113" s="1199"/>
      <c r="AK113" s="1226" t="str">
        <f t="shared" ref="AK113" si="148">IF(ISBLANK(L$5),"",1)</f>
        <v/>
      </c>
      <c r="AL113" s="1304">
        <v>4.4000000000000004</v>
      </c>
      <c r="AM113" s="1198" t="s">
        <v>393</v>
      </c>
      <c r="AN113" s="1162"/>
      <c r="AO113" s="1162"/>
      <c r="AP113" s="1162"/>
      <c r="AQ113" s="1162"/>
      <c r="AR113" s="1199"/>
      <c r="AS113" s="1226" t="str">
        <f t="shared" ref="AS113" si="149">IF(ISBLANK(P$5),"",1)</f>
        <v/>
      </c>
      <c r="AT113" s="1258">
        <v>4.4000000000000004</v>
      </c>
      <c r="AU113" s="1198" t="s">
        <v>892</v>
      </c>
      <c r="AV113" s="1162"/>
      <c r="AW113" s="1162"/>
      <c r="AX113" s="1162"/>
      <c r="AY113" s="1162"/>
      <c r="AZ113" s="1199"/>
      <c r="BA113" s="1226" t="str">
        <f t="shared" ref="BA113" si="150">IF(ISBLANK(T$5),"",1)</f>
        <v/>
      </c>
      <c r="BB113" s="1258">
        <v>4.4000000000000004</v>
      </c>
      <c r="BC113" s="1198" t="s">
        <v>892</v>
      </c>
      <c r="BD113" s="1162"/>
      <c r="BE113" s="1162"/>
      <c r="BF113" s="1162"/>
      <c r="BG113" s="1162"/>
      <c r="BH113" s="1199"/>
      <c r="BI113" s="1226" t="str">
        <f t="shared" ref="BI113" si="151">IF(ISBLANK(X$5),"",1)</f>
        <v/>
      </c>
      <c r="BJ113" s="1337"/>
      <c r="BK113" s="1338"/>
      <c r="BL113" s="1338"/>
      <c r="BM113" s="1338"/>
      <c r="BN113" s="1338"/>
      <c r="BO113" s="1339"/>
    </row>
    <row r="114" spans="1:67" ht="15" customHeight="1">
      <c r="A114" s="1308"/>
      <c r="B114" s="1163"/>
      <c r="C114" s="1164"/>
      <c r="D114" s="1164"/>
      <c r="E114" s="1164"/>
      <c r="F114" s="1164"/>
      <c r="G114" s="1201"/>
      <c r="H114" s="1269"/>
      <c r="I114" s="1206"/>
      <c r="J114" s="1206"/>
      <c r="K114" s="1206"/>
      <c r="L114" s="1206"/>
      <c r="M114" s="1206"/>
      <c r="N114" s="1290"/>
      <c r="O114" s="1163"/>
      <c r="P114" s="1164"/>
      <c r="Q114" s="1164"/>
      <c r="R114" s="1164"/>
      <c r="S114" s="1164"/>
      <c r="T114" s="1201"/>
      <c r="U114" s="1269"/>
      <c r="V114" s="1258"/>
      <c r="W114" s="1163"/>
      <c r="X114" s="1164"/>
      <c r="Y114" s="1164"/>
      <c r="Z114" s="1164"/>
      <c r="AA114" s="1164"/>
      <c r="AB114" s="1201"/>
      <c r="AC114" s="1269"/>
      <c r="AD114" s="1258"/>
      <c r="AE114" s="1200"/>
      <c r="AF114" s="1164"/>
      <c r="AG114" s="1164"/>
      <c r="AH114" s="1164"/>
      <c r="AI114" s="1164"/>
      <c r="AJ114" s="1201"/>
      <c r="AK114" s="1342"/>
      <c r="AL114" s="1290"/>
      <c r="AM114" s="1200"/>
      <c r="AN114" s="1164"/>
      <c r="AO114" s="1164"/>
      <c r="AP114" s="1164"/>
      <c r="AQ114" s="1164"/>
      <c r="AR114" s="1201"/>
      <c r="AS114" s="1342"/>
      <c r="AT114" s="1258"/>
      <c r="AU114" s="1200"/>
      <c r="AV114" s="1164"/>
      <c r="AW114" s="1164"/>
      <c r="AX114" s="1164"/>
      <c r="AY114" s="1164"/>
      <c r="AZ114" s="1201"/>
      <c r="BA114" s="1342"/>
      <c r="BB114" s="1258"/>
      <c r="BC114" s="1200"/>
      <c r="BD114" s="1164"/>
      <c r="BE114" s="1164"/>
      <c r="BF114" s="1164"/>
      <c r="BG114" s="1164"/>
      <c r="BH114" s="1201"/>
      <c r="BI114" s="1342"/>
      <c r="BJ114" s="1337"/>
      <c r="BK114" s="1338"/>
      <c r="BL114" s="1338"/>
      <c r="BM114" s="1338"/>
      <c r="BN114" s="1338"/>
      <c r="BO114" s="1339"/>
    </row>
    <row r="115" spans="1:67" ht="15" customHeight="1">
      <c r="A115" s="1309"/>
      <c r="B115" s="1165"/>
      <c r="C115" s="1166"/>
      <c r="D115" s="1166"/>
      <c r="E115" s="1166"/>
      <c r="F115" s="1166"/>
      <c r="G115" s="1292"/>
      <c r="H115" s="1270"/>
      <c r="I115" s="1207"/>
      <c r="J115" s="1207"/>
      <c r="K115" s="1207"/>
      <c r="L115" s="1207"/>
      <c r="M115" s="1207"/>
      <c r="N115" s="1291"/>
      <c r="O115" s="1165"/>
      <c r="P115" s="1166"/>
      <c r="Q115" s="1166"/>
      <c r="R115" s="1166"/>
      <c r="S115" s="1166"/>
      <c r="T115" s="1292"/>
      <c r="U115" s="1270"/>
      <c r="V115" s="1258"/>
      <c r="W115" s="1165"/>
      <c r="X115" s="1166"/>
      <c r="Y115" s="1166"/>
      <c r="Z115" s="1166"/>
      <c r="AA115" s="1166"/>
      <c r="AB115" s="1292"/>
      <c r="AC115" s="1270"/>
      <c r="AD115" s="1258"/>
      <c r="AE115" s="1202"/>
      <c r="AF115" s="1203"/>
      <c r="AG115" s="1203"/>
      <c r="AH115" s="1203"/>
      <c r="AI115" s="1203"/>
      <c r="AJ115" s="1204"/>
      <c r="AK115" s="1342"/>
      <c r="AL115" s="1291"/>
      <c r="AM115" s="1202"/>
      <c r="AN115" s="1203"/>
      <c r="AO115" s="1203"/>
      <c r="AP115" s="1203"/>
      <c r="AQ115" s="1203"/>
      <c r="AR115" s="1204"/>
      <c r="AS115" s="1342"/>
      <c r="AT115" s="1258"/>
      <c r="AU115" s="1202"/>
      <c r="AV115" s="1203"/>
      <c r="AW115" s="1203"/>
      <c r="AX115" s="1203"/>
      <c r="AY115" s="1203"/>
      <c r="AZ115" s="1204"/>
      <c r="BA115" s="1342"/>
      <c r="BB115" s="1258"/>
      <c r="BC115" s="1202"/>
      <c r="BD115" s="1203"/>
      <c r="BE115" s="1203"/>
      <c r="BF115" s="1203"/>
      <c r="BG115" s="1203"/>
      <c r="BH115" s="1204"/>
      <c r="BI115" s="1342"/>
      <c r="BJ115" s="1337"/>
      <c r="BK115" s="1338"/>
      <c r="BL115" s="1338"/>
      <c r="BM115" s="1338"/>
      <c r="BN115" s="1338"/>
      <c r="BO115" s="1339"/>
    </row>
    <row r="116" spans="1:67" ht="15" customHeight="1">
      <c r="A116" s="1304">
        <v>1.5</v>
      </c>
      <c r="B116" s="1161" t="s">
        <v>336</v>
      </c>
      <c r="C116" s="1162"/>
      <c r="D116" s="1162"/>
      <c r="E116" s="1162"/>
      <c r="F116" s="1162"/>
      <c r="G116" s="1199"/>
      <c r="H116" s="1268" t="str">
        <f t="shared" ref="H116" si="152">IF(ISBLANK(D$5),"",1)</f>
        <v/>
      </c>
      <c r="I116" s="1205" t="str">
        <f t="shared" ref="I116" si="153">IF(ISBLANK(H$5),"",1)</f>
        <v/>
      </c>
      <c r="J116" s="1205" t="str">
        <f t="shared" ref="J116" si="154">IF(ISBLANK(L$5),"",1)</f>
        <v/>
      </c>
      <c r="K116" s="1205" t="str">
        <f t="shared" ref="K116" si="155">IF(ISBLANK(P$5),"",1)</f>
        <v/>
      </c>
      <c r="L116" s="1205" t="str">
        <f t="shared" ref="L116" si="156">IF(ISBLANK(T$5),"",1)</f>
        <v/>
      </c>
      <c r="M116" s="1248" t="str">
        <f t="shared" ref="M116" si="157">IF(ISBLANK(X$5),"",1)</f>
        <v/>
      </c>
      <c r="N116" s="1304">
        <v>4.4000000000000004</v>
      </c>
      <c r="O116" s="1161" t="s">
        <v>403</v>
      </c>
      <c r="P116" s="1162"/>
      <c r="Q116" s="1162"/>
      <c r="R116" s="1162"/>
      <c r="S116" s="1162"/>
      <c r="T116" s="1199"/>
      <c r="U116" s="1399" t="str">
        <f t="shared" ref="U116" si="158">IF(ISBLANK(D$5),"",1)</f>
        <v/>
      </c>
      <c r="V116" s="1304">
        <v>4.4000000000000004</v>
      </c>
      <c r="W116" s="1161" t="s">
        <v>359</v>
      </c>
      <c r="X116" s="1162"/>
      <c r="Y116" s="1162"/>
      <c r="Z116" s="1162"/>
      <c r="AA116" s="1162"/>
      <c r="AB116" s="1199"/>
      <c r="AC116" s="1399" t="str">
        <f t="shared" ref="AC116" si="159">IF(ISBLANK(H$5),"",1)</f>
        <v/>
      </c>
      <c r="AD116" s="1304">
        <v>4.3</v>
      </c>
      <c r="AE116" s="1310" t="s">
        <v>879</v>
      </c>
      <c r="AF116" s="1311"/>
      <c r="AG116" s="1311"/>
      <c r="AH116" s="1311"/>
      <c r="AI116" s="1311"/>
      <c r="AJ116" s="1316"/>
      <c r="AK116" s="1226" t="str">
        <f t="shared" ref="AK116" si="160">IF(ISBLANK(L$5),"",1)</f>
        <v/>
      </c>
      <c r="AL116" s="1196">
        <v>4.4000000000000004</v>
      </c>
      <c r="AM116" s="1198" t="s">
        <v>890</v>
      </c>
      <c r="AN116" s="1162"/>
      <c r="AO116" s="1162"/>
      <c r="AP116" s="1162"/>
      <c r="AQ116" s="1162"/>
      <c r="AR116" s="1199"/>
      <c r="AS116" s="1226" t="str">
        <f t="shared" ref="AS116" si="161">IF(ISBLANK(P$5),"",1)</f>
        <v/>
      </c>
      <c r="AT116" s="1258">
        <v>4.3</v>
      </c>
      <c r="AU116" s="1198" t="s">
        <v>879</v>
      </c>
      <c r="AV116" s="1162"/>
      <c r="AW116" s="1162"/>
      <c r="AX116" s="1162"/>
      <c r="AY116" s="1162"/>
      <c r="AZ116" s="1199"/>
      <c r="BA116" s="1226" t="str">
        <f t="shared" ref="BA116" si="162">IF(ISBLANK(T$5),"",1)</f>
        <v/>
      </c>
      <c r="BB116" s="1258">
        <v>4.3</v>
      </c>
      <c r="BC116" s="1198" t="s">
        <v>879</v>
      </c>
      <c r="BD116" s="1162"/>
      <c r="BE116" s="1162"/>
      <c r="BF116" s="1162"/>
      <c r="BG116" s="1162"/>
      <c r="BH116" s="1199"/>
      <c r="BI116" s="1226" t="str">
        <f t="shared" ref="BI116" si="163">IF(ISBLANK(X$5),"",1)</f>
        <v/>
      </c>
      <c r="BJ116" s="1337"/>
      <c r="BK116" s="1338"/>
      <c r="BL116" s="1338"/>
      <c r="BM116" s="1338"/>
      <c r="BN116" s="1338"/>
      <c r="BO116" s="1339"/>
    </row>
    <row r="117" spans="1:67" ht="15" customHeight="1">
      <c r="A117" s="1290"/>
      <c r="B117" s="1163"/>
      <c r="C117" s="1164"/>
      <c r="D117" s="1164"/>
      <c r="E117" s="1164"/>
      <c r="F117" s="1164"/>
      <c r="G117" s="1201"/>
      <c r="H117" s="1269"/>
      <c r="I117" s="1206"/>
      <c r="J117" s="1206"/>
      <c r="K117" s="1206"/>
      <c r="L117" s="1206"/>
      <c r="M117" s="1206"/>
      <c r="N117" s="1290"/>
      <c r="O117" s="1163"/>
      <c r="P117" s="1164"/>
      <c r="Q117" s="1164"/>
      <c r="R117" s="1164"/>
      <c r="S117" s="1164"/>
      <c r="T117" s="1201"/>
      <c r="U117" s="1269"/>
      <c r="V117" s="1290"/>
      <c r="W117" s="1163"/>
      <c r="X117" s="1164"/>
      <c r="Y117" s="1164"/>
      <c r="Z117" s="1164"/>
      <c r="AA117" s="1164"/>
      <c r="AB117" s="1201"/>
      <c r="AC117" s="1269"/>
      <c r="AD117" s="1290"/>
      <c r="AE117" s="1295"/>
      <c r="AF117" s="1296"/>
      <c r="AG117" s="1296"/>
      <c r="AH117" s="1296"/>
      <c r="AI117" s="1296"/>
      <c r="AJ117" s="1318"/>
      <c r="AK117" s="1342"/>
      <c r="AL117" s="1197"/>
      <c r="AM117" s="1200"/>
      <c r="AN117" s="1164"/>
      <c r="AO117" s="1164"/>
      <c r="AP117" s="1164"/>
      <c r="AQ117" s="1164"/>
      <c r="AR117" s="1201"/>
      <c r="AS117" s="1342"/>
      <c r="AT117" s="1258"/>
      <c r="AU117" s="1200"/>
      <c r="AV117" s="1164"/>
      <c r="AW117" s="1164"/>
      <c r="AX117" s="1164"/>
      <c r="AY117" s="1164"/>
      <c r="AZ117" s="1201"/>
      <c r="BA117" s="1342"/>
      <c r="BB117" s="1258"/>
      <c r="BC117" s="1200"/>
      <c r="BD117" s="1164"/>
      <c r="BE117" s="1164"/>
      <c r="BF117" s="1164"/>
      <c r="BG117" s="1164"/>
      <c r="BH117" s="1201"/>
      <c r="BI117" s="1342"/>
      <c r="BJ117" s="1337"/>
      <c r="BK117" s="1338"/>
      <c r="BL117" s="1338"/>
      <c r="BM117" s="1338"/>
      <c r="BN117" s="1338"/>
      <c r="BO117" s="1339"/>
    </row>
    <row r="118" spans="1:67" ht="15" customHeight="1">
      <c r="A118" s="1291"/>
      <c r="B118" s="1165"/>
      <c r="C118" s="1166"/>
      <c r="D118" s="1166"/>
      <c r="E118" s="1166"/>
      <c r="F118" s="1166"/>
      <c r="G118" s="1292"/>
      <c r="H118" s="1270"/>
      <c r="I118" s="1207"/>
      <c r="J118" s="1207"/>
      <c r="K118" s="1207"/>
      <c r="L118" s="1207"/>
      <c r="M118" s="1207"/>
      <c r="N118" s="1291"/>
      <c r="O118" s="1165"/>
      <c r="P118" s="1166"/>
      <c r="Q118" s="1166"/>
      <c r="R118" s="1166"/>
      <c r="S118" s="1166"/>
      <c r="T118" s="1292"/>
      <c r="U118" s="1270"/>
      <c r="V118" s="1291"/>
      <c r="W118" s="1165"/>
      <c r="X118" s="1166"/>
      <c r="Y118" s="1166"/>
      <c r="Z118" s="1166"/>
      <c r="AA118" s="1166"/>
      <c r="AB118" s="1292"/>
      <c r="AC118" s="1270"/>
      <c r="AD118" s="1291"/>
      <c r="AE118" s="1298"/>
      <c r="AF118" s="1299"/>
      <c r="AG118" s="1299"/>
      <c r="AH118" s="1299"/>
      <c r="AI118" s="1299"/>
      <c r="AJ118" s="1335"/>
      <c r="AK118" s="1342"/>
      <c r="AL118" s="1197"/>
      <c r="AM118" s="1202"/>
      <c r="AN118" s="1203"/>
      <c r="AO118" s="1203"/>
      <c r="AP118" s="1203"/>
      <c r="AQ118" s="1203"/>
      <c r="AR118" s="1204"/>
      <c r="AS118" s="1342"/>
      <c r="AT118" s="1258"/>
      <c r="AU118" s="1202"/>
      <c r="AV118" s="1203"/>
      <c r="AW118" s="1203"/>
      <c r="AX118" s="1203"/>
      <c r="AY118" s="1203"/>
      <c r="AZ118" s="1204"/>
      <c r="BA118" s="1342"/>
      <c r="BB118" s="1258"/>
      <c r="BC118" s="1202"/>
      <c r="BD118" s="1203"/>
      <c r="BE118" s="1203"/>
      <c r="BF118" s="1203"/>
      <c r="BG118" s="1203"/>
      <c r="BH118" s="1204"/>
      <c r="BI118" s="1342"/>
      <c r="BJ118" s="1337"/>
      <c r="BK118" s="1338"/>
      <c r="BL118" s="1338"/>
      <c r="BM118" s="1338"/>
      <c r="BN118" s="1338"/>
      <c r="BO118" s="1339"/>
    </row>
    <row r="119" spans="1:67" ht="15" customHeight="1">
      <c r="A119" s="1304">
        <v>2.1</v>
      </c>
      <c r="B119" s="1161" t="s">
        <v>360</v>
      </c>
      <c r="C119" s="1162"/>
      <c r="D119" s="1162"/>
      <c r="E119" s="1162"/>
      <c r="F119" s="1162"/>
      <c r="G119" s="1199"/>
      <c r="H119" s="1268" t="str">
        <f t="shared" ref="H119" si="164">IF(ISBLANK(D$5),"",1)</f>
        <v/>
      </c>
      <c r="I119" s="1205" t="str">
        <f t="shared" ref="I119" si="165">IF(ISBLANK(H$5),"",1)</f>
        <v/>
      </c>
      <c r="J119" s="1205" t="str">
        <f t="shared" ref="J119" si="166">IF(ISBLANK(L$5),"",1)</f>
        <v/>
      </c>
      <c r="K119" s="1205" t="str">
        <f t="shared" ref="K119" si="167">IF(ISBLANK(P$5),"",1)</f>
        <v/>
      </c>
      <c r="L119" s="1205" t="str">
        <f t="shared" ref="L119" si="168">IF(ISBLANK(T$5),"",1)</f>
        <v/>
      </c>
      <c r="M119" s="1248" t="str">
        <f t="shared" ref="M119" si="169">IF(ISBLANK(X$5),"",1)</f>
        <v/>
      </c>
      <c r="N119" s="1304">
        <v>4.4000000000000004</v>
      </c>
      <c r="O119" s="1161" t="s">
        <v>359</v>
      </c>
      <c r="P119" s="1162"/>
      <c r="Q119" s="1162"/>
      <c r="R119" s="1162"/>
      <c r="S119" s="1162"/>
      <c r="T119" s="1199"/>
      <c r="U119" s="1399" t="str">
        <f t="shared" ref="U119" si="170">IF(ISBLANK(D$5),"",1)</f>
        <v/>
      </c>
      <c r="V119" s="1322">
        <v>4.4000000000000004</v>
      </c>
      <c r="W119" s="1161" t="s">
        <v>395</v>
      </c>
      <c r="X119" s="1162"/>
      <c r="Y119" s="1162"/>
      <c r="Z119" s="1162"/>
      <c r="AA119" s="1162"/>
      <c r="AB119" s="1199"/>
      <c r="AC119" s="1399" t="str">
        <f t="shared" ref="AC119" si="171">IF(ISBLANK(H$5),"",1)</f>
        <v/>
      </c>
      <c r="AD119" s="1258">
        <v>4.4000000000000004</v>
      </c>
      <c r="AE119" s="1198" t="s">
        <v>882</v>
      </c>
      <c r="AF119" s="1162"/>
      <c r="AG119" s="1162"/>
      <c r="AH119" s="1162"/>
      <c r="AI119" s="1162"/>
      <c r="AJ119" s="1199"/>
      <c r="AK119" s="1226" t="str">
        <f t="shared" ref="AK119" si="172">IF(ISBLANK(L$5),"",1)</f>
        <v/>
      </c>
      <c r="AL119" s="1196">
        <v>4.4000000000000004</v>
      </c>
      <c r="AM119" s="1198" t="s">
        <v>886</v>
      </c>
      <c r="AN119" s="1162"/>
      <c r="AO119" s="1162"/>
      <c r="AP119" s="1162"/>
      <c r="AQ119" s="1162"/>
      <c r="AR119" s="1199"/>
      <c r="AS119" s="1226" t="str">
        <f t="shared" ref="AS119" si="173">IF(ISBLANK(P$5),"",1)</f>
        <v/>
      </c>
      <c r="AT119" s="1258">
        <v>4.4000000000000004</v>
      </c>
      <c r="AU119" s="1198" t="s">
        <v>888</v>
      </c>
      <c r="AV119" s="1162"/>
      <c r="AW119" s="1162"/>
      <c r="AX119" s="1162"/>
      <c r="AY119" s="1162"/>
      <c r="AZ119" s="1199"/>
      <c r="BA119" s="1226" t="str">
        <f t="shared" ref="BA119" si="174">IF(ISBLANK(T$5),"",1)</f>
        <v/>
      </c>
      <c r="BB119" s="1258">
        <v>4.4000000000000004</v>
      </c>
      <c r="BC119" s="1198" t="s">
        <v>889</v>
      </c>
      <c r="BD119" s="1162"/>
      <c r="BE119" s="1162"/>
      <c r="BF119" s="1162"/>
      <c r="BG119" s="1162"/>
      <c r="BH119" s="1199"/>
      <c r="BI119" s="1226" t="str">
        <f t="shared" ref="BI119" si="175">IF(ISBLANK(X$5),"",1)</f>
        <v/>
      </c>
      <c r="BJ119" s="1337"/>
      <c r="BK119" s="1338"/>
      <c r="BL119" s="1338"/>
      <c r="BM119" s="1338"/>
      <c r="BN119" s="1338"/>
      <c r="BO119" s="1339"/>
    </row>
    <row r="120" spans="1:67" ht="15" customHeight="1">
      <c r="A120" s="1290"/>
      <c r="B120" s="1163"/>
      <c r="C120" s="1164"/>
      <c r="D120" s="1164"/>
      <c r="E120" s="1164"/>
      <c r="F120" s="1164"/>
      <c r="G120" s="1201"/>
      <c r="H120" s="1269"/>
      <c r="I120" s="1206"/>
      <c r="J120" s="1206"/>
      <c r="K120" s="1206"/>
      <c r="L120" s="1206"/>
      <c r="M120" s="1206"/>
      <c r="N120" s="1290"/>
      <c r="O120" s="1163"/>
      <c r="P120" s="1164"/>
      <c r="Q120" s="1164"/>
      <c r="R120" s="1164"/>
      <c r="S120" s="1164"/>
      <c r="T120" s="1201"/>
      <c r="U120" s="1269"/>
      <c r="V120" s="1293"/>
      <c r="W120" s="1163"/>
      <c r="X120" s="1164"/>
      <c r="Y120" s="1164"/>
      <c r="Z120" s="1164"/>
      <c r="AA120" s="1164"/>
      <c r="AB120" s="1201"/>
      <c r="AC120" s="1269"/>
      <c r="AD120" s="1258"/>
      <c r="AE120" s="1200"/>
      <c r="AF120" s="1164"/>
      <c r="AG120" s="1164"/>
      <c r="AH120" s="1164"/>
      <c r="AI120" s="1164"/>
      <c r="AJ120" s="1201"/>
      <c r="AK120" s="1342"/>
      <c r="AL120" s="1197"/>
      <c r="AM120" s="1200"/>
      <c r="AN120" s="1164"/>
      <c r="AO120" s="1164"/>
      <c r="AP120" s="1164"/>
      <c r="AQ120" s="1164"/>
      <c r="AR120" s="1201"/>
      <c r="AS120" s="1342"/>
      <c r="AT120" s="1258"/>
      <c r="AU120" s="1200"/>
      <c r="AV120" s="1164"/>
      <c r="AW120" s="1164"/>
      <c r="AX120" s="1164"/>
      <c r="AY120" s="1164"/>
      <c r="AZ120" s="1201"/>
      <c r="BA120" s="1342"/>
      <c r="BB120" s="1258"/>
      <c r="BC120" s="1200"/>
      <c r="BD120" s="1164"/>
      <c r="BE120" s="1164"/>
      <c r="BF120" s="1164"/>
      <c r="BG120" s="1164"/>
      <c r="BH120" s="1201"/>
      <c r="BI120" s="1342"/>
      <c r="BJ120" s="1337"/>
      <c r="BK120" s="1338"/>
      <c r="BL120" s="1338"/>
      <c r="BM120" s="1338"/>
      <c r="BN120" s="1338"/>
      <c r="BO120" s="1339"/>
    </row>
    <row r="121" spans="1:67" ht="15" customHeight="1">
      <c r="A121" s="1291"/>
      <c r="B121" s="1165"/>
      <c r="C121" s="1166"/>
      <c r="D121" s="1166"/>
      <c r="E121" s="1166"/>
      <c r="F121" s="1166"/>
      <c r="G121" s="1292"/>
      <c r="H121" s="1270"/>
      <c r="I121" s="1207"/>
      <c r="J121" s="1207"/>
      <c r="K121" s="1207"/>
      <c r="L121" s="1207"/>
      <c r="M121" s="1207"/>
      <c r="N121" s="1291"/>
      <c r="O121" s="1165"/>
      <c r="P121" s="1166"/>
      <c r="Q121" s="1166"/>
      <c r="R121" s="1166"/>
      <c r="S121" s="1166"/>
      <c r="T121" s="1292"/>
      <c r="U121" s="1270"/>
      <c r="V121" s="1294"/>
      <c r="W121" s="1165"/>
      <c r="X121" s="1166"/>
      <c r="Y121" s="1166"/>
      <c r="Z121" s="1166"/>
      <c r="AA121" s="1166"/>
      <c r="AB121" s="1292"/>
      <c r="AC121" s="1270"/>
      <c r="AD121" s="1258"/>
      <c r="AE121" s="1202"/>
      <c r="AF121" s="1203"/>
      <c r="AG121" s="1203"/>
      <c r="AH121" s="1203"/>
      <c r="AI121" s="1203"/>
      <c r="AJ121" s="1204"/>
      <c r="AK121" s="1342"/>
      <c r="AL121" s="1197"/>
      <c r="AM121" s="1202"/>
      <c r="AN121" s="1203"/>
      <c r="AO121" s="1203"/>
      <c r="AP121" s="1203"/>
      <c r="AQ121" s="1203"/>
      <c r="AR121" s="1204"/>
      <c r="AS121" s="1342"/>
      <c r="AT121" s="1258"/>
      <c r="AU121" s="1202"/>
      <c r="AV121" s="1203"/>
      <c r="AW121" s="1203"/>
      <c r="AX121" s="1203"/>
      <c r="AY121" s="1203"/>
      <c r="AZ121" s="1204"/>
      <c r="BA121" s="1342"/>
      <c r="BB121" s="1258"/>
      <c r="BC121" s="1202"/>
      <c r="BD121" s="1203"/>
      <c r="BE121" s="1203"/>
      <c r="BF121" s="1203"/>
      <c r="BG121" s="1203"/>
      <c r="BH121" s="1204"/>
      <c r="BI121" s="1342"/>
      <c r="BJ121" s="1337"/>
      <c r="BK121" s="1338"/>
      <c r="BL121" s="1338"/>
      <c r="BM121" s="1338"/>
      <c r="BN121" s="1338"/>
      <c r="BO121" s="1339"/>
    </row>
    <row r="122" spans="1:67" ht="15" customHeight="1">
      <c r="A122" s="1304">
        <v>2.4</v>
      </c>
      <c r="B122" s="1161" t="s">
        <v>942</v>
      </c>
      <c r="C122" s="1162"/>
      <c r="D122" s="1162"/>
      <c r="E122" s="1162"/>
      <c r="F122" s="1162"/>
      <c r="G122" s="1199"/>
      <c r="H122" s="1268" t="str">
        <f t="shared" ref="H122" si="176">IF(ISBLANK(D$5),"",1)</f>
        <v/>
      </c>
      <c r="I122" s="1205" t="str">
        <f t="shared" ref="I122" si="177">IF(ISBLANK(H$5),"",1)</f>
        <v/>
      </c>
      <c r="J122" s="1205" t="str">
        <f t="shared" ref="J122" si="178">IF(ISBLANK(L$5),"",1)</f>
        <v/>
      </c>
      <c r="K122" s="1205" t="str">
        <f t="shared" ref="K122" si="179">IF(ISBLANK(P$5),"",1)</f>
        <v/>
      </c>
      <c r="L122" s="1205" t="str">
        <f t="shared" ref="L122" si="180">IF(ISBLANK(T$5),"",1)</f>
        <v/>
      </c>
      <c r="M122" s="1248" t="str">
        <f t="shared" ref="M122" si="181">IF(ISBLANK(X$5),"",1)</f>
        <v/>
      </c>
      <c r="N122" s="1301">
        <v>4.4000000000000004</v>
      </c>
      <c r="O122" s="1161" t="s">
        <v>395</v>
      </c>
      <c r="P122" s="1162"/>
      <c r="Q122" s="1162"/>
      <c r="R122" s="1162"/>
      <c r="S122" s="1162"/>
      <c r="T122" s="1199"/>
      <c r="U122" s="1399" t="str">
        <f t="shared" ref="U122" si="182">IF(ISBLANK(D$5),"",1)</f>
        <v/>
      </c>
      <c r="V122" s="1304">
        <v>4.4000000000000004</v>
      </c>
      <c r="W122" s="1161" t="s">
        <v>878</v>
      </c>
      <c r="X122" s="1162"/>
      <c r="Y122" s="1162"/>
      <c r="Z122" s="1162"/>
      <c r="AA122" s="1162"/>
      <c r="AB122" s="1199"/>
      <c r="AC122" s="1399" t="str">
        <f t="shared" ref="AC122" si="183">IF(ISBLANK(H$5),"",1)</f>
        <v/>
      </c>
      <c r="AD122" s="1258">
        <v>4.4000000000000004</v>
      </c>
      <c r="AE122" s="1198" t="s">
        <v>417</v>
      </c>
      <c r="AF122" s="1162"/>
      <c r="AG122" s="1162"/>
      <c r="AH122" s="1162"/>
      <c r="AI122" s="1162"/>
      <c r="AJ122" s="1199"/>
      <c r="AK122" s="1226" t="str">
        <f t="shared" ref="AK122" si="184">IF(ISBLANK(L$5),"",1)</f>
        <v/>
      </c>
      <c r="AL122" s="1196">
        <v>4.4000000000000004</v>
      </c>
      <c r="AM122" s="1198" t="s">
        <v>359</v>
      </c>
      <c r="AN122" s="1162"/>
      <c r="AO122" s="1162"/>
      <c r="AP122" s="1162"/>
      <c r="AQ122" s="1162"/>
      <c r="AR122" s="1199"/>
      <c r="AS122" s="1226" t="str">
        <f t="shared" ref="AS122" si="185">IF(ISBLANK(P$5),"",1)</f>
        <v/>
      </c>
      <c r="AT122" s="1258">
        <v>4.4000000000000004</v>
      </c>
      <c r="AU122" s="1198" t="s">
        <v>417</v>
      </c>
      <c r="AV122" s="1162"/>
      <c r="AW122" s="1162"/>
      <c r="AX122" s="1162"/>
      <c r="AY122" s="1162"/>
      <c r="AZ122" s="1199"/>
      <c r="BA122" s="1226" t="str">
        <f t="shared" ref="BA122" si="186">IF(ISBLANK(T$5),"",1)</f>
        <v/>
      </c>
      <c r="BB122" s="1258">
        <v>4.4000000000000004</v>
      </c>
      <c r="BC122" s="1198" t="s">
        <v>417</v>
      </c>
      <c r="BD122" s="1162"/>
      <c r="BE122" s="1162"/>
      <c r="BF122" s="1162"/>
      <c r="BG122" s="1162"/>
      <c r="BH122" s="1199"/>
      <c r="BI122" s="1226" t="str">
        <f t="shared" ref="BI122" si="187">IF(ISBLANK(X$5),"",1)</f>
        <v/>
      </c>
      <c r="BJ122" s="1337"/>
      <c r="BK122" s="1338"/>
      <c r="BL122" s="1338"/>
      <c r="BM122" s="1338"/>
      <c r="BN122" s="1338"/>
      <c r="BO122" s="1339"/>
    </row>
    <row r="123" spans="1:67" ht="15" customHeight="1">
      <c r="A123" s="1290"/>
      <c r="B123" s="1163"/>
      <c r="C123" s="1164"/>
      <c r="D123" s="1164"/>
      <c r="E123" s="1164"/>
      <c r="F123" s="1164"/>
      <c r="G123" s="1201"/>
      <c r="H123" s="1269"/>
      <c r="I123" s="1206"/>
      <c r="J123" s="1206"/>
      <c r="K123" s="1206"/>
      <c r="L123" s="1206"/>
      <c r="M123" s="1206"/>
      <c r="N123" s="1302"/>
      <c r="O123" s="1163"/>
      <c r="P123" s="1164"/>
      <c r="Q123" s="1164"/>
      <c r="R123" s="1164"/>
      <c r="S123" s="1164"/>
      <c r="T123" s="1201"/>
      <c r="U123" s="1269"/>
      <c r="V123" s="1290"/>
      <c r="W123" s="1163"/>
      <c r="X123" s="1164"/>
      <c r="Y123" s="1164"/>
      <c r="Z123" s="1164"/>
      <c r="AA123" s="1164"/>
      <c r="AB123" s="1201"/>
      <c r="AC123" s="1269"/>
      <c r="AD123" s="1258"/>
      <c r="AE123" s="1200"/>
      <c r="AF123" s="1164"/>
      <c r="AG123" s="1164"/>
      <c r="AH123" s="1164"/>
      <c r="AI123" s="1164"/>
      <c r="AJ123" s="1201"/>
      <c r="AK123" s="1342"/>
      <c r="AL123" s="1197"/>
      <c r="AM123" s="1200"/>
      <c r="AN123" s="1164"/>
      <c r="AO123" s="1164"/>
      <c r="AP123" s="1164"/>
      <c r="AQ123" s="1164"/>
      <c r="AR123" s="1201"/>
      <c r="AS123" s="1342"/>
      <c r="AT123" s="1258"/>
      <c r="AU123" s="1200"/>
      <c r="AV123" s="1164"/>
      <c r="AW123" s="1164"/>
      <c r="AX123" s="1164"/>
      <c r="AY123" s="1164"/>
      <c r="AZ123" s="1201"/>
      <c r="BA123" s="1342"/>
      <c r="BB123" s="1258"/>
      <c r="BC123" s="1200"/>
      <c r="BD123" s="1164"/>
      <c r="BE123" s="1164"/>
      <c r="BF123" s="1164"/>
      <c r="BG123" s="1164"/>
      <c r="BH123" s="1201"/>
      <c r="BI123" s="1342"/>
      <c r="BJ123" s="1337"/>
      <c r="BK123" s="1338"/>
      <c r="BL123" s="1338"/>
      <c r="BM123" s="1338"/>
      <c r="BN123" s="1338"/>
      <c r="BO123" s="1339"/>
    </row>
    <row r="124" spans="1:67" ht="15" customHeight="1">
      <c r="A124" s="1291"/>
      <c r="B124" s="1165"/>
      <c r="C124" s="1166"/>
      <c r="D124" s="1166"/>
      <c r="E124" s="1166"/>
      <c r="F124" s="1166"/>
      <c r="G124" s="1292"/>
      <c r="H124" s="1270"/>
      <c r="I124" s="1207"/>
      <c r="J124" s="1207"/>
      <c r="K124" s="1207"/>
      <c r="L124" s="1207"/>
      <c r="M124" s="1207"/>
      <c r="N124" s="1303"/>
      <c r="O124" s="1165"/>
      <c r="P124" s="1166"/>
      <c r="Q124" s="1166"/>
      <c r="R124" s="1166"/>
      <c r="S124" s="1166"/>
      <c r="T124" s="1292"/>
      <c r="U124" s="1270"/>
      <c r="V124" s="1291"/>
      <c r="W124" s="1165"/>
      <c r="X124" s="1166"/>
      <c r="Y124" s="1166"/>
      <c r="Z124" s="1166"/>
      <c r="AA124" s="1166"/>
      <c r="AB124" s="1292"/>
      <c r="AC124" s="1270"/>
      <c r="AD124" s="1258"/>
      <c r="AE124" s="1202"/>
      <c r="AF124" s="1203"/>
      <c r="AG124" s="1203"/>
      <c r="AH124" s="1203"/>
      <c r="AI124" s="1203"/>
      <c r="AJ124" s="1204"/>
      <c r="AK124" s="1342"/>
      <c r="AL124" s="1197"/>
      <c r="AM124" s="1202"/>
      <c r="AN124" s="1203"/>
      <c r="AO124" s="1203"/>
      <c r="AP124" s="1203"/>
      <c r="AQ124" s="1203"/>
      <c r="AR124" s="1204"/>
      <c r="AS124" s="1342"/>
      <c r="AT124" s="1258"/>
      <c r="AU124" s="1202"/>
      <c r="AV124" s="1203"/>
      <c r="AW124" s="1203"/>
      <c r="AX124" s="1203"/>
      <c r="AY124" s="1203"/>
      <c r="AZ124" s="1204"/>
      <c r="BA124" s="1342"/>
      <c r="BB124" s="1258"/>
      <c r="BC124" s="1202"/>
      <c r="BD124" s="1203"/>
      <c r="BE124" s="1203"/>
      <c r="BF124" s="1203"/>
      <c r="BG124" s="1203"/>
      <c r="BH124" s="1204"/>
      <c r="BI124" s="1342"/>
      <c r="BJ124" s="1337"/>
      <c r="BK124" s="1338"/>
      <c r="BL124" s="1338"/>
      <c r="BM124" s="1338"/>
      <c r="BN124" s="1338"/>
      <c r="BO124" s="1339"/>
    </row>
    <row r="125" spans="1:67" ht="15" customHeight="1">
      <c r="A125" s="252"/>
      <c r="B125" s="243"/>
      <c r="C125" s="242"/>
      <c r="D125" s="242"/>
      <c r="F125" s="278">
        <v>1.1000000000000001</v>
      </c>
      <c r="G125" s="311">
        <f>COUNTIF($A$98:$A$124,F125)</f>
        <v>4</v>
      </c>
      <c r="H125" s="240" t="str">
        <f>IF($D$5=1,SUMIF($A$98:$A$124,$F125,$H$98:$H$124),"")</f>
        <v/>
      </c>
      <c r="I125" s="240" t="str">
        <f>IF($H$5=1,SUMIF($A$98:$A$124,$F125,$I$98:$I$124),"")</f>
        <v/>
      </c>
      <c r="J125" s="240" t="str">
        <f>IF($L$5=1,SUMIF($A$98:$A$124,$F125,$J$98:$J$124),"")</f>
        <v/>
      </c>
      <c r="K125" s="240" t="str">
        <f>IF($P$5=1,SUMIF($A$98:$A$124,$F125,$K$98:$K$124),"")</f>
        <v/>
      </c>
      <c r="L125" s="240" t="str">
        <f>IF($T$5=1,SUMIF($A$98:$A$124,$F125,$L$98:$L$124),"")</f>
        <v/>
      </c>
      <c r="M125" s="240" t="str">
        <f>IF($X$5=1,SUMIF($A$98:$A$124,$F125,$M$98:$M$124),"")</f>
        <v/>
      </c>
      <c r="N125" s="1304">
        <v>4.4000000000000004</v>
      </c>
      <c r="O125" s="1161" t="s">
        <v>878</v>
      </c>
      <c r="P125" s="1162"/>
      <c r="Q125" s="1162"/>
      <c r="R125" s="1162"/>
      <c r="S125" s="1162"/>
      <c r="T125" s="1199"/>
      <c r="U125" s="1399" t="str">
        <f t="shared" ref="U125" si="188">IF(ISBLANK(D$5),"",1)</f>
        <v/>
      </c>
      <c r="V125" s="1307">
        <v>1.5</v>
      </c>
      <c r="W125" s="1315" t="s">
        <v>373</v>
      </c>
      <c r="X125" s="1311"/>
      <c r="Y125" s="1311"/>
      <c r="Z125" s="1311"/>
      <c r="AA125" s="1311"/>
      <c r="AB125" s="1316"/>
      <c r="AC125" s="1399" t="str">
        <f t="shared" ref="AC125" si="189">IF(ISBLANK(H$5),"",1)</f>
        <v/>
      </c>
      <c r="AD125" s="1304">
        <v>4.4000000000000004</v>
      </c>
      <c r="AE125" s="1198" t="s">
        <v>359</v>
      </c>
      <c r="AF125" s="1162"/>
      <c r="AG125" s="1162"/>
      <c r="AH125" s="1162"/>
      <c r="AI125" s="1162"/>
      <c r="AJ125" s="1199"/>
      <c r="AK125" s="1226" t="str">
        <f t="shared" ref="AK125" si="190">IF(ISBLANK(L$5),"",1)</f>
        <v/>
      </c>
      <c r="AL125" s="1196">
        <v>4.4000000000000004</v>
      </c>
      <c r="AM125" s="1198" t="s">
        <v>887</v>
      </c>
      <c r="AN125" s="1162"/>
      <c r="AO125" s="1162"/>
      <c r="AP125" s="1162"/>
      <c r="AQ125" s="1162"/>
      <c r="AR125" s="1199"/>
      <c r="AS125" s="1226" t="str">
        <f t="shared" ref="AS125" si="191">IF(ISBLANK(P$5),"",1)</f>
        <v/>
      </c>
      <c r="AT125" s="1304">
        <v>4.4000000000000004</v>
      </c>
      <c r="AU125" s="1198" t="s">
        <v>359</v>
      </c>
      <c r="AV125" s="1162"/>
      <c r="AW125" s="1162"/>
      <c r="AX125" s="1162"/>
      <c r="AY125" s="1162"/>
      <c r="AZ125" s="1199"/>
      <c r="BA125" s="1226" t="str">
        <f t="shared" ref="BA125" si="192">IF(ISBLANK(T$5),"",1)</f>
        <v/>
      </c>
      <c r="BB125" s="1304">
        <v>4.4000000000000004</v>
      </c>
      <c r="BC125" s="1198" t="s">
        <v>359</v>
      </c>
      <c r="BD125" s="1162"/>
      <c r="BE125" s="1162"/>
      <c r="BF125" s="1162"/>
      <c r="BG125" s="1162"/>
      <c r="BH125" s="1199"/>
      <c r="BI125" s="1226" t="str">
        <f t="shared" ref="BI125" si="193">IF(ISBLANK(X$5),"",1)</f>
        <v/>
      </c>
      <c r="BJ125" s="1337"/>
      <c r="BK125" s="1338"/>
      <c r="BL125" s="1338"/>
      <c r="BM125" s="1338"/>
      <c r="BN125" s="1338"/>
      <c r="BO125" s="1339"/>
    </row>
    <row r="126" spans="1:67" ht="15" customHeight="1">
      <c r="A126" s="252"/>
      <c r="B126" s="243"/>
      <c r="C126" s="242"/>
      <c r="D126" s="242"/>
      <c r="F126" s="278">
        <v>1.5</v>
      </c>
      <c r="G126" s="311">
        <f t="shared" ref="G126:G128" si="194">COUNTIF($A$98:$A$124,F126)</f>
        <v>1</v>
      </c>
      <c r="H126" s="240" t="str">
        <f>IF($D$5=1,SUMIF($A$98:$A$124,$F126,$H$98:$H$124),"")</f>
        <v/>
      </c>
      <c r="I126" s="240" t="str">
        <f>IF($H$5=1,SUMIF($A$98:$A$124,$F126,$I$98:$I$124),"")</f>
        <v/>
      </c>
      <c r="J126" s="240" t="str">
        <f>IF($L$5=1,SUMIF($A$98:$A$124,$F126,$J$98:$J$124),"")</f>
        <v/>
      </c>
      <c r="K126" s="240" t="str">
        <f>IF($P$5=1,SUMIF($A$98:$A$124,$F126,$K$98:$K$124),"")</f>
        <v/>
      </c>
      <c r="L126" s="240" t="str">
        <f>IF($T$5=1,SUMIF($A$98:$A$124,$F126,$L$98:$L$124),"")</f>
        <v/>
      </c>
      <c r="M126" s="240" t="str">
        <f>IF($X$5=1,SUMIF($A$98:$A$124,$F126,$M$98:$M$124),"")</f>
        <v/>
      </c>
      <c r="N126" s="1290"/>
      <c r="O126" s="1163"/>
      <c r="P126" s="1164"/>
      <c r="Q126" s="1164"/>
      <c r="R126" s="1164"/>
      <c r="S126" s="1164"/>
      <c r="T126" s="1201"/>
      <c r="U126" s="1269"/>
      <c r="V126" s="1308"/>
      <c r="W126" s="1317"/>
      <c r="X126" s="1296"/>
      <c r="Y126" s="1296"/>
      <c r="Z126" s="1296"/>
      <c r="AA126" s="1296"/>
      <c r="AB126" s="1318"/>
      <c r="AC126" s="1269"/>
      <c r="AD126" s="1290"/>
      <c r="AE126" s="1200"/>
      <c r="AF126" s="1164"/>
      <c r="AG126" s="1164"/>
      <c r="AH126" s="1164"/>
      <c r="AI126" s="1164"/>
      <c r="AJ126" s="1201"/>
      <c r="AK126" s="1342"/>
      <c r="AL126" s="1197"/>
      <c r="AM126" s="1200"/>
      <c r="AN126" s="1164"/>
      <c r="AO126" s="1164"/>
      <c r="AP126" s="1164"/>
      <c r="AQ126" s="1164"/>
      <c r="AR126" s="1201"/>
      <c r="AS126" s="1342"/>
      <c r="AT126" s="1290"/>
      <c r="AU126" s="1200"/>
      <c r="AV126" s="1164"/>
      <c r="AW126" s="1164"/>
      <c r="AX126" s="1164"/>
      <c r="AY126" s="1164"/>
      <c r="AZ126" s="1201"/>
      <c r="BA126" s="1342"/>
      <c r="BB126" s="1290"/>
      <c r="BC126" s="1200"/>
      <c r="BD126" s="1164"/>
      <c r="BE126" s="1164"/>
      <c r="BF126" s="1164"/>
      <c r="BG126" s="1164"/>
      <c r="BH126" s="1201"/>
      <c r="BI126" s="1342"/>
      <c r="BJ126" s="1222"/>
      <c r="BK126" s="1223"/>
      <c r="BL126" s="1223"/>
      <c r="BM126" s="1223"/>
      <c r="BN126" s="1223"/>
      <c r="BO126" s="1224"/>
    </row>
    <row r="127" spans="1:67" ht="15" customHeight="1">
      <c r="A127" s="249"/>
      <c r="B127" s="249"/>
      <c r="C127" s="249"/>
      <c r="D127" s="249"/>
      <c r="F127" s="277">
        <v>2.1</v>
      </c>
      <c r="G127" s="311">
        <f t="shared" si="194"/>
        <v>2</v>
      </c>
      <c r="H127" s="240" t="str">
        <f>IF($D$5=1,SUMIF($A$98:$A$124,$F127,$H$98:$H$124),"")</f>
        <v/>
      </c>
      <c r="I127" s="240" t="str">
        <f>IF($H$5=1,SUMIF($A$98:$A$124,$F127,$I$98:$I$124),"")</f>
        <v/>
      </c>
      <c r="J127" s="240" t="str">
        <f>IF($L$5=1,SUMIF($A$98:$A$124,$F127,$J$98:$J$124),"")</f>
        <v/>
      </c>
      <c r="K127" s="240" t="str">
        <f>IF($P$5=1,SUMIF($A$98:$A$124,$F127,$K$98:$K$124),"")</f>
        <v/>
      </c>
      <c r="L127" s="240" t="str">
        <f>IF($T$5=1,SUMIF($A$98:$A$124,$F127,$L$98:$L$124),"")</f>
        <v/>
      </c>
      <c r="M127" s="240" t="str">
        <f>IF($X$5=1,SUMIF($A$98:$A$124,$F127,$M$98:$M$124),"")</f>
        <v/>
      </c>
      <c r="N127" s="1291"/>
      <c r="O127" s="1165"/>
      <c r="P127" s="1166"/>
      <c r="Q127" s="1166"/>
      <c r="R127" s="1166"/>
      <c r="S127" s="1166"/>
      <c r="T127" s="1292"/>
      <c r="U127" s="1270"/>
      <c r="V127" s="1309"/>
      <c r="W127" s="1319"/>
      <c r="X127" s="1320"/>
      <c r="Y127" s="1320"/>
      <c r="Z127" s="1320"/>
      <c r="AA127" s="1320"/>
      <c r="AB127" s="1321"/>
      <c r="AC127" s="1270"/>
      <c r="AD127" s="1291"/>
      <c r="AE127" s="1202"/>
      <c r="AF127" s="1203"/>
      <c r="AG127" s="1203"/>
      <c r="AH127" s="1203"/>
      <c r="AI127" s="1203"/>
      <c r="AJ127" s="1204"/>
      <c r="AK127" s="1342"/>
      <c r="AL127" s="1197"/>
      <c r="AM127" s="1202"/>
      <c r="AN127" s="1203"/>
      <c r="AO127" s="1203"/>
      <c r="AP127" s="1203"/>
      <c r="AQ127" s="1203"/>
      <c r="AR127" s="1204"/>
      <c r="AS127" s="1342"/>
      <c r="AT127" s="1291"/>
      <c r="AU127" s="1202"/>
      <c r="AV127" s="1203"/>
      <c r="AW127" s="1203"/>
      <c r="AX127" s="1203"/>
      <c r="AY127" s="1203"/>
      <c r="AZ127" s="1204"/>
      <c r="BA127" s="1342"/>
      <c r="BB127" s="1291"/>
      <c r="BC127" s="1202"/>
      <c r="BD127" s="1203"/>
      <c r="BE127" s="1203"/>
      <c r="BF127" s="1203"/>
      <c r="BG127" s="1203"/>
      <c r="BH127" s="1204"/>
      <c r="BI127" s="1342"/>
    </row>
    <row r="128" spans="1:67" ht="15" customHeight="1">
      <c r="F128" s="277">
        <v>2.4</v>
      </c>
      <c r="G128" s="311">
        <f t="shared" si="194"/>
        <v>2</v>
      </c>
      <c r="H128" s="240" t="str">
        <f>IF($D$5=1,SUMIF($A$98:$A$124,$F128,$H$98:$H$124),"")</f>
        <v/>
      </c>
      <c r="I128" s="240" t="str">
        <f>IF($H$5=1,SUMIF($A$98:$A$124,$F128,$I$98:$I$124),"")</f>
        <v/>
      </c>
      <c r="J128" s="240" t="str">
        <f>IF($L$5=1,SUMIF($A$98:$A$124,$F128,$J$98:$J$124),"")</f>
        <v/>
      </c>
      <c r="K128" s="240" t="str">
        <f>IF($P$5=1,SUMIF($A$98:$A$124,$F128,$K$98:$K$124),"")</f>
        <v/>
      </c>
      <c r="L128" s="240" t="str">
        <f>IF($T$5=1,SUMIF($A$98:$A$124,$F128,$L$98:$L$124),"")</f>
        <v/>
      </c>
      <c r="M128" s="240" t="str">
        <f>IF($X$5=1,SUMIF($A$98:$A$124,$F128,$M$98:$M$124),"")</f>
        <v/>
      </c>
      <c r="N128" s="1307">
        <v>1.5</v>
      </c>
      <c r="O128" s="1315" t="s">
        <v>373</v>
      </c>
      <c r="P128" s="1311"/>
      <c r="Q128" s="1311"/>
      <c r="R128" s="1311"/>
      <c r="S128" s="1311"/>
      <c r="T128" s="1316"/>
      <c r="U128" s="1399" t="str">
        <f t="shared" ref="U128" si="195">IF(ISBLANK(D$5),"",1)</f>
        <v/>
      </c>
      <c r="V128" s="1322">
        <v>4.4000000000000004</v>
      </c>
      <c r="W128" s="1161" t="s">
        <v>397</v>
      </c>
      <c r="X128" s="1162"/>
      <c r="Y128" s="1162"/>
      <c r="Z128" s="1162"/>
      <c r="AA128" s="1162"/>
      <c r="AB128" s="1199"/>
      <c r="AC128" s="1399" t="str">
        <f t="shared" ref="AC128" si="196">IF(ISBLANK(H$5),"",1)</f>
        <v/>
      </c>
      <c r="AD128" s="1258">
        <v>4.4000000000000004</v>
      </c>
      <c r="AE128" s="1198" t="s">
        <v>395</v>
      </c>
      <c r="AF128" s="1162"/>
      <c r="AG128" s="1162"/>
      <c r="AH128" s="1162"/>
      <c r="AI128" s="1162"/>
      <c r="AJ128" s="1199"/>
      <c r="AK128" s="1226" t="str">
        <f t="shared" ref="AK128" si="197">IF(ISBLANK(L$5),"",1)</f>
        <v/>
      </c>
      <c r="AL128" s="1304">
        <v>4.4000000000000004</v>
      </c>
      <c r="AM128" s="1198" t="s">
        <v>395</v>
      </c>
      <c r="AN128" s="1162"/>
      <c r="AO128" s="1162"/>
      <c r="AP128" s="1162"/>
      <c r="AQ128" s="1162"/>
      <c r="AR128" s="1199"/>
      <c r="AS128" s="1226" t="str">
        <f t="shared" ref="AS128" si="198">IF(ISBLANK(P$5),"",1)</f>
        <v/>
      </c>
      <c r="AT128" s="1258">
        <v>4.4000000000000004</v>
      </c>
      <c r="AU128" s="1198" t="s">
        <v>395</v>
      </c>
      <c r="AV128" s="1162"/>
      <c r="AW128" s="1162"/>
      <c r="AX128" s="1162"/>
      <c r="AY128" s="1162"/>
      <c r="AZ128" s="1199"/>
      <c r="BA128" s="1226" t="str">
        <f t="shared" ref="BA128" si="199">IF(ISBLANK(T$5),"",1)</f>
        <v/>
      </c>
      <c r="BB128" s="1258">
        <v>4.4000000000000004</v>
      </c>
      <c r="BC128" s="1198" t="s">
        <v>395</v>
      </c>
      <c r="BD128" s="1162"/>
      <c r="BE128" s="1162"/>
      <c r="BF128" s="1162"/>
      <c r="BG128" s="1162"/>
      <c r="BH128" s="1199"/>
      <c r="BI128" s="1226" t="str">
        <f t="shared" ref="BI128" si="200">IF(ISBLANK(X$5),"",1)</f>
        <v/>
      </c>
    </row>
    <row r="129" spans="1:65" ht="15" customHeight="1">
      <c r="N129" s="1308"/>
      <c r="O129" s="1317"/>
      <c r="P129" s="1296"/>
      <c r="Q129" s="1296"/>
      <c r="R129" s="1296"/>
      <c r="S129" s="1296"/>
      <c r="T129" s="1318"/>
      <c r="U129" s="1269"/>
      <c r="V129" s="1293"/>
      <c r="W129" s="1163"/>
      <c r="X129" s="1164"/>
      <c r="Y129" s="1164"/>
      <c r="Z129" s="1164"/>
      <c r="AA129" s="1164"/>
      <c r="AB129" s="1201"/>
      <c r="AC129" s="1269"/>
      <c r="AD129" s="1258"/>
      <c r="AE129" s="1200"/>
      <c r="AF129" s="1164"/>
      <c r="AG129" s="1164"/>
      <c r="AH129" s="1164"/>
      <c r="AI129" s="1164"/>
      <c r="AJ129" s="1201"/>
      <c r="AK129" s="1342"/>
      <c r="AL129" s="1290"/>
      <c r="AM129" s="1200"/>
      <c r="AN129" s="1164"/>
      <c r="AO129" s="1164"/>
      <c r="AP129" s="1164"/>
      <c r="AQ129" s="1164"/>
      <c r="AR129" s="1201"/>
      <c r="AS129" s="1342"/>
      <c r="AT129" s="1258"/>
      <c r="AU129" s="1200"/>
      <c r="AV129" s="1164"/>
      <c r="AW129" s="1164"/>
      <c r="AX129" s="1164"/>
      <c r="AY129" s="1164"/>
      <c r="AZ129" s="1201"/>
      <c r="BA129" s="1342"/>
      <c r="BB129" s="1258"/>
      <c r="BC129" s="1200"/>
      <c r="BD129" s="1164"/>
      <c r="BE129" s="1164"/>
      <c r="BF129" s="1164"/>
      <c r="BG129" s="1164"/>
      <c r="BH129" s="1201"/>
      <c r="BI129" s="1342"/>
    </row>
    <row r="130" spans="1:65" ht="15" customHeight="1">
      <c r="A130" s="1209"/>
      <c r="B130" s="1210" t="s">
        <v>609</v>
      </c>
      <c r="C130" s="1211"/>
      <c r="D130" s="1211"/>
      <c r="E130" s="1211"/>
      <c r="F130" s="1211"/>
      <c r="G130" s="1211"/>
      <c r="H130" s="1174">
        <v>1</v>
      </c>
      <c r="I130" s="1174">
        <v>2</v>
      </c>
      <c r="J130" s="1174">
        <v>3</v>
      </c>
      <c r="K130" s="1174">
        <v>4</v>
      </c>
      <c r="L130" s="1174">
        <v>5</v>
      </c>
      <c r="M130" s="1174">
        <v>6</v>
      </c>
      <c r="N130" s="1309"/>
      <c r="O130" s="1319"/>
      <c r="P130" s="1320"/>
      <c r="Q130" s="1320"/>
      <c r="R130" s="1320"/>
      <c r="S130" s="1320"/>
      <c r="T130" s="1321"/>
      <c r="U130" s="1270"/>
      <c r="V130" s="1306"/>
      <c r="W130" s="1165"/>
      <c r="X130" s="1166"/>
      <c r="Y130" s="1166"/>
      <c r="Z130" s="1166"/>
      <c r="AA130" s="1166"/>
      <c r="AB130" s="1292"/>
      <c r="AC130" s="1270"/>
      <c r="AD130" s="1258"/>
      <c r="AE130" s="1202"/>
      <c r="AF130" s="1203"/>
      <c r="AG130" s="1203"/>
      <c r="AH130" s="1203"/>
      <c r="AI130" s="1203"/>
      <c r="AJ130" s="1204"/>
      <c r="AK130" s="1342"/>
      <c r="AL130" s="1291"/>
      <c r="AM130" s="1202"/>
      <c r="AN130" s="1203"/>
      <c r="AO130" s="1203"/>
      <c r="AP130" s="1203"/>
      <c r="AQ130" s="1203"/>
      <c r="AR130" s="1204"/>
      <c r="AS130" s="1342"/>
      <c r="AT130" s="1258"/>
      <c r="AU130" s="1202"/>
      <c r="AV130" s="1203"/>
      <c r="AW130" s="1203"/>
      <c r="AX130" s="1203"/>
      <c r="AY130" s="1203"/>
      <c r="AZ130" s="1204"/>
      <c r="BA130" s="1342"/>
      <c r="BB130" s="1258"/>
      <c r="BC130" s="1202"/>
      <c r="BD130" s="1203"/>
      <c r="BE130" s="1203"/>
      <c r="BF130" s="1203"/>
      <c r="BG130" s="1203"/>
      <c r="BH130" s="1204"/>
      <c r="BI130" s="1342"/>
    </row>
    <row r="131" spans="1:65" ht="15" customHeight="1">
      <c r="A131" s="1209"/>
      <c r="B131" s="1212"/>
      <c r="C131" s="1213"/>
      <c r="D131" s="1213"/>
      <c r="E131" s="1213"/>
      <c r="F131" s="1213"/>
      <c r="G131" s="1213"/>
      <c r="H131" s="1174"/>
      <c r="I131" s="1174"/>
      <c r="J131" s="1174"/>
      <c r="K131" s="1174"/>
      <c r="L131" s="1174"/>
      <c r="M131" s="1174"/>
      <c r="N131" s="1301">
        <v>4.4000000000000004</v>
      </c>
      <c r="O131" s="1161" t="s">
        <v>397</v>
      </c>
      <c r="P131" s="1162"/>
      <c r="Q131" s="1162"/>
      <c r="R131" s="1162"/>
      <c r="S131" s="1162"/>
      <c r="T131" s="1199"/>
      <c r="U131" s="1399" t="str">
        <f t="shared" ref="U131" si="201">IF(ISBLANK(D$5),"",1)</f>
        <v/>
      </c>
      <c r="V131" s="247"/>
      <c r="W131" s="52"/>
      <c r="AA131" s="273">
        <v>1.5</v>
      </c>
      <c r="AB131" s="240">
        <f>COUNTIF(V98:V130,AA131)</f>
        <v>1</v>
      </c>
      <c r="AC131" s="240" t="str">
        <f>IF($H$5=1,SUMIF($V$98:$V$130,AA131,$AC$98:$AC$130),"")</f>
        <v/>
      </c>
      <c r="AD131" s="1304">
        <v>4.4000000000000004</v>
      </c>
      <c r="AE131" s="1198" t="s">
        <v>878</v>
      </c>
      <c r="AF131" s="1162"/>
      <c r="AG131" s="1162"/>
      <c r="AH131" s="1162"/>
      <c r="AI131" s="1162"/>
      <c r="AJ131" s="1199"/>
      <c r="AK131" s="1226" t="str">
        <f t="shared" ref="AK131" si="202">IF(ISBLANK(L$5),"",1)</f>
        <v/>
      </c>
      <c r="AL131" s="1196">
        <v>4.4000000000000004</v>
      </c>
      <c r="AM131" s="1198" t="s">
        <v>878</v>
      </c>
      <c r="AN131" s="1162"/>
      <c r="AO131" s="1162"/>
      <c r="AP131" s="1162"/>
      <c r="AQ131" s="1162"/>
      <c r="AR131" s="1199"/>
      <c r="AS131" s="1226" t="str">
        <f t="shared" ref="AS131" si="203">IF(ISBLANK(P$5),"",1)</f>
        <v/>
      </c>
      <c r="AT131" s="1304">
        <v>4.4000000000000004</v>
      </c>
      <c r="AU131" s="1198" t="s">
        <v>878</v>
      </c>
      <c r="AV131" s="1162"/>
      <c r="AW131" s="1162"/>
      <c r="AX131" s="1162"/>
      <c r="AY131" s="1162"/>
      <c r="AZ131" s="1199"/>
      <c r="BA131" s="1226" t="str">
        <f t="shared" ref="BA131" si="204">IF(ISBLANK(T$5),"",1)</f>
        <v/>
      </c>
      <c r="BB131" s="1304">
        <v>4.4000000000000004</v>
      </c>
      <c r="BC131" s="1198" t="s">
        <v>878</v>
      </c>
      <c r="BD131" s="1162"/>
      <c r="BE131" s="1162"/>
      <c r="BF131" s="1162"/>
      <c r="BG131" s="1162"/>
      <c r="BH131" s="1199"/>
      <c r="BI131" s="1226" t="str">
        <f t="shared" ref="BI131" si="205">IF(ISBLANK(X$5),"",1)</f>
        <v/>
      </c>
    </row>
    <row r="132" spans="1:65" ht="15" customHeight="1">
      <c r="A132" s="1336">
        <v>3.1</v>
      </c>
      <c r="B132" s="1198" t="s">
        <v>366</v>
      </c>
      <c r="C132" s="1162"/>
      <c r="D132" s="1162"/>
      <c r="E132" s="1162"/>
      <c r="F132" s="1162"/>
      <c r="G132" s="1265"/>
      <c r="H132" s="1268" t="str">
        <f t="shared" ref="H132" si="206">IF(ISBLANK(D$5),"",1)</f>
        <v/>
      </c>
      <c r="I132" s="1205" t="str">
        <f t="shared" ref="I132" si="207">IF(ISBLANK(H$5),"",1)</f>
        <v/>
      </c>
      <c r="J132" s="1205" t="str">
        <f t="shared" ref="J132" si="208">IF(ISBLANK(L$5),"",1)</f>
        <v/>
      </c>
      <c r="K132" s="1205" t="str">
        <f t="shared" ref="K132" si="209">IF(ISBLANK(P$5),"",1)</f>
        <v/>
      </c>
      <c r="L132" s="1205" t="str">
        <f t="shared" ref="L132" si="210">IF(ISBLANK(T$5),"",1)</f>
        <v/>
      </c>
      <c r="M132" s="1248" t="str">
        <f t="shared" ref="M132" si="211">IF(ISBLANK(X$5),"",1)</f>
        <v/>
      </c>
      <c r="N132" s="1302"/>
      <c r="O132" s="1163"/>
      <c r="P132" s="1164"/>
      <c r="Q132" s="1164"/>
      <c r="R132" s="1164"/>
      <c r="S132" s="1164"/>
      <c r="T132" s="1201"/>
      <c r="U132" s="1269"/>
      <c r="V132" s="248"/>
      <c r="W132" s="52"/>
      <c r="AA132" s="275">
        <v>4.3</v>
      </c>
      <c r="AB132" s="240">
        <f>COUNTIF(V98:V130,AA132)</f>
        <v>4</v>
      </c>
      <c r="AC132" s="240" t="str">
        <f>IF($H$5=1,SUMIF($V$98:$V$130,AA132,$AC$98:$AC$130),"")</f>
        <v/>
      </c>
      <c r="AD132" s="1290"/>
      <c r="AE132" s="1200"/>
      <c r="AF132" s="1164"/>
      <c r="AG132" s="1164"/>
      <c r="AH132" s="1164"/>
      <c r="AI132" s="1164"/>
      <c r="AJ132" s="1201"/>
      <c r="AK132" s="1342"/>
      <c r="AL132" s="1197"/>
      <c r="AM132" s="1200"/>
      <c r="AN132" s="1164"/>
      <c r="AO132" s="1164"/>
      <c r="AP132" s="1164"/>
      <c r="AQ132" s="1164"/>
      <c r="AR132" s="1201"/>
      <c r="AS132" s="1342"/>
      <c r="AT132" s="1290"/>
      <c r="AU132" s="1200"/>
      <c r="AV132" s="1164"/>
      <c r="AW132" s="1164"/>
      <c r="AX132" s="1164"/>
      <c r="AY132" s="1164"/>
      <c r="AZ132" s="1201"/>
      <c r="BA132" s="1342"/>
      <c r="BB132" s="1290"/>
      <c r="BC132" s="1200"/>
      <c r="BD132" s="1164"/>
      <c r="BE132" s="1164"/>
      <c r="BF132" s="1164"/>
      <c r="BG132" s="1164"/>
      <c r="BH132" s="1201"/>
      <c r="BI132" s="1342"/>
    </row>
    <row r="133" spans="1:65" ht="15" customHeight="1">
      <c r="A133" s="1159"/>
      <c r="B133" s="1200"/>
      <c r="C133" s="1164"/>
      <c r="D133" s="1164"/>
      <c r="E133" s="1164"/>
      <c r="F133" s="1164"/>
      <c r="G133" s="1266"/>
      <c r="H133" s="1269"/>
      <c r="I133" s="1206"/>
      <c r="J133" s="1206"/>
      <c r="K133" s="1206"/>
      <c r="L133" s="1206"/>
      <c r="M133" s="1206"/>
      <c r="N133" s="1303"/>
      <c r="O133" s="1165"/>
      <c r="P133" s="1166"/>
      <c r="Q133" s="1166"/>
      <c r="R133" s="1166"/>
      <c r="S133" s="1166"/>
      <c r="T133" s="1292"/>
      <c r="U133" s="1270"/>
      <c r="V133" s="248"/>
      <c r="W133" s="52"/>
      <c r="AA133" s="276">
        <v>4.4000000000000004</v>
      </c>
      <c r="AB133" s="240">
        <f>COUNTIF(V98:V130,AA133)</f>
        <v>6</v>
      </c>
      <c r="AC133" s="240" t="str">
        <f>IF($H$5=1,SUMIF($V$98:$V$130,AA133,$AC$98:$AC$130),"")</f>
        <v/>
      </c>
      <c r="AD133" s="1291"/>
      <c r="AE133" s="1202"/>
      <c r="AF133" s="1203"/>
      <c r="AG133" s="1203"/>
      <c r="AH133" s="1203"/>
      <c r="AI133" s="1203"/>
      <c r="AJ133" s="1204"/>
      <c r="AK133" s="1342"/>
      <c r="AL133" s="1197"/>
      <c r="AM133" s="1202"/>
      <c r="AN133" s="1203"/>
      <c r="AO133" s="1203"/>
      <c r="AP133" s="1203"/>
      <c r="AQ133" s="1203"/>
      <c r="AR133" s="1204"/>
      <c r="AS133" s="1342"/>
      <c r="AT133" s="1291"/>
      <c r="AU133" s="1202"/>
      <c r="AV133" s="1203"/>
      <c r="AW133" s="1203"/>
      <c r="AX133" s="1203"/>
      <c r="AY133" s="1203"/>
      <c r="AZ133" s="1204"/>
      <c r="BA133" s="1342"/>
      <c r="BB133" s="1291"/>
      <c r="BC133" s="1202"/>
      <c r="BD133" s="1203"/>
      <c r="BE133" s="1203"/>
      <c r="BF133" s="1203"/>
      <c r="BG133" s="1203"/>
      <c r="BH133" s="1204"/>
      <c r="BI133" s="1342"/>
    </row>
    <row r="134" spans="1:65" ht="15" customHeight="1">
      <c r="A134" s="1160"/>
      <c r="B134" s="1200"/>
      <c r="C134" s="1164"/>
      <c r="D134" s="1164"/>
      <c r="E134" s="1164"/>
      <c r="F134" s="1164"/>
      <c r="G134" s="1266"/>
      <c r="H134" s="1270"/>
      <c r="I134" s="1207"/>
      <c r="J134" s="1207"/>
      <c r="K134" s="1207"/>
      <c r="L134" s="1207"/>
      <c r="M134" s="1207"/>
      <c r="N134" s="242"/>
      <c r="O134" s="52"/>
      <c r="Q134" s="247"/>
      <c r="S134" s="273">
        <v>1.5</v>
      </c>
      <c r="T134" s="240">
        <f>COUNTIF(N98:N133,S134)</f>
        <v>1</v>
      </c>
      <c r="U134" s="240" t="str">
        <f>IF($D$5=1,SUMIF($N$98:$N$133,S134,$U$98:$U$133),"")</f>
        <v/>
      </c>
      <c r="V134" s="242"/>
      <c r="W134" s="52"/>
      <c r="AD134" s="1307">
        <v>1.5</v>
      </c>
      <c r="AE134" s="1198" t="s">
        <v>373</v>
      </c>
      <c r="AF134" s="1162"/>
      <c r="AG134" s="1162"/>
      <c r="AH134" s="1162"/>
      <c r="AI134" s="1162"/>
      <c r="AJ134" s="1199"/>
      <c r="AK134" s="1226" t="str">
        <f t="shared" ref="AK134" si="212">IF(ISBLANK(L$5),"",1)</f>
        <v/>
      </c>
      <c r="AL134" s="1304">
        <v>1.5</v>
      </c>
      <c r="AM134" s="1198" t="s">
        <v>373</v>
      </c>
      <c r="AN134" s="1162"/>
      <c r="AO134" s="1162"/>
      <c r="AP134" s="1162"/>
      <c r="AQ134" s="1162"/>
      <c r="AR134" s="1199"/>
      <c r="AS134" s="1226" t="str">
        <f t="shared" ref="AS134" si="213">IF(ISBLANK(P$5),"",1)</f>
        <v/>
      </c>
      <c r="AT134" s="1307">
        <v>1.5</v>
      </c>
      <c r="AU134" s="1198" t="s">
        <v>373</v>
      </c>
      <c r="AV134" s="1162"/>
      <c r="AW134" s="1162"/>
      <c r="AX134" s="1162"/>
      <c r="AY134" s="1162"/>
      <c r="AZ134" s="1199"/>
      <c r="BA134" s="1226" t="str">
        <f t="shared" ref="BA134" si="214">IF(ISBLANK(T$5),"",1)</f>
        <v/>
      </c>
      <c r="BB134" s="1307">
        <v>1.5</v>
      </c>
      <c r="BC134" s="1198" t="s">
        <v>373</v>
      </c>
      <c r="BD134" s="1162"/>
      <c r="BE134" s="1162"/>
      <c r="BF134" s="1162"/>
      <c r="BG134" s="1162"/>
      <c r="BH134" s="1199"/>
      <c r="BI134" s="1226" t="str">
        <f t="shared" ref="BI134" si="215">IF(ISBLANK(X$5),"",1)</f>
        <v/>
      </c>
    </row>
    <row r="135" spans="1:65" ht="15" customHeight="1">
      <c r="A135" s="1336">
        <v>1.4</v>
      </c>
      <c r="B135" s="1198" t="s">
        <v>943</v>
      </c>
      <c r="C135" s="1162"/>
      <c r="D135" s="1162"/>
      <c r="E135" s="1162"/>
      <c r="F135" s="1162"/>
      <c r="G135" s="1265"/>
      <c r="H135" s="1268" t="str">
        <f t="shared" ref="H135" si="216">IF(ISBLANK(D$5),"",1)</f>
        <v/>
      </c>
      <c r="I135" s="1205" t="str">
        <f t="shared" ref="I135" si="217">IF(ISBLANK(H$5),"",1)</f>
        <v/>
      </c>
      <c r="J135" s="1205" t="str">
        <f t="shared" ref="J135" si="218">IF(ISBLANK(L$5),"",1)</f>
        <v/>
      </c>
      <c r="K135" s="1205" t="str">
        <f t="shared" ref="K135" si="219">IF(ISBLANK(P$5),"",1)</f>
        <v/>
      </c>
      <c r="L135" s="1205" t="str">
        <f t="shared" ref="L135" si="220">IF(ISBLANK(T$5),"",1)</f>
        <v/>
      </c>
      <c r="M135" s="1248" t="str">
        <f t="shared" ref="M135" si="221">IF(ISBLANK(X$5),"",1)</f>
        <v/>
      </c>
      <c r="N135" s="242"/>
      <c r="O135" s="52"/>
      <c r="Q135" s="248"/>
      <c r="S135" s="275">
        <v>4.3</v>
      </c>
      <c r="T135" s="240">
        <f>COUNTIF(N98:N133,S135)</f>
        <v>3</v>
      </c>
      <c r="U135" s="240" t="str">
        <f>IF($D$5=1,SUMIF($N$98:$N$133,S135,$U$98:$U$133),"")</f>
        <v/>
      </c>
      <c r="V135" s="242"/>
      <c r="W135" s="52"/>
      <c r="AD135" s="1308"/>
      <c r="AE135" s="1200"/>
      <c r="AF135" s="1164"/>
      <c r="AG135" s="1164"/>
      <c r="AH135" s="1164"/>
      <c r="AI135" s="1164"/>
      <c r="AJ135" s="1201"/>
      <c r="AK135" s="1342"/>
      <c r="AL135" s="1290"/>
      <c r="AM135" s="1200"/>
      <c r="AN135" s="1164"/>
      <c r="AO135" s="1164"/>
      <c r="AP135" s="1164"/>
      <c r="AQ135" s="1164"/>
      <c r="AR135" s="1201"/>
      <c r="AS135" s="1342"/>
      <c r="AT135" s="1308"/>
      <c r="AU135" s="1200"/>
      <c r="AV135" s="1164"/>
      <c r="AW135" s="1164"/>
      <c r="AX135" s="1164"/>
      <c r="AY135" s="1164"/>
      <c r="AZ135" s="1201"/>
      <c r="BA135" s="1342"/>
      <c r="BB135" s="1308"/>
      <c r="BC135" s="1200"/>
      <c r="BD135" s="1164"/>
      <c r="BE135" s="1164"/>
      <c r="BF135" s="1164"/>
      <c r="BG135" s="1164"/>
      <c r="BH135" s="1201"/>
      <c r="BI135" s="1342"/>
    </row>
    <row r="136" spans="1:65" ht="15" customHeight="1">
      <c r="A136" s="1159"/>
      <c r="B136" s="1200"/>
      <c r="C136" s="1164"/>
      <c r="D136" s="1164"/>
      <c r="E136" s="1164"/>
      <c r="F136" s="1164"/>
      <c r="G136" s="1266"/>
      <c r="H136" s="1269"/>
      <c r="I136" s="1206"/>
      <c r="J136" s="1206"/>
      <c r="K136" s="1206"/>
      <c r="L136" s="1206"/>
      <c r="M136" s="1206"/>
      <c r="N136" s="242"/>
      <c r="O136" s="52"/>
      <c r="Q136" s="248"/>
      <c r="S136" s="276">
        <v>4.4000000000000004</v>
      </c>
      <c r="T136" s="240">
        <f>COUNTIF(N98:N133,S136)</f>
        <v>8</v>
      </c>
      <c r="U136" s="240" t="str">
        <f>IF($D$5=1,SUMIF($N$98:$N$133,S136,$U$98:$U$133),"")</f>
        <v/>
      </c>
      <c r="W136" s="52"/>
      <c r="AD136" s="1309"/>
      <c r="AE136" s="1202"/>
      <c r="AF136" s="1203"/>
      <c r="AG136" s="1203"/>
      <c r="AH136" s="1203"/>
      <c r="AI136" s="1203"/>
      <c r="AJ136" s="1204"/>
      <c r="AK136" s="1342"/>
      <c r="AL136" s="1291"/>
      <c r="AM136" s="1202"/>
      <c r="AN136" s="1203"/>
      <c r="AO136" s="1203"/>
      <c r="AP136" s="1203"/>
      <c r="AQ136" s="1203"/>
      <c r="AR136" s="1204"/>
      <c r="AS136" s="1342"/>
      <c r="AT136" s="1309"/>
      <c r="AU136" s="1202"/>
      <c r="AV136" s="1203"/>
      <c r="AW136" s="1203"/>
      <c r="AX136" s="1203"/>
      <c r="AY136" s="1203"/>
      <c r="AZ136" s="1204"/>
      <c r="BA136" s="1342"/>
      <c r="BB136" s="1309"/>
      <c r="BC136" s="1202"/>
      <c r="BD136" s="1203"/>
      <c r="BE136" s="1203"/>
      <c r="BF136" s="1203"/>
      <c r="BG136" s="1203"/>
      <c r="BH136" s="1204"/>
      <c r="BI136" s="1342"/>
    </row>
    <row r="137" spans="1:65" ht="15" customHeight="1">
      <c r="A137" s="1160"/>
      <c r="B137" s="1200"/>
      <c r="C137" s="1164"/>
      <c r="D137" s="1164"/>
      <c r="E137" s="1164"/>
      <c r="F137" s="1164"/>
      <c r="G137" s="1266"/>
      <c r="H137" s="1270"/>
      <c r="I137" s="1207"/>
      <c r="J137" s="1207"/>
      <c r="K137" s="1207"/>
      <c r="L137" s="1207"/>
      <c r="M137" s="1207"/>
      <c r="N137" s="242"/>
      <c r="O137" s="52"/>
      <c r="Q137" s="248"/>
      <c r="S137" s="332"/>
      <c r="T137" s="332"/>
      <c r="U137" s="332"/>
      <c r="W137" s="52"/>
      <c r="AD137" s="1307">
        <v>4.4000000000000004</v>
      </c>
      <c r="AE137" s="1198" t="s">
        <v>397</v>
      </c>
      <c r="AF137" s="1162"/>
      <c r="AG137" s="1162"/>
      <c r="AH137" s="1162"/>
      <c r="AI137" s="1162"/>
      <c r="AJ137" s="1199"/>
      <c r="AK137" s="1226" t="str">
        <f t="shared" ref="AK137" si="222">IF(ISBLANK(L$5),"",1)</f>
        <v/>
      </c>
      <c r="AM137" s="242"/>
      <c r="AO137" s="52"/>
      <c r="AQ137" s="273">
        <v>1.5</v>
      </c>
      <c r="AR137" s="240">
        <f>COUNTIF($AL$98:$AL$136,AQ137)</f>
        <v>1</v>
      </c>
      <c r="AS137" s="240" t="str">
        <f>IF($P$5=1,SUMIF($AL$98:$AL$136,AQ137,$AS$98:$AS$136),"")</f>
        <v/>
      </c>
      <c r="AT137" s="1307">
        <v>4.4000000000000004</v>
      </c>
      <c r="AU137" s="1198" t="s">
        <v>397</v>
      </c>
      <c r="AV137" s="1162"/>
      <c r="AW137" s="1162"/>
      <c r="AX137" s="1162"/>
      <c r="AY137" s="1162"/>
      <c r="AZ137" s="1199"/>
      <c r="BA137" s="1226" t="str">
        <f t="shared" ref="BA137" si="223">IF(ISBLANK(T$5),"",1)</f>
        <v/>
      </c>
      <c r="BB137" s="1307">
        <v>4.4000000000000004</v>
      </c>
      <c r="BC137" s="1198" t="s">
        <v>397</v>
      </c>
      <c r="BD137" s="1162"/>
      <c r="BE137" s="1162"/>
      <c r="BF137" s="1162"/>
      <c r="BG137" s="1162"/>
      <c r="BH137" s="1199"/>
      <c r="BI137" s="1226" t="str">
        <f t="shared" ref="BI137" si="224">IF(ISBLANK(X$5),"",1)</f>
        <v/>
      </c>
    </row>
    <row r="138" spans="1:65" ht="15" customHeight="1">
      <c r="A138" s="1168" t="s">
        <v>637</v>
      </c>
      <c r="B138" s="1168"/>
      <c r="C138" s="1168"/>
      <c r="D138" s="1168"/>
      <c r="E138" s="1169"/>
      <c r="F138" s="617">
        <v>3.1</v>
      </c>
      <c r="G138" s="620">
        <f>COUNTIF($A$132:$A$137,F138)</f>
        <v>1</v>
      </c>
      <c r="H138" s="240" t="str">
        <f>IF($D$5=1,SUMIF($A$132:$A$137,$F138,H132:H137),"")</f>
        <v/>
      </c>
      <c r="I138" s="240" t="str">
        <f>IF($H$5=1,SUMIF($A$132:$A$137,$F138,$I$132:$I$137),"")</f>
        <v/>
      </c>
      <c r="J138" s="240" t="str">
        <f>IF($L$5=1,SUMIF($A$132:$A$137,$F138,$J$132:$J$137),"")</f>
        <v/>
      </c>
      <c r="K138" s="240" t="str">
        <f>IF($P$5=1,SUMIF($A$132:$A$137,$F138,$K$132:$K$137),"")</f>
        <v/>
      </c>
      <c r="L138" s="240" t="str">
        <f>IF($T$5=1,SUMIF($A$132:$A$137,$F138,$L$132:$L$137),"")</f>
        <v/>
      </c>
      <c r="M138" s="240" t="str">
        <f>IF($X$5=1,SUMIF($A$132:$A$137,$F138,$M$132:$M$137),"")</f>
        <v/>
      </c>
      <c r="N138" s="332"/>
      <c r="O138" s="332"/>
      <c r="P138" s="332"/>
      <c r="Q138" s="332"/>
      <c r="R138" s="332"/>
      <c r="S138" s="332"/>
      <c r="T138" s="332"/>
      <c r="U138" s="332"/>
      <c r="W138" s="52"/>
      <c r="AD138" s="1308"/>
      <c r="AE138" s="1200"/>
      <c r="AF138" s="1164"/>
      <c r="AG138" s="1164"/>
      <c r="AH138" s="1164"/>
      <c r="AI138" s="1164"/>
      <c r="AJ138" s="1201"/>
      <c r="AK138" s="1342"/>
      <c r="AM138" s="242"/>
      <c r="AO138" s="52"/>
      <c r="AQ138" s="274">
        <v>4.3</v>
      </c>
      <c r="AR138" s="240">
        <f t="shared" ref="AR138:AR139" si="225">COUNTIF($AL$98:$AL$136,AQ138)</f>
        <v>4</v>
      </c>
      <c r="AS138" s="240" t="str">
        <f>IF($P$5=1,SUMIF($AL$98:$AL$136,AQ138,$AS$98:$AS$136),"")</f>
        <v/>
      </c>
      <c r="AT138" s="1308"/>
      <c r="AU138" s="1200"/>
      <c r="AV138" s="1164"/>
      <c r="AW138" s="1164"/>
      <c r="AX138" s="1164"/>
      <c r="AY138" s="1164"/>
      <c r="AZ138" s="1201"/>
      <c r="BA138" s="1342"/>
      <c r="BB138" s="1308"/>
      <c r="BC138" s="1200"/>
      <c r="BD138" s="1164"/>
      <c r="BE138" s="1164"/>
      <c r="BF138" s="1164"/>
      <c r="BG138" s="1164"/>
      <c r="BH138" s="1201"/>
      <c r="BI138" s="1342"/>
    </row>
    <row r="139" spans="1:65" ht="15" customHeight="1">
      <c r="F139" s="617">
        <v>1.4</v>
      </c>
      <c r="G139" s="620">
        <f>COUNTIF($A$132:$A$137,F139)</f>
        <v>1</v>
      </c>
      <c r="H139" s="240" t="str">
        <f>IF($D$5=1,SUMIF($A$132:$A$137,$F139,H133:H138),"")</f>
        <v/>
      </c>
      <c r="I139" s="240" t="str">
        <f>IF($H$5=1,SUMIF($A$132:$A$137,$F139,$I$132:$I$137),"")</f>
        <v/>
      </c>
      <c r="J139" s="240" t="str">
        <f>IF($L$5=1,SUMIF($A$132:$A$137,$F139,$J$132:$J$137),"")</f>
        <v/>
      </c>
      <c r="K139" s="240" t="str">
        <f>IF($P$5=1,SUMIF($A$132:$A$137,$F139,$K$132:$K$137),"")</f>
        <v/>
      </c>
      <c r="L139" s="240" t="str">
        <f>IF($T$5=1,SUMIF($A$132:$A$137,$F139,$L$132:$L$137),"")</f>
        <v/>
      </c>
      <c r="M139" s="240" t="str">
        <f>IF($X$5=1,SUMIF($A$132:$A$137,$F139,$M$132:$M$137),"")</f>
        <v/>
      </c>
      <c r="N139" s="332"/>
      <c r="O139" s="332"/>
      <c r="P139" s="332"/>
      <c r="Q139" s="332"/>
      <c r="R139" s="332"/>
      <c r="S139" s="332"/>
      <c r="T139" s="332"/>
      <c r="U139" s="332"/>
      <c r="W139" s="52"/>
      <c r="AD139" s="1309"/>
      <c r="AE139" s="1202"/>
      <c r="AF139" s="1203"/>
      <c r="AG139" s="1203"/>
      <c r="AH139" s="1203"/>
      <c r="AI139" s="1203"/>
      <c r="AJ139" s="1204"/>
      <c r="AK139" s="1342"/>
      <c r="AM139" s="242"/>
      <c r="AO139" s="52"/>
      <c r="AQ139" s="274">
        <v>4.4000000000000004</v>
      </c>
      <c r="AR139" s="240">
        <f t="shared" si="225"/>
        <v>8</v>
      </c>
      <c r="AS139" s="240" t="str">
        <f>IF($P$5=1,SUMIF($AL$98:$AL$136,AQ139,$AS$98:$AS$136),"")</f>
        <v/>
      </c>
      <c r="AT139" s="1309"/>
      <c r="AU139" s="1202"/>
      <c r="AV139" s="1203"/>
      <c r="AW139" s="1203"/>
      <c r="AX139" s="1203"/>
      <c r="AY139" s="1203"/>
      <c r="AZ139" s="1204"/>
      <c r="BA139" s="1342"/>
      <c r="BB139" s="1309"/>
      <c r="BC139" s="1202"/>
      <c r="BD139" s="1203"/>
      <c r="BE139" s="1203"/>
      <c r="BF139" s="1203"/>
      <c r="BG139" s="1203"/>
      <c r="BH139" s="1204"/>
      <c r="BI139" s="1342"/>
    </row>
    <row r="140" spans="1:65" ht="15" customHeight="1">
      <c r="N140" s="332"/>
      <c r="O140" s="332"/>
      <c r="P140" s="332"/>
      <c r="Q140" s="332"/>
      <c r="R140" s="332"/>
      <c r="S140" s="332"/>
      <c r="T140" s="332"/>
      <c r="U140" s="332"/>
      <c r="W140" s="52"/>
      <c r="AD140" s="242"/>
      <c r="AF140" s="52"/>
      <c r="AG140" s="247"/>
      <c r="AI140" s="273">
        <v>1.5</v>
      </c>
      <c r="AJ140" s="240">
        <f>COUNTIF(AD98:AD139,AI140)</f>
        <v>1</v>
      </c>
      <c r="AK140" s="240" t="str">
        <f>IF($L$5=1,SUMIF($AD$98:$AD$139,AI140,$AK$98:$AK$139),"")</f>
        <v/>
      </c>
      <c r="AM140" s="242"/>
      <c r="AO140" s="52"/>
      <c r="AV140" s="242"/>
      <c r="AY140" s="273">
        <v>1.5</v>
      </c>
      <c r="AZ140" s="240">
        <f>COUNTIF($AT$98:$AT$139,AY140)</f>
        <v>1</v>
      </c>
      <c r="BA140" s="240" t="str">
        <f>IF($T$5=1,SUMIF($AT$98:$AT$139,AY140,$BA$98:$BA$139),"")</f>
        <v/>
      </c>
      <c r="BE140" s="242"/>
      <c r="BG140" s="273">
        <v>1.5</v>
      </c>
      <c r="BH140" s="240">
        <f>COUNTIF($BB$98:$BB$139,BG140)</f>
        <v>1</v>
      </c>
      <c r="BI140" s="240" t="str">
        <f>IF($X$5=1,SUMIF($BB$98:$BB$139,BG140,$BI$98:$BI$139),"")</f>
        <v/>
      </c>
    </row>
    <row r="141" spans="1:65" ht="15" customHeight="1">
      <c r="N141" s="332"/>
      <c r="O141" s="332"/>
      <c r="P141" s="332"/>
      <c r="Q141" s="332"/>
      <c r="R141" s="332"/>
      <c r="S141" s="332"/>
      <c r="T141" s="332"/>
      <c r="U141" s="332"/>
      <c r="W141" s="52"/>
      <c r="AD141" s="242"/>
      <c r="AF141" s="52"/>
      <c r="AG141" s="248"/>
      <c r="AI141" s="274">
        <v>4.3</v>
      </c>
      <c r="AJ141" s="240">
        <f>COUNTIF(AD98:AD139,AI141)</f>
        <v>6</v>
      </c>
      <c r="AK141" s="240" t="str">
        <f>IF($L$5=1,SUMIF($AD$98:$AD$139,AI141,$AK$98:$AK$139),"")</f>
        <v/>
      </c>
      <c r="AM141" s="242"/>
      <c r="AO141" s="52"/>
      <c r="AV141" s="242"/>
      <c r="AY141" s="274">
        <v>4.3</v>
      </c>
      <c r="AZ141" s="240">
        <f t="shared" ref="AZ141:AZ142" si="226">COUNTIF($AT$98:$AT$139,AY141)</f>
        <v>6</v>
      </c>
      <c r="BA141" s="240" t="str">
        <f>IF($T$5=1,SUMIF($AT$98:$AT$139,AY141,$BA$98:$BA$139),"")</f>
        <v/>
      </c>
      <c r="BE141" s="242"/>
      <c r="BG141" s="274">
        <v>4.3</v>
      </c>
      <c r="BH141" s="240">
        <f t="shared" ref="BH141:BH142" si="227">COUNTIF($BB$98:$BB$139,BG141)</f>
        <v>6</v>
      </c>
      <c r="BI141" s="240" t="str">
        <f>IF($X$5=1,SUMIF($BB$98:$BB$139,BG141,$BI$98:$BI$139),"")</f>
        <v/>
      </c>
    </row>
    <row r="142" spans="1:65" ht="15" customHeight="1">
      <c r="N142" s="332"/>
      <c r="O142" s="332"/>
      <c r="P142" s="332"/>
      <c r="Q142" s="332"/>
      <c r="R142" s="332"/>
      <c r="S142" s="332"/>
      <c r="T142" s="332"/>
      <c r="U142" s="332"/>
      <c r="W142" s="52"/>
      <c r="AD142" s="242"/>
      <c r="AF142" s="52"/>
      <c r="AG142" s="248"/>
      <c r="AI142" s="274">
        <v>4.4000000000000004</v>
      </c>
      <c r="AJ142" s="240">
        <f>COUNTIF(AD98:AD139,AI142)</f>
        <v>7</v>
      </c>
      <c r="AK142" s="240" t="str">
        <f>IF($L$5=1,SUMIF($AD$98:$AD$139,AI142,$AK$98:$AK$139),"")</f>
        <v/>
      </c>
      <c r="AM142" s="242"/>
      <c r="AO142" s="52"/>
      <c r="AV142" s="242"/>
      <c r="AY142" s="274">
        <v>4.4000000000000004</v>
      </c>
      <c r="AZ142" s="240">
        <f t="shared" si="226"/>
        <v>7</v>
      </c>
      <c r="BA142" s="240" t="str">
        <f>IF($T$5=1,SUMIF($AT$98:$AT$139,AY142,$BA$98:$BA$139),"")</f>
        <v/>
      </c>
      <c r="BE142" s="242"/>
      <c r="BG142" s="274">
        <v>4.4000000000000004</v>
      </c>
      <c r="BH142" s="240">
        <f t="shared" si="227"/>
        <v>7</v>
      </c>
      <c r="BI142" s="240" t="str">
        <f>IF($X$5=1,SUMIF($BB$98:$BB$139,BG142,$BI$98:$BI$139),"")</f>
        <v/>
      </c>
    </row>
    <row r="143" spans="1:65" ht="15" customHeight="1">
      <c r="A143" s="1171" t="s">
        <v>17</v>
      </c>
      <c r="B143" s="1171"/>
      <c r="C143" s="1171"/>
      <c r="D143" s="1171"/>
      <c r="E143" s="1171"/>
      <c r="F143" s="1171"/>
      <c r="G143" s="1171"/>
      <c r="H143" s="1171"/>
      <c r="I143" s="1171"/>
      <c r="J143" s="1171"/>
      <c r="K143" s="1171"/>
      <c r="L143" s="1171"/>
      <c r="M143" s="1171"/>
      <c r="N143" s="1171"/>
      <c r="O143" s="1171"/>
      <c r="P143" s="1171"/>
      <c r="Q143" s="1171"/>
      <c r="R143" s="1171"/>
      <c r="S143" s="1171"/>
      <c r="T143" s="1171"/>
      <c r="U143" s="1171"/>
      <c r="V143" s="1171"/>
      <c r="W143" s="1171"/>
      <c r="X143" s="1171"/>
      <c r="Y143" s="1171"/>
      <c r="Z143" s="1171"/>
      <c r="AA143" s="1171"/>
      <c r="AB143" s="1171"/>
      <c r="AC143" s="1171"/>
      <c r="AD143" s="1171"/>
      <c r="AE143" s="1171"/>
      <c r="AF143" s="1171"/>
      <c r="AG143" s="1171"/>
      <c r="AH143" s="1171"/>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row>
    <row r="144" spans="1:65" ht="15" customHeight="1">
      <c r="A144" s="1275"/>
      <c r="B144" s="1275"/>
      <c r="C144" s="1275"/>
      <c r="D144" s="1275"/>
      <c r="E144" s="1275"/>
      <c r="F144" s="1275"/>
      <c r="G144" s="1275"/>
      <c r="H144" s="1275"/>
      <c r="I144" s="1275"/>
      <c r="J144" s="1275"/>
      <c r="K144" s="1275"/>
      <c r="L144" s="1275"/>
      <c r="M144" s="1275"/>
      <c r="N144" s="1275"/>
      <c r="O144" s="1275"/>
      <c r="P144" s="1275"/>
      <c r="Q144" s="1275"/>
      <c r="R144" s="1275"/>
      <c r="S144" s="1275"/>
      <c r="T144" s="1275"/>
      <c r="U144" s="1275"/>
      <c r="V144" s="1275"/>
      <c r="W144" s="1275"/>
      <c r="X144" s="1275"/>
      <c r="Y144" s="1275"/>
      <c r="Z144" s="1275"/>
      <c r="AA144" s="1275"/>
      <c r="AB144" s="1275"/>
      <c r="AC144" s="1275"/>
      <c r="AD144" s="1275"/>
      <c r="AE144" s="1275"/>
      <c r="AF144" s="1275"/>
      <c r="AG144" s="1275"/>
      <c r="AH144" s="1275"/>
      <c r="AI144" s="1275"/>
      <c r="AJ144" s="1275"/>
      <c r="AK144" s="1275"/>
      <c r="AL144" s="1275"/>
      <c r="AM144" s="1275"/>
      <c r="AN144" s="1275"/>
      <c r="AO144" s="1275"/>
      <c r="AP144" s="1275"/>
      <c r="AQ144" s="1275"/>
      <c r="AR144" s="1275"/>
      <c r="AS144" s="1275"/>
      <c r="AT144" s="1275"/>
      <c r="AU144" s="1275"/>
      <c r="AV144" s="1275"/>
      <c r="AW144" s="1275"/>
      <c r="AX144" s="1275"/>
      <c r="AY144" s="1275"/>
      <c r="AZ144" s="1275"/>
      <c r="BA144" s="1275"/>
      <c r="BB144" s="1275"/>
      <c r="BC144" s="1275"/>
      <c r="BD144" s="1275"/>
      <c r="BE144" s="1275"/>
      <c r="BF144" s="1275"/>
      <c r="BG144" s="1275"/>
      <c r="BH144" s="1275"/>
      <c r="BI144" s="1275"/>
      <c r="BJ144" s="1275"/>
      <c r="BK144" s="1275"/>
      <c r="BL144" s="1275"/>
      <c r="BM144" s="1275"/>
    </row>
    <row r="145" spans="1:67" ht="15" customHeight="1">
      <c r="A145" s="1172"/>
      <c r="B145" s="1173" t="s">
        <v>608</v>
      </c>
      <c r="C145" s="1173"/>
      <c r="D145" s="1173"/>
      <c r="E145" s="1173"/>
      <c r="F145" s="1173"/>
      <c r="G145" s="1173"/>
      <c r="H145" s="1343">
        <v>7</v>
      </c>
      <c r="I145" s="1174">
        <v>8</v>
      </c>
      <c r="J145" s="1343">
        <v>9</v>
      </c>
      <c r="K145" s="1174">
        <v>10</v>
      </c>
      <c r="L145" s="1343">
        <v>11</v>
      </c>
      <c r="M145" s="1174">
        <v>12</v>
      </c>
      <c r="N145" s="1283"/>
      <c r="O145" s="1446" t="s">
        <v>915</v>
      </c>
      <c r="P145" s="1447"/>
      <c r="Q145" s="1447"/>
      <c r="R145" s="1447"/>
      <c r="S145" s="1447"/>
      <c r="T145" s="1447"/>
      <c r="U145" s="1448"/>
      <c r="V145" s="1285"/>
      <c r="W145" s="1437" t="s">
        <v>916</v>
      </c>
      <c r="X145" s="1438"/>
      <c r="Y145" s="1438"/>
      <c r="Z145" s="1438"/>
      <c r="AA145" s="1438"/>
      <c r="AB145" s="1438"/>
      <c r="AC145" s="1439"/>
      <c r="AD145" s="1287"/>
      <c r="AE145" s="1400" t="s">
        <v>917</v>
      </c>
      <c r="AF145" s="1401"/>
      <c r="AG145" s="1401"/>
      <c r="AH145" s="1401"/>
      <c r="AI145" s="1401"/>
      <c r="AJ145" s="1401"/>
      <c r="AK145" s="1402"/>
      <c r="AL145" s="1278"/>
      <c r="AM145" s="1409" t="s">
        <v>918</v>
      </c>
      <c r="AN145" s="1410"/>
      <c r="AO145" s="1410"/>
      <c r="AP145" s="1410"/>
      <c r="AQ145" s="1410"/>
      <c r="AR145" s="1410"/>
      <c r="AS145" s="1411"/>
      <c r="AT145" s="1418"/>
      <c r="AU145" s="1611" t="s">
        <v>919</v>
      </c>
      <c r="AV145" s="1612"/>
      <c r="AW145" s="1612"/>
      <c r="AX145" s="1612"/>
      <c r="AY145" s="1612"/>
      <c r="AZ145" s="1612"/>
      <c r="BA145" s="1613"/>
      <c r="BB145" s="1421"/>
      <c r="BC145" s="1424" t="s">
        <v>920</v>
      </c>
      <c r="BD145" s="1425"/>
      <c r="BE145" s="1425"/>
      <c r="BF145" s="1425"/>
      <c r="BG145" s="1425"/>
      <c r="BH145" s="1425"/>
      <c r="BI145" s="1426"/>
      <c r="BJ145" s="1182" t="s">
        <v>263</v>
      </c>
      <c r="BK145" s="1183"/>
      <c r="BL145" s="1183"/>
      <c r="BM145" s="1183"/>
      <c r="BN145" s="1183"/>
      <c r="BO145" s="1184"/>
    </row>
    <row r="146" spans="1:67" ht="15" customHeight="1">
      <c r="A146" s="1172"/>
      <c r="B146" s="1173"/>
      <c r="C146" s="1173"/>
      <c r="D146" s="1173"/>
      <c r="E146" s="1173"/>
      <c r="F146" s="1173"/>
      <c r="G146" s="1173"/>
      <c r="H146" s="1344"/>
      <c r="I146" s="1174"/>
      <c r="J146" s="1344"/>
      <c r="K146" s="1174"/>
      <c r="L146" s="1344"/>
      <c r="M146" s="1174"/>
      <c r="N146" s="1283"/>
      <c r="O146" s="1449"/>
      <c r="P146" s="1450"/>
      <c r="Q146" s="1450"/>
      <c r="R146" s="1450"/>
      <c r="S146" s="1450"/>
      <c r="T146" s="1450"/>
      <c r="U146" s="1451"/>
      <c r="V146" s="1285"/>
      <c r="W146" s="1440"/>
      <c r="X146" s="1441"/>
      <c r="Y146" s="1441"/>
      <c r="Z146" s="1441"/>
      <c r="AA146" s="1441"/>
      <c r="AB146" s="1441"/>
      <c r="AC146" s="1442"/>
      <c r="AD146" s="1287"/>
      <c r="AE146" s="1403"/>
      <c r="AF146" s="1404"/>
      <c r="AG146" s="1404"/>
      <c r="AH146" s="1404"/>
      <c r="AI146" s="1404"/>
      <c r="AJ146" s="1404"/>
      <c r="AK146" s="1405"/>
      <c r="AL146" s="1278"/>
      <c r="AM146" s="1412"/>
      <c r="AN146" s="1413"/>
      <c r="AO146" s="1413"/>
      <c r="AP146" s="1413"/>
      <c r="AQ146" s="1413"/>
      <c r="AR146" s="1413"/>
      <c r="AS146" s="1414"/>
      <c r="AT146" s="1419"/>
      <c r="AU146" s="1614"/>
      <c r="AV146" s="1615"/>
      <c r="AW146" s="1615"/>
      <c r="AX146" s="1615"/>
      <c r="AY146" s="1615"/>
      <c r="AZ146" s="1615"/>
      <c r="BA146" s="1616"/>
      <c r="BB146" s="1422"/>
      <c r="BC146" s="1427"/>
      <c r="BD146" s="1428"/>
      <c r="BE146" s="1428"/>
      <c r="BF146" s="1428"/>
      <c r="BG146" s="1428"/>
      <c r="BH146" s="1428"/>
      <c r="BI146" s="1429"/>
      <c r="BJ146" s="1219"/>
      <c r="BK146" s="1220"/>
      <c r="BL146" s="1220"/>
      <c r="BM146" s="1220"/>
      <c r="BN146" s="1220"/>
      <c r="BO146" s="1221"/>
    </row>
    <row r="147" spans="1:67" ht="15" customHeight="1">
      <c r="A147" s="1172"/>
      <c r="B147" s="1173"/>
      <c r="C147" s="1173"/>
      <c r="D147" s="1173"/>
      <c r="E147" s="1173"/>
      <c r="F147" s="1173"/>
      <c r="G147" s="1173"/>
      <c r="H147" s="1345"/>
      <c r="I147" s="1174"/>
      <c r="J147" s="1345"/>
      <c r="K147" s="1174"/>
      <c r="L147" s="1345"/>
      <c r="M147" s="1174"/>
      <c r="N147" s="1283"/>
      <c r="O147" s="1452"/>
      <c r="P147" s="1453"/>
      <c r="Q147" s="1453"/>
      <c r="R147" s="1453"/>
      <c r="S147" s="1453"/>
      <c r="T147" s="1453"/>
      <c r="U147" s="1454"/>
      <c r="V147" s="1285"/>
      <c r="W147" s="1443"/>
      <c r="X147" s="1444"/>
      <c r="Y147" s="1444"/>
      <c r="Z147" s="1444"/>
      <c r="AA147" s="1444"/>
      <c r="AB147" s="1444"/>
      <c r="AC147" s="1445"/>
      <c r="AD147" s="1287"/>
      <c r="AE147" s="1406"/>
      <c r="AF147" s="1407"/>
      <c r="AG147" s="1407"/>
      <c r="AH147" s="1407"/>
      <c r="AI147" s="1407"/>
      <c r="AJ147" s="1407"/>
      <c r="AK147" s="1408"/>
      <c r="AL147" s="1278"/>
      <c r="AM147" s="1415"/>
      <c r="AN147" s="1416"/>
      <c r="AO147" s="1416"/>
      <c r="AP147" s="1416"/>
      <c r="AQ147" s="1416"/>
      <c r="AR147" s="1416"/>
      <c r="AS147" s="1417"/>
      <c r="AT147" s="1420"/>
      <c r="AU147" s="1617"/>
      <c r="AV147" s="1618"/>
      <c r="AW147" s="1618"/>
      <c r="AX147" s="1618"/>
      <c r="AY147" s="1618"/>
      <c r="AZ147" s="1618"/>
      <c r="BA147" s="1619"/>
      <c r="BB147" s="1423"/>
      <c r="BC147" s="1430"/>
      <c r="BD147" s="1431"/>
      <c r="BE147" s="1431"/>
      <c r="BF147" s="1431"/>
      <c r="BG147" s="1431"/>
      <c r="BH147" s="1431"/>
      <c r="BI147" s="1432"/>
      <c r="BJ147" s="1337"/>
      <c r="BK147" s="1338"/>
      <c r="BL147" s="1338"/>
      <c r="BM147" s="1338"/>
      <c r="BN147" s="1338"/>
      <c r="BO147" s="1339"/>
    </row>
    <row r="148" spans="1:67" ht="15" customHeight="1">
      <c r="A148" s="1307">
        <v>1.1000000000000001</v>
      </c>
      <c r="B148" s="1161" t="s">
        <v>941</v>
      </c>
      <c r="C148" s="1162"/>
      <c r="D148" s="1162"/>
      <c r="E148" s="1162"/>
      <c r="F148" s="1162"/>
      <c r="G148" s="1199"/>
      <c r="H148" s="1205" t="str">
        <f>IF(ISBLANK(AB$5),"",1)</f>
        <v/>
      </c>
      <c r="I148" s="1205" t="str">
        <f>IF(ISBLANK(AF$5),"",1)</f>
        <v/>
      </c>
      <c r="J148" s="1205" t="str">
        <f>IF(ISBLANK(AJ$5),"",1)</f>
        <v/>
      </c>
      <c r="K148" s="1205" t="str">
        <f>IF(ISBLANK(AN$5),"",1)</f>
        <v/>
      </c>
      <c r="L148" s="1205" t="str">
        <f>IF(ISBLANK(AR$5),"",1)</f>
        <v/>
      </c>
      <c r="M148" s="1205" t="str">
        <f>IF(ISBLANK(AV$5),"",1)</f>
        <v/>
      </c>
      <c r="N148" s="1322">
        <v>4.3</v>
      </c>
      <c r="O148" s="1198" t="s">
        <v>387</v>
      </c>
      <c r="P148" s="1162"/>
      <c r="Q148" s="1162"/>
      <c r="R148" s="1162"/>
      <c r="S148" s="1162"/>
      <c r="T148" s="1265"/>
      <c r="U148" s="1205" t="str">
        <f>IF(ISBLANK(AB$5),"",1)</f>
        <v/>
      </c>
      <c r="V148" s="1322">
        <v>4.3</v>
      </c>
      <c r="W148" s="1198" t="s">
        <v>387</v>
      </c>
      <c r="X148" s="1162"/>
      <c r="Y148" s="1162"/>
      <c r="Z148" s="1162"/>
      <c r="AA148" s="1162"/>
      <c r="AB148" s="1265"/>
      <c r="AC148" s="1205" t="str">
        <f>IF(ISBLANK(AF$5),"",1)</f>
        <v/>
      </c>
      <c r="AD148" s="1258">
        <v>4.3</v>
      </c>
      <c r="AE148" s="1198" t="s">
        <v>409</v>
      </c>
      <c r="AF148" s="1162"/>
      <c r="AG148" s="1162"/>
      <c r="AH148" s="1162"/>
      <c r="AI148" s="1162"/>
      <c r="AJ148" s="1265"/>
      <c r="AK148" s="1205" t="str">
        <f>IF(ISBLANK(AJ$5),"",1)</f>
        <v/>
      </c>
      <c r="AL148" s="1258">
        <v>4.3</v>
      </c>
      <c r="AM148" s="1198" t="s">
        <v>387</v>
      </c>
      <c r="AN148" s="1162"/>
      <c r="AO148" s="1162"/>
      <c r="AP148" s="1162"/>
      <c r="AQ148" s="1162"/>
      <c r="AR148" s="1265"/>
      <c r="AS148" s="1205" t="str">
        <f>IF(ISBLANK(AN$5),"",1)</f>
        <v/>
      </c>
      <c r="AT148" s="1258">
        <v>4.3</v>
      </c>
      <c r="AU148" s="1198" t="s">
        <v>398</v>
      </c>
      <c r="AV148" s="1162"/>
      <c r="AW148" s="1162"/>
      <c r="AX148" s="1162"/>
      <c r="AY148" s="1162"/>
      <c r="AZ148" s="1199"/>
      <c r="BA148" s="1226" t="str">
        <f>IF(ISBLANK(AR$5),"",1)</f>
        <v/>
      </c>
      <c r="BB148" s="1258">
        <v>4.3</v>
      </c>
      <c r="BC148" s="1198" t="s">
        <v>398</v>
      </c>
      <c r="BD148" s="1162"/>
      <c r="BE148" s="1162"/>
      <c r="BF148" s="1162"/>
      <c r="BG148" s="1162"/>
      <c r="BH148" s="1199"/>
      <c r="BI148" s="1226" t="str">
        <f>IF(ISBLANK(AV$5),"",1)</f>
        <v/>
      </c>
      <c r="BJ148" s="1337"/>
      <c r="BK148" s="1338"/>
      <c r="BL148" s="1338"/>
      <c r="BM148" s="1338"/>
      <c r="BN148" s="1338"/>
      <c r="BO148" s="1339"/>
    </row>
    <row r="149" spans="1:67" ht="15" customHeight="1">
      <c r="A149" s="1308"/>
      <c r="B149" s="1163"/>
      <c r="C149" s="1164"/>
      <c r="D149" s="1164"/>
      <c r="E149" s="1164"/>
      <c r="F149" s="1164"/>
      <c r="G149" s="1201"/>
      <c r="H149" s="1206"/>
      <c r="I149" s="1206"/>
      <c r="J149" s="1206"/>
      <c r="K149" s="1206"/>
      <c r="L149" s="1206"/>
      <c r="M149" s="1206"/>
      <c r="N149" s="1293"/>
      <c r="O149" s="1200"/>
      <c r="P149" s="1164"/>
      <c r="Q149" s="1164"/>
      <c r="R149" s="1164"/>
      <c r="S149" s="1164"/>
      <c r="T149" s="1266"/>
      <c r="U149" s="1206"/>
      <c r="V149" s="1293"/>
      <c r="W149" s="1200"/>
      <c r="X149" s="1164"/>
      <c r="Y149" s="1164"/>
      <c r="Z149" s="1164"/>
      <c r="AA149" s="1164"/>
      <c r="AB149" s="1266"/>
      <c r="AC149" s="1206"/>
      <c r="AD149" s="1258"/>
      <c r="AE149" s="1200"/>
      <c r="AF149" s="1164"/>
      <c r="AG149" s="1164"/>
      <c r="AH149" s="1164"/>
      <c r="AI149" s="1164"/>
      <c r="AJ149" s="1266"/>
      <c r="AK149" s="1206"/>
      <c r="AL149" s="1258"/>
      <c r="AM149" s="1200"/>
      <c r="AN149" s="1164"/>
      <c r="AO149" s="1164"/>
      <c r="AP149" s="1164"/>
      <c r="AQ149" s="1164"/>
      <c r="AR149" s="1266"/>
      <c r="AS149" s="1206"/>
      <c r="AT149" s="1258"/>
      <c r="AU149" s="1200"/>
      <c r="AV149" s="1164"/>
      <c r="AW149" s="1164"/>
      <c r="AX149" s="1164"/>
      <c r="AY149" s="1164"/>
      <c r="AZ149" s="1201"/>
      <c r="BA149" s="1342"/>
      <c r="BB149" s="1258"/>
      <c r="BC149" s="1200"/>
      <c r="BD149" s="1164"/>
      <c r="BE149" s="1164"/>
      <c r="BF149" s="1164"/>
      <c r="BG149" s="1164"/>
      <c r="BH149" s="1201"/>
      <c r="BI149" s="1342"/>
      <c r="BJ149" s="1337"/>
      <c r="BK149" s="1338"/>
      <c r="BL149" s="1338"/>
      <c r="BM149" s="1338"/>
      <c r="BN149" s="1338"/>
      <c r="BO149" s="1339"/>
    </row>
    <row r="150" spans="1:67" ht="15" customHeight="1">
      <c r="A150" s="1309"/>
      <c r="B150" s="1165"/>
      <c r="C150" s="1166"/>
      <c r="D150" s="1166"/>
      <c r="E150" s="1166"/>
      <c r="F150" s="1166"/>
      <c r="G150" s="1292"/>
      <c r="H150" s="1207"/>
      <c r="I150" s="1207"/>
      <c r="J150" s="1207"/>
      <c r="K150" s="1207"/>
      <c r="L150" s="1207"/>
      <c r="M150" s="1207"/>
      <c r="N150" s="1294"/>
      <c r="O150" s="1202"/>
      <c r="P150" s="1203"/>
      <c r="Q150" s="1203"/>
      <c r="R150" s="1203"/>
      <c r="S150" s="1203"/>
      <c r="T150" s="1305"/>
      <c r="U150" s="1207"/>
      <c r="V150" s="1294"/>
      <c r="W150" s="1202"/>
      <c r="X150" s="1203"/>
      <c r="Y150" s="1203"/>
      <c r="Z150" s="1203"/>
      <c r="AA150" s="1203"/>
      <c r="AB150" s="1305"/>
      <c r="AC150" s="1207"/>
      <c r="AD150" s="1258"/>
      <c r="AE150" s="1202"/>
      <c r="AF150" s="1203"/>
      <c r="AG150" s="1203"/>
      <c r="AH150" s="1203"/>
      <c r="AI150" s="1203"/>
      <c r="AJ150" s="1305"/>
      <c r="AK150" s="1207"/>
      <c r="AL150" s="1258"/>
      <c r="AM150" s="1202"/>
      <c r="AN150" s="1203"/>
      <c r="AO150" s="1203"/>
      <c r="AP150" s="1203"/>
      <c r="AQ150" s="1203"/>
      <c r="AR150" s="1305"/>
      <c r="AS150" s="1207"/>
      <c r="AT150" s="1258"/>
      <c r="AU150" s="1202"/>
      <c r="AV150" s="1203"/>
      <c r="AW150" s="1203"/>
      <c r="AX150" s="1203"/>
      <c r="AY150" s="1203"/>
      <c r="AZ150" s="1204"/>
      <c r="BA150" s="1342"/>
      <c r="BB150" s="1258"/>
      <c r="BC150" s="1202"/>
      <c r="BD150" s="1203"/>
      <c r="BE150" s="1203"/>
      <c r="BF150" s="1203"/>
      <c r="BG150" s="1203"/>
      <c r="BH150" s="1204"/>
      <c r="BI150" s="1342"/>
      <c r="BJ150" s="1337"/>
      <c r="BK150" s="1338"/>
      <c r="BL150" s="1338"/>
      <c r="BM150" s="1338"/>
      <c r="BN150" s="1338"/>
      <c r="BO150" s="1339"/>
    </row>
    <row r="151" spans="1:67" ht="15" customHeight="1">
      <c r="A151" s="1304">
        <v>2.4</v>
      </c>
      <c r="B151" s="1161" t="s">
        <v>316</v>
      </c>
      <c r="C151" s="1162"/>
      <c r="D151" s="1162"/>
      <c r="E151" s="1162"/>
      <c r="F151" s="1162"/>
      <c r="G151" s="1199"/>
      <c r="H151" s="1205" t="str">
        <f t="shared" ref="H151" si="228">IF(ISBLANK(AB$5),"",1)</f>
        <v/>
      </c>
      <c r="I151" s="1205" t="str">
        <f t="shared" ref="I151" si="229">IF(ISBLANK(AF$5),"",1)</f>
        <v/>
      </c>
      <c r="J151" s="1205" t="str">
        <f t="shared" ref="J151" si="230">IF(ISBLANK(AJ$5),"",1)</f>
        <v/>
      </c>
      <c r="K151" s="1205" t="str">
        <f t="shared" ref="K151" si="231">IF(ISBLANK(AN$5),"",1)</f>
        <v/>
      </c>
      <c r="L151" s="1205" t="str">
        <f t="shared" ref="L151" si="232">IF(ISBLANK(AR$5),"",1)</f>
        <v/>
      </c>
      <c r="M151" s="1205" t="str">
        <f t="shared" ref="M151" si="233">IF(ISBLANK(AV$5),"",1)</f>
        <v/>
      </c>
      <c r="N151" s="1322">
        <v>4.3</v>
      </c>
      <c r="O151" s="1198" t="s">
        <v>388</v>
      </c>
      <c r="P151" s="1162"/>
      <c r="Q151" s="1162"/>
      <c r="R151" s="1162"/>
      <c r="S151" s="1162"/>
      <c r="T151" s="1265"/>
      <c r="U151" s="1205" t="str">
        <f t="shared" ref="U151" si="234">IF(ISBLANK(AB$5),"",1)</f>
        <v/>
      </c>
      <c r="V151" s="1322">
        <v>4.3</v>
      </c>
      <c r="W151" s="1198" t="s">
        <v>388</v>
      </c>
      <c r="X151" s="1162"/>
      <c r="Y151" s="1162"/>
      <c r="Z151" s="1162"/>
      <c r="AA151" s="1162"/>
      <c r="AB151" s="1265"/>
      <c r="AC151" s="1205" t="str">
        <f t="shared" ref="AC151" si="235">IF(ISBLANK(AF$5),"",1)</f>
        <v/>
      </c>
      <c r="AD151" s="1304">
        <v>4.3</v>
      </c>
      <c r="AE151" s="1455" t="s">
        <v>639</v>
      </c>
      <c r="AF151" s="1456"/>
      <c r="AG151" s="1456"/>
      <c r="AH151" s="1456"/>
      <c r="AI151" s="1456"/>
      <c r="AJ151" s="1457"/>
      <c r="AK151" s="1205" t="str">
        <f t="shared" ref="AK151" si="236">IF(ISBLANK(AJ$5),"",1)</f>
        <v/>
      </c>
      <c r="AL151" s="1258">
        <v>4.4000000000000004</v>
      </c>
      <c r="AM151" s="1198" t="s">
        <v>388</v>
      </c>
      <c r="AN151" s="1162"/>
      <c r="AO151" s="1162"/>
      <c r="AP151" s="1162"/>
      <c r="AQ151" s="1162"/>
      <c r="AR151" s="1265"/>
      <c r="AS151" s="1205" t="str">
        <f t="shared" ref="AS151" si="237">IF(ISBLANK(AN$5),"",1)</f>
        <v/>
      </c>
      <c r="AT151" s="1258">
        <v>4.3</v>
      </c>
      <c r="AU151" s="1198" t="s">
        <v>388</v>
      </c>
      <c r="AV151" s="1162"/>
      <c r="AW151" s="1162"/>
      <c r="AX151" s="1162"/>
      <c r="AY151" s="1162"/>
      <c r="AZ151" s="1199"/>
      <c r="BA151" s="1226" t="str">
        <f t="shared" ref="BA151" si="238">IF(ISBLANK(AR$5),"",1)</f>
        <v/>
      </c>
      <c r="BB151" s="1258">
        <v>4.3</v>
      </c>
      <c r="BC151" s="1198" t="s">
        <v>388</v>
      </c>
      <c r="BD151" s="1162"/>
      <c r="BE151" s="1162"/>
      <c r="BF151" s="1162"/>
      <c r="BG151" s="1162"/>
      <c r="BH151" s="1199"/>
      <c r="BI151" s="1226" t="str">
        <f t="shared" ref="BI151" si="239">IF(ISBLANK(AV$5),"",1)</f>
        <v/>
      </c>
      <c r="BJ151" s="1337"/>
      <c r="BK151" s="1338"/>
      <c r="BL151" s="1338"/>
      <c r="BM151" s="1338"/>
      <c r="BN151" s="1338"/>
      <c r="BO151" s="1339"/>
    </row>
    <row r="152" spans="1:67" ht="15" customHeight="1">
      <c r="A152" s="1290"/>
      <c r="B152" s="1163"/>
      <c r="C152" s="1164"/>
      <c r="D152" s="1164"/>
      <c r="E152" s="1164"/>
      <c r="F152" s="1164"/>
      <c r="G152" s="1201"/>
      <c r="H152" s="1206"/>
      <c r="I152" s="1206"/>
      <c r="J152" s="1206"/>
      <c r="K152" s="1206"/>
      <c r="L152" s="1206"/>
      <c r="M152" s="1206"/>
      <c r="N152" s="1293"/>
      <c r="O152" s="1200" t="s">
        <v>389</v>
      </c>
      <c r="P152" s="1164"/>
      <c r="Q152" s="1164"/>
      <c r="R152" s="1164"/>
      <c r="S152" s="1164"/>
      <c r="T152" s="1266"/>
      <c r="U152" s="1206"/>
      <c r="V152" s="1293"/>
      <c r="W152" s="1200"/>
      <c r="X152" s="1164"/>
      <c r="Y152" s="1164"/>
      <c r="Z152" s="1164"/>
      <c r="AA152" s="1164"/>
      <c r="AB152" s="1266"/>
      <c r="AC152" s="1206"/>
      <c r="AD152" s="1290"/>
      <c r="AE152" s="1458"/>
      <c r="AF152" s="1459"/>
      <c r="AG152" s="1459"/>
      <c r="AH152" s="1459"/>
      <c r="AI152" s="1459"/>
      <c r="AJ152" s="1460"/>
      <c r="AK152" s="1206"/>
      <c r="AL152" s="1258"/>
      <c r="AM152" s="1200"/>
      <c r="AN152" s="1164"/>
      <c r="AO152" s="1164"/>
      <c r="AP152" s="1164"/>
      <c r="AQ152" s="1164"/>
      <c r="AR152" s="1266"/>
      <c r="AS152" s="1206"/>
      <c r="AT152" s="1258"/>
      <c r="AU152" s="1200"/>
      <c r="AV152" s="1164"/>
      <c r="AW152" s="1164"/>
      <c r="AX152" s="1164"/>
      <c r="AY152" s="1164"/>
      <c r="AZ152" s="1201"/>
      <c r="BA152" s="1342"/>
      <c r="BB152" s="1258"/>
      <c r="BC152" s="1200"/>
      <c r="BD152" s="1164"/>
      <c r="BE152" s="1164"/>
      <c r="BF152" s="1164"/>
      <c r="BG152" s="1164"/>
      <c r="BH152" s="1201"/>
      <c r="BI152" s="1342"/>
      <c r="BJ152" s="1337"/>
      <c r="BK152" s="1338"/>
      <c r="BL152" s="1338"/>
      <c r="BM152" s="1338"/>
      <c r="BN152" s="1338"/>
      <c r="BO152" s="1339"/>
    </row>
    <row r="153" spans="1:67" ht="15" customHeight="1">
      <c r="A153" s="1291"/>
      <c r="B153" s="1165"/>
      <c r="C153" s="1166"/>
      <c r="D153" s="1166"/>
      <c r="E153" s="1166"/>
      <c r="F153" s="1166"/>
      <c r="G153" s="1292"/>
      <c r="H153" s="1207"/>
      <c r="I153" s="1207"/>
      <c r="J153" s="1207"/>
      <c r="K153" s="1207"/>
      <c r="L153" s="1207"/>
      <c r="M153" s="1207"/>
      <c r="N153" s="1294"/>
      <c r="O153" s="1202"/>
      <c r="P153" s="1203"/>
      <c r="Q153" s="1203"/>
      <c r="R153" s="1203"/>
      <c r="S153" s="1203"/>
      <c r="T153" s="1305"/>
      <c r="U153" s="1207"/>
      <c r="V153" s="1294"/>
      <c r="W153" s="1202"/>
      <c r="X153" s="1203"/>
      <c r="Y153" s="1203"/>
      <c r="Z153" s="1203"/>
      <c r="AA153" s="1203"/>
      <c r="AB153" s="1305"/>
      <c r="AC153" s="1207"/>
      <c r="AD153" s="1291"/>
      <c r="AE153" s="1461"/>
      <c r="AF153" s="1462"/>
      <c r="AG153" s="1462"/>
      <c r="AH153" s="1462"/>
      <c r="AI153" s="1462"/>
      <c r="AJ153" s="1463"/>
      <c r="AK153" s="1207"/>
      <c r="AL153" s="1258"/>
      <c r="AM153" s="1202"/>
      <c r="AN153" s="1203"/>
      <c r="AO153" s="1203"/>
      <c r="AP153" s="1203"/>
      <c r="AQ153" s="1203"/>
      <c r="AR153" s="1305"/>
      <c r="AS153" s="1207"/>
      <c r="AT153" s="1258"/>
      <c r="AU153" s="1202"/>
      <c r="AV153" s="1203"/>
      <c r="AW153" s="1203"/>
      <c r="AX153" s="1203"/>
      <c r="AY153" s="1203"/>
      <c r="AZ153" s="1204"/>
      <c r="BA153" s="1342"/>
      <c r="BB153" s="1258"/>
      <c r="BC153" s="1202"/>
      <c r="BD153" s="1203"/>
      <c r="BE153" s="1203"/>
      <c r="BF153" s="1203"/>
      <c r="BG153" s="1203"/>
      <c r="BH153" s="1204"/>
      <c r="BI153" s="1342"/>
      <c r="BJ153" s="1337"/>
      <c r="BK153" s="1338"/>
      <c r="BL153" s="1338"/>
      <c r="BM153" s="1338"/>
      <c r="BN153" s="1338"/>
      <c r="BO153" s="1339"/>
    </row>
    <row r="154" spans="1:67" ht="15" customHeight="1">
      <c r="A154" s="1307">
        <v>1.1000000000000001</v>
      </c>
      <c r="B154" s="1161" t="s">
        <v>320</v>
      </c>
      <c r="C154" s="1162"/>
      <c r="D154" s="1162"/>
      <c r="E154" s="1162"/>
      <c r="F154" s="1162"/>
      <c r="G154" s="1199"/>
      <c r="H154" s="1205" t="str">
        <f t="shared" ref="H154" si="240">IF(ISBLANK(AB$5),"",1)</f>
        <v/>
      </c>
      <c r="I154" s="1205" t="str">
        <f t="shared" ref="I154" si="241">IF(ISBLANK(AF$5),"",1)</f>
        <v/>
      </c>
      <c r="J154" s="1205" t="str">
        <f t="shared" ref="J154" si="242">IF(ISBLANK(AJ$5),"",1)</f>
        <v/>
      </c>
      <c r="K154" s="1205" t="str">
        <f t="shared" ref="K154" si="243">IF(ISBLANK(AN$5),"",1)</f>
        <v/>
      </c>
      <c r="L154" s="1205" t="str">
        <f t="shared" ref="L154" si="244">IF(ISBLANK(AR$5),"",1)</f>
        <v/>
      </c>
      <c r="M154" s="1205" t="str">
        <f t="shared" ref="M154" si="245">IF(ISBLANK(AV$5),"",1)</f>
        <v/>
      </c>
      <c r="N154" s="1322">
        <v>4.3</v>
      </c>
      <c r="O154" s="1198" t="s">
        <v>423</v>
      </c>
      <c r="P154" s="1162"/>
      <c r="Q154" s="1162"/>
      <c r="R154" s="1162"/>
      <c r="S154" s="1162"/>
      <c r="T154" s="1265"/>
      <c r="U154" s="1205" t="str">
        <f t="shared" ref="U154" si="246">IF(ISBLANK(AB$5),"",1)</f>
        <v/>
      </c>
      <c r="V154" s="1322">
        <v>4.3</v>
      </c>
      <c r="W154" s="1198" t="s">
        <v>390</v>
      </c>
      <c r="X154" s="1162"/>
      <c r="Y154" s="1162"/>
      <c r="Z154" s="1162"/>
      <c r="AA154" s="1162"/>
      <c r="AB154" s="1265"/>
      <c r="AC154" s="1205" t="str">
        <f t="shared" ref="AC154" si="247">IF(ISBLANK(AF$5),"",1)</f>
        <v/>
      </c>
      <c r="AD154" s="1398">
        <v>4.4000000000000004</v>
      </c>
      <c r="AE154" s="1198" t="s">
        <v>410</v>
      </c>
      <c r="AF154" s="1162"/>
      <c r="AG154" s="1162"/>
      <c r="AH154" s="1162"/>
      <c r="AI154" s="1162"/>
      <c r="AJ154" s="1265"/>
      <c r="AK154" s="1205" t="str">
        <f t="shared" ref="AK154" si="248">IF(ISBLANK(AJ$5),"",1)</f>
        <v/>
      </c>
      <c r="AL154" s="1322">
        <v>4.4000000000000004</v>
      </c>
      <c r="AM154" s="1198" t="s">
        <v>408</v>
      </c>
      <c r="AN154" s="1162"/>
      <c r="AO154" s="1162"/>
      <c r="AP154" s="1162"/>
      <c r="AQ154" s="1162"/>
      <c r="AR154" s="1265"/>
      <c r="AS154" s="1205" t="str">
        <f t="shared" ref="AS154" si="249">IF(ISBLANK(AN$5),"",1)</f>
        <v/>
      </c>
      <c r="AT154" s="1258">
        <v>4.3</v>
      </c>
      <c r="AU154" s="1198" t="s">
        <v>390</v>
      </c>
      <c r="AV154" s="1162"/>
      <c r="AW154" s="1162"/>
      <c r="AX154" s="1162"/>
      <c r="AY154" s="1162"/>
      <c r="AZ154" s="1199"/>
      <c r="BA154" s="1226" t="str">
        <f t="shared" ref="BA154" si="250">IF(ISBLANK(AR$5),"",1)</f>
        <v/>
      </c>
      <c r="BB154" s="1258">
        <v>4.3</v>
      </c>
      <c r="BC154" s="1198" t="s">
        <v>390</v>
      </c>
      <c r="BD154" s="1162"/>
      <c r="BE154" s="1162"/>
      <c r="BF154" s="1162"/>
      <c r="BG154" s="1162"/>
      <c r="BH154" s="1199"/>
      <c r="BI154" s="1226" t="str">
        <f t="shared" ref="BI154" si="251">IF(ISBLANK(AV$5),"",1)</f>
        <v/>
      </c>
      <c r="BJ154" s="1337"/>
      <c r="BK154" s="1338"/>
      <c r="BL154" s="1338"/>
      <c r="BM154" s="1338"/>
      <c r="BN154" s="1338"/>
      <c r="BO154" s="1339"/>
    </row>
    <row r="155" spans="1:67" ht="15" customHeight="1">
      <c r="A155" s="1308"/>
      <c r="B155" s="1163"/>
      <c r="C155" s="1164"/>
      <c r="D155" s="1164"/>
      <c r="E155" s="1164"/>
      <c r="F155" s="1164"/>
      <c r="G155" s="1201"/>
      <c r="H155" s="1206"/>
      <c r="I155" s="1206"/>
      <c r="J155" s="1206"/>
      <c r="K155" s="1206"/>
      <c r="L155" s="1206"/>
      <c r="M155" s="1206"/>
      <c r="N155" s="1293"/>
      <c r="O155" s="1200" t="s">
        <v>389</v>
      </c>
      <c r="P155" s="1164"/>
      <c r="Q155" s="1164"/>
      <c r="R155" s="1164"/>
      <c r="S155" s="1164"/>
      <c r="T155" s="1266"/>
      <c r="U155" s="1206"/>
      <c r="V155" s="1293"/>
      <c r="W155" s="1200"/>
      <c r="X155" s="1164"/>
      <c r="Y155" s="1164"/>
      <c r="Z155" s="1164"/>
      <c r="AA155" s="1164"/>
      <c r="AB155" s="1266"/>
      <c r="AC155" s="1206"/>
      <c r="AD155" s="1293"/>
      <c r="AE155" s="1200"/>
      <c r="AF155" s="1164"/>
      <c r="AG155" s="1164"/>
      <c r="AH155" s="1164"/>
      <c r="AI155" s="1164"/>
      <c r="AJ155" s="1266"/>
      <c r="AK155" s="1206"/>
      <c r="AL155" s="1293"/>
      <c r="AM155" s="1200"/>
      <c r="AN155" s="1164"/>
      <c r="AO155" s="1164"/>
      <c r="AP155" s="1164"/>
      <c r="AQ155" s="1164"/>
      <c r="AR155" s="1266"/>
      <c r="AS155" s="1206"/>
      <c r="AT155" s="1258"/>
      <c r="AU155" s="1200"/>
      <c r="AV155" s="1164"/>
      <c r="AW155" s="1164"/>
      <c r="AX155" s="1164"/>
      <c r="AY155" s="1164"/>
      <c r="AZ155" s="1201"/>
      <c r="BA155" s="1342"/>
      <c r="BB155" s="1258"/>
      <c r="BC155" s="1200"/>
      <c r="BD155" s="1164"/>
      <c r="BE155" s="1164"/>
      <c r="BF155" s="1164"/>
      <c r="BG155" s="1164"/>
      <c r="BH155" s="1201"/>
      <c r="BI155" s="1342"/>
      <c r="BJ155" s="1337"/>
      <c r="BK155" s="1338"/>
      <c r="BL155" s="1338"/>
      <c r="BM155" s="1338"/>
      <c r="BN155" s="1338"/>
      <c r="BO155" s="1339"/>
    </row>
    <row r="156" spans="1:67" ht="15" customHeight="1">
      <c r="A156" s="1309"/>
      <c r="B156" s="1165"/>
      <c r="C156" s="1166"/>
      <c r="D156" s="1166"/>
      <c r="E156" s="1166"/>
      <c r="F156" s="1166"/>
      <c r="G156" s="1292"/>
      <c r="H156" s="1207"/>
      <c r="I156" s="1207"/>
      <c r="J156" s="1207"/>
      <c r="K156" s="1207"/>
      <c r="L156" s="1207"/>
      <c r="M156" s="1207"/>
      <c r="N156" s="1294"/>
      <c r="O156" s="1202"/>
      <c r="P156" s="1203"/>
      <c r="Q156" s="1203"/>
      <c r="R156" s="1203"/>
      <c r="S156" s="1203"/>
      <c r="T156" s="1305"/>
      <c r="U156" s="1207"/>
      <c r="V156" s="1294"/>
      <c r="W156" s="1202"/>
      <c r="X156" s="1203"/>
      <c r="Y156" s="1203"/>
      <c r="Z156" s="1203"/>
      <c r="AA156" s="1203"/>
      <c r="AB156" s="1305"/>
      <c r="AC156" s="1207"/>
      <c r="AD156" s="1294"/>
      <c r="AE156" s="1202"/>
      <c r="AF156" s="1203"/>
      <c r="AG156" s="1203"/>
      <c r="AH156" s="1203"/>
      <c r="AI156" s="1203"/>
      <c r="AJ156" s="1305"/>
      <c r="AK156" s="1207"/>
      <c r="AL156" s="1306"/>
      <c r="AM156" s="1202"/>
      <c r="AN156" s="1203"/>
      <c r="AO156" s="1203"/>
      <c r="AP156" s="1203"/>
      <c r="AQ156" s="1203"/>
      <c r="AR156" s="1305"/>
      <c r="AS156" s="1207"/>
      <c r="AT156" s="1258"/>
      <c r="AU156" s="1202"/>
      <c r="AV156" s="1203"/>
      <c r="AW156" s="1203"/>
      <c r="AX156" s="1203"/>
      <c r="AY156" s="1203"/>
      <c r="AZ156" s="1204"/>
      <c r="BA156" s="1342"/>
      <c r="BB156" s="1258"/>
      <c r="BC156" s="1202"/>
      <c r="BD156" s="1203"/>
      <c r="BE156" s="1203"/>
      <c r="BF156" s="1203"/>
      <c r="BG156" s="1203"/>
      <c r="BH156" s="1204"/>
      <c r="BI156" s="1342"/>
      <c r="BJ156" s="1337"/>
      <c r="BK156" s="1338"/>
      <c r="BL156" s="1338"/>
      <c r="BM156" s="1338"/>
      <c r="BN156" s="1338"/>
      <c r="BO156" s="1339"/>
    </row>
    <row r="157" spans="1:67" ht="15" customHeight="1">
      <c r="A157" s="1304">
        <v>2.1</v>
      </c>
      <c r="B157" s="1161" t="s">
        <v>322</v>
      </c>
      <c r="C157" s="1162"/>
      <c r="D157" s="1162"/>
      <c r="E157" s="1162"/>
      <c r="F157" s="1162"/>
      <c r="G157" s="1199"/>
      <c r="H157" s="1205" t="str">
        <f t="shared" ref="H157" si="252">IF(ISBLANK(AB$5),"",1)</f>
        <v/>
      </c>
      <c r="I157" s="1205" t="str">
        <f t="shared" ref="I157" si="253">IF(ISBLANK(AF$5),"",1)</f>
        <v/>
      </c>
      <c r="J157" s="1205" t="str">
        <f t="shared" ref="J157" si="254">IF(ISBLANK(AJ$5),"",1)</f>
        <v/>
      </c>
      <c r="K157" s="1205" t="str">
        <f t="shared" ref="K157" si="255">IF(ISBLANK(AN$5),"",1)</f>
        <v/>
      </c>
      <c r="L157" s="1205" t="str">
        <f t="shared" ref="L157" si="256">IF(ISBLANK(AR$5),"",1)</f>
        <v/>
      </c>
      <c r="M157" s="1205" t="str">
        <f t="shared" ref="M157" si="257">IF(ISBLANK(AV$5),"",1)</f>
        <v/>
      </c>
      <c r="N157" s="1322">
        <v>4.4000000000000004</v>
      </c>
      <c r="O157" s="1198" t="s">
        <v>407</v>
      </c>
      <c r="P157" s="1162"/>
      <c r="Q157" s="1162"/>
      <c r="R157" s="1162"/>
      <c r="S157" s="1162"/>
      <c r="T157" s="1265"/>
      <c r="U157" s="1205" t="str">
        <f t="shared" ref="U157" si="258">IF(ISBLANK(AB$5),"",1)</f>
        <v/>
      </c>
      <c r="V157" s="1322">
        <v>4.4000000000000004</v>
      </c>
      <c r="W157" s="1198" t="s">
        <v>391</v>
      </c>
      <c r="X157" s="1162"/>
      <c r="Y157" s="1162"/>
      <c r="Z157" s="1162"/>
      <c r="AA157" s="1162"/>
      <c r="AB157" s="1265"/>
      <c r="AC157" s="1205" t="str">
        <f t="shared" ref="AC157" si="259">IF(ISBLANK(AF$5),"",1)</f>
        <v/>
      </c>
      <c r="AD157" s="1322">
        <v>4.4000000000000004</v>
      </c>
      <c r="AE157" s="1198" t="s">
        <v>411</v>
      </c>
      <c r="AF157" s="1162"/>
      <c r="AG157" s="1162"/>
      <c r="AH157" s="1162"/>
      <c r="AI157" s="1162"/>
      <c r="AJ157" s="1265"/>
      <c r="AK157" s="1205" t="str">
        <f t="shared" ref="AK157" si="260">IF(ISBLANK(AJ$5),"",1)</f>
        <v/>
      </c>
      <c r="AL157" s="1322">
        <v>4.4000000000000004</v>
      </c>
      <c r="AM157" s="1198" t="s">
        <v>393</v>
      </c>
      <c r="AN157" s="1162"/>
      <c r="AO157" s="1162"/>
      <c r="AP157" s="1162"/>
      <c r="AQ157" s="1162"/>
      <c r="AR157" s="1265"/>
      <c r="AS157" s="1205" t="str">
        <f t="shared" ref="AS157" si="261">IF(ISBLANK(AN$5),"",1)</f>
        <v/>
      </c>
      <c r="AT157" s="1258">
        <v>4.4000000000000004</v>
      </c>
      <c r="AU157" s="1198" t="s">
        <v>407</v>
      </c>
      <c r="AV157" s="1162"/>
      <c r="AW157" s="1162"/>
      <c r="AX157" s="1162"/>
      <c r="AY157" s="1162"/>
      <c r="AZ157" s="1199"/>
      <c r="BA157" s="1226" t="str">
        <f t="shared" ref="BA157" si="262">IF(ISBLANK(AR$5),"",1)</f>
        <v/>
      </c>
      <c r="BB157" s="1258">
        <v>4.4000000000000004</v>
      </c>
      <c r="BC157" s="1198" t="s">
        <v>407</v>
      </c>
      <c r="BD157" s="1162"/>
      <c r="BE157" s="1162"/>
      <c r="BF157" s="1162"/>
      <c r="BG157" s="1162"/>
      <c r="BH157" s="1199"/>
      <c r="BI157" s="1226" t="str">
        <f t="shared" ref="BI157" si="263">IF(ISBLANK(AV$5),"",1)</f>
        <v/>
      </c>
      <c r="BJ157" s="1337"/>
      <c r="BK157" s="1338"/>
      <c r="BL157" s="1338"/>
      <c r="BM157" s="1338"/>
      <c r="BN157" s="1338"/>
      <c r="BO157" s="1339"/>
    </row>
    <row r="158" spans="1:67" ht="15" customHeight="1">
      <c r="A158" s="1290"/>
      <c r="B158" s="1163"/>
      <c r="C158" s="1164"/>
      <c r="D158" s="1164"/>
      <c r="E158" s="1164"/>
      <c r="F158" s="1164"/>
      <c r="G158" s="1201"/>
      <c r="H158" s="1206"/>
      <c r="I158" s="1206"/>
      <c r="J158" s="1206"/>
      <c r="K158" s="1206"/>
      <c r="L158" s="1206"/>
      <c r="M158" s="1206"/>
      <c r="N158" s="1293"/>
      <c r="O158" s="1200" t="s">
        <v>368</v>
      </c>
      <c r="P158" s="1164"/>
      <c r="Q158" s="1164"/>
      <c r="R158" s="1164"/>
      <c r="S158" s="1164"/>
      <c r="T158" s="1266"/>
      <c r="U158" s="1206"/>
      <c r="V158" s="1293"/>
      <c r="W158" s="1200"/>
      <c r="X158" s="1164"/>
      <c r="Y158" s="1164"/>
      <c r="Z158" s="1164"/>
      <c r="AA158" s="1164"/>
      <c r="AB158" s="1266"/>
      <c r="AC158" s="1206"/>
      <c r="AD158" s="1293"/>
      <c r="AE158" s="1200"/>
      <c r="AF158" s="1164"/>
      <c r="AG158" s="1164"/>
      <c r="AH158" s="1164"/>
      <c r="AI158" s="1164"/>
      <c r="AJ158" s="1266"/>
      <c r="AK158" s="1206"/>
      <c r="AL158" s="1293"/>
      <c r="AM158" s="1200"/>
      <c r="AN158" s="1164"/>
      <c r="AO158" s="1164"/>
      <c r="AP158" s="1164"/>
      <c r="AQ158" s="1164"/>
      <c r="AR158" s="1266"/>
      <c r="AS158" s="1206"/>
      <c r="AT158" s="1258"/>
      <c r="AU158" s="1200"/>
      <c r="AV158" s="1164"/>
      <c r="AW158" s="1164"/>
      <c r="AX158" s="1164"/>
      <c r="AY158" s="1164"/>
      <c r="AZ158" s="1201"/>
      <c r="BA158" s="1342"/>
      <c r="BB158" s="1258"/>
      <c r="BC158" s="1200"/>
      <c r="BD158" s="1164"/>
      <c r="BE158" s="1164"/>
      <c r="BF158" s="1164"/>
      <c r="BG158" s="1164"/>
      <c r="BH158" s="1201"/>
      <c r="BI158" s="1342"/>
      <c r="BJ158" s="1337"/>
      <c r="BK158" s="1338"/>
      <c r="BL158" s="1338"/>
      <c r="BM158" s="1338"/>
      <c r="BN158" s="1338"/>
      <c r="BO158" s="1339"/>
    </row>
    <row r="159" spans="1:67" ht="15" customHeight="1">
      <c r="A159" s="1291"/>
      <c r="B159" s="1165"/>
      <c r="C159" s="1166"/>
      <c r="D159" s="1166"/>
      <c r="E159" s="1166"/>
      <c r="F159" s="1166"/>
      <c r="G159" s="1292"/>
      <c r="H159" s="1207"/>
      <c r="I159" s="1207"/>
      <c r="J159" s="1207"/>
      <c r="K159" s="1207"/>
      <c r="L159" s="1207"/>
      <c r="M159" s="1207"/>
      <c r="N159" s="1294"/>
      <c r="O159" s="1202" t="s">
        <v>392</v>
      </c>
      <c r="P159" s="1203"/>
      <c r="Q159" s="1203"/>
      <c r="R159" s="1203"/>
      <c r="S159" s="1203"/>
      <c r="T159" s="1305"/>
      <c r="U159" s="1207"/>
      <c r="V159" s="1294"/>
      <c r="W159" s="1202"/>
      <c r="X159" s="1203"/>
      <c r="Y159" s="1203"/>
      <c r="Z159" s="1203"/>
      <c r="AA159" s="1203"/>
      <c r="AB159" s="1305"/>
      <c r="AC159" s="1207"/>
      <c r="AD159" s="1294"/>
      <c r="AE159" s="1202"/>
      <c r="AF159" s="1203"/>
      <c r="AG159" s="1203"/>
      <c r="AH159" s="1203"/>
      <c r="AI159" s="1203"/>
      <c r="AJ159" s="1305"/>
      <c r="AK159" s="1207"/>
      <c r="AL159" s="1306"/>
      <c r="AM159" s="1202"/>
      <c r="AN159" s="1203"/>
      <c r="AO159" s="1203"/>
      <c r="AP159" s="1203"/>
      <c r="AQ159" s="1203"/>
      <c r="AR159" s="1305"/>
      <c r="AS159" s="1207"/>
      <c r="AT159" s="1258"/>
      <c r="AU159" s="1202"/>
      <c r="AV159" s="1203"/>
      <c r="AW159" s="1203"/>
      <c r="AX159" s="1203"/>
      <c r="AY159" s="1203"/>
      <c r="AZ159" s="1204"/>
      <c r="BA159" s="1342"/>
      <c r="BB159" s="1258"/>
      <c r="BC159" s="1202"/>
      <c r="BD159" s="1203"/>
      <c r="BE159" s="1203"/>
      <c r="BF159" s="1203"/>
      <c r="BG159" s="1203"/>
      <c r="BH159" s="1204"/>
      <c r="BI159" s="1342"/>
      <c r="BJ159" s="1337"/>
      <c r="BK159" s="1338"/>
      <c r="BL159" s="1338"/>
      <c r="BM159" s="1338"/>
      <c r="BN159" s="1338"/>
      <c r="BO159" s="1339"/>
    </row>
    <row r="160" spans="1:67" ht="15" customHeight="1">
      <c r="A160" s="1307">
        <v>1.1000000000000001</v>
      </c>
      <c r="B160" s="1161" t="s">
        <v>940</v>
      </c>
      <c r="C160" s="1162"/>
      <c r="D160" s="1162"/>
      <c r="E160" s="1162"/>
      <c r="F160" s="1162"/>
      <c r="G160" s="1199"/>
      <c r="H160" s="1205" t="str">
        <f t="shared" ref="H160" si="264">IF(ISBLANK(AB$5),"",1)</f>
        <v/>
      </c>
      <c r="I160" s="1205" t="str">
        <f t="shared" ref="I160" si="265">IF(ISBLANK(AF$5),"",1)</f>
        <v/>
      </c>
      <c r="J160" s="1205" t="str">
        <f t="shared" ref="J160" si="266">IF(ISBLANK(AJ$5),"",1)</f>
        <v/>
      </c>
      <c r="K160" s="1205" t="str">
        <f t="shared" ref="K160" si="267">IF(ISBLANK(AN$5),"",1)</f>
        <v/>
      </c>
      <c r="L160" s="1205" t="str">
        <f t="shared" ref="L160" si="268">IF(ISBLANK(AR$5),"",1)</f>
        <v/>
      </c>
      <c r="M160" s="1205" t="str">
        <f t="shared" ref="M160" si="269">IF(ISBLANK(AV$5),"",1)</f>
        <v/>
      </c>
      <c r="N160" s="1391">
        <v>4.3</v>
      </c>
      <c r="O160" s="1310" t="s">
        <v>879</v>
      </c>
      <c r="P160" s="1311"/>
      <c r="Q160" s="1311"/>
      <c r="R160" s="1311"/>
      <c r="S160" s="1311"/>
      <c r="T160" s="1312"/>
      <c r="U160" s="1205" t="str">
        <f t="shared" ref="U160" si="270">IF(ISBLANK(AB$5),"",1)</f>
        <v/>
      </c>
      <c r="V160" s="1322">
        <v>4.4000000000000004</v>
      </c>
      <c r="W160" s="1198" t="s">
        <v>880</v>
      </c>
      <c r="X160" s="1162"/>
      <c r="Y160" s="1162"/>
      <c r="Z160" s="1162"/>
      <c r="AA160" s="1162"/>
      <c r="AB160" s="1265"/>
      <c r="AC160" s="1205" t="str">
        <f t="shared" ref="AC160" si="271">IF(ISBLANK(AF$5),"",1)</f>
        <v/>
      </c>
      <c r="AD160" s="1322">
        <v>4.4000000000000004</v>
      </c>
      <c r="AE160" s="1198" t="s">
        <v>412</v>
      </c>
      <c r="AF160" s="1162"/>
      <c r="AG160" s="1162"/>
      <c r="AH160" s="1162"/>
      <c r="AI160" s="1162"/>
      <c r="AJ160" s="1265"/>
      <c r="AK160" s="1205" t="str">
        <f t="shared" ref="AK160" si="272">IF(ISBLANK(AJ$5),"",1)</f>
        <v/>
      </c>
      <c r="AL160" s="1304">
        <v>4.4000000000000004</v>
      </c>
      <c r="AM160" s="1198" t="s">
        <v>359</v>
      </c>
      <c r="AN160" s="1162"/>
      <c r="AO160" s="1162"/>
      <c r="AP160" s="1162"/>
      <c r="AQ160" s="1162"/>
      <c r="AR160" s="1265"/>
      <c r="AS160" s="1205" t="str">
        <f t="shared" ref="AS160" si="273">IF(ISBLANK(AN$5),"",1)</f>
        <v/>
      </c>
      <c r="AT160" s="1304">
        <v>4.3</v>
      </c>
      <c r="AU160" s="1310" t="s">
        <v>879</v>
      </c>
      <c r="AV160" s="1311"/>
      <c r="AW160" s="1311"/>
      <c r="AX160" s="1311"/>
      <c r="AY160" s="1311"/>
      <c r="AZ160" s="1316"/>
      <c r="BA160" s="1226" t="str">
        <f t="shared" ref="BA160" si="274">IF(ISBLANK(AR$5),"",1)</f>
        <v/>
      </c>
      <c r="BB160" s="1304">
        <v>4.3</v>
      </c>
      <c r="BC160" s="1310" t="s">
        <v>879</v>
      </c>
      <c r="BD160" s="1311"/>
      <c r="BE160" s="1311"/>
      <c r="BF160" s="1311"/>
      <c r="BG160" s="1311"/>
      <c r="BH160" s="1316"/>
      <c r="BI160" s="1226" t="str">
        <f t="shared" ref="BI160" si="275">IF(ISBLANK(AV$5),"",1)</f>
        <v/>
      </c>
      <c r="BJ160" s="1337"/>
      <c r="BK160" s="1338"/>
      <c r="BL160" s="1338"/>
      <c r="BM160" s="1338"/>
      <c r="BN160" s="1338"/>
      <c r="BO160" s="1339"/>
    </row>
    <row r="161" spans="1:67" ht="15" customHeight="1">
      <c r="A161" s="1308"/>
      <c r="B161" s="1163"/>
      <c r="C161" s="1164"/>
      <c r="D161" s="1164"/>
      <c r="E161" s="1164"/>
      <c r="F161" s="1164"/>
      <c r="G161" s="1201"/>
      <c r="H161" s="1206"/>
      <c r="I161" s="1206"/>
      <c r="J161" s="1206"/>
      <c r="K161" s="1206"/>
      <c r="L161" s="1206"/>
      <c r="M161" s="1206"/>
      <c r="N161" s="1392"/>
      <c r="O161" s="1295" t="s">
        <v>368</v>
      </c>
      <c r="P161" s="1296"/>
      <c r="Q161" s="1296"/>
      <c r="R161" s="1296"/>
      <c r="S161" s="1296"/>
      <c r="T161" s="1297"/>
      <c r="U161" s="1206"/>
      <c r="V161" s="1293"/>
      <c r="W161" s="1200"/>
      <c r="X161" s="1164"/>
      <c r="Y161" s="1164"/>
      <c r="Z161" s="1164"/>
      <c r="AA161" s="1164"/>
      <c r="AB161" s="1266"/>
      <c r="AC161" s="1206"/>
      <c r="AD161" s="1293"/>
      <c r="AE161" s="1200"/>
      <c r="AF161" s="1164"/>
      <c r="AG161" s="1164"/>
      <c r="AH161" s="1164"/>
      <c r="AI161" s="1164"/>
      <c r="AJ161" s="1266"/>
      <c r="AK161" s="1206"/>
      <c r="AL161" s="1290"/>
      <c r="AM161" s="1200"/>
      <c r="AN161" s="1164"/>
      <c r="AO161" s="1164"/>
      <c r="AP161" s="1164"/>
      <c r="AQ161" s="1164"/>
      <c r="AR161" s="1266"/>
      <c r="AS161" s="1206"/>
      <c r="AT161" s="1290"/>
      <c r="AU161" s="1295"/>
      <c r="AV161" s="1296"/>
      <c r="AW161" s="1296"/>
      <c r="AX161" s="1296"/>
      <c r="AY161" s="1296"/>
      <c r="AZ161" s="1318"/>
      <c r="BA161" s="1342"/>
      <c r="BB161" s="1290"/>
      <c r="BC161" s="1295"/>
      <c r="BD161" s="1296"/>
      <c r="BE161" s="1296"/>
      <c r="BF161" s="1296"/>
      <c r="BG161" s="1296"/>
      <c r="BH161" s="1318"/>
      <c r="BI161" s="1342"/>
      <c r="BJ161" s="1337"/>
      <c r="BK161" s="1338"/>
      <c r="BL161" s="1338"/>
      <c r="BM161" s="1338"/>
      <c r="BN161" s="1338"/>
      <c r="BO161" s="1339"/>
    </row>
    <row r="162" spans="1:67" ht="15" customHeight="1">
      <c r="A162" s="1309"/>
      <c r="B162" s="1165"/>
      <c r="C162" s="1166"/>
      <c r="D162" s="1166"/>
      <c r="E162" s="1166"/>
      <c r="F162" s="1166"/>
      <c r="G162" s="1292"/>
      <c r="H162" s="1207"/>
      <c r="I162" s="1207"/>
      <c r="J162" s="1207"/>
      <c r="K162" s="1207"/>
      <c r="L162" s="1207"/>
      <c r="M162" s="1207"/>
      <c r="N162" s="1393"/>
      <c r="O162" s="1298" t="s">
        <v>416</v>
      </c>
      <c r="P162" s="1299"/>
      <c r="Q162" s="1299"/>
      <c r="R162" s="1299"/>
      <c r="S162" s="1299"/>
      <c r="T162" s="1300"/>
      <c r="U162" s="1207"/>
      <c r="V162" s="1294"/>
      <c r="W162" s="1202"/>
      <c r="X162" s="1203"/>
      <c r="Y162" s="1203"/>
      <c r="Z162" s="1203"/>
      <c r="AA162" s="1203"/>
      <c r="AB162" s="1305"/>
      <c r="AC162" s="1207"/>
      <c r="AD162" s="1294"/>
      <c r="AE162" s="1202"/>
      <c r="AF162" s="1203"/>
      <c r="AG162" s="1203"/>
      <c r="AH162" s="1203"/>
      <c r="AI162" s="1203"/>
      <c r="AJ162" s="1305"/>
      <c r="AK162" s="1207"/>
      <c r="AL162" s="1291"/>
      <c r="AM162" s="1202"/>
      <c r="AN162" s="1203"/>
      <c r="AO162" s="1203"/>
      <c r="AP162" s="1203"/>
      <c r="AQ162" s="1203"/>
      <c r="AR162" s="1305"/>
      <c r="AS162" s="1207"/>
      <c r="AT162" s="1291"/>
      <c r="AU162" s="1298"/>
      <c r="AV162" s="1299"/>
      <c r="AW162" s="1299"/>
      <c r="AX162" s="1299"/>
      <c r="AY162" s="1299"/>
      <c r="AZ162" s="1335"/>
      <c r="BA162" s="1342"/>
      <c r="BB162" s="1291"/>
      <c r="BC162" s="1298"/>
      <c r="BD162" s="1299"/>
      <c r="BE162" s="1299"/>
      <c r="BF162" s="1299"/>
      <c r="BG162" s="1299"/>
      <c r="BH162" s="1335"/>
      <c r="BI162" s="1342"/>
      <c r="BJ162" s="1337"/>
      <c r="BK162" s="1338"/>
      <c r="BL162" s="1338"/>
      <c r="BM162" s="1338"/>
      <c r="BN162" s="1338"/>
      <c r="BO162" s="1339"/>
    </row>
    <row r="163" spans="1:67" ht="15" customHeight="1">
      <c r="A163" s="1307">
        <v>1.1000000000000001</v>
      </c>
      <c r="B163" s="1161" t="s">
        <v>330</v>
      </c>
      <c r="C163" s="1162"/>
      <c r="D163" s="1162"/>
      <c r="E163" s="1162"/>
      <c r="F163" s="1162"/>
      <c r="G163" s="1199"/>
      <c r="H163" s="1205" t="str">
        <f t="shared" ref="H163" si="276">IF(ISBLANK(AB$5),"",1)</f>
        <v/>
      </c>
      <c r="I163" s="1205" t="str">
        <f t="shared" ref="I163" si="277">IF(ISBLANK(AF$5),"",1)</f>
        <v/>
      </c>
      <c r="J163" s="1205" t="str">
        <f t="shared" ref="J163" si="278">IF(ISBLANK(AJ$5),"",1)</f>
        <v/>
      </c>
      <c r="K163" s="1205" t="str">
        <f t="shared" ref="K163" si="279">IF(ISBLANK(AN$5),"",1)</f>
        <v/>
      </c>
      <c r="L163" s="1205" t="str">
        <f t="shared" ref="L163" si="280">IF(ISBLANK(AR$5),"",1)</f>
        <v/>
      </c>
      <c r="M163" s="1205" t="str">
        <f t="shared" ref="M163" si="281">IF(ISBLANK(AV$5),"",1)</f>
        <v/>
      </c>
      <c r="N163" s="1322">
        <v>4.4000000000000004</v>
      </c>
      <c r="O163" s="1198" t="s">
        <v>393</v>
      </c>
      <c r="P163" s="1162"/>
      <c r="Q163" s="1162"/>
      <c r="R163" s="1162"/>
      <c r="S163" s="1162"/>
      <c r="T163" s="1265"/>
      <c r="U163" s="1205" t="str">
        <f t="shared" ref="U163" si="282">IF(ISBLANK(AB$5),"",1)</f>
        <v/>
      </c>
      <c r="V163" s="1304">
        <v>4.4000000000000004</v>
      </c>
      <c r="W163" s="1395" t="s">
        <v>359</v>
      </c>
      <c r="X163" s="1396"/>
      <c r="Y163" s="1396"/>
      <c r="Z163" s="1396"/>
      <c r="AA163" s="1396"/>
      <c r="AB163" s="1397"/>
      <c r="AC163" s="1205" t="str">
        <f t="shared" ref="AC163" si="283">IF(ISBLANK(AF$5),"",1)</f>
        <v/>
      </c>
      <c r="AD163" s="1322">
        <v>4.4000000000000004</v>
      </c>
      <c r="AE163" s="1198" t="s">
        <v>413</v>
      </c>
      <c r="AF163" s="1162"/>
      <c r="AG163" s="1162"/>
      <c r="AH163" s="1162"/>
      <c r="AI163" s="1162"/>
      <c r="AJ163" s="1265"/>
      <c r="AK163" s="1205" t="str">
        <f t="shared" ref="AK163" si="284">IF(ISBLANK(AJ$5),"",1)</f>
        <v/>
      </c>
      <c r="AL163" s="1322">
        <v>4.3</v>
      </c>
      <c r="AM163" s="1198" t="s">
        <v>395</v>
      </c>
      <c r="AN163" s="1162"/>
      <c r="AO163" s="1162"/>
      <c r="AP163" s="1162"/>
      <c r="AQ163" s="1162"/>
      <c r="AR163" s="1265"/>
      <c r="AS163" s="1205" t="str">
        <f t="shared" ref="AS163" si="285">IF(ISBLANK(AN$5),"",1)</f>
        <v/>
      </c>
      <c r="AT163" s="1258">
        <v>4.4000000000000004</v>
      </c>
      <c r="AU163" s="1198" t="s">
        <v>418</v>
      </c>
      <c r="AV163" s="1162"/>
      <c r="AW163" s="1162"/>
      <c r="AX163" s="1162"/>
      <c r="AY163" s="1162"/>
      <c r="AZ163" s="1199"/>
      <c r="BA163" s="1226" t="str">
        <f t="shared" ref="BA163" si="286">IF(ISBLANK(AR$5),"",1)</f>
        <v/>
      </c>
      <c r="BB163" s="1258">
        <v>4.3</v>
      </c>
      <c r="BC163" s="1198" t="s">
        <v>418</v>
      </c>
      <c r="BD163" s="1162"/>
      <c r="BE163" s="1162"/>
      <c r="BF163" s="1162"/>
      <c r="BG163" s="1162"/>
      <c r="BH163" s="1199"/>
      <c r="BI163" s="1226" t="str">
        <f t="shared" ref="BI163" si="287">IF(ISBLANK(AV$5),"",1)</f>
        <v/>
      </c>
      <c r="BJ163" s="1337"/>
      <c r="BK163" s="1338"/>
      <c r="BL163" s="1338"/>
      <c r="BM163" s="1338"/>
      <c r="BN163" s="1338"/>
      <c r="BO163" s="1339"/>
    </row>
    <row r="164" spans="1:67" ht="15" customHeight="1">
      <c r="A164" s="1308"/>
      <c r="B164" s="1163"/>
      <c r="C164" s="1164"/>
      <c r="D164" s="1164"/>
      <c r="E164" s="1164"/>
      <c r="F164" s="1164"/>
      <c r="G164" s="1201"/>
      <c r="H164" s="1206"/>
      <c r="I164" s="1206"/>
      <c r="J164" s="1206"/>
      <c r="K164" s="1206"/>
      <c r="L164" s="1206"/>
      <c r="M164" s="1206"/>
      <c r="N164" s="1293"/>
      <c r="O164" s="1200"/>
      <c r="P164" s="1164"/>
      <c r="Q164" s="1164"/>
      <c r="R164" s="1164"/>
      <c r="S164" s="1164"/>
      <c r="T164" s="1266"/>
      <c r="U164" s="1206"/>
      <c r="V164" s="1290"/>
      <c r="W164" s="1163"/>
      <c r="X164" s="1164"/>
      <c r="Y164" s="1164"/>
      <c r="Z164" s="1164"/>
      <c r="AA164" s="1164"/>
      <c r="AB164" s="1201"/>
      <c r="AC164" s="1206"/>
      <c r="AD164" s="1293"/>
      <c r="AE164" s="1200"/>
      <c r="AF164" s="1164"/>
      <c r="AG164" s="1164"/>
      <c r="AH164" s="1164"/>
      <c r="AI164" s="1164"/>
      <c r="AJ164" s="1266"/>
      <c r="AK164" s="1206"/>
      <c r="AL164" s="1293"/>
      <c r="AM164" s="1200"/>
      <c r="AN164" s="1164"/>
      <c r="AO164" s="1164"/>
      <c r="AP164" s="1164"/>
      <c r="AQ164" s="1164"/>
      <c r="AR164" s="1266"/>
      <c r="AS164" s="1206"/>
      <c r="AT164" s="1258"/>
      <c r="AU164" s="1200"/>
      <c r="AV164" s="1164"/>
      <c r="AW164" s="1164"/>
      <c r="AX164" s="1164"/>
      <c r="AY164" s="1164"/>
      <c r="AZ164" s="1201"/>
      <c r="BA164" s="1342"/>
      <c r="BB164" s="1258"/>
      <c r="BC164" s="1200"/>
      <c r="BD164" s="1164"/>
      <c r="BE164" s="1164"/>
      <c r="BF164" s="1164"/>
      <c r="BG164" s="1164"/>
      <c r="BH164" s="1201"/>
      <c r="BI164" s="1342"/>
      <c r="BJ164" s="1337"/>
      <c r="BK164" s="1338"/>
      <c r="BL164" s="1338"/>
      <c r="BM164" s="1338"/>
      <c r="BN164" s="1338"/>
      <c r="BO164" s="1339"/>
    </row>
    <row r="165" spans="1:67" ht="15" customHeight="1">
      <c r="A165" s="1309"/>
      <c r="B165" s="1165"/>
      <c r="C165" s="1166"/>
      <c r="D165" s="1166"/>
      <c r="E165" s="1166"/>
      <c r="F165" s="1166"/>
      <c r="G165" s="1292"/>
      <c r="H165" s="1207"/>
      <c r="I165" s="1207"/>
      <c r="J165" s="1207"/>
      <c r="K165" s="1207"/>
      <c r="L165" s="1207"/>
      <c r="M165" s="1207"/>
      <c r="N165" s="1294"/>
      <c r="O165" s="1202" t="s">
        <v>394</v>
      </c>
      <c r="P165" s="1203"/>
      <c r="Q165" s="1203"/>
      <c r="R165" s="1203"/>
      <c r="S165" s="1203"/>
      <c r="T165" s="1305"/>
      <c r="U165" s="1207"/>
      <c r="V165" s="1291"/>
      <c r="W165" s="1165"/>
      <c r="X165" s="1166"/>
      <c r="Y165" s="1166"/>
      <c r="Z165" s="1166"/>
      <c r="AA165" s="1166"/>
      <c r="AB165" s="1292"/>
      <c r="AC165" s="1207"/>
      <c r="AD165" s="1294"/>
      <c r="AE165" s="1202"/>
      <c r="AF165" s="1203"/>
      <c r="AG165" s="1203"/>
      <c r="AH165" s="1203"/>
      <c r="AI165" s="1203"/>
      <c r="AJ165" s="1305"/>
      <c r="AK165" s="1207"/>
      <c r="AL165" s="1306"/>
      <c r="AM165" s="1202"/>
      <c r="AN165" s="1203"/>
      <c r="AO165" s="1203"/>
      <c r="AP165" s="1203"/>
      <c r="AQ165" s="1203"/>
      <c r="AR165" s="1305"/>
      <c r="AS165" s="1207"/>
      <c r="AT165" s="1258"/>
      <c r="AU165" s="1202"/>
      <c r="AV165" s="1203"/>
      <c r="AW165" s="1203"/>
      <c r="AX165" s="1203"/>
      <c r="AY165" s="1203"/>
      <c r="AZ165" s="1204"/>
      <c r="BA165" s="1342"/>
      <c r="BB165" s="1258"/>
      <c r="BC165" s="1202"/>
      <c r="BD165" s="1203"/>
      <c r="BE165" s="1203"/>
      <c r="BF165" s="1203"/>
      <c r="BG165" s="1203"/>
      <c r="BH165" s="1204"/>
      <c r="BI165" s="1342"/>
      <c r="BJ165" s="1337"/>
      <c r="BK165" s="1338"/>
      <c r="BL165" s="1338"/>
      <c r="BM165" s="1338"/>
      <c r="BN165" s="1338"/>
      <c r="BO165" s="1339"/>
    </row>
    <row r="166" spans="1:67" ht="15" customHeight="1">
      <c r="A166" s="1304">
        <v>1.5</v>
      </c>
      <c r="B166" s="1161" t="s">
        <v>336</v>
      </c>
      <c r="C166" s="1162"/>
      <c r="D166" s="1162"/>
      <c r="E166" s="1162"/>
      <c r="F166" s="1162"/>
      <c r="G166" s="1199"/>
      <c r="H166" s="1205" t="str">
        <f t="shared" ref="H166" si="288">IF(ISBLANK(AB$5),"",1)</f>
        <v/>
      </c>
      <c r="I166" s="1205" t="str">
        <f t="shared" ref="I166" si="289">IF(ISBLANK(AF$5),"",1)</f>
        <v/>
      </c>
      <c r="J166" s="1205" t="str">
        <f t="shared" ref="J166" si="290">IF(ISBLANK(AJ$5),"",1)</f>
        <v/>
      </c>
      <c r="K166" s="1205" t="str">
        <f t="shared" ref="K166" si="291">IF(ISBLANK(AN$5),"",1)</f>
        <v/>
      </c>
      <c r="L166" s="1205" t="str">
        <f t="shared" ref="L166" si="292">IF(ISBLANK(AR$5),"",1)</f>
        <v/>
      </c>
      <c r="M166" s="1205" t="str">
        <f t="shared" ref="M166" si="293">IF(ISBLANK(AV$5),"",1)</f>
        <v/>
      </c>
      <c r="N166" s="1391">
        <v>4.4000000000000004</v>
      </c>
      <c r="O166" s="1198" t="s">
        <v>359</v>
      </c>
      <c r="P166" s="1162"/>
      <c r="Q166" s="1162"/>
      <c r="R166" s="1162"/>
      <c r="S166" s="1162"/>
      <c r="T166" s="1265"/>
      <c r="U166" s="1205" t="str">
        <f t="shared" ref="U166" si="294">IF(ISBLANK(AB$5),"",1)</f>
        <v/>
      </c>
      <c r="V166" s="1322">
        <v>4.4000000000000004</v>
      </c>
      <c r="W166" s="1198" t="s">
        <v>395</v>
      </c>
      <c r="X166" s="1162"/>
      <c r="Y166" s="1162"/>
      <c r="Z166" s="1162"/>
      <c r="AA166" s="1162"/>
      <c r="AB166" s="1265"/>
      <c r="AC166" s="1205" t="str">
        <f t="shared" ref="AC166" si="295">IF(ISBLANK(AF$5),"",1)</f>
        <v/>
      </c>
      <c r="AD166" s="1322">
        <v>4.4000000000000004</v>
      </c>
      <c r="AE166" s="1198" t="s">
        <v>414</v>
      </c>
      <c r="AF166" s="1162"/>
      <c r="AG166" s="1162"/>
      <c r="AH166" s="1162"/>
      <c r="AI166" s="1162"/>
      <c r="AJ166" s="1265"/>
      <c r="AK166" s="1205" t="str">
        <f t="shared" ref="AK166" si="296">IF(ISBLANK(AJ$5),"",1)</f>
        <v/>
      </c>
      <c r="AL166" s="1304">
        <v>4.4000000000000004</v>
      </c>
      <c r="AM166" s="1161" t="s">
        <v>878</v>
      </c>
      <c r="AN166" s="1162"/>
      <c r="AO166" s="1162"/>
      <c r="AP166" s="1162"/>
      <c r="AQ166" s="1162"/>
      <c r="AR166" s="1199"/>
      <c r="AS166" s="1205" t="str">
        <f t="shared" ref="AS166" si="297">IF(ISBLANK(AN$5),"",1)</f>
        <v/>
      </c>
      <c r="AT166" s="1258">
        <v>4.4000000000000004</v>
      </c>
      <c r="AU166" s="1198" t="s">
        <v>417</v>
      </c>
      <c r="AV166" s="1162"/>
      <c r="AW166" s="1162"/>
      <c r="AX166" s="1162"/>
      <c r="AY166" s="1162"/>
      <c r="AZ166" s="1199"/>
      <c r="BA166" s="1226" t="str">
        <f t="shared" ref="BA166" si="298">IF(ISBLANK(AR$5),"",1)</f>
        <v/>
      </c>
      <c r="BB166" s="1258">
        <v>4.4000000000000004</v>
      </c>
      <c r="BC166" s="1198" t="s">
        <v>417</v>
      </c>
      <c r="BD166" s="1162"/>
      <c r="BE166" s="1162"/>
      <c r="BF166" s="1162"/>
      <c r="BG166" s="1162"/>
      <c r="BH166" s="1199"/>
      <c r="BI166" s="1226" t="str">
        <f t="shared" ref="BI166" si="299">IF(ISBLANK(AV$5),"",1)</f>
        <v/>
      </c>
      <c r="BJ166" s="1337"/>
      <c r="BK166" s="1338"/>
      <c r="BL166" s="1338"/>
      <c r="BM166" s="1338"/>
      <c r="BN166" s="1338"/>
      <c r="BO166" s="1339"/>
    </row>
    <row r="167" spans="1:67" ht="15" customHeight="1">
      <c r="A167" s="1290"/>
      <c r="B167" s="1163"/>
      <c r="C167" s="1164"/>
      <c r="D167" s="1164"/>
      <c r="E167" s="1164"/>
      <c r="F167" s="1164"/>
      <c r="G167" s="1201"/>
      <c r="H167" s="1206"/>
      <c r="I167" s="1206"/>
      <c r="J167" s="1206"/>
      <c r="K167" s="1206"/>
      <c r="L167" s="1206"/>
      <c r="M167" s="1206"/>
      <c r="N167" s="1392"/>
      <c r="O167" s="1200" t="s">
        <v>370</v>
      </c>
      <c r="P167" s="1164"/>
      <c r="Q167" s="1164"/>
      <c r="R167" s="1164"/>
      <c r="S167" s="1164"/>
      <c r="T167" s="1266"/>
      <c r="U167" s="1206"/>
      <c r="V167" s="1293"/>
      <c r="W167" s="1200"/>
      <c r="X167" s="1164"/>
      <c r="Y167" s="1164"/>
      <c r="Z167" s="1164"/>
      <c r="AA167" s="1164"/>
      <c r="AB167" s="1266"/>
      <c r="AC167" s="1206"/>
      <c r="AD167" s="1293"/>
      <c r="AE167" s="1200"/>
      <c r="AF167" s="1164"/>
      <c r="AG167" s="1164"/>
      <c r="AH167" s="1164"/>
      <c r="AI167" s="1164"/>
      <c r="AJ167" s="1266"/>
      <c r="AK167" s="1206"/>
      <c r="AL167" s="1290"/>
      <c r="AM167" s="1163"/>
      <c r="AN167" s="1164"/>
      <c r="AO167" s="1164"/>
      <c r="AP167" s="1164"/>
      <c r="AQ167" s="1164"/>
      <c r="AR167" s="1201"/>
      <c r="AS167" s="1206"/>
      <c r="AT167" s="1258"/>
      <c r="AU167" s="1200"/>
      <c r="AV167" s="1164"/>
      <c r="AW167" s="1164"/>
      <c r="AX167" s="1164"/>
      <c r="AY167" s="1164"/>
      <c r="AZ167" s="1201"/>
      <c r="BA167" s="1342"/>
      <c r="BB167" s="1258"/>
      <c r="BC167" s="1200"/>
      <c r="BD167" s="1164"/>
      <c r="BE167" s="1164"/>
      <c r="BF167" s="1164"/>
      <c r="BG167" s="1164"/>
      <c r="BH167" s="1201"/>
      <c r="BI167" s="1342"/>
      <c r="BJ167" s="1337"/>
      <c r="BK167" s="1338"/>
      <c r="BL167" s="1338"/>
      <c r="BM167" s="1338"/>
      <c r="BN167" s="1338"/>
      <c r="BO167" s="1339"/>
    </row>
    <row r="168" spans="1:67" ht="15" customHeight="1">
      <c r="A168" s="1291"/>
      <c r="B168" s="1165"/>
      <c r="C168" s="1166"/>
      <c r="D168" s="1166"/>
      <c r="E168" s="1166"/>
      <c r="F168" s="1166"/>
      <c r="G168" s="1292"/>
      <c r="H168" s="1207"/>
      <c r="I168" s="1207"/>
      <c r="J168" s="1207"/>
      <c r="K168" s="1207"/>
      <c r="L168" s="1207"/>
      <c r="M168" s="1207"/>
      <c r="N168" s="1393"/>
      <c r="O168" s="1202" t="s">
        <v>384</v>
      </c>
      <c r="P168" s="1203"/>
      <c r="Q168" s="1203"/>
      <c r="R168" s="1203"/>
      <c r="S168" s="1203"/>
      <c r="T168" s="1305"/>
      <c r="U168" s="1207"/>
      <c r="V168" s="1294"/>
      <c r="W168" s="1202"/>
      <c r="X168" s="1203"/>
      <c r="Y168" s="1203"/>
      <c r="Z168" s="1203"/>
      <c r="AA168" s="1203"/>
      <c r="AB168" s="1305"/>
      <c r="AC168" s="1207"/>
      <c r="AD168" s="1306"/>
      <c r="AE168" s="1202"/>
      <c r="AF168" s="1203"/>
      <c r="AG168" s="1203"/>
      <c r="AH168" s="1203"/>
      <c r="AI168" s="1203"/>
      <c r="AJ168" s="1305"/>
      <c r="AK168" s="1207"/>
      <c r="AL168" s="1291"/>
      <c r="AM168" s="1165"/>
      <c r="AN168" s="1166"/>
      <c r="AO168" s="1166"/>
      <c r="AP168" s="1166"/>
      <c r="AQ168" s="1166"/>
      <c r="AR168" s="1292"/>
      <c r="AS168" s="1207"/>
      <c r="AT168" s="1258"/>
      <c r="AU168" s="1202"/>
      <c r="AV168" s="1203"/>
      <c r="AW168" s="1203"/>
      <c r="AX168" s="1203"/>
      <c r="AY168" s="1203"/>
      <c r="AZ168" s="1204"/>
      <c r="BA168" s="1342"/>
      <c r="BB168" s="1258"/>
      <c r="BC168" s="1202"/>
      <c r="BD168" s="1203"/>
      <c r="BE168" s="1203"/>
      <c r="BF168" s="1203"/>
      <c r="BG168" s="1203"/>
      <c r="BH168" s="1204"/>
      <c r="BI168" s="1342"/>
      <c r="BJ168" s="1337"/>
      <c r="BK168" s="1338"/>
      <c r="BL168" s="1338"/>
      <c r="BM168" s="1338"/>
      <c r="BN168" s="1338"/>
      <c r="BO168" s="1339"/>
    </row>
    <row r="169" spans="1:67" ht="15" customHeight="1">
      <c r="A169" s="1304">
        <v>2.1</v>
      </c>
      <c r="B169" s="1161" t="s">
        <v>360</v>
      </c>
      <c r="C169" s="1162"/>
      <c r="D169" s="1162"/>
      <c r="E169" s="1162"/>
      <c r="F169" s="1162"/>
      <c r="G169" s="1199"/>
      <c r="H169" s="1205" t="str">
        <f t="shared" ref="H169" si="300">IF(ISBLANK(AB$5),"",1)</f>
        <v/>
      </c>
      <c r="I169" s="1205" t="str">
        <f t="shared" ref="I169" si="301">IF(ISBLANK(AF$5),"",1)</f>
        <v/>
      </c>
      <c r="J169" s="1205" t="str">
        <f t="shared" ref="J169" si="302">IF(ISBLANK(AJ$5),"",1)</f>
        <v/>
      </c>
      <c r="K169" s="1205" t="str">
        <f t="shared" ref="K169" si="303">IF(ISBLANK(AN$5),"",1)</f>
        <v/>
      </c>
      <c r="L169" s="1205" t="str">
        <f t="shared" ref="L169" si="304">IF(ISBLANK(AR$5),"",1)</f>
        <v/>
      </c>
      <c r="M169" s="1205" t="str">
        <f t="shared" ref="M169" si="305">IF(ISBLANK(AV$5),"",1)</f>
        <v/>
      </c>
      <c r="N169" s="1322">
        <v>4.4000000000000004</v>
      </c>
      <c r="O169" s="1198" t="s">
        <v>395</v>
      </c>
      <c r="P169" s="1162"/>
      <c r="Q169" s="1162"/>
      <c r="R169" s="1162"/>
      <c r="S169" s="1162"/>
      <c r="T169" s="1265"/>
      <c r="U169" s="1205" t="str">
        <f t="shared" ref="U169" si="306">IF(ISBLANK(AB$5),"",1)</f>
        <v/>
      </c>
      <c r="V169" s="1391">
        <v>4.4000000000000004</v>
      </c>
      <c r="W169" s="1161" t="s">
        <v>878</v>
      </c>
      <c r="X169" s="1162"/>
      <c r="Y169" s="1162"/>
      <c r="Z169" s="1162"/>
      <c r="AA169" s="1162"/>
      <c r="AB169" s="1199"/>
      <c r="AC169" s="1205" t="str">
        <f t="shared" ref="AC169" si="307">IF(ISBLANK(AF$5),"",1)</f>
        <v/>
      </c>
      <c r="AD169" s="1322">
        <v>4.4000000000000004</v>
      </c>
      <c r="AE169" s="1198" t="s">
        <v>383</v>
      </c>
      <c r="AF169" s="1162"/>
      <c r="AG169" s="1162"/>
      <c r="AH169" s="1162"/>
      <c r="AI169" s="1162"/>
      <c r="AJ169" s="1265"/>
      <c r="AK169" s="1205" t="str">
        <f t="shared" ref="AK169" si="308">IF(ISBLANK(AJ$5),"",1)</f>
        <v/>
      </c>
      <c r="AL169" s="1307">
        <v>1.5</v>
      </c>
      <c r="AM169" s="1310" t="s">
        <v>373</v>
      </c>
      <c r="AN169" s="1311"/>
      <c r="AO169" s="1311"/>
      <c r="AP169" s="1311"/>
      <c r="AQ169" s="1311"/>
      <c r="AR169" s="1312"/>
      <c r="AS169" s="1205" t="str">
        <f t="shared" ref="AS169" si="309">IF(ISBLANK(AN$5),"",1)</f>
        <v/>
      </c>
      <c r="AT169" s="1258">
        <v>4.4000000000000004</v>
      </c>
      <c r="AU169" s="1198" t="s">
        <v>419</v>
      </c>
      <c r="AV169" s="1162"/>
      <c r="AW169" s="1162"/>
      <c r="AX169" s="1162"/>
      <c r="AY169" s="1162"/>
      <c r="AZ169" s="1199"/>
      <c r="BA169" s="1226" t="str">
        <f t="shared" ref="BA169" si="310">IF(ISBLANK(AR$5),"",1)</f>
        <v/>
      </c>
      <c r="BB169" s="1258">
        <v>4.4000000000000004</v>
      </c>
      <c r="BC169" s="1198" t="s">
        <v>419</v>
      </c>
      <c r="BD169" s="1162"/>
      <c r="BE169" s="1162"/>
      <c r="BF169" s="1162"/>
      <c r="BG169" s="1162"/>
      <c r="BH169" s="1199"/>
      <c r="BI169" s="1226" t="str">
        <f t="shared" ref="BI169" si="311">IF(ISBLANK(AV$5),"",1)</f>
        <v/>
      </c>
      <c r="BJ169" s="1337"/>
      <c r="BK169" s="1338"/>
      <c r="BL169" s="1338"/>
      <c r="BM169" s="1338"/>
      <c r="BN169" s="1338"/>
      <c r="BO169" s="1339"/>
    </row>
    <row r="170" spans="1:67" ht="15" customHeight="1">
      <c r="A170" s="1290"/>
      <c r="B170" s="1163"/>
      <c r="C170" s="1164"/>
      <c r="D170" s="1164"/>
      <c r="E170" s="1164"/>
      <c r="F170" s="1164"/>
      <c r="G170" s="1201"/>
      <c r="H170" s="1206"/>
      <c r="I170" s="1206"/>
      <c r="J170" s="1206"/>
      <c r="K170" s="1206"/>
      <c r="L170" s="1206"/>
      <c r="M170" s="1206"/>
      <c r="N170" s="1293"/>
      <c r="O170" s="1200" t="s">
        <v>370</v>
      </c>
      <c r="P170" s="1164"/>
      <c r="Q170" s="1164"/>
      <c r="R170" s="1164"/>
      <c r="S170" s="1164"/>
      <c r="T170" s="1266"/>
      <c r="U170" s="1206"/>
      <c r="V170" s="1392"/>
      <c r="W170" s="1163"/>
      <c r="X170" s="1164"/>
      <c r="Y170" s="1164"/>
      <c r="Z170" s="1164"/>
      <c r="AA170" s="1164"/>
      <c r="AB170" s="1201"/>
      <c r="AC170" s="1206"/>
      <c r="AD170" s="1293"/>
      <c r="AE170" s="1200"/>
      <c r="AF170" s="1164"/>
      <c r="AG170" s="1164"/>
      <c r="AH170" s="1164"/>
      <c r="AI170" s="1164"/>
      <c r="AJ170" s="1266"/>
      <c r="AK170" s="1206"/>
      <c r="AL170" s="1308"/>
      <c r="AM170" s="1295"/>
      <c r="AN170" s="1296"/>
      <c r="AO170" s="1296"/>
      <c r="AP170" s="1296"/>
      <c r="AQ170" s="1296"/>
      <c r="AR170" s="1297"/>
      <c r="AS170" s="1206"/>
      <c r="AT170" s="1258"/>
      <c r="AU170" s="1200"/>
      <c r="AV170" s="1164"/>
      <c r="AW170" s="1164"/>
      <c r="AX170" s="1164"/>
      <c r="AY170" s="1164"/>
      <c r="AZ170" s="1201"/>
      <c r="BA170" s="1342"/>
      <c r="BB170" s="1258"/>
      <c r="BC170" s="1200"/>
      <c r="BD170" s="1164"/>
      <c r="BE170" s="1164"/>
      <c r="BF170" s="1164"/>
      <c r="BG170" s="1164"/>
      <c r="BH170" s="1201"/>
      <c r="BI170" s="1342"/>
      <c r="BJ170" s="1337"/>
      <c r="BK170" s="1338"/>
      <c r="BL170" s="1338"/>
      <c r="BM170" s="1338"/>
      <c r="BN170" s="1338"/>
      <c r="BO170" s="1339"/>
    </row>
    <row r="171" spans="1:67" ht="15" customHeight="1">
      <c r="A171" s="1291"/>
      <c r="B171" s="1165"/>
      <c r="C171" s="1166"/>
      <c r="D171" s="1166"/>
      <c r="E171" s="1166"/>
      <c r="F171" s="1166"/>
      <c r="G171" s="1292"/>
      <c r="H171" s="1207"/>
      <c r="I171" s="1207"/>
      <c r="J171" s="1207"/>
      <c r="K171" s="1207"/>
      <c r="L171" s="1207"/>
      <c r="M171" s="1207"/>
      <c r="N171" s="1294"/>
      <c r="O171" s="1202" t="s">
        <v>396</v>
      </c>
      <c r="P171" s="1203"/>
      <c r="Q171" s="1203"/>
      <c r="R171" s="1203"/>
      <c r="S171" s="1203"/>
      <c r="T171" s="1305"/>
      <c r="U171" s="1207"/>
      <c r="V171" s="1393"/>
      <c r="W171" s="1165"/>
      <c r="X171" s="1166"/>
      <c r="Y171" s="1166"/>
      <c r="Z171" s="1166"/>
      <c r="AA171" s="1166"/>
      <c r="AB171" s="1292"/>
      <c r="AC171" s="1207"/>
      <c r="AD171" s="1306"/>
      <c r="AE171" s="1202"/>
      <c r="AF171" s="1203"/>
      <c r="AG171" s="1203"/>
      <c r="AH171" s="1203"/>
      <c r="AI171" s="1203"/>
      <c r="AJ171" s="1305"/>
      <c r="AK171" s="1207"/>
      <c r="AL171" s="1309"/>
      <c r="AM171" s="1298"/>
      <c r="AN171" s="1299"/>
      <c r="AO171" s="1299"/>
      <c r="AP171" s="1299"/>
      <c r="AQ171" s="1299"/>
      <c r="AR171" s="1300"/>
      <c r="AS171" s="1207"/>
      <c r="AT171" s="1258"/>
      <c r="AU171" s="1202"/>
      <c r="AV171" s="1203"/>
      <c r="AW171" s="1203"/>
      <c r="AX171" s="1203"/>
      <c r="AY171" s="1203"/>
      <c r="AZ171" s="1204"/>
      <c r="BA171" s="1342"/>
      <c r="BB171" s="1258"/>
      <c r="BC171" s="1202"/>
      <c r="BD171" s="1203"/>
      <c r="BE171" s="1203"/>
      <c r="BF171" s="1203"/>
      <c r="BG171" s="1203"/>
      <c r="BH171" s="1204"/>
      <c r="BI171" s="1342"/>
      <c r="BJ171" s="1337"/>
      <c r="BK171" s="1338"/>
      <c r="BL171" s="1338"/>
      <c r="BM171" s="1338"/>
      <c r="BN171" s="1338"/>
      <c r="BO171" s="1339"/>
    </row>
    <row r="172" spans="1:67" ht="15" customHeight="1">
      <c r="A172" s="1304">
        <v>2.4</v>
      </c>
      <c r="B172" s="1161" t="s">
        <v>942</v>
      </c>
      <c r="C172" s="1162"/>
      <c r="D172" s="1162"/>
      <c r="E172" s="1162"/>
      <c r="F172" s="1162"/>
      <c r="G172" s="1199"/>
      <c r="H172" s="1205" t="str">
        <f t="shared" ref="H172" si="312">IF(ISBLANK(AB$5),"",1)</f>
        <v/>
      </c>
      <c r="I172" s="1205" t="str">
        <f t="shared" ref="I172" si="313">IF(ISBLANK(AF$5),"",1)</f>
        <v/>
      </c>
      <c r="J172" s="1205" t="str">
        <f t="shared" ref="J172" si="314">IF(ISBLANK(AJ$5),"",1)</f>
        <v/>
      </c>
      <c r="K172" s="1205" t="str">
        <f t="shared" ref="K172" si="315">IF(ISBLANK(AN$5),"",1)</f>
        <v/>
      </c>
      <c r="L172" s="1205" t="str">
        <f t="shared" ref="L172" si="316">IF(ISBLANK(AR$5),"",1)</f>
        <v/>
      </c>
      <c r="M172" s="1205" t="str">
        <f t="shared" ref="M172" si="317">IF(ISBLANK(AV$5),"",1)</f>
        <v/>
      </c>
      <c r="N172" s="1391">
        <v>4.4000000000000004</v>
      </c>
      <c r="O172" s="1161" t="s">
        <v>878</v>
      </c>
      <c r="P172" s="1162"/>
      <c r="Q172" s="1162"/>
      <c r="R172" s="1162"/>
      <c r="S172" s="1162"/>
      <c r="T172" s="1199"/>
      <c r="U172" s="1205" t="str">
        <f t="shared" ref="U172" si="318">IF(ISBLANK(AB$5),"",1)</f>
        <v/>
      </c>
      <c r="V172" s="1394">
        <v>1.5</v>
      </c>
      <c r="W172" s="1310" t="s">
        <v>373</v>
      </c>
      <c r="X172" s="1311"/>
      <c r="Y172" s="1311"/>
      <c r="Z172" s="1311"/>
      <c r="AA172" s="1311"/>
      <c r="AB172" s="1312"/>
      <c r="AC172" s="1205" t="str">
        <f t="shared" ref="AC172" si="319">IF(ISBLANK(AF$5),"",1)</f>
        <v/>
      </c>
      <c r="AD172" s="1307">
        <v>1.5</v>
      </c>
      <c r="AE172" s="1310" t="s">
        <v>373</v>
      </c>
      <c r="AF172" s="1311"/>
      <c r="AG172" s="1311"/>
      <c r="AH172" s="1311"/>
      <c r="AI172" s="1311"/>
      <c r="AJ172" s="1312"/>
      <c r="AK172" s="1205" t="str">
        <f t="shared" ref="AK172" si="320">IF(ISBLANK(AJ$5),"",1)</f>
        <v/>
      </c>
      <c r="AL172" s="1322">
        <v>4.4000000000000004</v>
      </c>
      <c r="AM172" s="1198" t="s">
        <v>397</v>
      </c>
      <c r="AN172" s="1162"/>
      <c r="AO172" s="1162"/>
      <c r="AP172" s="1162"/>
      <c r="AQ172" s="1162"/>
      <c r="AR172" s="1265"/>
      <c r="AS172" s="1205" t="str">
        <f t="shared" ref="AS172" si="321">IF(ISBLANK(AN$5),"",1)</f>
        <v/>
      </c>
      <c r="AT172" s="1258">
        <v>4.4000000000000004</v>
      </c>
      <c r="AU172" s="1198" t="s">
        <v>420</v>
      </c>
      <c r="AV172" s="1162"/>
      <c r="AW172" s="1162"/>
      <c r="AX172" s="1162"/>
      <c r="AY172" s="1162"/>
      <c r="AZ172" s="1199"/>
      <c r="BA172" s="1226" t="str">
        <f t="shared" ref="BA172" si="322">IF(ISBLANK(AR$5),"",1)</f>
        <v/>
      </c>
      <c r="BB172" s="1258">
        <v>4.4000000000000004</v>
      </c>
      <c r="BC172" s="1198" t="s">
        <v>420</v>
      </c>
      <c r="BD172" s="1162"/>
      <c r="BE172" s="1162"/>
      <c r="BF172" s="1162"/>
      <c r="BG172" s="1162"/>
      <c r="BH172" s="1199"/>
      <c r="BI172" s="1226" t="str">
        <f t="shared" ref="BI172" si="323">IF(ISBLANK(AV$5),"",1)</f>
        <v/>
      </c>
      <c r="BJ172" s="1337"/>
      <c r="BK172" s="1338"/>
      <c r="BL172" s="1338"/>
      <c r="BM172" s="1338"/>
      <c r="BN172" s="1338"/>
      <c r="BO172" s="1339"/>
    </row>
    <row r="173" spans="1:67" ht="15" customHeight="1">
      <c r="A173" s="1290"/>
      <c r="B173" s="1163"/>
      <c r="C173" s="1164"/>
      <c r="D173" s="1164"/>
      <c r="E173" s="1164"/>
      <c r="F173" s="1164"/>
      <c r="G173" s="1201"/>
      <c r="H173" s="1206"/>
      <c r="I173" s="1206"/>
      <c r="J173" s="1206"/>
      <c r="K173" s="1206"/>
      <c r="L173" s="1206"/>
      <c r="M173" s="1206"/>
      <c r="N173" s="1392"/>
      <c r="O173" s="1163"/>
      <c r="P173" s="1164"/>
      <c r="Q173" s="1164"/>
      <c r="R173" s="1164"/>
      <c r="S173" s="1164"/>
      <c r="T173" s="1201"/>
      <c r="U173" s="1206"/>
      <c r="V173" s="1313"/>
      <c r="W173" s="1295"/>
      <c r="X173" s="1296"/>
      <c r="Y173" s="1296"/>
      <c r="Z173" s="1296"/>
      <c r="AA173" s="1296"/>
      <c r="AB173" s="1297"/>
      <c r="AC173" s="1206"/>
      <c r="AD173" s="1308"/>
      <c r="AE173" s="1295"/>
      <c r="AF173" s="1296"/>
      <c r="AG173" s="1296"/>
      <c r="AH173" s="1296"/>
      <c r="AI173" s="1296"/>
      <c r="AJ173" s="1297"/>
      <c r="AK173" s="1206"/>
      <c r="AL173" s="1293"/>
      <c r="AM173" s="1200"/>
      <c r="AN173" s="1164"/>
      <c r="AO173" s="1164"/>
      <c r="AP173" s="1164"/>
      <c r="AQ173" s="1164"/>
      <c r="AR173" s="1266"/>
      <c r="AS173" s="1206"/>
      <c r="AT173" s="1258"/>
      <c r="AU173" s="1200"/>
      <c r="AV173" s="1164"/>
      <c r="AW173" s="1164"/>
      <c r="AX173" s="1164"/>
      <c r="AY173" s="1164"/>
      <c r="AZ173" s="1201"/>
      <c r="BA173" s="1342"/>
      <c r="BB173" s="1258"/>
      <c r="BC173" s="1200"/>
      <c r="BD173" s="1164"/>
      <c r="BE173" s="1164"/>
      <c r="BF173" s="1164"/>
      <c r="BG173" s="1164"/>
      <c r="BH173" s="1201"/>
      <c r="BI173" s="1342"/>
      <c r="BJ173" s="1337"/>
      <c r="BK173" s="1338"/>
      <c r="BL173" s="1338"/>
      <c r="BM173" s="1338"/>
      <c r="BN173" s="1338"/>
      <c r="BO173" s="1339"/>
    </row>
    <row r="174" spans="1:67" ht="15" customHeight="1">
      <c r="A174" s="1291"/>
      <c r="B174" s="1165"/>
      <c r="C174" s="1166"/>
      <c r="D174" s="1166"/>
      <c r="E174" s="1166"/>
      <c r="F174" s="1166"/>
      <c r="G174" s="1292"/>
      <c r="H174" s="1207"/>
      <c r="I174" s="1207"/>
      <c r="J174" s="1207"/>
      <c r="K174" s="1207"/>
      <c r="L174" s="1207"/>
      <c r="M174" s="1207"/>
      <c r="N174" s="1393"/>
      <c r="O174" s="1165"/>
      <c r="P174" s="1166"/>
      <c r="Q174" s="1166"/>
      <c r="R174" s="1166"/>
      <c r="S174" s="1166"/>
      <c r="T174" s="1292"/>
      <c r="U174" s="1207"/>
      <c r="V174" s="1314"/>
      <c r="W174" s="1298"/>
      <c r="X174" s="1299"/>
      <c r="Y174" s="1299"/>
      <c r="Z174" s="1299"/>
      <c r="AA174" s="1299"/>
      <c r="AB174" s="1300"/>
      <c r="AC174" s="1207"/>
      <c r="AD174" s="1309"/>
      <c r="AE174" s="1298"/>
      <c r="AF174" s="1299"/>
      <c r="AG174" s="1299"/>
      <c r="AH174" s="1299"/>
      <c r="AI174" s="1299"/>
      <c r="AJ174" s="1300"/>
      <c r="AK174" s="1207"/>
      <c r="AL174" s="1306"/>
      <c r="AM174" s="1202"/>
      <c r="AN174" s="1203"/>
      <c r="AO174" s="1203"/>
      <c r="AP174" s="1203"/>
      <c r="AQ174" s="1203"/>
      <c r="AR174" s="1305"/>
      <c r="AS174" s="1207"/>
      <c r="AT174" s="1258"/>
      <c r="AU174" s="1202"/>
      <c r="AV174" s="1203"/>
      <c r="AW174" s="1203"/>
      <c r="AX174" s="1203"/>
      <c r="AY174" s="1203"/>
      <c r="AZ174" s="1204"/>
      <c r="BA174" s="1342"/>
      <c r="BB174" s="1258"/>
      <c r="BC174" s="1202"/>
      <c r="BD174" s="1203"/>
      <c r="BE174" s="1203"/>
      <c r="BF174" s="1203"/>
      <c r="BG174" s="1203"/>
      <c r="BH174" s="1204"/>
      <c r="BI174" s="1342"/>
      <c r="BJ174" s="1337"/>
      <c r="BK174" s="1338"/>
      <c r="BL174" s="1338"/>
      <c r="BM174" s="1338"/>
      <c r="BN174" s="1338"/>
      <c r="BO174" s="1339"/>
    </row>
    <row r="175" spans="1:67" ht="15" customHeight="1">
      <c r="A175" s="252"/>
      <c r="B175" s="243"/>
      <c r="C175" s="242"/>
      <c r="D175" s="242"/>
      <c r="F175" s="278">
        <v>1.1000000000000001</v>
      </c>
      <c r="G175" s="311">
        <f>COUNTIF($A$148:$A$174,F175)</f>
        <v>4</v>
      </c>
      <c r="H175" s="240" t="str">
        <f>IF($AB$5=1,SUMIF($A$148:$A$174,$F175,$H$148:$H$174),"")</f>
        <v/>
      </c>
      <c r="I175" s="240" t="str">
        <f>IF($AF$5=1,SUMIF($A$148:$A$174,$F175,$I$148:$I$174),"")</f>
        <v/>
      </c>
      <c r="J175" s="240" t="str">
        <f>IF($AJ$5=1,SUMIF($A$148:$A$174,$F175,$J$148:$J$174),"")</f>
        <v/>
      </c>
      <c r="K175" s="240" t="str">
        <f>IF($AN$5=1,SUMIF($A$148:$A$174,$F175,$K$148:$K$174),"")</f>
        <v/>
      </c>
      <c r="L175" s="240" t="str">
        <f>IF($AR$5=1,SUMIF($A$148:$A$174,$F175,$L$148:$L$174),"")</f>
        <v/>
      </c>
      <c r="M175" s="240" t="str">
        <f>IF($AV$5=1,SUMIF($A$148:$A$174,$F175,$M$148:$M$174),"")</f>
        <v/>
      </c>
      <c r="N175" s="1394">
        <v>1.5</v>
      </c>
      <c r="O175" s="1310" t="s">
        <v>373</v>
      </c>
      <c r="P175" s="1311"/>
      <c r="Q175" s="1311"/>
      <c r="R175" s="1311"/>
      <c r="S175" s="1311"/>
      <c r="T175" s="1312"/>
      <c r="U175" s="1205" t="str">
        <f t="shared" ref="U175" si="324">IF(ISBLANK(AB$5),"",1)</f>
        <v/>
      </c>
      <c r="V175" s="1322">
        <v>4.4000000000000004</v>
      </c>
      <c r="W175" s="1198" t="s">
        <v>397</v>
      </c>
      <c r="X175" s="1162"/>
      <c r="Y175" s="1162"/>
      <c r="Z175" s="1162"/>
      <c r="AA175" s="1162"/>
      <c r="AB175" s="1265"/>
      <c r="AC175" s="1205" t="str">
        <f t="shared" ref="AC175" si="325">IF(ISBLANK(AF$5),"",1)</f>
        <v/>
      </c>
      <c r="AD175" s="1322">
        <v>4.4000000000000004</v>
      </c>
      <c r="AE175" s="1198" t="s">
        <v>425</v>
      </c>
      <c r="AF175" s="1162"/>
      <c r="AG175" s="1162"/>
      <c r="AH175" s="1162"/>
      <c r="AI175" s="1162"/>
      <c r="AJ175" s="1265"/>
      <c r="AK175" s="1205" t="str">
        <f t="shared" ref="AK175" si="326">IF(ISBLANK(AJ$5),"",1)</f>
        <v/>
      </c>
      <c r="AL175" s="248"/>
      <c r="AO175" s="52"/>
      <c r="AQ175" s="273">
        <v>1.5</v>
      </c>
      <c r="AR175" s="240">
        <f>COUNTIF($AL$148:$AL$174,AQ175)</f>
        <v>1</v>
      </c>
      <c r="AS175" s="240" t="str">
        <f>IF($AN$5=1,SUMIF($AL$148:$AL$174,AQ175,$AS$148:$AS$174),"")</f>
        <v/>
      </c>
      <c r="AT175" s="1304">
        <v>4.4000000000000004</v>
      </c>
      <c r="AU175" s="1198" t="s">
        <v>359</v>
      </c>
      <c r="AV175" s="1162"/>
      <c r="AW175" s="1162"/>
      <c r="AX175" s="1162"/>
      <c r="AY175" s="1162"/>
      <c r="AZ175" s="1199"/>
      <c r="BA175" s="1226" t="str">
        <f t="shared" ref="BA175" si="327">IF(ISBLANK(AR$5),"",1)</f>
        <v/>
      </c>
      <c r="BB175" s="1304">
        <v>4.4000000000000004</v>
      </c>
      <c r="BC175" s="1198" t="s">
        <v>359</v>
      </c>
      <c r="BD175" s="1162"/>
      <c r="BE175" s="1162"/>
      <c r="BF175" s="1162"/>
      <c r="BG175" s="1162"/>
      <c r="BH175" s="1199"/>
      <c r="BI175" s="1226" t="str">
        <f t="shared" ref="BI175" si="328">IF(ISBLANK(AV$5),"",1)</f>
        <v/>
      </c>
      <c r="BJ175" s="1337"/>
      <c r="BK175" s="1338"/>
      <c r="BL175" s="1338"/>
      <c r="BM175" s="1338"/>
      <c r="BN175" s="1338"/>
      <c r="BO175" s="1339"/>
    </row>
    <row r="176" spans="1:67" ht="15" customHeight="1">
      <c r="A176" s="252"/>
      <c r="B176" s="243"/>
      <c r="C176" s="242"/>
      <c r="D176" s="242"/>
      <c r="F176" s="278">
        <v>1.5</v>
      </c>
      <c r="G176" s="311">
        <f t="shared" ref="G176:G178" si="329">COUNTIF($A$148:$A$174,F176)</f>
        <v>1</v>
      </c>
      <c r="H176" s="240" t="str">
        <f>IF($AB$5=1,SUMIF($A$148:$A$174,$F176,$H$148:$H$174),"")</f>
        <v/>
      </c>
      <c r="I176" s="240" t="str">
        <f>IF($AF$5=1,SUMIF($A$148:$A$174,$F176,$I$148:$I$174),"")</f>
        <v/>
      </c>
      <c r="J176" s="240" t="str">
        <f>IF($AJ$5=1,SUMIF($A$148:$A$174,$F176,$J$148:$J$174),"")</f>
        <v/>
      </c>
      <c r="K176" s="240" t="str">
        <f>IF($AN$5=1,SUMIF($A$148:$A$174,$F176,$K$148:$K$174),"")</f>
        <v/>
      </c>
      <c r="L176" s="240" t="str">
        <f>IF($AR$5=1,SUMIF($A$148:$A$174,$F176,$L$148:$L$174),"")</f>
        <v/>
      </c>
      <c r="M176" s="240" t="str">
        <f>IF($AV$5=1,SUMIF($A$148:$A$174,$F176,$M$148:$M$174),"")</f>
        <v/>
      </c>
      <c r="N176" s="1313"/>
      <c r="O176" s="1295"/>
      <c r="P176" s="1296"/>
      <c r="Q176" s="1296"/>
      <c r="R176" s="1296"/>
      <c r="S176" s="1296"/>
      <c r="T176" s="1297"/>
      <c r="U176" s="1206"/>
      <c r="V176" s="1293"/>
      <c r="W176" s="1200"/>
      <c r="X176" s="1164"/>
      <c r="Y176" s="1164"/>
      <c r="Z176" s="1164"/>
      <c r="AA176" s="1164"/>
      <c r="AB176" s="1266"/>
      <c r="AC176" s="1206"/>
      <c r="AD176" s="1293"/>
      <c r="AE176" s="1200"/>
      <c r="AF176" s="1164"/>
      <c r="AG176" s="1164"/>
      <c r="AH176" s="1164"/>
      <c r="AI176" s="1164"/>
      <c r="AJ176" s="1266"/>
      <c r="AK176" s="1206"/>
      <c r="AL176" s="248"/>
      <c r="AO176" s="52"/>
      <c r="AQ176" s="275">
        <v>4.3</v>
      </c>
      <c r="AR176" s="240">
        <f t="shared" ref="AR176:AR177" si="330">COUNTIF($AL$148:$AL$174,AQ176)</f>
        <v>2</v>
      </c>
      <c r="AS176" s="240" t="str">
        <f>IF($AN$5=1,SUMIF($AL$148:$AL$174,AQ176,$AS$148:$AS$174),"")</f>
        <v/>
      </c>
      <c r="AT176" s="1290"/>
      <c r="AU176" s="1200"/>
      <c r="AV176" s="1164"/>
      <c r="AW176" s="1164"/>
      <c r="AX176" s="1164"/>
      <c r="AY176" s="1164"/>
      <c r="AZ176" s="1201"/>
      <c r="BA176" s="1342"/>
      <c r="BB176" s="1290"/>
      <c r="BC176" s="1200"/>
      <c r="BD176" s="1164"/>
      <c r="BE176" s="1164"/>
      <c r="BF176" s="1164"/>
      <c r="BG176" s="1164"/>
      <c r="BH176" s="1201"/>
      <c r="BI176" s="1342"/>
      <c r="BJ176" s="1222"/>
      <c r="BK176" s="1223"/>
      <c r="BL176" s="1223"/>
      <c r="BM176" s="1223"/>
      <c r="BN176" s="1223"/>
      <c r="BO176" s="1224"/>
    </row>
    <row r="177" spans="1:61" ht="15" customHeight="1">
      <c r="A177" s="249"/>
      <c r="B177" s="249"/>
      <c r="C177" s="249"/>
      <c r="D177" s="249"/>
      <c r="F177" s="277">
        <v>2.1</v>
      </c>
      <c r="G177" s="311">
        <f t="shared" si="329"/>
        <v>2</v>
      </c>
      <c r="H177" s="240" t="str">
        <f>IF($AB$5=1,SUMIF($A$148:$A$174,$F177,$H$148:$H$174),"")</f>
        <v/>
      </c>
      <c r="I177" s="240" t="str">
        <f>IF($AF$5=1,SUMIF($A$148:$A$174,$F177,$I$148:$I$174),"")</f>
        <v/>
      </c>
      <c r="J177" s="240" t="str">
        <f>IF($AJ$5=1,SUMIF($A$148:$A$174,$F177,$J$148:$J$174),"")</f>
        <v/>
      </c>
      <c r="K177" s="240" t="str">
        <f>IF($AN$5=1,SUMIF($A$148:$A$174,$F177,$K$148:$K$174),"")</f>
        <v/>
      </c>
      <c r="L177" s="240" t="str">
        <f>IF($AR$5=1,SUMIF($A$148:$A$174,$F177,$L$148:$L$174),"")</f>
        <v/>
      </c>
      <c r="M177" s="240" t="str">
        <f>IF($AV$5=1,SUMIF($A$148:$A$174,$F177,$M$148:$M$174),"")</f>
        <v/>
      </c>
      <c r="N177" s="1314"/>
      <c r="O177" s="1298"/>
      <c r="P177" s="1299"/>
      <c r="Q177" s="1299"/>
      <c r="R177" s="1299"/>
      <c r="S177" s="1299"/>
      <c r="T177" s="1300"/>
      <c r="U177" s="1207"/>
      <c r="V177" s="1306"/>
      <c r="W177" s="1202"/>
      <c r="X177" s="1203"/>
      <c r="Y177" s="1203"/>
      <c r="Z177" s="1203"/>
      <c r="AA177" s="1203"/>
      <c r="AB177" s="1305"/>
      <c r="AC177" s="1207"/>
      <c r="AD177" s="1306"/>
      <c r="AE177" s="1202"/>
      <c r="AF177" s="1203"/>
      <c r="AG177" s="1203"/>
      <c r="AH177" s="1203"/>
      <c r="AI177" s="1203"/>
      <c r="AJ177" s="1305"/>
      <c r="AK177" s="1207"/>
      <c r="AL177" s="248"/>
      <c r="AO177" s="52"/>
      <c r="AQ177" s="276">
        <v>4.4000000000000004</v>
      </c>
      <c r="AR177" s="240">
        <f t="shared" si="330"/>
        <v>6</v>
      </c>
      <c r="AS177" s="240" t="str">
        <f>IF($AN$5=1,SUMIF($AL$148:$AL$174,AQ177,$AS$148:$AS$174),"")</f>
        <v/>
      </c>
      <c r="AT177" s="1291"/>
      <c r="AU177" s="1202"/>
      <c r="AV177" s="1203"/>
      <c r="AW177" s="1203"/>
      <c r="AX177" s="1203"/>
      <c r="AY177" s="1203"/>
      <c r="AZ177" s="1204"/>
      <c r="BA177" s="1342"/>
      <c r="BB177" s="1291"/>
      <c r="BC177" s="1202"/>
      <c r="BD177" s="1203"/>
      <c r="BE177" s="1203"/>
      <c r="BF177" s="1203"/>
      <c r="BG177" s="1203"/>
      <c r="BH177" s="1204"/>
      <c r="BI177" s="1342"/>
    </row>
    <row r="178" spans="1:61" ht="15" customHeight="1">
      <c r="F178" s="277">
        <v>2.4</v>
      </c>
      <c r="G178" s="311">
        <f t="shared" si="329"/>
        <v>2</v>
      </c>
      <c r="H178" s="240" t="str">
        <f>IF($AB$5=1,SUMIF($A$148:$A$174,$F178,$H$148:$H$174),"")</f>
        <v/>
      </c>
      <c r="I178" s="240" t="str">
        <f>IF($AF$5=1,SUMIF($A$148:$A$174,$F178,$I$148:$I$174),"")</f>
        <v/>
      </c>
      <c r="J178" s="240" t="str">
        <f>IF($AJ$5=1,SUMIF($A$148:$A$174,$F178,$J$148:$J$174),"")</f>
        <v/>
      </c>
      <c r="K178" s="240" t="str">
        <f>IF($AN$5=1,SUMIF($A$148:$A$174,$F178,$K$148:$K$174),"")</f>
        <v/>
      </c>
      <c r="L178" s="240" t="str">
        <f>IF($AR$5=1,SUMIF($A$148:$A$174,$F178,$L$148:$L$174),"")</f>
        <v/>
      </c>
      <c r="M178" s="240" t="str">
        <f>IF($AV$5=1,SUMIF($A$148:$A$174,$F178,$M$148:$M$174),"")</f>
        <v/>
      </c>
      <c r="N178" s="1322">
        <v>4.4000000000000004</v>
      </c>
      <c r="O178" s="1198" t="s">
        <v>397</v>
      </c>
      <c r="P178" s="1162"/>
      <c r="Q178" s="1162"/>
      <c r="R178" s="1162"/>
      <c r="S178" s="1162"/>
      <c r="T178" s="1265"/>
      <c r="U178" s="1205" t="str">
        <f t="shared" ref="U178" si="331">IF(ISBLANK(AB$5),"",1)</f>
        <v/>
      </c>
      <c r="W178" s="52"/>
      <c r="Y178" s="247"/>
      <c r="AA178" s="273">
        <v>1.5</v>
      </c>
      <c r="AB178" s="240">
        <f>COUNTIF($V$148:$V$177,AA178)</f>
        <v>1</v>
      </c>
      <c r="AC178" s="240" t="str">
        <f>IF($AF$5=1,SUMIF($V$148:$V$177,AA178,$AC$148:$AC$177),"")</f>
        <v/>
      </c>
      <c r="AF178" s="52"/>
      <c r="AG178" s="247"/>
      <c r="AI178" s="273">
        <v>1.5</v>
      </c>
      <c r="AJ178" s="240">
        <f>COUNTIF($AD$148:$AD$177,AI178)</f>
        <v>1</v>
      </c>
      <c r="AK178" s="240" t="str">
        <f>IF($AJ$5=1,SUMIF($AD$148:$AD$177,AI178,$AK$148:$AK$177),"")</f>
        <v/>
      </c>
      <c r="AO178" s="52"/>
      <c r="AT178" s="1258">
        <v>4.4000000000000004</v>
      </c>
      <c r="AU178" s="1198" t="s">
        <v>395</v>
      </c>
      <c r="AV178" s="1162"/>
      <c r="AW178" s="1162"/>
      <c r="AX178" s="1162"/>
      <c r="AY178" s="1162"/>
      <c r="AZ178" s="1199"/>
      <c r="BA178" s="1226" t="str">
        <f t="shared" ref="BA178" si="332">IF(ISBLANK(AR$5),"",1)</f>
        <v/>
      </c>
      <c r="BB178" s="1258">
        <v>4.4000000000000004</v>
      </c>
      <c r="BC178" s="1198" t="s">
        <v>395</v>
      </c>
      <c r="BD178" s="1162"/>
      <c r="BE178" s="1162"/>
      <c r="BF178" s="1162"/>
      <c r="BG178" s="1162"/>
      <c r="BH178" s="1199"/>
      <c r="BI178" s="1226" t="str">
        <f t="shared" ref="BI178" si="333">IF(ISBLANK(AV$5),"",1)</f>
        <v/>
      </c>
    </row>
    <row r="179" spans="1:61" ht="15" customHeight="1">
      <c r="N179" s="1293"/>
      <c r="O179" s="1200"/>
      <c r="P179" s="1164"/>
      <c r="Q179" s="1164"/>
      <c r="R179" s="1164"/>
      <c r="S179" s="1164"/>
      <c r="T179" s="1266"/>
      <c r="U179" s="1206"/>
      <c r="W179" s="52"/>
      <c r="Y179" s="248"/>
      <c r="AA179" s="275">
        <v>4.3</v>
      </c>
      <c r="AB179" s="240">
        <f t="shared" ref="AB179:AB180" si="334">COUNTIF($V$148:$V$177,AA179)</f>
        <v>3</v>
      </c>
      <c r="AC179" s="240" t="str">
        <f>IF($AF$5=1,SUMIF($V$148:$V$177,AA179,$AC$148:$AC$177),"")</f>
        <v/>
      </c>
      <c r="AF179" s="52"/>
      <c r="AI179" s="275">
        <v>4.3</v>
      </c>
      <c r="AJ179" s="240">
        <f t="shared" ref="AJ179:AJ180" si="335">COUNTIF($AD$148:$AD$177,AI179)</f>
        <v>2</v>
      </c>
      <c r="AK179" s="240" t="str">
        <f>IF($AJ$5=1,SUMIF($AD$148:$AD$177,AI179,$AK$148:$AK$177),"")</f>
        <v/>
      </c>
      <c r="AO179" s="52"/>
      <c r="AT179" s="1258"/>
      <c r="AU179" s="1200"/>
      <c r="AV179" s="1164"/>
      <c r="AW179" s="1164"/>
      <c r="AX179" s="1164"/>
      <c r="AY179" s="1164"/>
      <c r="AZ179" s="1201"/>
      <c r="BA179" s="1342"/>
      <c r="BB179" s="1258"/>
      <c r="BC179" s="1200"/>
      <c r="BD179" s="1164"/>
      <c r="BE179" s="1164"/>
      <c r="BF179" s="1164"/>
      <c r="BG179" s="1164"/>
      <c r="BH179" s="1201"/>
      <c r="BI179" s="1342"/>
    </row>
    <row r="180" spans="1:61" ht="15" customHeight="1">
      <c r="A180" s="1209"/>
      <c r="B180" s="1210" t="s">
        <v>609</v>
      </c>
      <c r="C180" s="1211"/>
      <c r="D180" s="1211"/>
      <c r="E180" s="1211"/>
      <c r="F180" s="1211"/>
      <c r="G180" s="1211"/>
      <c r="H180" s="1174">
        <v>7</v>
      </c>
      <c r="I180" s="1174">
        <v>8</v>
      </c>
      <c r="J180" s="1174">
        <v>9</v>
      </c>
      <c r="K180" s="1174">
        <v>10</v>
      </c>
      <c r="L180" s="1174">
        <v>11</v>
      </c>
      <c r="M180" s="1174">
        <v>12</v>
      </c>
      <c r="N180" s="1306"/>
      <c r="O180" s="1202"/>
      <c r="P180" s="1203"/>
      <c r="Q180" s="1203"/>
      <c r="R180" s="1203"/>
      <c r="S180" s="1203"/>
      <c r="T180" s="1305"/>
      <c r="U180" s="1207"/>
      <c r="W180" s="52"/>
      <c r="Y180" s="248"/>
      <c r="AA180" s="276">
        <v>4.4000000000000004</v>
      </c>
      <c r="AB180" s="240">
        <f t="shared" si="334"/>
        <v>6</v>
      </c>
      <c r="AC180" s="240" t="str">
        <f>IF($AF$5=1,SUMIF($V$148:$V$177,AA180,$AC$148:$AC$177),"")</f>
        <v/>
      </c>
      <c r="AF180" s="52"/>
      <c r="AI180" s="276">
        <v>4.4000000000000004</v>
      </c>
      <c r="AJ180" s="240">
        <f t="shared" si="335"/>
        <v>7</v>
      </c>
      <c r="AK180" s="240" t="str">
        <f>IF($AJ$5=1,SUMIF($AD$148:$AD$177,AI180,$AK$148:$AK$177),"")</f>
        <v/>
      </c>
      <c r="AO180" s="52"/>
      <c r="AT180" s="1258"/>
      <c r="AU180" s="1202"/>
      <c r="AV180" s="1203"/>
      <c r="AW180" s="1203"/>
      <c r="AX180" s="1203"/>
      <c r="AY180" s="1203"/>
      <c r="AZ180" s="1204"/>
      <c r="BA180" s="1342"/>
      <c r="BB180" s="1258"/>
      <c r="BC180" s="1202"/>
      <c r="BD180" s="1203"/>
      <c r="BE180" s="1203"/>
      <c r="BF180" s="1203"/>
      <c r="BG180" s="1203"/>
      <c r="BH180" s="1204"/>
      <c r="BI180" s="1342"/>
    </row>
    <row r="181" spans="1:61" ht="15" customHeight="1">
      <c r="A181" s="1209"/>
      <c r="B181" s="1212"/>
      <c r="C181" s="1213"/>
      <c r="D181" s="1213"/>
      <c r="E181" s="1213"/>
      <c r="F181" s="1213"/>
      <c r="G181" s="1213"/>
      <c r="H181" s="1174"/>
      <c r="I181" s="1174"/>
      <c r="J181" s="1174"/>
      <c r="K181" s="1174"/>
      <c r="L181" s="1174"/>
      <c r="M181" s="1174"/>
      <c r="N181" s="247"/>
      <c r="O181" s="52"/>
      <c r="S181" s="273">
        <v>1.5</v>
      </c>
      <c r="T181" s="240">
        <f>COUNTIF($N$148:$N$180,S181)</f>
        <v>1</v>
      </c>
      <c r="U181" s="240" t="str">
        <f>IF($AB$5=1,SUMIF($N$148:$N$180,S181,$U$148:$U$180),"")</f>
        <v/>
      </c>
      <c r="W181" s="52"/>
      <c r="AF181" s="52"/>
      <c r="AO181" s="52"/>
      <c r="AT181" s="1304">
        <v>4.4000000000000004</v>
      </c>
      <c r="AU181" s="1198" t="s">
        <v>878</v>
      </c>
      <c r="AV181" s="1162"/>
      <c r="AW181" s="1162"/>
      <c r="AX181" s="1162"/>
      <c r="AY181" s="1162"/>
      <c r="AZ181" s="1199"/>
      <c r="BA181" s="1226" t="str">
        <f t="shared" ref="BA181" si="336">IF(ISBLANK(AR$5),"",1)</f>
        <v/>
      </c>
      <c r="BB181" s="1304">
        <v>4.4000000000000004</v>
      </c>
      <c r="BC181" s="1198" t="s">
        <v>878</v>
      </c>
      <c r="BD181" s="1162"/>
      <c r="BE181" s="1162"/>
      <c r="BF181" s="1162"/>
      <c r="BG181" s="1162"/>
      <c r="BH181" s="1199"/>
      <c r="BI181" s="1226" t="str">
        <f t="shared" ref="BI181" si="337">IF(ISBLANK(AV$5),"",1)</f>
        <v/>
      </c>
    </row>
    <row r="182" spans="1:61" ht="15" customHeight="1">
      <c r="A182" s="1336">
        <v>3.1</v>
      </c>
      <c r="B182" s="1198" t="s">
        <v>366</v>
      </c>
      <c r="C182" s="1162"/>
      <c r="D182" s="1162"/>
      <c r="E182" s="1162"/>
      <c r="F182" s="1162"/>
      <c r="G182" s="1265"/>
      <c r="H182" s="1205" t="str">
        <f t="shared" ref="H182" si="338">IF(ISBLANK(AB$5),"",1)</f>
        <v/>
      </c>
      <c r="I182" s="1205" t="str">
        <f t="shared" ref="I182" si="339">IF(ISBLANK(AF$5),"",1)</f>
        <v/>
      </c>
      <c r="J182" s="1205" t="str">
        <f t="shared" ref="J182" si="340">IF(ISBLANK(AJ$5),"",1)</f>
        <v/>
      </c>
      <c r="K182" s="1205" t="str">
        <f t="shared" ref="K182" si="341">IF(ISBLANK(AN$5),"",1)</f>
        <v/>
      </c>
      <c r="L182" s="1205" t="str">
        <f t="shared" ref="L182" si="342">IF(ISBLANK(AR$5),"",1)</f>
        <v/>
      </c>
      <c r="M182" s="1205" t="str">
        <f t="shared" ref="M182" si="343">IF(ISBLANK(AV$5),"",1)</f>
        <v/>
      </c>
      <c r="N182" s="248"/>
      <c r="O182" s="52"/>
      <c r="S182" s="275">
        <v>4.3</v>
      </c>
      <c r="T182" s="240">
        <f t="shared" ref="T182:T183" si="344">COUNTIF($N$148:$N$180,S182)</f>
        <v>4</v>
      </c>
      <c r="U182" s="240" t="str">
        <f>IF($AB$5=1,SUMIF($N$148:$N$180,S182,$U$148:$U$180),"")</f>
        <v/>
      </c>
      <c r="W182" s="52"/>
      <c r="AF182" s="52"/>
      <c r="AO182" s="52"/>
      <c r="AT182" s="1290"/>
      <c r="AU182" s="1200"/>
      <c r="AV182" s="1164"/>
      <c r="AW182" s="1164"/>
      <c r="AX182" s="1164"/>
      <c r="AY182" s="1164"/>
      <c r="AZ182" s="1201"/>
      <c r="BA182" s="1342"/>
      <c r="BB182" s="1290"/>
      <c r="BC182" s="1200"/>
      <c r="BD182" s="1164"/>
      <c r="BE182" s="1164"/>
      <c r="BF182" s="1164"/>
      <c r="BG182" s="1164"/>
      <c r="BH182" s="1201"/>
      <c r="BI182" s="1342"/>
    </row>
    <row r="183" spans="1:61" ht="15" customHeight="1">
      <c r="A183" s="1159"/>
      <c r="B183" s="1200"/>
      <c r="C183" s="1164"/>
      <c r="D183" s="1164"/>
      <c r="E183" s="1164"/>
      <c r="F183" s="1164"/>
      <c r="G183" s="1266"/>
      <c r="H183" s="1206"/>
      <c r="I183" s="1206"/>
      <c r="J183" s="1206"/>
      <c r="K183" s="1206"/>
      <c r="L183" s="1206"/>
      <c r="M183" s="1206"/>
      <c r="N183" s="248"/>
      <c r="O183" s="52"/>
      <c r="S183" s="276">
        <v>4.4000000000000004</v>
      </c>
      <c r="T183" s="240">
        <f t="shared" si="344"/>
        <v>6</v>
      </c>
      <c r="U183" s="240" t="str">
        <f>IF($AB$5=1,SUMIF($N$148:$N$180,S183,$U$148:$U$180),"")</f>
        <v/>
      </c>
      <c r="W183" s="52"/>
      <c r="AF183" s="52"/>
      <c r="AO183" s="52"/>
      <c r="AT183" s="1291"/>
      <c r="AU183" s="1202"/>
      <c r="AV183" s="1203"/>
      <c r="AW183" s="1203"/>
      <c r="AX183" s="1203"/>
      <c r="AY183" s="1203"/>
      <c r="AZ183" s="1204"/>
      <c r="BA183" s="1342"/>
      <c r="BB183" s="1291"/>
      <c r="BC183" s="1202"/>
      <c r="BD183" s="1203"/>
      <c r="BE183" s="1203"/>
      <c r="BF183" s="1203"/>
      <c r="BG183" s="1203"/>
      <c r="BH183" s="1204"/>
      <c r="BI183" s="1342"/>
    </row>
    <row r="184" spans="1:61" ht="15" customHeight="1">
      <c r="A184" s="1160"/>
      <c r="B184" s="1200"/>
      <c r="C184" s="1164"/>
      <c r="D184" s="1164"/>
      <c r="E184" s="1164"/>
      <c r="F184" s="1164"/>
      <c r="G184" s="1266"/>
      <c r="H184" s="1207"/>
      <c r="I184" s="1207"/>
      <c r="J184" s="1207"/>
      <c r="K184" s="1207"/>
      <c r="L184" s="1207"/>
      <c r="M184" s="1207"/>
      <c r="W184" s="52"/>
      <c r="AF184" s="52"/>
      <c r="AO184" s="52"/>
      <c r="AT184" s="1307">
        <v>1.5</v>
      </c>
      <c r="AU184" s="1310" t="s">
        <v>373</v>
      </c>
      <c r="AV184" s="1311"/>
      <c r="AW184" s="1311"/>
      <c r="AX184" s="1311"/>
      <c r="AY184" s="1311"/>
      <c r="AZ184" s="1316"/>
      <c r="BA184" s="1226" t="str">
        <f t="shared" ref="BA184" si="345">IF(ISBLANK(AR$5),"",1)</f>
        <v/>
      </c>
      <c r="BB184" s="1307">
        <v>1.5</v>
      </c>
      <c r="BC184" s="1198" t="s">
        <v>373</v>
      </c>
      <c r="BD184" s="1162"/>
      <c r="BE184" s="1162"/>
      <c r="BF184" s="1162"/>
      <c r="BG184" s="1162"/>
      <c r="BH184" s="1199"/>
      <c r="BI184" s="1226" t="str">
        <f t="shared" ref="BI184" si="346">IF(ISBLANK(AV$5),"",1)</f>
        <v/>
      </c>
    </row>
    <row r="185" spans="1:61" ht="15" customHeight="1">
      <c r="A185" s="1336">
        <v>1.4</v>
      </c>
      <c r="B185" s="1198" t="s">
        <v>943</v>
      </c>
      <c r="C185" s="1162"/>
      <c r="D185" s="1162"/>
      <c r="E185" s="1162"/>
      <c r="F185" s="1162"/>
      <c r="G185" s="1265"/>
      <c r="H185" s="1205" t="str">
        <f t="shared" ref="H185" si="347">IF(ISBLANK(AB$5),"",1)</f>
        <v/>
      </c>
      <c r="I185" s="1205" t="str">
        <f t="shared" ref="I185" si="348">IF(ISBLANK(AF$5),"",1)</f>
        <v/>
      </c>
      <c r="J185" s="1205" t="str">
        <f t="shared" ref="J185" si="349">IF(ISBLANK(AJ$5),"",1)</f>
        <v/>
      </c>
      <c r="K185" s="1205" t="str">
        <f t="shared" ref="K185" si="350">IF(ISBLANK(AN$5),"",1)</f>
        <v/>
      </c>
      <c r="L185" s="1205" t="str">
        <f t="shared" ref="L185" si="351">IF(ISBLANK(AR$5),"",1)</f>
        <v/>
      </c>
      <c r="M185" s="1205" t="str">
        <f t="shared" ref="M185" si="352">IF(ISBLANK(AV$5),"",1)</f>
        <v/>
      </c>
      <c r="W185" s="52"/>
      <c r="AF185" s="52"/>
      <c r="AO185" s="52"/>
      <c r="AT185" s="1308"/>
      <c r="AU185" s="1295"/>
      <c r="AV185" s="1296"/>
      <c r="AW185" s="1296"/>
      <c r="AX185" s="1296"/>
      <c r="AY185" s="1296"/>
      <c r="AZ185" s="1318"/>
      <c r="BA185" s="1342"/>
      <c r="BB185" s="1308"/>
      <c r="BC185" s="1200"/>
      <c r="BD185" s="1164"/>
      <c r="BE185" s="1164"/>
      <c r="BF185" s="1164"/>
      <c r="BG185" s="1164"/>
      <c r="BH185" s="1201"/>
      <c r="BI185" s="1342"/>
    </row>
    <row r="186" spans="1:61" ht="15" customHeight="1">
      <c r="A186" s="1159"/>
      <c r="B186" s="1200"/>
      <c r="C186" s="1164"/>
      <c r="D186" s="1164"/>
      <c r="E186" s="1164"/>
      <c r="F186" s="1164"/>
      <c r="G186" s="1266"/>
      <c r="H186" s="1206"/>
      <c r="I186" s="1206"/>
      <c r="J186" s="1206"/>
      <c r="K186" s="1206"/>
      <c r="L186" s="1206"/>
      <c r="M186" s="1206"/>
      <c r="O186" s="52"/>
      <c r="W186" s="52"/>
      <c r="AF186" s="52"/>
      <c r="AO186" s="52"/>
      <c r="AT186" s="1309"/>
      <c r="AU186" s="1298"/>
      <c r="AV186" s="1299"/>
      <c r="AW186" s="1299"/>
      <c r="AX186" s="1299"/>
      <c r="AY186" s="1299"/>
      <c r="AZ186" s="1335"/>
      <c r="BA186" s="1342"/>
      <c r="BB186" s="1309"/>
      <c r="BC186" s="1202"/>
      <c r="BD186" s="1203"/>
      <c r="BE186" s="1203"/>
      <c r="BF186" s="1203"/>
      <c r="BG186" s="1203"/>
      <c r="BH186" s="1204"/>
      <c r="BI186" s="1342"/>
    </row>
    <row r="187" spans="1:61" ht="15" customHeight="1">
      <c r="A187" s="1160"/>
      <c r="B187" s="1200"/>
      <c r="C187" s="1164"/>
      <c r="D187" s="1164"/>
      <c r="E187" s="1164"/>
      <c r="F187" s="1164"/>
      <c r="G187" s="1266"/>
      <c r="H187" s="1207"/>
      <c r="I187" s="1207"/>
      <c r="J187" s="1207"/>
      <c r="K187" s="1207"/>
      <c r="L187" s="1207"/>
      <c r="M187" s="1207"/>
      <c r="O187" s="52"/>
      <c r="W187" s="52"/>
      <c r="AF187" s="52"/>
      <c r="AO187" s="52"/>
      <c r="AT187" s="1307">
        <v>4.4000000000000004</v>
      </c>
      <c r="AU187" s="1310" t="s">
        <v>397</v>
      </c>
      <c r="AV187" s="1311"/>
      <c r="AW187" s="1311"/>
      <c r="AX187" s="1311"/>
      <c r="AY187" s="1311"/>
      <c r="AZ187" s="1316"/>
      <c r="BA187" s="1226" t="str">
        <f t="shared" ref="BA187" si="353">IF(ISBLANK(AR$5),"",1)</f>
        <v/>
      </c>
      <c r="BB187" s="1307">
        <v>4.4000000000000004</v>
      </c>
      <c r="BC187" s="1310" t="s">
        <v>397</v>
      </c>
      <c r="BD187" s="1311"/>
      <c r="BE187" s="1311"/>
      <c r="BF187" s="1311"/>
      <c r="BG187" s="1311"/>
      <c r="BH187" s="1316"/>
      <c r="BI187" s="1226" t="str">
        <f t="shared" ref="BI187" si="354">IF(ISBLANK(AV$5),"",1)</f>
        <v/>
      </c>
    </row>
    <row r="188" spans="1:61" ht="15" customHeight="1">
      <c r="A188" s="1168" t="s">
        <v>637</v>
      </c>
      <c r="B188" s="1168"/>
      <c r="C188" s="1168"/>
      <c r="D188" s="1168"/>
      <c r="E188" s="1169"/>
      <c r="F188" s="617">
        <v>3.1</v>
      </c>
      <c r="G188" s="620">
        <f>COUNTIF($A$182:$A$187,F188)</f>
        <v>1</v>
      </c>
      <c r="H188" s="240" t="str">
        <f>IF($AB$5=1,SUMIF($A$182:$A$187,$F188,$H$182:$H$187),"")</f>
        <v/>
      </c>
      <c r="I188" s="240" t="str">
        <f>IF($AF$5=1,SUMIF($A$182:$A$187,$F188,$I$182:$I$187),"")</f>
        <v/>
      </c>
      <c r="J188" s="240" t="str">
        <f>IF($AJ$5=1,SUMIF($A$182:$A$187,$F188,$J$182:$J$187),"")</f>
        <v/>
      </c>
      <c r="K188" s="240" t="str">
        <f>IF($AN$5=1,SUMIF($A$182:$A$187,$F188,$K$182:$K$187),"")</f>
        <v/>
      </c>
      <c r="L188" s="240" t="str">
        <f>IF($AR$5=1,SUMIF($A$182:$A$187,$F188,$L$182:$L$187),"")</f>
        <v/>
      </c>
      <c r="M188" s="240" t="str">
        <f>IF($AV$5=1,SUMIF($A$182:$A$187,$F188,$M$182:$M$187),"")</f>
        <v/>
      </c>
      <c r="O188" s="52"/>
      <c r="W188" s="52"/>
      <c r="AF188" s="52"/>
      <c r="AO188" s="52"/>
      <c r="AT188" s="1308"/>
      <c r="AU188" s="1295"/>
      <c r="AV188" s="1296"/>
      <c r="AW188" s="1296"/>
      <c r="AX188" s="1296"/>
      <c r="AY188" s="1296"/>
      <c r="AZ188" s="1318"/>
      <c r="BA188" s="1342"/>
      <c r="BB188" s="1308"/>
      <c r="BC188" s="1295"/>
      <c r="BD188" s="1296"/>
      <c r="BE188" s="1296"/>
      <c r="BF188" s="1296"/>
      <c r="BG188" s="1296"/>
      <c r="BH188" s="1318"/>
      <c r="BI188" s="1342"/>
    </row>
    <row r="189" spans="1:61" ht="15" customHeight="1">
      <c r="F189" s="617">
        <v>1.4</v>
      </c>
      <c r="G189" s="620">
        <f>COUNTIF($A$182:$A$187,F189)</f>
        <v>1</v>
      </c>
      <c r="H189" s="240" t="str">
        <f>IF($AB$5=1,SUMIF($A$182:$A$187,$F189,$H$182:$H$187),"")</f>
        <v/>
      </c>
      <c r="I189" s="240" t="str">
        <f>IF($AF$5=1,SUMIF($A$182:$A$187,$F189,$I$182:$I$187),"")</f>
        <v/>
      </c>
      <c r="J189" s="240" t="str">
        <f>IF($AJ$5=1,SUMIF($A$182:$A$187,$F189,$J$182:$J$187),"")</f>
        <v/>
      </c>
      <c r="K189" s="240" t="str">
        <f>IF($AN$5=1,SUMIF($A$182:$A$187,$F189,$K$182:$K$187),"")</f>
        <v/>
      </c>
      <c r="L189" s="240" t="str">
        <f>IF($AR$5=1,SUMIF($A$182:$A$187,$F189,$L$182:$L$187),"")</f>
        <v/>
      </c>
      <c r="M189" s="240" t="str">
        <f>IF($AV$5=1,SUMIF($A$182:$A$187,$F189,$M$182:$M$187),"")</f>
        <v/>
      </c>
      <c r="O189" s="52"/>
      <c r="W189" s="52"/>
      <c r="AF189" s="52"/>
      <c r="AO189" s="52"/>
      <c r="AT189" s="1309"/>
      <c r="AU189" s="1298"/>
      <c r="AV189" s="1299"/>
      <c r="AW189" s="1299"/>
      <c r="AX189" s="1299"/>
      <c r="AY189" s="1299"/>
      <c r="AZ189" s="1335"/>
      <c r="BA189" s="1342"/>
      <c r="BB189" s="1309"/>
      <c r="BC189" s="1298"/>
      <c r="BD189" s="1299"/>
      <c r="BE189" s="1299"/>
      <c r="BF189" s="1299"/>
      <c r="BG189" s="1299"/>
      <c r="BH189" s="1335"/>
      <c r="BI189" s="1342"/>
    </row>
    <row r="190" spans="1:61" ht="15" customHeight="1">
      <c r="O190" s="52"/>
      <c r="W190" s="52"/>
      <c r="AF190" s="52"/>
      <c r="AO190" s="52"/>
      <c r="AT190" s="247"/>
      <c r="AY190" s="273">
        <v>1.5</v>
      </c>
      <c r="AZ190" s="240">
        <f>COUNTIF($AT$148:$AT$189,AY190)</f>
        <v>1</v>
      </c>
      <c r="BA190" s="240" t="str">
        <f>IF($AR$5=1,SUMIF($AT$148:$AT$189,AY190,$BA$148:$BA$189),"")</f>
        <v/>
      </c>
      <c r="BB190" s="247"/>
      <c r="BC190" s="247"/>
      <c r="BG190" s="273">
        <v>1.5</v>
      </c>
      <c r="BH190" s="240">
        <f>COUNTIF($BB$148:$BB$189,BG190)</f>
        <v>1</v>
      </c>
      <c r="BI190" s="240" t="str">
        <f>IF($AV$5=1,SUMIF($BB$148:$BB$189,BG190,$BI$148:$BI$189),"")</f>
        <v/>
      </c>
    </row>
    <row r="191" spans="1:61" ht="15" customHeight="1">
      <c r="O191" s="52"/>
      <c r="W191" s="52"/>
      <c r="AF191" s="52"/>
      <c r="AO191" s="52"/>
      <c r="AT191" s="248"/>
      <c r="AY191" s="274">
        <v>4.3</v>
      </c>
      <c r="AZ191" s="240">
        <f t="shared" ref="AZ191:AZ192" si="355">COUNTIF($AT$148:$AT$189,AY191)</f>
        <v>4</v>
      </c>
      <c r="BA191" s="240" t="str">
        <f>IF($AR$5=1,SUMIF($AT$148:$AT$189,AY191,$BA$148:$BA$189),"")</f>
        <v/>
      </c>
      <c r="BB191" s="248"/>
      <c r="BC191" s="248"/>
      <c r="BG191" s="274">
        <v>4.3</v>
      </c>
      <c r="BH191" s="240">
        <f t="shared" ref="BH191:BH192" si="356">COUNTIF($BB$148:$BB$189,BG191)</f>
        <v>5</v>
      </c>
      <c r="BI191" s="240" t="str">
        <f>IF($AV$5=1,SUMIF($BB$148:$BB$189,BG191,$BI$148:$BI$189),"")</f>
        <v/>
      </c>
    </row>
    <row r="192" spans="1:61" ht="15" customHeight="1">
      <c r="O192" s="52"/>
      <c r="W192" s="52"/>
      <c r="AF192" s="52"/>
      <c r="AO192" s="52"/>
      <c r="AT192" s="248"/>
      <c r="AY192" s="274">
        <v>4.4000000000000004</v>
      </c>
      <c r="AZ192" s="240">
        <f t="shared" si="355"/>
        <v>9</v>
      </c>
      <c r="BA192" s="240" t="str">
        <f>IF($AR$5=1,SUMIF($AT$148:$AT$189,AY192,$BA$148:$BA$189),"")</f>
        <v/>
      </c>
      <c r="BB192" s="248"/>
      <c r="BC192" s="248"/>
      <c r="BG192" s="274">
        <v>4.4000000000000004</v>
      </c>
      <c r="BH192" s="240">
        <f t="shared" si="356"/>
        <v>8</v>
      </c>
      <c r="BI192" s="240" t="str">
        <f>IF($AV$5=1,SUMIF($BB$148:$BB$189,BG192,$BI$148:$BI$189),"")</f>
        <v/>
      </c>
    </row>
    <row r="193" spans="1:67" ht="15" customHeight="1">
      <c r="A193" s="1171" t="s">
        <v>17</v>
      </c>
      <c r="B193" s="1171"/>
      <c r="C193" s="1171"/>
      <c r="D193" s="1171"/>
      <c r="E193" s="1171"/>
      <c r="F193" s="1171"/>
      <c r="G193" s="1171"/>
      <c r="H193" s="1171"/>
      <c r="I193" s="1171"/>
      <c r="J193" s="1171"/>
      <c r="K193" s="1171"/>
      <c r="L193" s="1171"/>
      <c r="M193" s="1171"/>
      <c r="N193" s="1171"/>
      <c r="O193" s="1171"/>
      <c r="P193" s="1171"/>
      <c r="Q193" s="1171"/>
      <c r="R193" s="1171"/>
      <c r="S193" s="1171"/>
      <c r="T193" s="1171"/>
      <c r="U193" s="1171"/>
      <c r="V193" s="1171"/>
      <c r="W193" s="1171"/>
      <c r="X193" s="1171"/>
      <c r="Y193" s="1171"/>
      <c r="Z193" s="1171"/>
      <c r="AA193" s="1171"/>
      <c r="AB193" s="1171"/>
      <c r="AC193" s="1171"/>
      <c r="AD193" s="1171"/>
      <c r="AE193" s="1171"/>
      <c r="AF193" s="1171"/>
      <c r="AG193" s="1171"/>
      <c r="AH193" s="1171"/>
      <c r="AI193" s="117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row>
    <row r="194" spans="1:67" ht="15" customHeight="1">
      <c r="A194" s="1171"/>
      <c r="B194" s="1171"/>
      <c r="C194" s="1171"/>
      <c r="D194" s="1171"/>
      <c r="E194" s="1171"/>
      <c r="F194" s="1171"/>
      <c r="G194" s="1171"/>
      <c r="H194" s="1171"/>
      <c r="I194" s="1171"/>
      <c r="J194" s="1171"/>
      <c r="K194" s="1171"/>
      <c r="L194" s="1171"/>
      <c r="M194" s="1171"/>
      <c r="N194" s="1171"/>
      <c r="O194" s="1171"/>
      <c r="P194" s="1171"/>
      <c r="Q194" s="1171"/>
      <c r="R194" s="1171"/>
      <c r="S194" s="1171"/>
      <c r="T194" s="1171"/>
      <c r="U194" s="1171"/>
      <c r="V194" s="1171"/>
      <c r="W194" s="1171"/>
      <c r="X194" s="1171"/>
      <c r="Y194" s="1171"/>
      <c r="Z194" s="1171"/>
      <c r="AA194" s="1171"/>
      <c r="AB194" s="1171"/>
      <c r="AC194" s="1171"/>
      <c r="AD194" s="1171"/>
      <c r="AE194" s="1171"/>
      <c r="AF194" s="1171"/>
      <c r="AG194" s="1171"/>
      <c r="AH194" s="1171"/>
      <c r="AI194" s="117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row>
    <row r="195" spans="1:67" ht="15" customHeight="1">
      <c r="A195" s="1172"/>
      <c r="B195" s="1173" t="s">
        <v>608</v>
      </c>
      <c r="C195" s="1173"/>
      <c r="D195" s="1173"/>
      <c r="E195" s="1173"/>
      <c r="F195" s="1173"/>
      <c r="G195" s="1173"/>
      <c r="H195" s="1343">
        <v>13</v>
      </c>
      <c r="I195" s="1174">
        <v>14</v>
      </c>
      <c r="J195" s="1343">
        <v>15</v>
      </c>
      <c r="K195" s="1343">
        <v>16</v>
      </c>
      <c r="N195" s="1346"/>
      <c r="O195" s="1349" t="s">
        <v>921</v>
      </c>
      <c r="P195" s="1350"/>
      <c r="Q195" s="1350"/>
      <c r="R195" s="1350"/>
      <c r="S195" s="1350"/>
      <c r="T195" s="1350"/>
      <c r="U195" s="1351"/>
      <c r="V195" s="1358"/>
      <c r="W195" s="1361" t="s">
        <v>922</v>
      </c>
      <c r="X195" s="1362"/>
      <c r="Y195" s="1362"/>
      <c r="Z195" s="1362"/>
      <c r="AA195" s="1362"/>
      <c r="AB195" s="1362"/>
      <c r="AC195" s="1363"/>
      <c r="AD195" s="1370"/>
      <c r="AE195" s="1373" t="s">
        <v>923</v>
      </c>
      <c r="AF195" s="1374"/>
      <c r="AG195" s="1374"/>
      <c r="AH195" s="1374"/>
      <c r="AI195" s="1374"/>
      <c r="AJ195" s="1374"/>
      <c r="AK195" s="1375"/>
      <c r="AL195" s="1175"/>
      <c r="AM195" s="1382" t="s">
        <v>924</v>
      </c>
      <c r="AN195" s="1383"/>
      <c r="AO195" s="1383"/>
      <c r="AP195" s="1383"/>
      <c r="AQ195" s="1383"/>
      <c r="AR195" s="1383"/>
      <c r="AS195" s="1384"/>
      <c r="BJ195" s="1182" t="s">
        <v>263</v>
      </c>
      <c r="BK195" s="1183"/>
      <c r="BL195" s="1183"/>
      <c r="BM195" s="1183"/>
      <c r="BN195" s="1183"/>
      <c r="BO195" s="1184"/>
    </row>
    <row r="196" spans="1:67" ht="15" customHeight="1">
      <c r="A196" s="1172"/>
      <c r="B196" s="1173"/>
      <c r="C196" s="1173"/>
      <c r="D196" s="1173"/>
      <c r="E196" s="1173"/>
      <c r="F196" s="1173"/>
      <c r="G196" s="1173"/>
      <c r="H196" s="1344"/>
      <c r="I196" s="1174"/>
      <c r="J196" s="1344"/>
      <c r="K196" s="1344"/>
      <c r="N196" s="1347"/>
      <c r="O196" s="1352"/>
      <c r="P196" s="1353"/>
      <c r="Q196" s="1353"/>
      <c r="R196" s="1353"/>
      <c r="S196" s="1353"/>
      <c r="T196" s="1353"/>
      <c r="U196" s="1354"/>
      <c r="V196" s="1359"/>
      <c r="W196" s="1364"/>
      <c r="X196" s="1365"/>
      <c r="Y196" s="1365"/>
      <c r="Z196" s="1365"/>
      <c r="AA196" s="1365"/>
      <c r="AB196" s="1365"/>
      <c r="AC196" s="1366"/>
      <c r="AD196" s="1371"/>
      <c r="AE196" s="1376"/>
      <c r="AF196" s="1377"/>
      <c r="AG196" s="1377"/>
      <c r="AH196" s="1377"/>
      <c r="AI196" s="1377"/>
      <c r="AJ196" s="1377"/>
      <c r="AK196" s="1378"/>
      <c r="AL196" s="1175"/>
      <c r="AM196" s="1385"/>
      <c r="AN196" s="1386"/>
      <c r="AO196" s="1386"/>
      <c r="AP196" s="1386"/>
      <c r="AQ196" s="1386"/>
      <c r="AR196" s="1386"/>
      <c r="AS196" s="1387"/>
      <c r="BJ196" s="1219"/>
      <c r="BK196" s="1220"/>
      <c r="BL196" s="1220"/>
      <c r="BM196" s="1220"/>
      <c r="BN196" s="1220"/>
      <c r="BO196" s="1221"/>
    </row>
    <row r="197" spans="1:67" ht="15" customHeight="1">
      <c r="A197" s="1172"/>
      <c r="B197" s="1173"/>
      <c r="C197" s="1173"/>
      <c r="D197" s="1173"/>
      <c r="E197" s="1173"/>
      <c r="F197" s="1173"/>
      <c r="G197" s="1173"/>
      <c r="H197" s="1345"/>
      <c r="I197" s="1174"/>
      <c r="J197" s="1345"/>
      <c r="K197" s="1345"/>
      <c r="N197" s="1348"/>
      <c r="O197" s="1355"/>
      <c r="P197" s="1356"/>
      <c r="Q197" s="1356"/>
      <c r="R197" s="1356"/>
      <c r="S197" s="1356"/>
      <c r="T197" s="1356"/>
      <c r="U197" s="1357"/>
      <c r="V197" s="1360"/>
      <c r="W197" s="1367"/>
      <c r="X197" s="1368"/>
      <c r="Y197" s="1368"/>
      <c r="Z197" s="1368"/>
      <c r="AA197" s="1368"/>
      <c r="AB197" s="1368"/>
      <c r="AC197" s="1369"/>
      <c r="AD197" s="1372"/>
      <c r="AE197" s="1379"/>
      <c r="AF197" s="1380"/>
      <c r="AG197" s="1380"/>
      <c r="AH197" s="1380"/>
      <c r="AI197" s="1380"/>
      <c r="AJ197" s="1380"/>
      <c r="AK197" s="1381"/>
      <c r="AL197" s="1175"/>
      <c r="AM197" s="1388"/>
      <c r="AN197" s="1389"/>
      <c r="AO197" s="1389"/>
      <c r="AP197" s="1389"/>
      <c r="AQ197" s="1389"/>
      <c r="AR197" s="1389"/>
      <c r="AS197" s="1390"/>
      <c r="BJ197" s="1337"/>
      <c r="BK197" s="1338"/>
      <c r="BL197" s="1338"/>
      <c r="BM197" s="1338"/>
      <c r="BN197" s="1338"/>
      <c r="BO197" s="1339"/>
    </row>
    <row r="198" spans="1:67" ht="15" customHeight="1">
      <c r="A198" s="1307">
        <v>1.1000000000000001</v>
      </c>
      <c r="B198" s="1161" t="s">
        <v>941</v>
      </c>
      <c r="C198" s="1162"/>
      <c r="D198" s="1162"/>
      <c r="E198" s="1162"/>
      <c r="F198" s="1162"/>
      <c r="G198" s="1199"/>
      <c r="H198" s="1268" t="str">
        <f>IF(ISBLANK(AZ$5),"",1)</f>
        <v/>
      </c>
      <c r="I198" s="1205" t="str">
        <f>IF(ISBLANK(BD$5),"",1)</f>
        <v/>
      </c>
      <c r="J198" s="1205" t="str">
        <f>IF(ISBLANK(BH$5),"",1)</f>
        <v/>
      </c>
      <c r="K198" s="1205" t="str">
        <f>IF(ISBLANK(BL$5),"",1)</f>
        <v/>
      </c>
      <c r="N198" s="1258">
        <v>4.3</v>
      </c>
      <c r="O198" s="1198" t="s">
        <v>398</v>
      </c>
      <c r="P198" s="1162"/>
      <c r="Q198" s="1162"/>
      <c r="R198" s="1162"/>
      <c r="S198" s="1162"/>
      <c r="T198" s="1199"/>
      <c r="U198" s="1226" t="str">
        <f>IF(ISBLANK(AZ$5),"",1)</f>
        <v/>
      </c>
      <c r="V198" s="1258">
        <v>4.3</v>
      </c>
      <c r="W198" s="1198" t="s">
        <v>398</v>
      </c>
      <c r="X198" s="1162"/>
      <c r="Y198" s="1162"/>
      <c r="Z198" s="1162"/>
      <c r="AA198" s="1162"/>
      <c r="AB198" s="1199"/>
      <c r="AC198" s="1226" t="str">
        <f>IF(ISBLANK(BD$5),"",1)</f>
        <v/>
      </c>
      <c r="AD198" s="1258">
        <v>4.3</v>
      </c>
      <c r="AE198" s="1198" t="s">
        <v>387</v>
      </c>
      <c r="AF198" s="1162"/>
      <c r="AG198" s="1162"/>
      <c r="AH198" s="1162"/>
      <c r="AI198" s="1162"/>
      <c r="AJ198" s="1199"/>
      <c r="AK198" s="1226" t="str">
        <f>IF(ISBLANK(BH$5),"",1)</f>
        <v/>
      </c>
      <c r="AL198" s="1196">
        <v>4.3</v>
      </c>
      <c r="AM198" s="1198" t="s">
        <v>398</v>
      </c>
      <c r="AN198" s="1162"/>
      <c r="AO198" s="1162"/>
      <c r="AP198" s="1162"/>
      <c r="AQ198" s="1162"/>
      <c r="AR198" s="1199"/>
      <c r="AS198" s="1226" t="str">
        <f>IF(ISBLANK(BL$5),"",1)</f>
        <v/>
      </c>
      <c r="BJ198" s="1337"/>
      <c r="BK198" s="1338"/>
      <c r="BL198" s="1338"/>
      <c r="BM198" s="1338"/>
      <c r="BN198" s="1338"/>
      <c r="BO198" s="1339"/>
    </row>
    <row r="199" spans="1:67" ht="15" customHeight="1">
      <c r="A199" s="1308"/>
      <c r="B199" s="1163"/>
      <c r="C199" s="1164"/>
      <c r="D199" s="1164"/>
      <c r="E199" s="1164"/>
      <c r="F199" s="1164"/>
      <c r="G199" s="1201"/>
      <c r="H199" s="1269"/>
      <c r="I199" s="1206"/>
      <c r="J199" s="1206"/>
      <c r="K199" s="1206"/>
      <c r="N199" s="1258"/>
      <c r="O199" s="1200"/>
      <c r="P199" s="1164"/>
      <c r="Q199" s="1164"/>
      <c r="R199" s="1164"/>
      <c r="S199" s="1164"/>
      <c r="T199" s="1201"/>
      <c r="U199" s="1342"/>
      <c r="V199" s="1258"/>
      <c r="W199" s="1200"/>
      <c r="X199" s="1164"/>
      <c r="Y199" s="1164"/>
      <c r="Z199" s="1164"/>
      <c r="AA199" s="1164"/>
      <c r="AB199" s="1201"/>
      <c r="AC199" s="1342"/>
      <c r="AD199" s="1258"/>
      <c r="AE199" s="1200"/>
      <c r="AF199" s="1164"/>
      <c r="AG199" s="1164"/>
      <c r="AH199" s="1164"/>
      <c r="AI199" s="1164"/>
      <c r="AJ199" s="1201"/>
      <c r="AK199" s="1342"/>
      <c r="AL199" s="1197"/>
      <c r="AM199" s="1200"/>
      <c r="AN199" s="1164"/>
      <c r="AO199" s="1164"/>
      <c r="AP199" s="1164"/>
      <c r="AQ199" s="1164"/>
      <c r="AR199" s="1201"/>
      <c r="AS199" s="1342"/>
      <c r="BJ199" s="1337"/>
      <c r="BK199" s="1338"/>
      <c r="BL199" s="1338"/>
      <c r="BM199" s="1338"/>
      <c r="BN199" s="1338"/>
      <c r="BO199" s="1339"/>
    </row>
    <row r="200" spans="1:67" ht="15" customHeight="1">
      <c r="A200" s="1309"/>
      <c r="B200" s="1165"/>
      <c r="C200" s="1166"/>
      <c r="D200" s="1166"/>
      <c r="E200" s="1166"/>
      <c r="F200" s="1166"/>
      <c r="G200" s="1292"/>
      <c r="H200" s="1270"/>
      <c r="I200" s="1207"/>
      <c r="J200" s="1207"/>
      <c r="K200" s="1207"/>
      <c r="N200" s="1258"/>
      <c r="O200" s="1202"/>
      <c r="P200" s="1203"/>
      <c r="Q200" s="1203"/>
      <c r="R200" s="1203"/>
      <c r="S200" s="1203"/>
      <c r="T200" s="1204"/>
      <c r="U200" s="1342"/>
      <c r="V200" s="1258"/>
      <c r="W200" s="1202"/>
      <c r="X200" s="1203"/>
      <c r="Y200" s="1203"/>
      <c r="Z200" s="1203"/>
      <c r="AA200" s="1203"/>
      <c r="AB200" s="1204"/>
      <c r="AC200" s="1342"/>
      <c r="AD200" s="1258"/>
      <c r="AE200" s="1202"/>
      <c r="AF200" s="1203"/>
      <c r="AG200" s="1203"/>
      <c r="AH200" s="1203"/>
      <c r="AI200" s="1203"/>
      <c r="AJ200" s="1204"/>
      <c r="AK200" s="1342"/>
      <c r="AL200" s="1197"/>
      <c r="AM200" s="1202"/>
      <c r="AN200" s="1203"/>
      <c r="AO200" s="1203"/>
      <c r="AP200" s="1203"/>
      <c r="AQ200" s="1203"/>
      <c r="AR200" s="1204"/>
      <c r="AS200" s="1342"/>
      <c r="BJ200" s="1337"/>
      <c r="BK200" s="1338"/>
      <c r="BL200" s="1338"/>
      <c r="BM200" s="1338"/>
      <c r="BN200" s="1338"/>
      <c r="BO200" s="1339"/>
    </row>
    <row r="201" spans="1:67" ht="15" customHeight="1">
      <c r="A201" s="1304">
        <v>2.4</v>
      </c>
      <c r="B201" s="1161" t="s">
        <v>316</v>
      </c>
      <c r="C201" s="1162"/>
      <c r="D201" s="1162"/>
      <c r="E201" s="1162"/>
      <c r="F201" s="1162"/>
      <c r="G201" s="1199"/>
      <c r="H201" s="1268" t="str">
        <f t="shared" ref="H201" si="357">IF(ISBLANK(AZ$5),"",1)</f>
        <v/>
      </c>
      <c r="I201" s="1205" t="str">
        <f t="shared" ref="I201" si="358">IF(ISBLANK(BD$5),"",1)</f>
        <v/>
      </c>
      <c r="J201" s="1205" t="str">
        <f t="shared" ref="J201" si="359">IF(ISBLANK(BH$5),"",1)</f>
        <v/>
      </c>
      <c r="K201" s="1205" t="str">
        <f t="shared" ref="K201" si="360">IF(ISBLANK(BL$5),"",1)</f>
        <v/>
      </c>
      <c r="N201" s="1258">
        <v>4.3</v>
      </c>
      <c r="O201" s="1198" t="s">
        <v>388</v>
      </c>
      <c r="P201" s="1162"/>
      <c r="Q201" s="1162"/>
      <c r="R201" s="1162"/>
      <c r="S201" s="1162"/>
      <c r="T201" s="1199"/>
      <c r="U201" s="1226" t="str">
        <f t="shared" ref="U201" si="361">IF(ISBLANK(AZ$5),"",1)</f>
        <v/>
      </c>
      <c r="V201" s="1258">
        <v>4.3</v>
      </c>
      <c r="W201" s="1198" t="s">
        <v>388</v>
      </c>
      <c r="X201" s="1162"/>
      <c r="Y201" s="1162"/>
      <c r="Z201" s="1162"/>
      <c r="AA201" s="1162"/>
      <c r="AB201" s="1199"/>
      <c r="AC201" s="1226" t="str">
        <f t="shared" ref="AC201" si="362">IF(ISBLANK(BD$5),"",1)</f>
        <v/>
      </c>
      <c r="AD201" s="1258">
        <v>4.3</v>
      </c>
      <c r="AE201" s="1198" t="s">
        <v>388</v>
      </c>
      <c r="AF201" s="1162"/>
      <c r="AG201" s="1162"/>
      <c r="AH201" s="1162"/>
      <c r="AI201" s="1162"/>
      <c r="AJ201" s="1199"/>
      <c r="AK201" s="1226" t="str">
        <f t="shared" ref="AK201" si="363">IF(ISBLANK(BH$5),"",1)</f>
        <v/>
      </c>
      <c r="AL201" s="1196">
        <v>4.3</v>
      </c>
      <c r="AM201" s="1198" t="s">
        <v>388</v>
      </c>
      <c r="AN201" s="1162"/>
      <c r="AO201" s="1162"/>
      <c r="AP201" s="1162"/>
      <c r="AQ201" s="1162"/>
      <c r="AR201" s="1199"/>
      <c r="AS201" s="1226" t="str">
        <f t="shared" ref="AS201" si="364">IF(ISBLANK(BL$5),"",1)</f>
        <v/>
      </c>
      <c r="BJ201" s="1337"/>
      <c r="BK201" s="1338"/>
      <c r="BL201" s="1338"/>
      <c r="BM201" s="1338"/>
      <c r="BN201" s="1338"/>
      <c r="BO201" s="1339"/>
    </row>
    <row r="202" spans="1:67" ht="15" customHeight="1">
      <c r="A202" s="1290"/>
      <c r="B202" s="1163"/>
      <c r="C202" s="1164"/>
      <c r="D202" s="1164"/>
      <c r="E202" s="1164"/>
      <c r="F202" s="1164"/>
      <c r="G202" s="1201"/>
      <c r="H202" s="1269"/>
      <c r="I202" s="1206"/>
      <c r="J202" s="1206"/>
      <c r="K202" s="1206"/>
      <c r="N202" s="1258"/>
      <c r="O202" s="1200"/>
      <c r="P202" s="1164"/>
      <c r="Q202" s="1164"/>
      <c r="R202" s="1164"/>
      <c r="S202" s="1164"/>
      <c r="T202" s="1201"/>
      <c r="U202" s="1342"/>
      <c r="V202" s="1258"/>
      <c r="W202" s="1200"/>
      <c r="X202" s="1164"/>
      <c r="Y202" s="1164"/>
      <c r="Z202" s="1164"/>
      <c r="AA202" s="1164"/>
      <c r="AB202" s="1201"/>
      <c r="AC202" s="1342"/>
      <c r="AD202" s="1258"/>
      <c r="AE202" s="1200"/>
      <c r="AF202" s="1164"/>
      <c r="AG202" s="1164"/>
      <c r="AH202" s="1164"/>
      <c r="AI202" s="1164"/>
      <c r="AJ202" s="1201"/>
      <c r="AK202" s="1342"/>
      <c r="AL202" s="1197"/>
      <c r="AM202" s="1200"/>
      <c r="AN202" s="1164"/>
      <c r="AO202" s="1164"/>
      <c r="AP202" s="1164"/>
      <c r="AQ202" s="1164"/>
      <c r="AR202" s="1201"/>
      <c r="AS202" s="1342"/>
      <c r="BJ202" s="1337"/>
      <c r="BK202" s="1338"/>
      <c r="BL202" s="1338"/>
      <c r="BM202" s="1338"/>
      <c r="BN202" s="1338"/>
      <c r="BO202" s="1339"/>
    </row>
    <row r="203" spans="1:67" ht="15" customHeight="1">
      <c r="A203" s="1291"/>
      <c r="B203" s="1165"/>
      <c r="C203" s="1166"/>
      <c r="D203" s="1166"/>
      <c r="E203" s="1166"/>
      <c r="F203" s="1166"/>
      <c r="G203" s="1292"/>
      <c r="H203" s="1270"/>
      <c r="I203" s="1207"/>
      <c r="J203" s="1207"/>
      <c r="K203" s="1207"/>
      <c r="N203" s="1258"/>
      <c r="O203" s="1202"/>
      <c r="P203" s="1203"/>
      <c r="Q203" s="1203"/>
      <c r="R203" s="1203"/>
      <c r="S203" s="1203"/>
      <c r="T203" s="1204"/>
      <c r="U203" s="1342"/>
      <c r="V203" s="1258"/>
      <c r="W203" s="1202"/>
      <c r="X203" s="1203"/>
      <c r="Y203" s="1203"/>
      <c r="Z203" s="1203"/>
      <c r="AA203" s="1203"/>
      <c r="AB203" s="1204"/>
      <c r="AC203" s="1342"/>
      <c r="AD203" s="1258"/>
      <c r="AE203" s="1202"/>
      <c r="AF203" s="1203"/>
      <c r="AG203" s="1203"/>
      <c r="AH203" s="1203"/>
      <c r="AI203" s="1203"/>
      <c r="AJ203" s="1204"/>
      <c r="AK203" s="1342"/>
      <c r="AL203" s="1197"/>
      <c r="AM203" s="1202"/>
      <c r="AN203" s="1203"/>
      <c r="AO203" s="1203"/>
      <c r="AP203" s="1203"/>
      <c r="AQ203" s="1203"/>
      <c r="AR203" s="1204"/>
      <c r="AS203" s="1342"/>
      <c r="BJ203" s="1337"/>
      <c r="BK203" s="1338"/>
      <c r="BL203" s="1338"/>
      <c r="BM203" s="1338"/>
      <c r="BN203" s="1338"/>
      <c r="BO203" s="1339"/>
    </row>
    <row r="204" spans="1:67" ht="15" customHeight="1">
      <c r="A204" s="1307">
        <v>1.1000000000000001</v>
      </c>
      <c r="B204" s="1161" t="s">
        <v>320</v>
      </c>
      <c r="C204" s="1162"/>
      <c r="D204" s="1162"/>
      <c r="E204" s="1162"/>
      <c r="F204" s="1162"/>
      <c r="G204" s="1199"/>
      <c r="H204" s="1268" t="str">
        <f t="shared" ref="H204" si="365">IF(ISBLANK(AZ$5),"",1)</f>
        <v/>
      </c>
      <c r="I204" s="1205" t="str">
        <f t="shared" ref="I204" si="366">IF(ISBLANK(BD$5),"",1)</f>
        <v/>
      </c>
      <c r="J204" s="1205" t="str">
        <f t="shared" ref="J204" si="367">IF(ISBLANK(BH$5),"",1)</f>
        <v/>
      </c>
      <c r="K204" s="1205" t="str">
        <f t="shared" ref="K204" si="368">IF(ISBLANK(BL$5),"",1)</f>
        <v/>
      </c>
      <c r="N204" s="1258">
        <v>4.3</v>
      </c>
      <c r="O204" s="1198" t="s">
        <v>390</v>
      </c>
      <c r="P204" s="1162"/>
      <c r="Q204" s="1162"/>
      <c r="R204" s="1162"/>
      <c r="S204" s="1162"/>
      <c r="T204" s="1199"/>
      <c r="U204" s="1226" t="str">
        <f t="shared" ref="U204" si="369">IF(ISBLANK(AZ$5),"",1)</f>
        <v/>
      </c>
      <c r="V204" s="1258">
        <v>4.3</v>
      </c>
      <c r="W204" s="1198" t="s">
        <v>390</v>
      </c>
      <c r="X204" s="1162"/>
      <c r="Y204" s="1162"/>
      <c r="Z204" s="1162"/>
      <c r="AA204" s="1162"/>
      <c r="AB204" s="1199"/>
      <c r="AC204" s="1226" t="str">
        <f t="shared" ref="AC204" si="370">IF(ISBLANK(BD$5),"",1)</f>
        <v/>
      </c>
      <c r="AD204" s="1258">
        <v>4.3</v>
      </c>
      <c r="AE204" s="1198" t="s">
        <v>390</v>
      </c>
      <c r="AF204" s="1162"/>
      <c r="AG204" s="1162"/>
      <c r="AH204" s="1162"/>
      <c r="AI204" s="1162"/>
      <c r="AJ204" s="1199"/>
      <c r="AK204" s="1226" t="str">
        <f t="shared" ref="AK204" si="371">IF(ISBLANK(BH$5),"",1)</f>
        <v/>
      </c>
      <c r="AL204" s="1196">
        <v>4.3</v>
      </c>
      <c r="AM204" s="1198" t="s">
        <v>390</v>
      </c>
      <c r="AN204" s="1162"/>
      <c r="AO204" s="1162"/>
      <c r="AP204" s="1162"/>
      <c r="AQ204" s="1162"/>
      <c r="AR204" s="1199"/>
      <c r="AS204" s="1226" t="str">
        <f t="shared" ref="AS204" si="372">IF(ISBLANK(BL$5),"",1)</f>
        <v/>
      </c>
      <c r="BJ204" s="1337"/>
      <c r="BK204" s="1338"/>
      <c r="BL204" s="1338"/>
      <c r="BM204" s="1338"/>
      <c r="BN204" s="1338"/>
      <c r="BO204" s="1339"/>
    </row>
    <row r="205" spans="1:67" ht="15" customHeight="1">
      <c r="A205" s="1308"/>
      <c r="B205" s="1163"/>
      <c r="C205" s="1164"/>
      <c r="D205" s="1164"/>
      <c r="E205" s="1164"/>
      <c r="F205" s="1164"/>
      <c r="G205" s="1201"/>
      <c r="H205" s="1269"/>
      <c r="I205" s="1206"/>
      <c r="J205" s="1206"/>
      <c r="K205" s="1206"/>
      <c r="N205" s="1258"/>
      <c r="O205" s="1200"/>
      <c r="P205" s="1164"/>
      <c r="Q205" s="1164"/>
      <c r="R205" s="1164"/>
      <c r="S205" s="1164"/>
      <c r="T205" s="1201"/>
      <c r="U205" s="1342"/>
      <c r="V205" s="1258"/>
      <c r="W205" s="1200"/>
      <c r="X205" s="1164"/>
      <c r="Y205" s="1164"/>
      <c r="Z205" s="1164"/>
      <c r="AA205" s="1164"/>
      <c r="AB205" s="1201"/>
      <c r="AC205" s="1342"/>
      <c r="AD205" s="1258"/>
      <c r="AE205" s="1200"/>
      <c r="AF205" s="1164"/>
      <c r="AG205" s="1164"/>
      <c r="AH205" s="1164"/>
      <c r="AI205" s="1164"/>
      <c r="AJ205" s="1201"/>
      <c r="AK205" s="1342"/>
      <c r="AL205" s="1196"/>
      <c r="AM205" s="1200"/>
      <c r="AN205" s="1164"/>
      <c r="AO205" s="1164"/>
      <c r="AP205" s="1164"/>
      <c r="AQ205" s="1164"/>
      <c r="AR205" s="1201"/>
      <c r="AS205" s="1342"/>
      <c r="BJ205" s="1337"/>
      <c r="BK205" s="1338"/>
      <c r="BL205" s="1338"/>
      <c r="BM205" s="1338"/>
      <c r="BN205" s="1338"/>
      <c r="BO205" s="1339"/>
    </row>
    <row r="206" spans="1:67" ht="15" customHeight="1">
      <c r="A206" s="1309"/>
      <c r="B206" s="1165"/>
      <c r="C206" s="1166"/>
      <c r="D206" s="1166"/>
      <c r="E206" s="1166"/>
      <c r="F206" s="1166"/>
      <c r="G206" s="1292"/>
      <c r="H206" s="1270"/>
      <c r="I206" s="1207"/>
      <c r="J206" s="1207"/>
      <c r="K206" s="1207"/>
      <c r="N206" s="1258"/>
      <c r="O206" s="1202"/>
      <c r="P206" s="1203"/>
      <c r="Q206" s="1203"/>
      <c r="R206" s="1203"/>
      <c r="S206" s="1203"/>
      <c r="T206" s="1204"/>
      <c r="U206" s="1342"/>
      <c r="V206" s="1258"/>
      <c r="W206" s="1202"/>
      <c r="X206" s="1203"/>
      <c r="Y206" s="1203"/>
      <c r="Z206" s="1203"/>
      <c r="AA206" s="1203"/>
      <c r="AB206" s="1204"/>
      <c r="AC206" s="1342"/>
      <c r="AD206" s="1258"/>
      <c r="AE206" s="1202"/>
      <c r="AF206" s="1203"/>
      <c r="AG206" s="1203"/>
      <c r="AH206" s="1203"/>
      <c r="AI206" s="1203"/>
      <c r="AJ206" s="1204"/>
      <c r="AK206" s="1342"/>
      <c r="AL206" s="1197"/>
      <c r="AM206" s="1202"/>
      <c r="AN206" s="1203"/>
      <c r="AO206" s="1203"/>
      <c r="AP206" s="1203"/>
      <c r="AQ206" s="1203"/>
      <c r="AR206" s="1204"/>
      <c r="AS206" s="1342"/>
      <c r="BJ206" s="1337"/>
      <c r="BK206" s="1338"/>
      <c r="BL206" s="1338"/>
      <c r="BM206" s="1338"/>
      <c r="BN206" s="1338"/>
      <c r="BO206" s="1339"/>
    </row>
    <row r="207" spans="1:67" ht="15" customHeight="1">
      <c r="A207" s="1304">
        <v>2.1</v>
      </c>
      <c r="B207" s="1161" t="s">
        <v>322</v>
      </c>
      <c r="C207" s="1162"/>
      <c r="D207" s="1162"/>
      <c r="E207" s="1162"/>
      <c r="F207" s="1162"/>
      <c r="G207" s="1199"/>
      <c r="H207" s="1268" t="str">
        <f t="shared" ref="H207" si="373">IF(ISBLANK(AZ$5),"",1)</f>
        <v/>
      </c>
      <c r="I207" s="1205" t="str">
        <f t="shared" ref="I207" si="374">IF(ISBLANK(BD$5),"",1)</f>
        <v/>
      </c>
      <c r="J207" s="1205" t="str">
        <f t="shared" ref="J207" si="375">IF(ISBLANK(BH$5),"",1)</f>
        <v/>
      </c>
      <c r="K207" s="1205" t="str">
        <f t="shared" ref="K207" si="376">IF(ISBLANK(BL$5),"",1)</f>
        <v/>
      </c>
      <c r="N207" s="1258">
        <v>4.4000000000000004</v>
      </c>
      <c r="O207" s="1198" t="s">
        <v>415</v>
      </c>
      <c r="P207" s="1162"/>
      <c r="Q207" s="1162"/>
      <c r="R207" s="1162"/>
      <c r="S207" s="1162"/>
      <c r="T207" s="1199"/>
      <c r="U207" s="1226" t="str">
        <f t="shared" ref="U207" si="377">IF(ISBLANK(AZ$5),"",1)</f>
        <v/>
      </c>
      <c r="V207" s="1258">
        <v>4.4000000000000004</v>
      </c>
      <c r="W207" s="1198" t="s">
        <v>415</v>
      </c>
      <c r="X207" s="1162"/>
      <c r="Y207" s="1162"/>
      <c r="Z207" s="1162"/>
      <c r="AA207" s="1162"/>
      <c r="AB207" s="1199"/>
      <c r="AC207" s="1226" t="str">
        <f t="shared" ref="AC207" si="378">IF(ISBLANK(BD$5),"",1)</f>
        <v/>
      </c>
      <c r="AD207" s="1258">
        <v>4.4000000000000004</v>
      </c>
      <c r="AE207" s="1198" t="s">
        <v>415</v>
      </c>
      <c r="AF207" s="1162"/>
      <c r="AG207" s="1162"/>
      <c r="AH207" s="1162"/>
      <c r="AI207" s="1162"/>
      <c r="AJ207" s="1199"/>
      <c r="AK207" s="1226" t="str">
        <f t="shared" ref="AK207" si="379">IF(ISBLANK(BH$5),"",1)</f>
        <v/>
      </c>
      <c r="AL207" s="1196">
        <v>4.4000000000000004</v>
      </c>
      <c r="AM207" s="1198" t="s">
        <v>407</v>
      </c>
      <c r="AN207" s="1162"/>
      <c r="AO207" s="1162"/>
      <c r="AP207" s="1162"/>
      <c r="AQ207" s="1162"/>
      <c r="AR207" s="1199"/>
      <c r="AS207" s="1226" t="str">
        <f t="shared" ref="AS207" si="380">IF(ISBLANK(BL$5),"",1)</f>
        <v/>
      </c>
      <c r="BJ207" s="1337"/>
      <c r="BK207" s="1338"/>
      <c r="BL207" s="1338"/>
      <c r="BM207" s="1338"/>
      <c r="BN207" s="1338"/>
      <c r="BO207" s="1339"/>
    </row>
    <row r="208" spans="1:67" ht="15" customHeight="1">
      <c r="A208" s="1290"/>
      <c r="B208" s="1163"/>
      <c r="C208" s="1164"/>
      <c r="D208" s="1164"/>
      <c r="E208" s="1164"/>
      <c r="F208" s="1164"/>
      <c r="G208" s="1201"/>
      <c r="H208" s="1269"/>
      <c r="I208" s="1206"/>
      <c r="J208" s="1206"/>
      <c r="K208" s="1206"/>
      <c r="N208" s="1258"/>
      <c r="O208" s="1200"/>
      <c r="P208" s="1164"/>
      <c r="Q208" s="1164"/>
      <c r="R208" s="1164"/>
      <c r="S208" s="1164"/>
      <c r="T208" s="1201"/>
      <c r="U208" s="1342"/>
      <c r="V208" s="1258"/>
      <c r="W208" s="1200"/>
      <c r="X208" s="1164"/>
      <c r="Y208" s="1164"/>
      <c r="Z208" s="1164"/>
      <c r="AA208" s="1164"/>
      <c r="AB208" s="1201"/>
      <c r="AC208" s="1342"/>
      <c r="AD208" s="1258"/>
      <c r="AE208" s="1200"/>
      <c r="AF208" s="1164"/>
      <c r="AG208" s="1164"/>
      <c r="AH208" s="1164"/>
      <c r="AI208" s="1164"/>
      <c r="AJ208" s="1201"/>
      <c r="AK208" s="1342"/>
      <c r="AL208" s="1197"/>
      <c r="AM208" s="1200"/>
      <c r="AN208" s="1164"/>
      <c r="AO208" s="1164"/>
      <c r="AP208" s="1164"/>
      <c r="AQ208" s="1164"/>
      <c r="AR208" s="1201"/>
      <c r="AS208" s="1342"/>
      <c r="BJ208" s="1337"/>
      <c r="BK208" s="1338"/>
      <c r="BL208" s="1338"/>
      <c r="BM208" s="1338"/>
      <c r="BN208" s="1338"/>
      <c r="BO208" s="1339"/>
    </row>
    <row r="209" spans="1:67" ht="15" customHeight="1">
      <c r="A209" s="1291"/>
      <c r="B209" s="1165"/>
      <c r="C209" s="1166"/>
      <c r="D209" s="1166"/>
      <c r="E209" s="1166"/>
      <c r="F209" s="1166"/>
      <c r="G209" s="1292"/>
      <c r="H209" s="1270"/>
      <c r="I209" s="1207"/>
      <c r="J209" s="1207"/>
      <c r="K209" s="1207"/>
      <c r="N209" s="1258"/>
      <c r="O209" s="1202"/>
      <c r="P209" s="1203"/>
      <c r="Q209" s="1203"/>
      <c r="R209" s="1203"/>
      <c r="S209" s="1203"/>
      <c r="T209" s="1204"/>
      <c r="U209" s="1342"/>
      <c r="V209" s="1258"/>
      <c r="W209" s="1202"/>
      <c r="X209" s="1203"/>
      <c r="Y209" s="1203"/>
      <c r="Z209" s="1203"/>
      <c r="AA209" s="1203"/>
      <c r="AB209" s="1204"/>
      <c r="AC209" s="1342"/>
      <c r="AD209" s="1258"/>
      <c r="AE209" s="1202"/>
      <c r="AF209" s="1203"/>
      <c r="AG209" s="1203"/>
      <c r="AH209" s="1203"/>
      <c r="AI209" s="1203"/>
      <c r="AJ209" s="1204"/>
      <c r="AK209" s="1342"/>
      <c r="AL209" s="1197"/>
      <c r="AM209" s="1202"/>
      <c r="AN209" s="1203"/>
      <c r="AO209" s="1203"/>
      <c r="AP209" s="1203"/>
      <c r="AQ209" s="1203"/>
      <c r="AR209" s="1204"/>
      <c r="AS209" s="1342"/>
      <c r="BJ209" s="1337"/>
      <c r="BK209" s="1338"/>
      <c r="BL209" s="1338"/>
      <c r="BM209" s="1338"/>
      <c r="BN209" s="1338"/>
      <c r="BO209" s="1339"/>
    </row>
    <row r="210" spans="1:67" ht="15" customHeight="1">
      <c r="A210" s="1307">
        <v>1.1000000000000001</v>
      </c>
      <c r="B210" s="1161" t="s">
        <v>940</v>
      </c>
      <c r="C210" s="1162"/>
      <c r="D210" s="1162"/>
      <c r="E210" s="1162"/>
      <c r="F210" s="1162"/>
      <c r="G210" s="1199"/>
      <c r="H210" s="1268" t="str">
        <f t="shared" ref="H210" si="381">IF(ISBLANK(AZ$5),"",1)</f>
        <v/>
      </c>
      <c r="I210" s="1205" t="str">
        <f t="shared" ref="I210" si="382">IF(ISBLANK(BD$5),"",1)</f>
        <v/>
      </c>
      <c r="J210" s="1205" t="str">
        <f t="shared" ref="J210" si="383">IF(ISBLANK(BH$5),"",1)</f>
        <v/>
      </c>
      <c r="K210" s="1205" t="str">
        <f t="shared" ref="K210" si="384">IF(ISBLANK(BL$5),"",1)</f>
        <v/>
      </c>
      <c r="N210" s="1304">
        <v>4.3</v>
      </c>
      <c r="O210" s="1310" t="s">
        <v>879</v>
      </c>
      <c r="P210" s="1311"/>
      <c r="Q210" s="1311"/>
      <c r="R210" s="1311"/>
      <c r="S210" s="1311"/>
      <c r="T210" s="1316"/>
      <c r="U210" s="1226" t="str">
        <f t="shared" ref="U210" si="385">IF(ISBLANK(AZ$5),"",1)</f>
        <v/>
      </c>
      <c r="V210" s="1304">
        <v>4.3</v>
      </c>
      <c r="W210" s="1310" t="s">
        <v>879</v>
      </c>
      <c r="X210" s="1311"/>
      <c r="Y210" s="1311"/>
      <c r="Z210" s="1311"/>
      <c r="AA210" s="1311"/>
      <c r="AB210" s="1316"/>
      <c r="AC210" s="1226" t="str">
        <f t="shared" ref="AC210" si="386">IF(ISBLANK(BD$5),"",1)</f>
        <v/>
      </c>
      <c r="AD210" s="1304">
        <v>4.3</v>
      </c>
      <c r="AE210" s="1310" t="s">
        <v>879</v>
      </c>
      <c r="AF210" s="1311"/>
      <c r="AG210" s="1311"/>
      <c r="AH210" s="1311"/>
      <c r="AI210" s="1311"/>
      <c r="AJ210" s="1316"/>
      <c r="AK210" s="1226" t="str">
        <f t="shared" ref="AK210" si="387">IF(ISBLANK(BH$5),"",1)</f>
        <v/>
      </c>
      <c r="AL210" s="1304">
        <v>4.3</v>
      </c>
      <c r="AM210" s="1310" t="s">
        <v>879</v>
      </c>
      <c r="AN210" s="1311"/>
      <c r="AO210" s="1311"/>
      <c r="AP210" s="1311"/>
      <c r="AQ210" s="1311"/>
      <c r="AR210" s="1316"/>
      <c r="AS210" s="1226" t="str">
        <f t="shared" ref="AS210" si="388">IF(ISBLANK(BL$5),"",1)</f>
        <v/>
      </c>
      <c r="BJ210" s="1337"/>
      <c r="BK210" s="1338"/>
      <c r="BL210" s="1338"/>
      <c r="BM210" s="1338"/>
      <c r="BN210" s="1338"/>
      <c r="BO210" s="1339"/>
    </row>
    <row r="211" spans="1:67" ht="15" customHeight="1">
      <c r="A211" s="1308"/>
      <c r="B211" s="1163"/>
      <c r="C211" s="1164"/>
      <c r="D211" s="1164"/>
      <c r="E211" s="1164"/>
      <c r="F211" s="1164"/>
      <c r="G211" s="1201"/>
      <c r="H211" s="1269"/>
      <c r="I211" s="1206"/>
      <c r="J211" s="1206"/>
      <c r="K211" s="1206"/>
      <c r="N211" s="1290"/>
      <c r="O211" s="1295"/>
      <c r="P211" s="1296"/>
      <c r="Q211" s="1296"/>
      <c r="R211" s="1296"/>
      <c r="S211" s="1296"/>
      <c r="T211" s="1318"/>
      <c r="U211" s="1342"/>
      <c r="V211" s="1290"/>
      <c r="W211" s="1295"/>
      <c r="X211" s="1296"/>
      <c r="Y211" s="1296"/>
      <c r="Z211" s="1296"/>
      <c r="AA211" s="1296"/>
      <c r="AB211" s="1318"/>
      <c r="AC211" s="1342"/>
      <c r="AD211" s="1290"/>
      <c r="AE211" s="1295"/>
      <c r="AF211" s="1296"/>
      <c r="AG211" s="1296"/>
      <c r="AH211" s="1296"/>
      <c r="AI211" s="1296"/>
      <c r="AJ211" s="1318"/>
      <c r="AK211" s="1342"/>
      <c r="AL211" s="1290"/>
      <c r="AM211" s="1295"/>
      <c r="AN211" s="1296"/>
      <c r="AO211" s="1296"/>
      <c r="AP211" s="1296"/>
      <c r="AQ211" s="1296"/>
      <c r="AR211" s="1318"/>
      <c r="AS211" s="1342"/>
      <c r="BJ211" s="1337"/>
      <c r="BK211" s="1338"/>
      <c r="BL211" s="1338"/>
      <c r="BM211" s="1338"/>
      <c r="BN211" s="1338"/>
      <c r="BO211" s="1339"/>
    </row>
    <row r="212" spans="1:67" ht="15" customHeight="1">
      <c r="A212" s="1309"/>
      <c r="B212" s="1165"/>
      <c r="C212" s="1166"/>
      <c r="D212" s="1166"/>
      <c r="E212" s="1166"/>
      <c r="F212" s="1166"/>
      <c r="G212" s="1292"/>
      <c r="H212" s="1270"/>
      <c r="I212" s="1207"/>
      <c r="J212" s="1207"/>
      <c r="K212" s="1207"/>
      <c r="N212" s="1291"/>
      <c r="O212" s="1298"/>
      <c r="P212" s="1299"/>
      <c r="Q212" s="1299"/>
      <c r="R212" s="1299"/>
      <c r="S212" s="1299"/>
      <c r="T212" s="1335"/>
      <c r="U212" s="1342"/>
      <c r="V212" s="1291"/>
      <c r="W212" s="1298"/>
      <c r="X212" s="1299"/>
      <c r="Y212" s="1299"/>
      <c r="Z212" s="1299"/>
      <c r="AA212" s="1299"/>
      <c r="AB212" s="1335"/>
      <c r="AC212" s="1342"/>
      <c r="AD212" s="1291"/>
      <c r="AE212" s="1298"/>
      <c r="AF212" s="1299"/>
      <c r="AG212" s="1299"/>
      <c r="AH212" s="1299"/>
      <c r="AI212" s="1299"/>
      <c r="AJ212" s="1335"/>
      <c r="AK212" s="1342"/>
      <c r="AL212" s="1291"/>
      <c r="AM212" s="1298"/>
      <c r="AN212" s="1299"/>
      <c r="AO212" s="1299"/>
      <c r="AP212" s="1299"/>
      <c r="AQ212" s="1299"/>
      <c r="AR212" s="1335"/>
      <c r="AS212" s="1342"/>
      <c r="BJ212" s="1337"/>
      <c r="BK212" s="1338"/>
      <c r="BL212" s="1338"/>
      <c r="BM212" s="1338"/>
      <c r="BN212" s="1338"/>
      <c r="BO212" s="1339"/>
    </row>
    <row r="213" spans="1:67" ht="15" customHeight="1">
      <c r="A213" s="1307">
        <v>1.1000000000000001</v>
      </c>
      <c r="B213" s="1161" t="s">
        <v>330</v>
      </c>
      <c r="C213" s="1162"/>
      <c r="D213" s="1162"/>
      <c r="E213" s="1162"/>
      <c r="F213" s="1162"/>
      <c r="G213" s="1199"/>
      <c r="H213" s="1268" t="str">
        <f t="shared" ref="H213" si="389">IF(ISBLANK(AZ$5),"",1)</f>
        <v/>
      </c>
      <c r="I213" s="1205" t="str">
        <f t="shared" ref="I213" si="390">IF(ISBLANK(BD$5),"",1)</f>
        <v/>
      </c>
      <c r="J213" s="1205" t="str">
        <f t="shared" ref="J213" si="391">IF(ISBLANK(BH$5),"",1)</f>
        <v/>
      </c>
      <c r="K213" s="1205" t="str">
        <f t="shared" ref="K213" si="392">IF(ISBLANK(BL$5),"",1)</f>
        <v/>
      </c>
      <c r="N213" s="1304">
        <v>4.3</v>
      </c>
      <c r="O213" s="1198" t="s">
        <v>883</v>
      </c>
      <c r="P213" s="1162"/>
      <c r="Q213" s="1162"/>
      <c r="R213" s="1162"/>
      <c r="S213" s="1162"/>
      <c r="T213" s="1199"/>
      <c r="U213" s="1226" t="str">
        <f t="shared" ref="U213" si="393">IF(ISBLANK(AZ$5),"",1)</f>
        <v/>
      </c>
      <c r="V213" s="1304">
        <v>4.3</v>
      </c>
      <c r="W213" s="1198" t="s">
        <v>883</v>
      </c>
      <c r="X213" s="1162"/>
      <c r="Y213" s="1162"/>
      <c r="Z213" s="1162"/>
      <c r="AA213" s="1162"/>
      <c r="AB213" s="1199"/>
      <c r="AC213" s="1226" t="str">
        <f t="shared" ref="AC213" si="394">IF(ISBLANK(BD$5),"",1)</f>
        <v/>
      </c>
      <c r="AD213" s="1258">
        <v>4.4000000000000004</v>
      </c>
      <c r="AE213" s="1198" t="s">
        <v>393</v>
      </c>
      <c r="AF213" s="1162"/>
      <c r="AG213" s="1162"/>
      <c r="AH213" s="1162"/>
      <c r="AI213" s="1162"/>
      <c r="AJ213" s="1199"/>
      <c r="AK213" s="1226" t="str">
        <f t="shared" ref="AK213" si="395">IF(ISBLANK(BH$5),"",1)</f>
        <v/>
      </c>
      <c r="AL213" s="1304">
        <v>4.3</v>
      </c>
      <c r="AM213" s="1198" t="s">
        <v>883</v>
      </c>
      <c r="AN213" s="1162"/>
      <c r="AO213" s="1162"/>
      <c r="AP213" s="1162"/>
      <c r="AQ213" s="1162"/>
      <c r="AR213" s="1199"/>
      <c r="AS213" s="1226" t="str">
        <f t="shared" ref="AS213" si="396">IF(ISBLANK(BL$5),"",1)</f>
        <v/>
      </c>
      <c r="BJ213" s="1337"/>
      <c r="BK213" s="1338"/>
      <c r="BL213" s="1338"/>
      <c r="BM213" s="1338"/>
      <c r="BN213" s="1338"/>
      <c r="BO213" s="1339"/>
    </row>
    <row r="214" spans="1:67" ht="15" customHeight="1">
      <c r="A214" s="1308"/>
      <c r="B214" s="1163"/>
      <c r="C214" s="1164"/>
      <c r="D214" s="1164"/>
      <c r="E214" s="1164"/>
      <c r="F214" s="1164"/>
      <c r="G214" s="1201"/>
      <c r="H214" s="1269"/>
      <c r="I214" s="1206"/>
      <c r="J214" s="1206"/>
      <c r="K214" s="1206"/>
      <c r="N214" s="1290"/>
      <c r="O214" s="1200"/>
      <c r="P214" s="1164"/>
      <c r="Q214" s="1164"/>
      <c r="R214" s="1164"/>
      <c r="S214" s="1164"/>
      <c r="T214" s="1201"/>
      <c r="U214" s="1342"/>
      <c r="V214" s="1290"/>
      <c r="W214" s="1200"/>
      <c r="X214" s="1164"/>
      <c r="Y214" s="1164"/>
      <c r="Z214" s="1164"/>
      <c r="AA214" s="1164"/>
      <c r="AB214" s="1201"/>
      <c r="AC214" s="1342"/>
      <c r="AD214" s="1258"/>
      <c r="AE214" s="1200"/>
      <c r="AF214" s="1164"/>
      <c r="AG214" s="1164"/>
      <c r="AH214" s="1164"/>
      <c r="AI214" s="1164"/>
      <c r="AJ214" s="1201"/>
      <c r="AK214" s="1342"/>
      <c r="AL214" s="1290"/>
      <c r="AM214" s="1200"/>
      <c r="AN214" s="1164"/>
      <c r="AO214" s="1164"/>
      <c r="AP214" s="1164"/>
      <c r="AQ214" s="1164"/>
      <c r="AR214" s="1201"/>
      <c r="AS214" s="1342"/>
      <c r="BJ214" s="1337"/>
      <c r="BK214" s="1338"/>
      <c r="BL214" s="1338"/>
      <c r="BM214" s="1338"/>
      <c r="BN214" s="1338"/>
      <c r="BO214" s="1339"/>
    </row>
    <row r="215" spans="1:67" ht="15" customHeight="1">
      <c r="A215" s="1309"/>
      <c r="B215" s="1165"/>
      <c r="C215" s="1166"/>
      <c r="D215" s="1166"/>
      <c r="E215" s="1166"/>
      <c r="F215" s="1166"/>
      <c r="G215" s="1292"/>
      <c r="H215" s="1270"/>
      <c r="I215" s="1207"/>
      <c r="J215" s="1207"/>
      <c r="K215" s="1207"/>
      <c r="N215" s="1291"/>
      <c r="O215" s="1202"/>
      <c r="P215" s="1203"/>
      <c r="Q215" s="1203"/>
      <c r="R215" s="1203"/>
      <c r="S215" s="1203"/>
      <c r="T215" s="1204"/>
      <c r="U215" s="1342"/>
      <c r="V215" s="1291"/>
      <c r="W215" s="1202"/>
      <c r="X215" s="1203"/>
      <c r="Y215" s="1203"/>
      <c r="Z215" s="1203"/>
      <c r="AA215" s="1203"/>
      <c r="AB215" s="1204"/>
      <c r="AC215" s="1342"/>
      <c r="AD215" s="1258"/>
      <c r="AE215" s="1202"/>
      <c r="AF215" s="1203"/>
      <c r="AG215" s="1203"/>
      <c r="AH215" s="1203"/>
      <c r="AI215" s="1203"/>
      <c r="AJ215" s="1204"/>
      <c r="AK215" s="1342"/>
      <c r="AL215" s="1291"/>
      <c r="AM215" s="1202"/>
      <c r="AN215" s="1203"/>
      <c r="AO215" s="1203"/>
      <c r="AP215" s="1203"/>
      <c r="AQ215" s="1203"/>
      <c r="AR215" s="1204"/>
      <c r="AS215" s="1342"/>
      <c r="BJ215" s="1337"/>
      <c r="BK215" s="1338"/>
      <c r="BL215" s="1338"/>
      <c r="BM215" s="1338"/>
      <c r="BN215" s="1338"/>
      <c r="BO215" s="1339"/>
    </row>
    <row r="216" spans="1:67" ht="15" customHeight="1">
      <c r="A216" s="1304">
        <v>1.5</v>
      </c>
      <c r="B216" s="1161" t="s">
        <v>336</v>
      </c>
      <c r="C216" s="1162"/>
      <c r="D216" s="1162"/>
      <c r="E216" s="1162"/>
      <c r="F216" s="1162"/>
      <c r="G216" s="1199"/>
      <c r="H216" s="1268" t="str">
        <f t="shared" ref="H216" si="397">IF(ISBLANK(AZ$5),"",1)</f>
        <v/>
      </c>
      <c r="I216" s="1205" t="str">
        <f t="shared" ref="I216" si="398">IF(ISBLANK(BD$5),"",1)</f>
        <v/>
      </c>
      <c r="J216" s="1205" t="str">
        <f t="shared" ref="J216" si="399">IF(ISBLANK(BH$5),"",1)</f>
        <v/>
      </c>
      <c r="K216" s="1205" t="str">
        <f t="shared" ref="K216" si="400">IF(ISBLANK(BL$5),"",1)</f>
        <v/>
      </c>
      <c r="N216" s="1322">
        <v>4.4000000000000004</v>
      </c>
      <c r="O216" s="1198" t="s">
        <v>884</v>
      </c>
      <c r="P216" s="1162"/>
      <c r="Q216" s="1162"/>
      <c r="R216" s="1162"/>
      <c r="S216" s="1162"/>
      <c r="T216" s="1199"/>
      <c r="U216" s="1226" t="str">
        <f t="shared" ref="U216" si="401">IF(ISBLANK(AZ$5),"",1)</f>
        <v/>
      </c>
      <c r="V216" s="1322">
        <v>4.3</v>
      </c>
      <c r="W216" s="1198" t="s">
        <v>393</v>
      </c>
      <c r="X216" s="1162"/>
      <c r="Y216" s="1162"/>
      <c r="Z216" s="1162"/>
      <c r="AA216" s="1162"/>
      <c r="AB216" s="1199"/>
      <c r="AC216" s="1226" t="str">
        <f t="shared" ref="AC216" si="402">IF(ISBLANK(BD$5),"",1)</f>
        <v/>
      </c>
      <c r="AD216" s="1322">
        <v>4.4000000000000004</v>
      </c>
      <c r="AE216" s="1198" t="s">
        <v>417</v>
      </c>
      <c r="AF216" s="1162"/>
      <c r="AG216" s="1162"/>
      <c r="AH216" s="1162"/>
      <c r="AI216" s="1162"/>
      <c r="AJ216" s="1199"/>
      <c r="AK216" s="1226" t="str">
        <f t="shared" ref="AK216" si="403">IF(ISBLANK(BH$5),"",1)</f>
        <v/>
      </c>
      <c r="AL216" s="1196">
        <v>4.3</v>
      </c>
      <c r="AM216" s="1198" t="s">
        <v>421</v>
      </c>
      <c r="AN216" s="1162"/>
      <c r="AO216" s="1162"/>
      <c r="AP216" s="1162"/>
      <c r="AQ216" s="1162"/>
      <c r="AR216" s="1199"/>
      <c r="AS216" s="1226" t="str">
        <f t="shared" ref="AS216" si="404">IF(ISBLANK(BL$5),"",1)</f>
        <v/>
      </c>
      <c r="BJ216" s="1337"/>
      <c r="BK216" s="1338"/>
      <c r="BL216" s="1338"/>
      <c r="BM216" s="1338"/>
      <c r="BN216" s="1338"/>
      <c r="BO216" s="1339"/>
    </row>
    <row r="217" spans="1:67" ht="15" customHeight="1">
      <c r="A217" s="1290"/>
      <c r="B217" s="1163"/>
      <c r="C217" s="1164"/>
      <c r="D217" s="1164"/>
      <c r="E217" s="1164"/>
      <c r="F217" s="1164"/>
      <c r="G217" s="1201"/>
      <c r="H217" s="1269"/>
      <c r="I217" s="1206"/>
      <c r="J217" s="1206"/>
      <c r="K217" s="1206"/>
      <c r="N217" s="1293"/>
      <c r="O217" s="1200"/>
      <c r="P217" s="1164"/>
      <c r="Q217" s="1164"/>
      <c r="R217" s="1164"/>
      <c r="S217" s="1164"/>
      <c r="T217" s="1201"/>
      <c r="U217" s="1342"/>
      <c r="V217" s="1293"/>
      <c r="W217" s="1200"/>
      <c r="X217" s="1164"/>
      <c r="Y217" s="1164"/>
      <c r="Z217" s="1164"/>
      <c r="AA217" s="1164"/>
      <c r="AB217" s="1201"/>
      <c r="AC217" s="1342"/>
      <c r="AD217" s="1293"/>
      <c r="AE217" s="1200"/>
      <c r="AF217" s="1164"/>
      <c r="AG217" s="1164"/>
      <c r="AH217" s="1164"/>
      <c r="AI217" s="1164"/>
      <c r="AJ217" s="1201"/>
      <c r="AK217" s="1342"/>
      <c r="AL217" s="1197"/>
      <c r="AM217" s="1200"/>
      <c r="AN217" s="1164"/>
      <c r="AO217" s="1164"/>
      <c r="AP217" s="1164"/>
      <c r="AQ217" s="1164"/>
      <c r="AR217" s="1201"/>
      <c r="AS217" s="1342"/>
      <c r="BJ217" s="1337"/>
      <c r="BK217" s="1338"/>
      <c r="BL217" s="1338"/>
      <c r="BM217" s="1338"/>
      <c r="BN217" s="1338"/>
      <c r="BO217" s="1339"/>
    </row>
    <row r="218" spans="1:67" ht="15" customHeight="1">
      <c r="A218" s="1291"/>
      <c r="B218" s="1165"/>
      <c r="C218" s="1166"/>
      <c r="D218" s="1166"/>
      <c r="E218" s="1166"/>
      <c r="F218" s="1166"/>
      <c r="G218" s="1292"/>
      <c r="H218" s="1270"/>
      <c r="I218" s="1207"/>
      <c r="J218" s="1207"/>
      <c r="K218" s="1207"/>
      <c r="N218" s="1294"/>
      <c r="O218" s="1202"/>
      <c r="P218" s="1203"/>
      <c r="Q218" s="1203"/>
      <c r="R218" s="1203"/>
      <c r="S218" s="1203"/>
      <c r="T218" s="1204"/>
      <c r="U218" s="1342"/>
      <c r="V218" s="1294"/>
      <c r="W218" s="1202"/>
      <c r="X218" s="1203"/>
      <c r="Y218" s="1203"/>
      <c r="Z218" s="1203"/>
      <c r="AA218" s="1203"/>
      <c r="AB218" s="1204"/>
      <c r="AC218" s="1342"/>
      <c r="AD218" s="1294"/>
      <c r="AE218" s="1202"/>
      <c r="AF218" s="1203"/>
      <c r="AG218" s="1203"/>
      <c r="AH218" s="1203"/>
      <c r="AI218" s="1203"/>
      <c r="AJ218" s="1204"/>
      <c r="AK218" s="1342"/>
      <c r="AL218" s="1197"/>
      <c r="AM218" s="1202"/>
      <c r="AN218" s="1203"/>
      <c r="AO218" s="1203"/>
      <c r="AP218" s="1203"/>
      <c r="AQ218" s="1203"/>
      <c r="AR218" s="1204"/>
      <c r="AS218" s="1342"/>
      <c r="BJ218" s="1337"/>
      <c r="BK218" s="1338"/>
      <c r="BL218" s="1338"/>
      <c r="BM218" s="1338"/>
      <c r="BN218" s="1338"/>
      <c r="BO218" s="1339"/>
    </row>
    <row r="219" spans="1:67" ht="15" customHeight="1">
      <c r="A219" s="1304">
        <v>2.1</v>
      </c>
      <c r="B219" s="1161" t="s">
        <v>360</v>
      </c>
      <c r="C219" s="1162"/>
      <c r="D219" s="1162"/>
      <c r="E219" s="1162"/>
      <c r="F219" s="1162"/>
      <c r="G219" s="1199"/>
      <c r="H219" s="1268" t="str">
        <f t="shared" ref="H219" si="405">IF(ISBLANK(AZ$5),"",1)</f>
        <v/>
      </c>
      <c r="I219" s="1205" t="str">
        <f t="shared" ref="I219" si="406">IF(ISBLANK(BD$5),"",1)</f>
        <v/>
      </c>
      <c r="J219" s="1205" t="str">
        <f t="shared" ref="J219" si="407">IF(ISBLANK(BH$5),"",1)</f>
        <v/>
      </c>
      <c r="K219" s="1205" t="str">
        <f t="shared" ref="K219" si="408">IF(ISBLANK(BL$5),"",1)</f>
        <v/>
      </c>
      <c r="N219" s="1258">
        <v>4.4000000000000004</v>
      </c>
      <c r="O219" s="1198" t="s">
        <v>417</v>
      </c>
      <c r="P219" s="1162"/>
      <c r="Q219" s="1162"/>
      <c r="R219" s="1162"/>
      <c r="S219" s="1162"/>
      <c r="T219" s="1199"/>
      <c r="U219" s="1226" t="str">
        <f t="shared" ref="U219" si="409">IF(ISBLANK(AZ$5),"",1)</f>
        <v/>
      </c>
      <c r="V219" s="1322">
        <v>4.4000000000000004</v>
      </c>
      <c r="W219" s="1198" t="s">
        <v>417</v>
      </c>
      <c r="X219" s="1162"/>
      <c r="Y219" s="1162"/>
      <c r="Z219" s="1162"/>
      <c r="AA219" s="1162"/>
      <c r="AB219" s="1199"/>
      <c r="AC219" s="1226" t="str">
        <f t="shared" ref="AC219" si="410">IF(ISBLANK(BD$5),"",1)</f>
        <v/>
      </c>
      <c r="AD219" s="1304">
        <v>4.4000000000000004</v>
      </c>
      <c r="AE219" s="1198" t="s">
        <v>359</v>
      </c>
      <c r="AF219" s="1162"/>
      <c r="AG219" s="1162"/>
      <c r="AH219" s="1162"/>
      <c r="AI219" s="1162"/>
      <c r="AJ219" s="1199"/>
      <c r="AK219" s="1226" t="str">
        <f t="shared" ref="AK219" si="411">IF(ISBLANK(BH$5),"",1)</f>
        <v/>
      </c>
      <c r="AL219" s="1196">
        <v>4.4000000000000004</v>
      </c>
      <c r="AM219" s="1198" t="s">
        <v>418</v>
      </c>
      <c r="AN219" s="1162"/>
      <c r="AO219" s="1162"/>
      <c r="AP219" s="1162"/>
      <c r="AQ219" s="1162"/>
      <c r="AR219" s="1199"/>
      <c r="AS219" s="1226" t="str">
        <f t="shared" ref="AS219" si="412">IF(ISBLANK(BL$5),"",1)</f>
        <v/>
      </c>
      <c r="BJ219" s="1337"/>
      <c r="BK219" s="1338"/>
      <c r="BL219" s="1338"/>
      <c r="BM219" s="1338"/>
      <c r="BN219" s="1338"/>
      <c r="BO219" s="1339"/>
    </row>
    <row r="220" spans="1:67" ht="15" customHeight="1">
      <c r="A220" s="1290"/>
      <c r="B220" s="1163"/>
      <c r="C220" s="1164"/>
      <c r="D220" s="1164"/>
      <c r="E220" s="1164"/>
      <c r="F220" s="1164"/>
      <c r="G220" s="1201"/>
      <c r="H220" s="1269"/>
      <c r="I220" s="1206"/>
      <c r="J220" s="1206"/>
      <c r="K220" s="1206"/>
      <c r="N220" s="1258"/>
      <c r="O220" s="1200"/>
      <c r="P220" s="1164"/>
      <c r="Q220" s="1164"/>
      <c r="R220" s="1164"/>
      <c r="S220" s="1164"/>
      <c r="T220" s="1201"/>
      <c r="U220" s="1342"/>
      <c r="V220" s="1293"/>
      <c r="W220" s="1200"/>
      <c r="X220" s="1164"/>
      <c r="Y220" s="1164"/>
      <c r="Z220" s="1164"/>
      <c r="AA220" s="1164"/>
      <c r="AB220" s="1201"/>
      <c r="AC220" s="1342"/>
      <c r="AD220" s="1290"/>
      <c r="AE220" s="1200"/>
      <c r="AF220" s="1164"/>
      <c r="AG220" s="1164"/>
      <c r="AH220" s="1164"/>
      <c r="AI220" s="1164"/>
      <c r="AJ220" s="1201"/>
      <c r="AK220" s="1342"/>
      <c r="AL220" s="1197"/>
      <c r="AM220" s="1200"/>
      <c r="AN220" s="1164"/>
      <c r="AO220" s="1164"/>
      <c r="AP220" s="1164"/>
      <c r="AQ220" s="1164"/>
      <c r="AR220" s="1201"/>
      <c r="AS220" s="1342"/>
      <c r="BJ220" s="1337"/>
      <c r="BK220" s="1338"/>
      <c r="BL220" s="1338"/>
      <c r="BM220" s="1338"/>
      <c r="BN220" s="1338"/>
      <c r="BO220" s="1339"/>
    </row>
    <row r="221" spans="1:67" ht="15" customHeight="1">
      <c r="A221" s="1291"/>
      <c r="B221" s="1165"/>
      <c r="C221" s="1166"/>
      <c r="D221" s="1166"/>
      <c r="E221" s="1166"/>
      <c r="F221" s="1166"/>
      <c r="G221" s="1292"/>
      <c r="H221" s="1270"/>
      <c r="I221" s="1207"/>
      <c r="J221" s="1207"/>
      <c r="K221" s="1207"/>
      <c r="N221" s="1258"/>
      <c r="O221" s="1202"/>
      <c r="P221" s="1203"/>
      <c r="Q221" s="1203"/>
      <c r="R221" s="1203"/>
      <c r="S221" s="1203"/>
      <c r="T221" s="1204"/>
      <c r="U221" s="1342"/>
      <c r="V221" s="1294"/>
      <c r="W221" s="1202"/>
      <c r="X221" s="1203"/>
      <c r="Y221" s="1203"/>
      <c r="Z221" s="1203"/>
      <c r="AA221" s="1203"/>
      <c r="AB221" s="1204"/>
      <c r="AC221" s="1342"/>
      <c r="AD221" s="1291"/>
      <c r="AE221" s="1202"/>
      <c r="AF221" s="1203"/>
      <c r="AG221" s="1203"/>
      <c r="AH221" s="1203"/>
      <c r="AI221" s="1203"/>
      <c r="AJ221" s="1204"/>
      <c r="AK221" s="1342"/>
      <c r="AL221" s="1197"/>
      <c r="AM221" s="1202"/>
      <c r="AN221" s="1203"/>
      <c r="AO221" s="1203"/>
      <c r="AP221" s="1203"/>
      <c r="AQ221" s="1203"/>
      <c r="AR221" s="1204"/>
      <c r="AS221" s="1342"/>
      <c r="BJ221" s="1337"/>
      <c r="BK221" s="1338"/>
      <c r="BL221" s="1338"/>
      <c r="BM221" s="1338"/>
      <c r="BN221" s="1338"/>
      <c r="BO221" s="1339"/>
    </row>
    <row r="222" spans="1:67" ht="15" customHeight="1">
      <c r="A222" s="1304">
        <v>2.4</v>
      </c>
      <c r="B222" s="1161" t="s">
        <v>942</v>
      </c>
      <c r="C222" s="1162"/>
      <c r="D222" s="1162"/>
      <c r="E222" s="1162"/>
      <c r="F222" s="1162"/>
      <c r="G222" s="1199"/>
      <c r="H222" s="1268" t="str">
        <f t="shared" ref="H222" si="413">IF(ISBLANK(AZ$5),"",1)</f>
        <v/>
      </c>
      <c r="I222" s="1205" t="str">
        <f t="shared" ref="I222" si="414">IF(ISBLANK(BD$5),"",1)</f>
        <v/>
      </c>
      <c r="J222" s="1205" t="str">
        <f t="shared" ref="J222" si="415">IF(ISBLANK(BH$5),"",1)</f>
        <v/>
      </c>
      <c r="K222" s="1205" t="str">
        <f t="shared" ref="K222" si="416">IF(ISBLANK(BL$5),"",1)</f>
        <v/>
      </c>
      <c r="N222" s="1304">
        <v>4.4000000000000004</v>
      </c>
      <c r="O222" s="1198" t="s">
        <v>885</v>
      </c>
      <c r="P222" s="1162"/>
      <c r="Q222" s="1162"/>
      <c r="R222" s="1162"/>
      <c r="S222" s="1162"/>
      <c r="T222" s="1199"/>
      <c r="U222" s="1226" t="str">
        <f t="shared" ref="U222" si="417">IF(ISBLANK(AZ$5),"",1)</f>
        <v/>
      </c>
      <c r="V222" s="1304">
        <v>4.4000000000000004</v>
      </c>
      <c r="W222" s="1198" t="s">
        <v>359</v>
      </c>
      <c r="X222" s="1162"/>
      <c r="Y222" s="1162"/>
      <c r="Z222" s="1162"/>
      <c r="AA222" s="1162"/>
      <c r="AB222" s="1199"/>
      <c r="AC222" s="1226" t="str">
        <f t="shared" ref="AC222" si="418">IF(ISBLANK(BD$5),"",1)</f>
        <v/>
      </c>
      <c r="AD222" s="1258">
        <v>4.4000000000000004</v>
      </c>
      <c r="AE222" s="1198" t="s">
        <v>395</v>
      </c>
      <c r="AF222" s="1162"/>
      <c r="AG222" s="1162"/>
      <c r="AH222" s="1162"/>
      <c r="AI222" s="1162"/>
      <c r="AJ222" s="1199"/>
      <c r="AK222" s="1226" t="str">
        <f t="shared" ref="AK222" si="419">IF(ISBLANK(BH$5),"",1)</f>
        <v/>
      </c>
      <c r="AL222" s="1196">
        <v>4.4000000000000004</v>
      </c>
      <c r="AM222" s="1198" t="s">
        <v>417</v>
      </c>
      <c r="AN222" s="1162"/>
      <c r="AO222" s="1162"/>
      <c r="AP222" s="1162"/>
      <c r="AQ222" s="1162"/>
      <c r="AR222" s="1199"/>
      <c r="AS222" s="1226" t="str">
        <f t="shared" ref="AS222" si="420">IF(ISBLANK(BL$5),"",1)</f>
        <v/>
      </c>
      <c r="BJ222" s="1337"/>
      <c r="BK222" s="1338"/>
      <c r="BL222" s="1338"/>
      <c r="BM222" s="1338"/>
      <c r="BN222" s="1338"/>
      <c r="BO222" s="1339"/>
    </row>
    <row r="223" spans="1:67" ht="15" customHeight="1">
      <c r="A223" s="1290"/>
      <c r="B223" s="1163"/>
      <c r="C223" s="1164"/>
      <c r="D223" s="1164"/>
      <c r="E223" s="1164"/>
      <c r="F223" s="1164"/>
      <c r="G223" s="1201"/>
      <c r="H223" s="1269"/>
      <c r="I223" s="1206"/>
      <c r="J223" s="1206"/>
      <c r="K223" s="1206"/>
      <c r="N223" s="1290"/>
      <c r="O223" s="1200"/>
      <c r="P223" s="1164"/>
      <c r="Q223" s="1164"/>
      <c r="R223" s="1164"/>
      <c r="S223" s="1164"/>
      <c r="T223" s="1201"/>
      <c r="U223" s="1342"/>
      <c r="V223" s="1290"/>
      <c r="W223" s="1200"/>
      <c r="X223" s="1164"/>
      <c r="Y223" s="1164"/>
      <c r="Z223" s="1164"/>
      <c r="AA223" s="1164"/>
      <c r="AB223" s="1201"/>
      <c r="AC223" s="1342"/>
      <c r="AD223" s="1258"/>
      <c r="AE223" s="1200"/>
      <c r="AF223" s="1164"/>
      <c r="AG223" s="1164"/>
      <c r="AH223" s="1164"/>
      <c r="AI223" s="1164"/>
      <c r="AJ223" s="1201"/>
      <c r="AK223" s="1342"/>
      <c r="AL223" s="1197"/>
      <c r="AM223" s="1200"/>
      <c r="AN223" s="1164"/>
      <c r="AO223" s="1164"/>
      <c r="AP223" s="1164"/>
      <c r="AQ223" s="1164"/>
      <c r="AR223" s="1201"/>
      <c r="AS223" s="1342"/>
      <c r="BJ223" s="1337"/>
      <c r="BK223" s="1338"/>
      <c r="BL223" s="1338"/>
      <c r="BM223" s="1338"/>
      <c r="BN223" s="1338"/>
      <c r="BO223" s="1339"/>
    </row>
    <row r="224" spans="1:67" ht="15" customHeight="1">
      <c r="A224" s="1291"/>
      <c r="B224" s="1165"/>
      <c r="C224" s="1166"/>
      <c r="D224" s="1166"/>
      <c r="E224" s="1166"/>
      <c r="F224" s="1166"/>
      <c r="G224" s="1292"/>
      <c r="H224" s="1270"/>
      <c r="I224" s="1207"/>
      <c r="J224" s="1207"/>
      <c r="K224" s="1207"/>
      <c r="N224" s="1291"/>
      <c r="O224" s="1202"/>
      <c r="P224" s="1203"/>
      <c r="Q224" s="1203"/>
      <c r="R224" s="1203"/>
      <c r="S224" s="1203"/>
      <c r="T224" s="1204"/>
      <c r="U224" s="1342"/>
      <c r="V224" s="1291"/>
      <c r="W224" s="1202"/>
      <c r="X224" s="1203"/>
      <c r="Y224" s="1203"/>
      <c r="Z224" s="1203"/>
      <c r="AA224" s="1203"/>
      <c r="AB224" s="1204"/>
      <c r="AC224" s="1342"/>
      <c r="AD224" s="1258"/>
      <c r="AE224" s="1202"/>
      <c r="AF224" s="1203"/>
      <c r="AG224" s="1203"/>
      <c r="AH224" s="1203"/>
      <c r="AI224" s="1203"/>
      <c r="AJ224" s="1204"/>
      <c r="AK224" s="1342"/>
      <c r="AL224" s="1197"/>
      <c r="AM224" s="1202"/>
      <c r="AN224" s="1203"/>
      <c r="AO224" s="1203"/>
      <c r="AP224" s="1203"/>
      <c r="AQ224" s="1203"/>
      <c r="AR224" s="1204"/>
      <c r="AS224" s="1342"/>
      <c r="BJ224" s="1337"/>
      <c r="BK224" s="1338"/>
      <c r="BL224" s="1338"/>
      <c r="BM224" s="1338"/>
      <c r="BN224" s="1338"/>
      <c r="BO224" s="1339"/>
    </row>
    <row r="225" spans="1:67" ht="15" customHeight="1">
      <c r="A225" s="252"/>
      <c r="B225" s="243"/>
      <c r="C225" s="242"/>
      <c r="D225" s="242"/>
      <c r="F225" s="278">
        <v>1.1000000000000001</v>
      </c>
      <c r="G225" s="311">
        <f>COUNTIF($A$198:$A$224,F225)</f>
        <v>4</v>
      </c>
      <c r="H225" s="240" t="str">
        <f>IF($AZ$5=1,SUMIF($A$198:$A$224,$F225,$H$198:$H$224),"")</f>
        <v/>
      </c>
      <c r="I225" s="240" t="str">
        <f>IF($BD$5=1,SUMIF($A$198:$A$224,$F225,$I$198:$I$224),"")</f>
        <v/>
      </c>
      <c r="J225" s="240" t="str">
        <f>IF($BH$5=1,SUMIF($A$198:$A$224,$F225,$J$198:$J$224),"")</f>
        <v/>
      </c>
      <c r="K225" s="240" t="str">
        <f>IF($BL$5=1,SUMIF($A$198:$A$224,$F225,$K$198:$K$224),"")</f>
        <v/>
      </c>
      <c r="N225" s="1258">
        <v>4.4000000000000004</v>
      </c>
      <c r="O225" s="1198" t="s">
        <v>395</v>
      </c>
      <c r="P225" s="1162"/>
      <c r="Q225" s="1162"/>
      <c r="R225" s="1162"/>
      <c r="S225" s="1162"/>
      <c r="T225" s="1199"/>
      <c r="U225" s="1226" t="str">
        <f t="shared" ref="U225" si="421">IF(ISBLANK(AZ$5),"",1)</f>
        <v/>
      </c>
      <c r="V225" s="1258">
        <v>4.4000000000000004</v>
      </c>
      <c r="W225" s="1198" t="s">
        <v>395</v>
      </c>
      <c r="X225" s="1162"/>
      <c r="Y225" s="1162"/>
      <c r="Z225" s="1162"/>
      <c r="AA225" s="1162"/>
      <c r="AB225" s="1199"/>
      <c r="AC225" s="1226" t="str">
        <f t="shared" ref="AC225" si="422">IF(ISBLANK(BD$5),"",1)</f>
        <v/>
      </c>
      <c r="AD225" s="1304">
        <v>4.4000000000000004</v>
      </c>
      <c r="AE225" s="1198" t="s">
        <v>878</v>
      </c>
      <c r="AF225" s="1162"/>
      <c r="AG225" s="1162"/>
      <c r="AH225" s="1162"/>
      <c r="AI225" s="1162"/>
      <c r="AJ225" s="1199"/>
      <c r="AK225" s="1226" t="str">
        <f t="shared" ref="AK225" si="423">IF(ISBLANK(BH$5),"",1)</f>
        <v/>
      </c>
      <c r="AL225" s="1196">
        <v>4.4000000000000004</v>
      </c>
      <c r="AM225" s="1198" t="s">
        <v>422</v>
      </c>
      <c r="AN225" s="1162"/>
      <c r="AO225" s="1162"/>
      <c r="AP225" s="1162"/>
      <c r="AQ225" s="1162"/>
      <c r="AR225" s="1199"/>
      <c r="AS225" s="1226" t="str">
        <f t="shared" ref="AS225" si="424">IF(ISBLANK(BL$5),"",1)</f>
        <v/>
      </c>
      <c r="BJ225" s="1337"/>
      <c r="BK225" s="1338"/>
      <c r="BL225" s="1338"/>
      <c r="BM225" s="1338"/>
      <c r="BN225" s="1338"/>
      <c r="BO225" s="1339"/>
    </row>
    <row r="226" spans="1:67" ht="15" customHeight="1">
      <c r="A226" s="252"/>
      <c r="B226" s="243"/>
      <c r="C226" s="242"/>
      <c r="D226" s="242"/>
      <c r="F226" s="278">
        <v>1.5</v>
      </c>
      <c r="G226" s="311">
        <f t="shared" ref="G226:G228" si="425">COUNTIF($A$198:$A$224,F226)</f>
        <v>1</v>
      </c>
      <c r="H226" s="240" t="str">
        <f>IF($AZ$5=1,SUMIF($A$198:$A$224,$F226,$H$198:$H$224),"")</f>
        <v/>
      </c>
      <c r="I226" s="240" t="str">
        <f>IF($BD$5=1,SUMIF($A$198:$A$224,$F226,$I$198:$I$224),"")</f>
        <v/>
      </c>
      <c r="J226" s="240" t="str">
        <f>IF($BH$5=1,SUMIF($A$198:$A$224,$F226,$J$198:$J$224),"")</f>
        <v/>
      </c>
      <c r="K226" s="240" t="str">
        <f>IF($BL$5=1,SUMIF($A$198:$A$224,$F226,$K$198:$K$224),"")</f>
        <v/>
      </c>
      <c r="N226" s="1258"/>
      <c r="O226" s="1200"/>
      <c r="P226" s="1164"/>
      <c r="Q226" s="1164"/>
      <c r="R226" s="1164"/>
      <c r="S226" s="1164"/>
      <c r="T226" s="1201"/>
      <c r="U226" s="1342"/>
      <c r="V226" s="1258"/>
      <c r="W226" s="1200"/>
      <c r="X226" s="1164"/>
      <c r="Y226" s="1164"/>
      <c r="Z226" s="1164"/>
      <c r="AA226" s="1164"/>
      <c r="AB226" s="1201"/>
      <c r="AC226" s="1342"/>
      <c r="AD226" s="1290"/>
      <c r="AE226" s="1200"/>
      <c r="AF226" s="1164"/>
      <c r="AG226" s="1164"/>
      <c r="AH226" s="1164"/>
      <c r="AI226" s="1164"/>
      <c r="AJ226" s="1201"/>
      <c r="AK226" s="1342"/>
      <c r="AL226" s="1197"/>
      <c r="AM226" s="1200"/>
      <c r="AN226" s="1164"/>
      <c r="AO226" s="1164"/>
      <c r="AP226" s="1164"/>
      <c r="AQ226" s="1164"/>
      <c r="AR226" s="1201"/>
      <c r="AS226" s="1342"/>
      <c r="BJ226" s="1222"/>
      <c r="BK226" s="1223"/>
      <c r="BL226" s="1223"/>
      <c r="BM226" s="1223"/>
      <c r="BN226" s="1223"/>
      <c r="BO226" s="1224"/>
    </row>
    <row r="227" spans="1:67" ht="15" customHeight="1">
      <c r="A227" s="249"/>
      <c r="B227" s="249"/>
      <c r="C227" s="249"/>
      <c r="D227" s="249"/>
      <c r="F227" s="277">
        <v>2.1</v>
      </c>
      <c r="G227" s="311">
        <f t="shared" si="425"/>
        <v>2</v>
      </c>
      <c r="H227" s="240" t="str">
        <f>IF($AZ$5=1,SUMIF($A$198:$A$224,$F227,$H$198:$H$224),"")</f>
        <v/>
      </c>
      <c r="I227" s="240" t="str">
        <f>IF($BD$5=1,SUMIF($A$198:$A$224,$F227,$I$198:$I$224),"")</f>
        <v/>
      </c>
      <c r="J227" s="240" t="str">
        <f>IF($BH$5=1,SUMIF($A$198:$A$224,$F227,$J$198:$J$224),"")</f>
        <v/>
      </c>
      <c r="K227" s="240" t="str">
        <f>IF($BL$5=1,SUMIF($A$198:$A$224,$F227,$K$198:$K$224),"")</f>
        <v/>
      </c>
      <c r="N227" s="1258"/>
      <c r="O227" s="1202"/>
      <c r="P227" s="1203"/>
      <c r="Q227" s="1203"/>
      <c r="R227" s="1203"/>
      <c r="S227" s="1203"/>
      <c r="T227" s="1204"/>
      <c r="U227" s="1342"/>
      <c r="V227" s="1258"/>
      <c r="W227" s="1202"/>
      <c r="X227" s="1203"/>
      <c r="Y227" s="1203"/>
      <c r="Z227" s="1203"/>
      <c r="AA227" s="1203"/>
      <c r="AB227" s="1204"/>
      <c r="AC227" s="1342"/>
      <c r="AD227" s="1291"/>
      <c r="AE227" s="1202"/>
      <c r="AF227" s="1203"/>
      <c r="AG227" s="1203"/>
      <c r="AH227" s="1203"/>
      <c r="AI227" s="1203"/>
      <c r="AJ227" s="1204"/>
      <c r="AK227" s="1342"/>
      <c r="AL227" s="1197"/>
      <c r="AM227" s="1202"/>
      <c r="AN227" s="1203"/>
      <c r="AO227" s="1203"/>
      <c r="AP227" s="1203"/>
      <c r="AQ227" s="1203"/>
      <c r="AR227" s="1204"/>
      <c r="AS227" s="1342"/>
    </row>
    <row r="228" spans="1:67" ht="15" customHeight="1">
      <c r="F228" s="277">
        <v>2.4</v>
      </c>
      <c r="G228" s="311">
        <f t="shared" si="425"/>
        <v>2</v>
      </c>
      <c r="H228" s="240" t="str">
        <f>IF($AZ$5=1,SUMIF($A$198:$A$224,$F228,$H$198:$H$224),"")</f>
        <v/>
      </c>
      <c r="I228" s="240" t="str">
        <f>IF($BD$5=1,SUMIF($A$198:$A$224,$F228,$I$198:$I$224),"")</f>
        <v/>
      </c>
      <c r="J228" s="240" t="str">
        <f>IF($BH$5=1,SUMIF($A$198:$A$224,$F228,$J$198:$J$224),"")</f>
        <v/>
      </c>
      <c r="K228" s="240" t="str">
        <f>IF($BL$5=1,SUMIF($A$198:$A$224,$F228,$K$198:$K$224),"")</f>
        <v/>
      </c>
      <c r="N228" s="1304">
        <v>4.4000000000000004</v>
      </c>
      <c r="O228" s="1198" t="s">
        <v>878</v>
      </c>
      <c r="P228" s="1162"/>
      <c r="Q228" s="1162"/>
      <c r="R228" s="1162"/>
      <c r="S228" s="1162"/>
      <c r="T228" s="1199"/>
      <c r="U228" s="1226" t="str">
        <f t="shared" ref="U228" si="426">IF(ISBLANK(AZ$5),"",1)</f>
        <v/>
      </c>
      <c r="V228" s="1304">
        <v>4.4000000000000004</v>
      </c>
      <c r="W228" s="1198" t="s">
        <v>878</v>
      </c>
      <c r="X228" s="1162"/>
      <c r="Y228" s="1162"/>
      <c r="Z228" s="1162"/>
      <c r="AA228" s="1162"/>
      <c r="AB228" s="1199"/>
      <c r="AC228" s="1226" t="str">
        <f t="shared" ref="AC228" si="427">IF(ISBLANK(BD$5),"",1)</f>
        <v/>
      </c>
      <c r="AD228" s="1307">
        <v>1.5</v>
      </c>
      <c r="AE228" s="1198" t="s">
        <v>373</v>
      </c>
      <c r="AF228" s="1162"/>
      <c r="AG228" s="1162"/>
      <c r="AH228" s="1162"/>
      <c r="AI228" s="1162"/>
      <c r="AJ228" s="1199"/>
      <c r="AK228" s="1226" t="str">
        <f t="shared" ref="AK228" si="428">IF(ISBLANK(BH$5),"",1)</f>
        <v/>
      </c>
      <c r="AL228" s="1196">
        <v>4.4000000000000004</v>
      </c>
      <c r="AM228" s="1198" t="s">
        <v>420</v>
      </c>
      <c r="AN228" s="1162"/>
      <c r="AO228" s="1162"/>
      <c r="AP228" s="1162"/>
      <c r="AQ228" s="1162"/>
      <c r="AR228" s="1199"/>
      <c r="AS228" s="1226" t="str">
        <f t="shared" ref="AS228" si="429">IF(ISBLANK(BL$5),"",1)</f>
        <v/>
      </c>
    </row>
    <row r="229" spans="1:67" ht="15" customHeight="1">
      <c r="N229" s="1290"/>
      <c r="O229" s="1200"/>
      <c r="P229" s="1164"/>
      <c r="Q229" s="1164"/>
      <c r="R229" s="1164"/>
      <c r="S229" s="1164"/>
      <c r="T229" s="1201"/>
      <c r="U229" s="1342"/>
      <c r="V229" s="1290"/>
      <c r="W229" s="1200"/>
      <c r="X229" s="1164"/>
      <c r="Y229" s="1164"/>
      <c r="Z229" s="1164"/>
      <c r="AA229" s="1164"/>
      <c r="AB229" s="1201"/>
      <c r="AC229" s="1342"/>
      <c r="AD229" s="1308"/>
      <c r="AE229" s="1200"/>
      <c r="AF229" s="1164"/>
      <c r="AG229" s="1164"/>
      <c r="AH229" s="1164"/>
      <c r="AI229" s="1164"/>
      <c r="AJ229" s="1201"/>
      <c r="AK229" s="1342"/>
      <c r="AL229" s="1197"/>
      <c r="AM229" s="1200"/>
      <c r="AN229" s="1164"/>
      <c r="AO229" s="1164"/>
      <c r="AP229" s="1164"/>
      <c r="AQ229" s="1164"/>
      <c r="AR229" s="1201"/>
      <c r="AS229" s="1342"/>
    </row>
    <row r="230" spans="1:67" ht="15" customHeight="1">
      <c r="A230" s="1209"/>
      <c r="B230" s="1210" t="s">
        <v>609</v>
      </c>
      <c r="C230" s="1211"/>
      <c r="D230" s="1211"/>
      <c r="E230" s="1211"/>
      <c r="F230" s="1211"/>
      <c r="G230" s="1211"/>
      <c r="H230" s="1174">
        <v>13</v>
      </c>
      <c r="I230" s="1174">
        <v>14</v>
      </c>
      <c r="J230" s="1174">
        <v>15</v>
      </c>
      <c r="K230" s="1174">
        <v>16</v>
      </c>
      <c r="N230" s="1291"/>
      <c r="O230" s="1202"/>
      <c r="P230" s="1203"/>
      <c r="Q230" s="1203"/>
      <c r="R230" s="1203"/>
      <c r="S230" s="1203"/>
      <c r="T230" s="1204"/>
      <c r="U230" s="1342"/>
      <c r="V230" s="1291"/>
      <c r="W230" s="1202"/>
      <c r="X230" s="1203"/>
      <c r="Y230" s="1203"/>
      <c r="Z230" s="1203"/>
      <c r="AA230" s="1203"/>
      <c r="AB230" s="1204"/>
      <c r="AC230" s="1342"/>
      <c r="AD230" s="1309"/>
      <c r="AE230" s="1202"/>
      <c r="AF230" s="1203"/>
      <c r="AG230" s="1203"/>
      <c r="AH230" s="1203"/>
      <c r="AI230" s="1203"/>
      <c r="AJ230" s="1204"/>
      <c r="AK230" s="1342"/>
      <c r="AL230" s="1197"/>
      <c r="AM230" s="1202"/>
      <c r="AN230" s="1203"/>
      <c r="AO230" s="1203"/>
      <c r="AP230" s="1203"/>
      <c r="AQ230" s="1203"/>
      <c r="AR230" s="1204"/>
      <c r="AS230" s="1342"/>
    </row>
    <row r="231" spans="1:67" ht="15" customHeight="1">
      <c r="A231" s="1209"/>
      <c r="B231" s="1212"/>
      <c r="C231" s="1213"/>
      <c r="D231" s="1213"/>
      <c r="E231" s="1213"/>
      <c r="F231" s="1213"/>
      <c r="G231" s="1213"/>
      <c r="H231" s="1174"/>
      <c r="I231" s="1174"/>
      <c r="J231" s="1174"/>
      <c r="K231" s="1174"/>
      <c r="N231" s="1307">
        <v>1.5</v>
      </c>
      <c r="O231" s="1198" t="s">
        <v>373</v>
      </c>
      <c r="P231" s="1162"/>
      <c r="Q231" s="1162"/>
      <c r="R231" s="1162"/>
      <c r="S231" s="1162"/>
      <c r="T231" s="1199"/>
      <c r="U231" s="1226" t="str">
        <f t="shared" ref="U231" si="430">IF(ISBLANK(AZ$5),"",1)</f>
        <v/>
      </c>
      <c r="V231" s="1307">
        <v>1.5</v>
      </c>
      <c r="W231" s="1198" t="s">
        <v>373</v>
      </c>
      <c r="X231" s="1162"/>
      <c r="Y231" s="1162"/>
      <c r="Z231" s="1162"/>
      <c r="AA231" s="1162"/>
      <c r="AB231" s="1199"/>
      <c r="AC231" s="1226" t="str">
        <f t="shared" ref="AC231" si="431">IF(ISBLANK(BD$5),"",1)</f>
        <v/>
      </c>
      <c r="AD231" s="1258">
        <v>4.4000000000000004</v>
      </c>
      <c r="AE231" s="1198" t="s">
        <v>397</v>
      </c>
      <c r="AF231" s="1162"/>
      <c r="AG231" s="1162"/>
      <c r="AH231" s="1162"/>
      <c r="AI231" s="1162"/>
      <c r="AJ231" s="1199"/>
      <c r="AK231" s="1226" t="str">
        <f t="shared" ref="AK231" si="432">IF(ISBLANK(BH$5),"",1)</f>
        <v/>
      </c>
      <c r="AL231" s="1304">
        <v>4.4000000000000004</v>
      </c>
      <c r="AM231" s="1198" t="s">
        <v>359</v>
      </c>
      <c r="AN231" s="1162"/>
      <c r="AO231" s="1162"/>
      <c r="AP231" s="1162"/>
      <c r="AQ231" s="1162"/>
      <c r="AR231" s="1199"/>
      <c r="AS231" s="1226" t="str">
        <f t="shared" ref="AS231" si="433">IF(ISBLANK(BL$5),"",1)</f>
        <v/>
      </c>
    </row>
    <row r="232" spans="1:67" ht="15" customHeight="1">
      <c r="A232" s="1336">
        <v>3.1</v>
      </c>
      <c r="B232" s="1198" t="s">
        <v>366</v>
      </c>
      <c r="C232" s="1162"/>
      <c r="D232" s="1162"/>
      <c r="E232" s="1162"/>
      <c r="F232" s="1162"/>
      <c r="G232" s="1265"/>
      <c r="H232" s="1268" t="str">
        <f t="shared" ref="H232" si="434">IF(ISBLANK(AZ$5),"",1)</f>
        <v/>
      </c>
      <c r="I232" s="1205" t="str">
        <f t="shared" ref="I232" si="435">IF(ISBLANK(BD$5),"",1)</f>
        <v/>
      </c>
      <c r="J232" s="1205" t="str">
        <f t="shared" ref="J232" si="436">IF(ISBLANK(BH$5),"",1)</f>
        <v/>
      </c>
      <c r="K232" s="1205" t="str">
        <f t="shared" ref="K232" si="437">IF(ISBLANK(BL$5),"",1)</f>
        <v/>
      </c>
      <c r="N232" s="1308"/>
      <c r="O232" s="1200"/>
      <c r="P232" s="1164"/>
      <c r="Q232" s="1164"/>
      <c r="R232" s="1164"/>
      <c r="S232" s="1164"/>
      <c r="T232" s="1201"/>
      <c r="U232" s="1342"/>
      <c r="V232" s="1308"/>
      <c r="W232" s="1200"/>
      <c r="X232" s="1164"/>
      <c r="Y232" s="1164"/>
      <c r="Z232" s="1164"/>
      <c r="AA232" s="1164"/>
      <c r="AB232" s="1201"/>
      <c r="AC232" s="1342"/>
      <c r="AD232" s="1258"/>
      <c r="AE232" s="1200"/>
      <c r="AF232" s="1164"/>
      <c r="AG232" s="1164"/>
      <c r="AH232" s="1164"/>
      <c r="AI232" s="1164"/>
      <c r="AJ232" s="1201"/>
      <c r="AK232" s="1342"/>
      <c r="AL232" s="1290"/>
      <c r="AM232" s="1200"/>
      <c r="AN232" s="1164"/>
      <c r="AO232" s="1164"/>
      <c r="AP232" s="1164"/>
      <c r="AQ232" s="1164"/>
      <c r="AR232" s="1201"/>
      <c r="AS232" s="1342"/>
    </row>
    <row r="233" spans="1:67" ht="15" customHeight="1">
      <c r="A233" s="1159"/>
      <c r="B233" s="1200"/>
      <c r="C233" s="1164"/>
      <c r="D233" s="1164"/>
      <c r="E233" s="1164"/>
      <c r="F233" s="1164"/>
      <c r="G233" s="1266"/>
      <c r="H233" s="1269"/>
      <c r="I233" s="1206"/>
      <c r="J233" s="1206"/>
      <c r="K233" s="1206"/>
      <c r="N233" s="1309"/>
      <c r="O233" s="1202"/>
      <c r="P233" s="1203"/>
      <c r="Q233" s="1203"/>
      <c r="R233" s="1203"/>
      <c r="S233" s="1203"/>
      <c r="T233" s="1204"/>
      <c r="U233" s="1342"/>
      <c r="V233" s="1309"/>
      <c r="W233" s="1202"/>
      <c r="X233" s="1203"/>
      <c r="Y233" s="1203"/>
      <c r="Z233" s="1203"/>
      <c r="AA233" s="1203"/>
      <c r="AB233" s="1204"/>
      <c r="AC233" s="1342"/>
      <c r="AD233" s="1258"/>
      <c r="AE233" s="1202"/>
      <c r="AF233" s="1203"/>
      <c r="AG233" s="1203"/>
      <c r="AH233" s="1203"/>
      <c r="AI233" s="1203"/>
      <c r="AJ233" s="1204"/>
      <c r="AK233" s="1342"/>
      <c r="AL233" s="1291"/>
      <c r="AM233" s="1202"/>
      <c r="AN233" s="1203"/>
      <c r="AO233" s="1203"/>
      <c r="AP233" s="1203"/>
      <c r="AQ233" s="1203"/>
      <c r="AR233" s="1204"/>
      <c r="AS233" s="1342"/>
    </row>
    <row r="234" spans="1:67" ht="15" customHeight="1">
      <c r="A234" s="1160"/>
      <c r="B234" s="1200"/>
      <c r="C234" s="1164"/>
      <c r="D234" s="1164"/>
      <c r="E234" s="1164"/>
      <c r="F234" s="1164"/>
      <c r="G234" s="1266"/>
      <c r="H234" s="1270"/>
      <c r="I234" s="1207"/>
      <c r="J234" s="1207"/>
      <c r="K234" s="1207"/>
      <c r="N234" s="1258">
        <v>4.4000000000000004</v>
      </c>
      <c r="O234" s="1198" t="s">
        <v>397</v>
      </c>
      <c r="P234" s="1162"/>
      <c r="Q234" s="1162"/>
      <c r="R234" s="1162"/>
      <c r="S234" s="1162"/>
      <c r="T234" s="1199"/>
      <c r="U234" s="1226" t="str">
        <f t="shared" ref="U234" si="438">IF(ISBLANK(AZ$5),"",1)</f>
        <v/>
      </c>
      <c r="V234" s="1258">
        <v>4.4000000000000004</v>
      </c>
      <c r="W234" s="1198" t="s">
        <v>397</v>
      </c>
      <c r="X234" s="1162"/>
      <c r="Y234" s="1162"/>
      <c r="Z234" s="1162"/>
      <c r="AA234" s="1162"/>
      <c r="AB234" s="1199"/>
      <c r="AC234" s="1226" t="str">
        <f t="shared" ref="AC234" si="439">IF(ISBLANK(BD$5),"",1)</f>
        <v/>
      </c>
      <c r="AF234" s="52"/>
      <c r="AG234" s="247"/>
      <c r="AI234" s="273">
        <v>1.5</v>
      </c>
      <c r="AJ234" s="240">
        <f>COUNTIF($AD$198:$AD$233,AI234)</f>
        <v>1</v>
      </c>
      <c r="AK234" s="240" t="str">
        <f>IF($BH$5=1,SUMIF($AD$198:$AD$233,AI234,$AK$198:$AK$233),"")</f>
        <v/>
      </c>
      <c r="AL234" s="1196">
        <v>4.4000000000000004</v>
      </c>
      <c r="AM234" s="1198" t="s">
        <v>395</v>
      </c>
      <c r="AN234" s="1162"/>
      <c r="AO234" s="1162"/>
      <c r="AP234" s="1162"/>
      <c r="AQ234" s="1162"/>
      <c r="AR234" s="1199"/>
      <c r="AS234" s="1226" t="str">
        <f t="shared" ref="AS234" si="440">IF(ISBLANK(BL$5),"",1)</f>
        <v/>
      </c>
    </row>
    <row r="235" spans="1:67" ht="15" customHeight="1">
      <c r="A235" s="1336">
        <v>1.4</v>
      </c>
      <c r="B235" s="1198" t="s">
        <v>943</v>
      </c>
      <c r="C235" s="1162"/>
      <c r="D235" s="1162"/>
      <c r="E235" s="1162"/>
      <c r="F235" s="1162"/>
      <c r="G235" s="1265"/>
      <c r="H235" s="1268" t="str">
        <f t="shared" ref="H235" si="441">IF(ISBLANK(AZ$5),"",1)</f>
        <v/>
      </c>
      <c r="I235" s="1205" t="str">
        <f t="shared" ref="I235" si="442">IF(ISBLANK(BD$5),"",1)</f>
        <v/>
      </c>
      <c r="J235" s="1205" t="str">
        <f t="shared" ref="J235" si="443">IF(ISBLANK(BH$5),"",1)</f>
        <v/>
      </c>
      <c r="K235" s="1205" t="str">
        <f t="shared" ref="K235" si="444">IF(ISBLANK(BL$5),"",1)</f>
        <v/>
      </c>
      <c r="N235" s="1258"/>
      <c r="O235" s="1200"/>
      <c r="P235" s="1164"/>
      <c r="Q235" s="1164"/>
      <c r="R235" s="1164"/>
      <c r="S235" s="1164"/>
      <c r="T235" s="1201"/>
      <c r="U235" s="1342"/>
      <c r="V235" s="1258"/>
      <c r="W235" s="1200"/>
      <c r="X235" s="1164"/>
      <c r="Y235" s="1164"/>
      <c r="Z235" s="1164"/>
      <c r="AA235" s="1164"/>
      <c r="AB235" s="1201"/>
      <c r="AC235" s="1342"/>
      <c r="AF235" s="52"/>
      <c r="AG235" s="248"/>
      <c r="AI235" s="274">
        <v>4.3</v>
      </c>
      <c r="AJ235" s="240">
        <f t="shared" ref="AJ235:AJ236" si="445">COUNTIF($AD$198:$AD$233,AI235)</f>
        <v>4</v>
      </c>
      <c r="AK235" s="240" t="str">
        <f>IF($BH$5=1,SUMIF($AD$198:$AD$233,AI235,$AK$198:$AK$233),"")</f>
        <v/>
      </c>
      <c r="AL235" s="1197"/>
      <c r="AM235" s="1200"/>
      <c r="AN235" s="1164"/>
      <c r="AO235" s="1164"/>
      <c r="AP235" s="1164"/>
      <c r="AQ235" s="1164"/>
      <c r="AR235" s="1201"/>
      <c r="AS235" s="1342"/>
    </row>
    <row r="236" spans="1:67" ht="15" customHeight="1">
      <c r="A236" s="1159"/>
      <c r="B236" s="1200"/>
      <c r="C236" s="1164"/>
      <c r="D236" s="1164"/>
      <c r="E236" s="1164"/>
      <c r="F236" s="1164"/>
      <c r="G236" s="1266"/>
      <c r="H236" s="1269"/>
      <c r="I236" s="1206"/>
      <c r="J236" s="1206"/>
      <c r="K236" s="1206"/>
      <c r="N236" s="1258"/>
      <c r="O236" s="1202"/>
      <c r="P236" s="1203"/>
      <c r="Q236" s="1203"/>
      <c r="R236" s="1203"/>
      <c r="S236" s="1203"/>
      <c r="T236" s="1204"/>
      <c r="U236" s="1342"/>
      <c r="V236" s="1258"/>
      <c r="W236" s="1202"/>
      <c r="X236" s="1203"/>
      <c r="Y236" s="1203"/>
      <c r="Z236" s="1203"/>
      <c r="AA236" s="1203"/>
      <c r="AB236" s="1204"/>
      <c r="AC236" s="1342"/>
      <c r="AF236" s="52"/>
      <c r="AG236" s="248"/>
      <c r="AI236" s="274">
        <v>4.4000000000000004</v>
      </c>
      <c r="AJ236" s="240">
        <f t="shared" si="445"/>
        <v>7</v>
      </c>
      <c r="AK236" s="240" t="str">
        <f>IF($BH$5=1,SUMIF($AD$198:$AD$233,AI236,$AK$198:$AK$233),"")</f>
        <v/>
      </c>
      <c r="AL236" s="1197"/>
      <c r="AM236" s="1202"/>
      <c r="AN236" s="1203"/>
      <c r="AO236" s="1203"/>
      <c r="AP236" s="1203"/>
      <c r="AQ236" s="1203"/>
      <c r="AR236" s="1204"/>
      <c r="AS236" s="1342"/>
    </row>
    <row r="237" spans="1:67" ht="15" customHeight="1">
      <c r="A237" s="1160"/>
      <c r="B237" s="1200"/>
      <c r="C237" s="1164"/>
      <c r="D237" s="1164"/>
      <c r="E237" s="1164"/>
      <c r="F237" s="1164"/>
      <c r="G237" s="1266"/>
      <c r="H237" s="1270"/>
      <c r="I237" s="1207"/>
      <c r="J237" s="1207"/>
      <c r="K237" s="1207"/>
      <c r="O237" s="52"/>
      <c r="Q237" s="247"/>
      <c r="S237" s="273">
        <v>1.5</v>
      </c>
      <c r="T237" s="240">
        <f>COUNTIF($N$198:$N$236,S237)</f>
        <v>1</v>
      </c>
      <c r="U237" s="240" t="str">
        <f>IF($AZ$5=1,SUMIF($N$198:$N$236,S237,$U$198:$U$236),"")</f>
        <v/>
      </c>
      <c r="W237" s="52"/>
      <c r="Y237" s="247"/>
      <c r="AA237" s="273">
        <v>1.5</v>
      </c>
      <c r="AB237" s="240">
        <f>COUNTIF($V$198:$V$236,AA237)</f>
        <v>1</v>
      </c>
      <c r="AC237" s="240" t="str">
        <f>IF($BD$5=1,SUMIF($V$198:$V$236,AA237,$AC$198:$AC$236),"")</f>
        <v/>
      </c>
      <c r="AF237" s="52"/>
      <c r="AL237" s="1307">
        <v>4.4000000000000004</v>
      </c>
      <c r="AM237" s="1310" t="s">
        <v>363</v>
      </c>
      <c r="AN237" s="1311"/>
      <c r="AO237" s="1311"/>
      <c r="AP237" s="1311"/>
      <c r="AQ237" s="1311"/>
      <c r="AR237" s="1316"/>
      <c r="AS237" s="1226" t="str">
        <f t="shared" ref="AS237" si="446">IF(ISBLANK(BL$5),"",1)</f>
        <v/>
      </c>
    </row>
    <row r="238" spans="1:67" ht="15" customHeight="1">
      <c r="A238" s="1168" t="s">
        <v>637</v>
      </c>
      <c r="B238" s="1168"/>
      <c r="C238" s="1168"/>
      <c r="D238" s="1168"/>
      <c r="E238" s="1169"/>
      <c r="F238" s="617">
        <v>3.1</v>
      </c>
      <c r="G238" s="620">
        <f>COUNTIF($A$232:$A$237,F238)</f>
        <v>1</v>
      </c>
      <c r="H238" s="240" t="str">
        <f>IF($AZ$5=1,SUMIF($A$232:$A$237,$F238,$H$232:$H$237),"")</f>
        <v/>
      </c>
      <c r="I238" s="240" t="str">
        <f>IF($BD$5=1,SUMIF($A$232:$A$237,$F238,$I$232:$I$237),"")</f>
        <v/>
      </c>
      <c r="J238" s="240" t="str">
        <f>IF($BH$5=1,SUMIF($A$232:$A$237,$F238,$J$232:$J$237),"")</f>
        <v/>
      </c>
      <c r="K238" s="240" t="str">
        <f>IF($BL$5=1,SUMIF($A$232:$A$237,$F238,$K$232:$K$237),"")</f>
        <v/>
      </c>
      <c r="O238" s="52"/>
      <c r="Q238" s="242"/>
      <c r="S238" s="274">
        <v>4.3</v>
      </c>
      <c r="T238" s="240">
        <f t="shared" ref="T238:T239" si="447">COUNTIF($N$198:$N$236,S238)</f>
        <v>5</v>
      </c>
      <c r="U238" s="240" t="str">
        <f>IF($AZ$5=1,SUMIF($N$198:$N$236,S238,$U$198:$U$236),"")</f>
        <v/>
      </c>
      <c r="W238" s="52"/>
      <c r="AA238" s="274">
        <v>4.3</v>
      </c>
      <c r="AB238" s="240">
        <f t="shared" ref="AB238:AB239" si="448">COUNTIF($V$198:$V$236,AA238)</f>
        <v>6</v>
      </c>
      <c r="AC238" s="240" t="str">
        <f>IF($BD$5=1,SUMIF($V$198:$V$236,AA238,$AC$198:$AC$236),"")</f>
        <v/>
      </c>
      <c r="AF238" s="52"/>
      <c r="AL238" s="1308"/>
      <c r="AM238" s="1295"/>
      <c r="AN238" s="1296"/>
      <c r="AO238" s="1296"/>
      <c r="AP238" s="1296"/>
      <c r="AQ238" s="1296"/>
      <c r="AR238" s="1318"/>
      <c r="AS238" s="1342"/>
    </row>
    <row r="239" spans="1:67" ht="15" customHeight="1">
      <c r="F239" s="617">
        <v>1.4</v>
      </c>
      <c r="G239" s="620">
        <f>COUNTIF($A$232:$A$237,F239)</f>
        <v>1</v>
      </c>
      <c r="H239" s="240" t="str">
        <f>IF($AZ$5=1,SUMIF($A$232:$A$237,$F239,$H$232:$H$237),"")</f>
        <v/>
      </c>
      <c r="I239" s="240" t="str">
        <f>IF($BD$5=1,SUMIF($A$232:$A$237,$F239,$I$232:$I$237),"")</f>
        <v/>
      </c>
      <c r="J239" s="240" t="str">
        <f>IF($BH$5=1,SUMIF($A$232:$A$237,$F239,$J$232:$J$237),"")</f>
        <v/>
      </c>
      <c r="K239" s="240" t="str">
        <f>IF($BL$5=1,SUMIF($A$232:$A$237,$F239,$K$232:$K$237),"")</f>
        <v/>
      </c>
      <c r="O239" s="52"/>
      <c r="Q239" s="242"/>
      <c r="S239" s="274">
        <v>4.4000000000000004</v>
      </c>
      <c r="T239" s="240">
        <f t="shared" si="447"/>
        <v>7</v>
      </c>
      <c r="U239" s="240" t="str">
        <f>IF($AZ$5=1,SUMIF($N$198:$N$236,S239,$U$198:$U$236),"")</f>
        <v/>
      </c>
      <c r="W239" s="52"/>
      <c r="AA239" s="274">
        <v>4.4000000000000004</v>
      </c>
      <c r="AB239" s="240">
        <f t="shared" si="448"/>
        <v>6</v>
      </c>
      <c r="AC239" s="240" t="str">
        <f>IF($BD$5=1,SUMIF($V$198:$V$236,AA239,$AC$198:$AC$236),"")</f>
        <v/>
      </c>
      <c r="AF239" s="52"/>
      <c r="AL239" s="1309"/>
      <c r="AM239" s="1298"/>
      <c r="AN239" s="1299"/>
      <c r="AO239" s="1299"/>
      <c r="AP239" s="1299"/>
      <c r="AQ239" s="1299"/>
      <c r="AR239" s="1335"/>
      <c r="AS239" s="1342"/>
    </row>
    <row r="240" spans="1:67" ht="15" customHeight="1">
      <c r="O240" s="52"/>
      <c r="Q240" s="242"/>
      <c r="W240" s="52"/>
      <c r="AF240" s="52"/>
      <c r="AL240" s="1307">
        <v>1.5</v>
      </c>
      <c r="AM240" s="1198" t="s">
        <v>373</v>
      </c>
      <c r="AN240" s="1162"/>
      <c r="AO240" s="1162"/>
      <c r="AP240" s="1162"/>
      <c r="AQ240" s="1162"/>
      <c r="AR240" s="1199"/>
      <c r="AS240" s="1226" t="str">
        <f t="shared" ref="AS240" si="449">IF(ISBLANK(BL$5),"",1)</f>
        <v/>
      </c>
    </row>
    <row r="241" spans="15:45" ht="15" customHeight="1">
      <c r="O241" s="52"/>
      <c r="Q241" s="242"/>
      <c r="W241" s="52"/>
      <c r="AF241" s="52"/>
      <c r="AL241" s="1308"/>
      <c r="AM241" s="1200"/>
      <c r="AN241" s="1164"/>
      <c r="AO241" s="1164"/>
      <c r="AP241" s="1164"/>
      <c r="AQ241" s="1164"/>
      <c r="AR241" s="1201"/>
      <c r="AS241" s="1342"/>
    </row>
    <row r="242" spans="15:45" ht="15" customHeight="1">
      <c r="O242" s="52"/>
      <c r="Q242" s="242"/>
      <c r="W242" s="52"/>
      <c r="AF242" s="52"/>
      <c r="AL242" s="1309"/>
      <c r="AM242" s="1202"/>
      <c r="AN242" s="1203"/>
      <c r="AO242" s="1203"/>
      <c r="AP242" s="1203"/>
      <c r="AQ242" s="1203"/>
      <c r="AR242" s="1204"/>
      <c r="AS242" s="1342"/>
    </row>
    <row r="243" spans="15:45" ht="15" customHeight="1">
      <c r="O243" s="52"/>
      <c r="W243" s="52"/>
      <c r="AF243" s="52"/>
      <c r="AL243" s="1196">
        <v>4.4000000000000004</v>
      </c>
      <c r="AM243" s="1198" t="s">
        <v>397</v>
      </c>
      <c r="AN243" s="1162"/>
      <c r="AO243" s="1162"/>
      <c r="AP243" s="1162"/>
      <c r="AQ243" s="1162"/>
      <c r="AR243" s="1199"/>
      <c r="AS243" s="1226" t="str">
        <f t="shared" ref="AS243" si="450">IF(ISBLANK(BL$5),"",1)</f>
        <v/>
      </c>
    </row>
    <row r="244" spans="15:45" ht="15" customHeight="1">
      <c r="O244" s="52"/>
      <c r="W244" s="52"/>
      <c r="AF244" s="52"/>
      <c r="AL244" s="1197"/>
      <c r="AM244" s="1200"/>
      <c r="AN244" s="1164"/>
      <c r="AO244" s="1164"/>
      <c r="AP244" s="1164"/>
      <c r="AQ244" s="1164"/>
      <c r="AR244" s="1201"/>
      <c r="AS244" s="1342"/>
    </row>
    <row r="245" spans="15:45" ht="15" customHeight="1">
      <c r="O245" s="52"/>
      <c r="W245" s="52"/>
      <c r="AF245" s="52"/>
      <c r="AL245" s="1197"/>
      <c r="AM245" s="1202"/>
      <c r="AN245" s="1203"/>
      <c r="AO245" s="1203"/>
      <c r="AP245" s="1203"/>
      <c r="AQ245" s="1203"/>
      <c r="AR245" s="1204"/>
      <c r="AS245" s="1342"/>
    </row>
    <row r="246" spans="15:45" ht="15" customHeight="1">
      <c r="O246" s="52"/>
      <c r="W246" s="52"/>
      <c r="AF246" s="52"/>
      <c r="AL246" s="242"/>
      <c r="AO246" s="52"/>
      <c r="AQ246" s="273">
        <v>1.5</v>
      </c>
      <c r="AR246" s="240">
        <f>COUNTIF($AL$198:$AL$245,AQ246)</f>
        <v>1</v>
      </c>
      <c r="AS246" s="240" t="str">
        <f>IF($BL$5=1,SUMIF($AL$198:$AL$245,AQ246,$AS$198:$AS$245),"")</f>
        <v/>
      </c>
    </row>
    <row r="247" spans="15:45" ht="15" customHeight="1">
      <c r="O247" s="52"/>
      <c r="W247" s="52"/>
      <c r="AF247" s="52"/>
      <c r="AL247" s="242"/>
      <c r="AO247" s="52"/>
      <c r="AQ247" s="274">
        <v>4.3</v>
      </c>
      <c r="AR247" s="240">
        <f t="shared" ref="AR247:AR248" si="451">COUNTIF($AL$198:$AL$245,AQ247)</f>
        <v>6</v>
      </c>
      <c r="AS247" s="240" t="str">
        <f>IF($BL$5=1,SUMIF($AL$198:$AL$245,AQ247,$AS$198:$AS$245),"")</f>
        <v/>
      </c>
    </row>
    <row r="248" spans="15:45" ht="15" customHeight="1">
      <c r="O248" s="52"/>
      <c r="W248" s="52"/>
      <c r="AF248" s="52"/>
      <c r="AL248" s="242"/>
      <c r="AO248" s="52"/>
      <c r="AQ248" s="274">
        <v>4.4000000000000004</v>
      </c>
      <c r="AR248" s="240">
        <f t="shared" si="451"/>
        <v>9</v>
      </c>
      <c r="AS248" s="240" t="str">
        <f>IF($BL$5=1,SUMIF($AL$198:$AL$245,AQ248,$AS$198:$AS$245),"")</f>
        <v/>
      </c>
    </row>
  </sheetData>
  <sheetProtection sheet="1" objects="1" scenarios="1"/>
  <customSheetViews>
    <customSheetView guid="{B4419C5D-1877-4ABB-A46F-9E0AFFC75B59}" scale="85" showPageBreaks="1" showGridLines="0" printArea="1" view="pageBreakPreview">
      <pane ySplit="6" topLeftCell="A7" activePane="bottomLeft" state="frozen"/>
      <selection pane="bottomLeft" activeCell="AS32" sqref="AS32"/>
      <rowBreaks count="1" manualBreakCount="1">
        <brk id="78" max="67" man="1"/>
      </rowBreaks>
      <pageMargins left="0.7" right="0.7" top="0.75" bottom="0.75" header="0.3" footer="0.3"/>
      <pageSetup paperSize="9" scale="38" orientation="portrait" r:id="rId1"/>
    </customSheetView>
  </customSheetViews>
  <mergeCells count="1387">
    <mergeCell ref="L82:L84"/>
    <mergeCell ref="M82:M84"/>
    <mergeCell ref="A85:A87"/>
    <mergeCell ref="B85:G87"/>
    <mergeCell ref="H85:H87"/>
    <mergeCell ref="I85:I87"/>
    <mergeCell ref="J85:J87"/>
    <mergeCell ref="K85:K87"/>
    <mergeCell ref="L85:L87"/>
    <mergeCell ref="M85:M87"/>
    <mergeCell ref="A88:A90"/>
    <mergeCell ref="B88:G90"/>
    <mergeCell ref="H88:H90"/>
    <mergeCell ref="I88:I90"/>
    <mergeCell ref="J88:J90"/>
    <mergeCell ref="K88:K90"/>
    <mergeCell ref="L88:L90"/>
    <mergeCell ref="M88:M90"/>
    <mergeCell ref="A232:A234"/>
    <mergeCell ref="B232:G234"/>
    <mergeCell ref="H232:H234"/>
    <mergeCell ref="I232:I234"/>
    <mergeCell ref="J232:J234"/>
    <mergeCell ref="K232:K234"/>
    <mergeCell ref="A235:A237"/>
    <mergeCell ref="B235:G237"/>
    <mergeCell ref="H235:H237"/>
    <mergeCell ref="I235:I237"/>
    <mergeCell ref="J235:J237"/>
    <mergeCell ref="K235:K237"/>
    <mergeCell ref="A238:E238"/>
    <mergeCell ref="A74:A76"/>
    <mergeCell ref="B74:G76"/>
    <mergeCell ref="H74:H76"/>
    <mergeCell ref="I74:I76"/>
    <mergeCell ref="J74:J76"/>
    <mergeCell ref="K74:K76"/>
    <mergeCell ref="A82:A84"/>
    <mergeCell ref="B82:G84"/>
    <mergeCell ref="H82:H84"/>
    <mergeCell ref="I82:I84"/>
    <mergeCell ref="J82:J84"/>
    <mergeCell ref="K82:K84"/>
    <mergeCell ref="A91:E91"/>
    <mergeCell ref="A219:A221"/>
    <mergeCell ref="B219:G221"/>
    <mergeCell ref="H219:H221"/>
    <mergeCell ref="I219:I221"/>
    <mergeCell ref="J219:J221"/>
    <mergeCell ref="K219:K221"/>
    <mergeCell ref="A222:A224"/>
    <mergeCell ref="B222:G224"/>
    <mergeCell ref="H222:H224"/>
    <mergeCell ref="I222:I224"/>
    <mergeCell ref="J222:J224"/>
    <mergeCell ref="K222:K224"/>
    <mergeCell ref="A230:A231"/>
    <mergeCell ref="B230:G231"/>
    <mergeCell ref="H230:H231"/>
    <mergeCell ref="I230:I231"/>
    <mergeCell ref="J230:J231"/>
    <mergeCell ref="K230:K231"/>
    <mergeCell ref="A182:A184"/>
    <mergeCell ref="B182:G184"/>
    <mergeCell ref="H182:H184"/>
    <mergeCell ref="I182:I184"/>
    <mergeCell ref="J182:J184"/>
    <mergeCell ref="K182:K184"/>
    <mergeCell ref="A193:BM194"/>
    <mergeCell ref="A216:A218"/>
    <mergeCell ref="B216:G218"/>
    <mergeCell ref="H216:H218"/>
    <mergeCell ref="I216:I218"/>
    <mergeCell ref="J216:J218"/>
    <mergeCell ref="K216:K218"/>
    <mergeCell ref="AM216:AR218"/>
    <mergeCell ref="AS216:AS218"/>
    <mergeCell ref="V219:V221"/>
    <mergeCell ref="W219:AB221"/>
    <mergeCell ref="AC219:AC221"/>
    <mergeCell ref="AD219:AD221"/>
    <mergeCell ref="AE219:AJ221"/>
    <mergeCell ref="L182:L184"/>
    <mergeCell ref="M182:M184"/>
    <mergeCell ref="A185:A187"/>
    <mergeCell ref="B185:G187"/>
    <mergeCell ref="H185:H187"/>
    <mergeCell ref="I185:I187"/>
    <mergeCell ref="J185:J187"/>
    <mergeCell ref="K185:K187"/>
    <mergeCell ref="L185:L187"/>
    <mergeCell ref="M185:M187"/>
    <mergeCell ref="A188:E188"/>
    <mergeCell ref="A169:A171"/>
    <mergeCell ref="B169:G171"/>
    <mergeCell ref="H169:H171"/>
    <mergeCell ref="I169:I171"/>
    <mergeCell ref="J169:J171"/>
    <mergeCell ref="K169:K171"/>
    <mergeCell ref="L169:L171"/>
    <mergeCell ref="M169:M171"/>
    <mergeCell ref="A172:A174"/>
    <mergeCell ref="B172:G174"/>
    <mergeCell ref="H172:H174"/>
    <mergeCell ref="I172:I174"/>
    <mergeCell ref="J172:J174"/>
    <mergeCell ref="K172:K174"/>
    <mergeCell ref="L172:L174"/>
    <mergeCell ref="M172:M174"/>
    <mergeCell ref="A180:A181"/>
    <mergeCell ref="B180:G181"/>
    <mergeCell ref="H180:H181"/>
    <mergeCell ref="I180:I181"/>
    <mergeCell ref="J180:J181"/>
    <mergeCell ref="H132:H134"/>
    <mergeCell ref="I132:I134"/>
    <mergeCell ref="J132:J134"/>
    <mergeCell ref="K132:K134"/>
    <mergeCell ref="L132:L134"/>
    <mergeCell ref="M132:M134"/>
    <mergeCell ref="A135:A137"/>
    <mergeCell ref="B135:G137"/>
    <mergeCell ref="H135:H137"/>
    <mergeCell ref="I135:I137"/>
    <mergeCell ref="J135:J137"/>
    <mergeCell ref="K135:K137"/>
    <mergeCell ref="L135:L137"/>
    <mergeCell ref="M135:M137"/>
    <mergeCell ref="A138:E138"/>
    <mergeCell ref="A160:A162"/>
    <mergeCell ref="B160:G162"/>
    <mergeCell ref="H160:H162"/>
    <mergeCell ref="I160:I162"/>
    <mergeCell ref="J160:J162"/>
    <mergeCell ref="K160:K162"/>
    <mergeCell ref="L160:L162"/>
    <mergeCell ref="M160:M162"/>
    <mergeCell ref="A148:A150"/>
    <mergeCell ref="B148:G150"/>
    <mergeCell ref="H148:H150"/>
    <mergeCell ref="I148:I150"/>
    <mergeCell ref="J148:J150"/>
    <mergeCell ref="K148:K150"/>
    <mergeCell ref="L148:L150"/>
    <mergeCell ref="M148:M150"/>
    <mergeCell ref="A151:A153"/>
    <mergeCell ref="AE216:AJ218"/>
    <mergeCell ref="AK216:AK218"/>
    <mergeCell ref="AL216:AL218"/>
    <mergeCell ref="A119:A121"/>
    <mergeCell ref="B119:G121"/>
    <mergeCell ref="H119:H121"/>
    <mergeCell ref="I119:I121"/>
    <mergeCell ref="J119:J121"/>
    <mergeCell ref="K119:K121"/>
    <mergeCell ref="L119:L121"/>
    <mergeCell ref="M119:M121"/>
    <mergeCell ref="A122:A124"/>
    <mergeCell ref="B122:G124"/>
    <mergeCell ref="H122:H124"/>
    <mergeCell ref="I122:I124"/>
    <mergeCell ref="J122:J124"/>
    <mergeCell ref="K122:K124"/>
    <mergeCell ref="L122:L124"/>
    <mergeCell ref="M122:M124"/>
    <mergeCell ref="A130:A131"/>
    <mergeCell ref="B130:G131"/>
    <mergeCell ref="H130:H131"/>
    <mergeCell ref="I130:I131"/>
    <mergeCell ref="J130:J131"/>
    <mergeCell ref="K130:K131"/>
    <mergeCell ref="L130:L131"/>
    <mergeCell ref="M130:M131"/>
    <mergeCell ref="K180:K181"/>
    <mergeCell ref="L180:L181"/>
    <mergeCell ref="M180:M181"/>
    <mergeCell ref="A132:A134"/>
    <mergeCell ref="B132:G134"/>
    <mergeCell ref="AL222:AL224"/>
    <mergeCell ref="AM222:AR224"/>
    <mergeCell ref="AS222:AS224"/>
    <mergeCell ref="BE5:BG6"/>
    <mergeCell ref="BH5:BH6"/>
    <mergeCell ref="BI5:BK6"/>
    <mergeCell ref="BL5:BL6"/>
    <mergeCell ref="V234:V236"/>
    <mergeCell ref="W234:AB236"/>
    <mergeCell ref="AC234:AC236"/>
    <mergeCell ref="AL234:AL236"/>
    <mergeCell ref="AM234:AR236"/>
    <mergeCell ref="AS234:AS236"/>
    <mergeCell ref="AL237:AL239"/>
    <mergeCell ref="AM237:AR239"/>
    <mergeCell ref="AS237:AS239"/>
    <mergeCell ref="AL240:AL242"/>
    <mergeCell ref="AM240:AR242"/>
    <mergeCell ref="AS240:AS242"/>
    <mergeCell ref="V225:V227"/>
    <mergeCell ref="W225:AB227"/>
    <mergeCell ref="AC225:AC227"/>
    <mergeCell ref="AD225:AD227"/>
    <mergeCell ref="AE225:AJ227"/>
    <mergeCell ref="AK225:AK227"/>
    <mergeCell ref="AL225:AL227"/>
    <mergeCell ref="AM225:AR227"/>
    <mergeCell ref="AS225:AS227"/>
    <mergeCell ref="V216:V218"/>
    <mergeCell ref="W216:AB218"/>
    <mergeCell ref="AC216:AC218"/>
    <mergeCell ref="AD216:AD218"/>
    <mergeCell ref="B210:G212"/>
    <mergeCell ref="H210:H212"/>
    <mergeCell ref="N210:N212"/>
    <mergeCell ref="AL243:AL245"/>
    <mergeCell ref="AM243:AR245"/>
    <mergeCell ref="AS243:AS245"/>
    <mergeCell ref="BA5:BC6"/>
    <mergeCell ref="BD5:BD6"/>
    <mergeCell ref="V228:V230"/>
    <mergeCell ref="W228:AB230"/>
    <mergeCell ref="AC228:AC230"/>
    <mergeCell ref="AD228:AD230"/>
    <mergeCell ref="AE228:AJ230"/>
    <mergeCell ref="AK228:AK230"/>
    <mergeCell ref="AL228:AL230"/>
    <mergeCell ref="AM228:AR230"/>
    <mergeCell ref="AS228:AS230"/>
    <mergeCell ref="V231:V233"/>
    <mergeCell ref="W231:AB233"/>
    <mergeCell ref="AC231:AC233"/>
    <mergeCell ref="AD231:AD233"/>
    <mergeCell ref="AE231:AJ233"/>
    <mergeCell ref="AK231:AK233"/>
    <mergeCell ref="AL231:AL233"/>
    <mergeCell ref="AM231:AR233"/>
    <mergeCell ref="AS231:AS233"/>
    <mergeCell ref="V222:V224"/>
    <mergeCell ref="W222:AB224"/>
    <mergeCell ref="AC222:AC224"/>
    <mergeCell ref="AD222:AD224"/>
    <mergeCell ref="AE222:AJ224"/>
    <mergeCell ref="AK222:AK224"/>
    <mergeCell ref="AM207:AR209"/>
    <mergeCell ref="AS207:AS209"/>
    <mergeCell ref="K210:K212"/>
    <mergeCell ref="AK219:AK221"/>
    <mergeCell ref="AL219:AL221"/>
    <mergeCell ref="AM219:AR221"/>
    <mergeCell ref="AS219:AS221"/>
    <mergeCell ref="V210:V212"/>
    <mergeCell ref="W210:AB212"/>
    <mergeCell ref="AC210:AC212"/>
    <mergeCell ref="AD210:AD212"/>
    <mergeCell ref="AE210:AJ212"/>
    <mergeCell ref="AK210:AK212"/>
    <mergeCell ref="AL210:AL212"/>
    <mergeCell ref="AM210:AR212"/>
    <mergeCell ref="AS210:AS212"/>
    <mergeCell ref="A213:A215"/>
    <mergeCell ref="B213:G215"/>
    <mergeCell ref="H213:H215"/>
    <mergeCell ref="I213:I215"/>
    <mergeCell ref="J213:J215"/>
    <mergeCell ref="K213:K215"/>
    <mergeCell ref="V213:V215"/>
    <mergeCell ref="W213:AB215"/>
    <mergeCell ref="AC213:AC215"/>
    <mergeCell ref="AD213:AD215"/>
    <mergeCell ref="AE213:AJ215"/>
    <mergeCell ref="AK213:AK215"/>
    <mergeCell ref="AL213:AL215"/>
    <mergeCell ref="AM213:AR215"/>
    <mergeCell ref="AS213:AS215"/>
    <mergeCell ref="A210:A212"/>
    <mergeCell ref="V201:V203"/>
    <mergeCell ref="W201:AB203"/>
    <mergeCell ref="AC201:AC203"/>
    <mergeCell ref="AD201:AD203"/>
    <mergeCell ref="AE201:AJ203"/>
    <mergeCell ref="AK201:AK203"/>
    <mergeCell ref="AL201:AL203"/>
    <mergeCell ref="AM201:AR203"/>
    <mergeCell ref="AS201:AS203"/>
    <mergeCell ref="O210:T212"/>
    <mergeCell ref="U210:U212"/>
    <mergeCell ref="I210:I212"/>
    <mergeCell ref="J210:J212"/>
    <mergeCell ref="V204:V206"/>
    <mergeCell ref="W204:AB206"/>
    <mergeCell ref="AC204:AC206"/>
    <mergeCell ref="AD204:AD206"/>
    <mergeCell ref="AE204:AJ206"/>
    <mergeCell ref="AK204:AK206"/>
    <mergeCell ref="AL204:AL206"/>
    <mergeCell ref="AM204:AR206"/>
    <mergeCell ref="AS204:AS206"/>
    <mergeCell ref="I207:I209"/>
    <mergeCell ref="J207:J209"/>
    <mergeCell ref="K207:K209"/>
    <mergeCell ref="V207:V209"/>
    <mergeCell ref="W207:AB209"/>
    <mergeCell ref="AC207:AC209"/>
    <mergeCell ref="AD207:AD209"/>
    <mergeCell ref="AE207:AJ209"/>
    <mergeCell ref="AK207:AK209"/>
    <mergeCell ref="AL207:AL209"/>
    <mergeCell ref="W195:AC197"/>
    <mergeCell ref="AD195:AD197"/>
    <mergeCell ref="AE195:AK197"/>
    <mergeCell ref="AL195:AL197"/>
    <mergeCell ref="AM195:AS197"/>
    <mergeCell ref="BJ195:BO195"/>
    <mergeCell ref="I198:I200"/>
    <mergeCell ref="J198:J200"/>
    <mergeCell ref="K198:K200"/>
    <mergeCell ref="V198:V200"/>
    <mergeCell ref="W198:AB200"/>
    <mergeCell ref="AC198:AC200"/>
    <mergeCell ref="AD198:AD200"/>
    <mergeCell ref="AE198:AJ200"/>
    <mergeCell ref="AK198:AK200"/>
    <mergeCell ref="AL198:AL200"/>
    <mergeCell ref="AM198:AR200"/>
    <mergeCell ref="AS198:AS200"/>
    <mergeCell ref="I195:I197"/>
    <mergeCell ref="J195:J197"/>
    <mergeCell ref="K195:K197"/>
    <mergeCell ref="O195:U197"/>
    <mergeCell ref="BA178:BA180"/>
    <mergeCell ref="BB178:BB180"/>
    <mergeCell ref="BC178:BH180"/>
    <mergeCell ref="BI178:BI180"/>
    <mergeCell ref="AT181:AT183"/>
    <mergeCell ref="AU181:AZ183"/>
    <mergeCell ref="BA181:BA183"/>
    <mergeCell ref="BB181:BB183"/>
    <mergeCell ref="BC181:BH183"/>
    <mergeCell ref="BI181:BI183"/>
    <mergeCell ref="AT184:AT186"/>
    <mergeCell ref="AU184:AZ186"/>
    <mergeCell ref="BA184:BA186"/>
    <mergeCell ref="BB184:BB186"/>
    <mergeCell ref="BC184:BH186"/>
    <mergeCell ref="BI184:BI186"/>
    <mergeCell ref="AT187:AT189"/>
    <mergeCell ref="AU187:AZ189"/>
    <mergeCell ref="BA187:BA189"/>
    <mergeCell ref="BB187:BB189"/>
    <mergeCell ref="BC187:BH189"/>
    <mergeCell ref="BI187:BI189"/>
    <mergeCell ref="BC166:BH168"/>
    <mergeCell ref="BI166:BI168"/>
    <mergeCell ref="N169:N171"/>
    <mergeCell ref="O169:T171"/>
    <mergeCell ref="U169:U171"/>
    <mergeCell ref="V169:V171"/>
    <mergeCell ref="W169:AB171"/>
    <mergeCell ref="AC169:AC171"/>
    <mergeCell ref="AD169:AD171"/>
    <mergeCell ref="AE169:AJ171"/>
    <mergeCell ref="AK169:AK171"/>
    <mergeCell ref="AL169:AL171"/>
    <mergeCell ref="AM169:AR171"/>
    <mergeCell ref="AS169:AS171"/>
    <mergeCell ref="AT169:AT171"/>
    <mergeCell ref="AU169:AZ171"/>
    <mergeCell ref="BA169:BA171"/>
    <mergeCell ref="BB169:BB171"/>
    <mergeCell ref="BC169:BH171"/>
    <mergeCell ref="BI169:BI171"/>
    <mergeCell ref="A166:A168"/>
    <mergeCell ref="B166:G168"/>
    <mergeCell ref="H166:H168"/>
    <mergeCell ref="I166:I168"/>
    <mergeCell ref="J166:J168"/>
    <mergeCell ref="K166:K168"/>
    <mergeCell ref="L166:L168"/>
    <mergeCell ref="M166:M168"/>
    <mergeCell ref="N166:N168"/>
    <mergeCell ref="O166:T168"/>
    <mergeCell ref="U166:U168"/>
    <mergeCell ref="V166:V168"/>
    <mergeCell ref="W166:AB168"/>
    <mergeCell ref="A163:A165"/>
    <mergeCell ref="B163:G165"/>
    <mergeCell ref="H163:H165"/>
    <mergeCell ref="I163:I165"/>
    <mergeCell ref="J163:J165"/>
    <mergeCell ref="K163:K165"/>
    <mergeCell ref="V145:V147"/>
    <mergeCell ref="W145:AC147"/>
    <mergeCell ref="AD145:AD147"/>
    <mergeCell ref="AE145:AK147"/>
    <mergeCell ref="AL145:AL147"/>
    <mergeCell ref="AM145:AS147"/>
    <mergeCell ref="AT145:AT147"/>
    <mergeCell ref="AU145:BA147"/>
    <mergeCell ref="U157:U159"/>
    <mergeCell ref="V157:V159"/>
    <mergeCell ref="W157:AB159"/>
    <mergeCell ref="AC157:AC159"/>
    <mergeCell ref="AC148:AC150"/>
    <mergeCell ref="L163:L165"/>
    <mergeCell ref="M163:M165"/>
    <mergeCell ref="N163:N165"/>
    <mergeCell ref="O163:T165"/>
    <mergeCell ref="U163:U165"/>
    <mergeCell ref="V163:V165"/>
    <mergeCell ref="W163:AB165"/>
    <mergeCell ref="AC163:AC165"/>
    <mergeCell ref="AD163:AD165"/>
    <mergeCell ref="AE163:AJ165"/>
    <mergeCell ref="AK163:AK165"/>
    <mergeCell ref="AC160:AC162"/>
    <mergeCell ref="AD160:AD162"/>
    <mergeCell ref="AE160:AJ162"/>
    <mergeCell ref="AK160:AK162"/>
    <mergeCell ref="U154:U156"/>
    <mergeCell ref="V154:V156"/>
    <mergeCell ref="W154:AB156"/>
    <mergeCell ref="N160:N162"/>
    <mergeCell ref="BC154:BH156"/>
    <mergeCell ref="BI154:BI156"/>
    <mergeCell ref="M151:M153"/>
    <mergeCell ref="N151:N153"/>
    <mergeCell ref="O151:T153"/>
    <mergeCell ref="U151:U153"/>
    <mergeCell ref="V151:V153"/>
    <mergeCell ref="W151:AB153"/>
    <mergeCell ref="AC151:AC153"/>
    <mergeCell ref="AD151:AD153"/>
    <mergeCell ref="AE151:AJ153"/>
    <mergeCell ref="AK151:AK153"/>
    <mergeCell ref="AL151:AL153"/>
    <mergeCell ref="AM151:AR153"/>
    <mergeCell ref="AS151:AS153"/>
    <mergeCell ref="AT151:AT153"/>
    <mergeCell ref="AU151:AZ153"/>
    <mergeCell ref="BA151:BA153"/>
    <mergeCell ref="BB151:BB153"/>
    <mergeCell ref="AL154:AL156"/>
    <mergeCell ref="AM154:AR156"/>
    <mergeCell ref="AS154:AS156"/>
    <mergeCell ref="AT154:AT156"/>
    <mergeCell ref="AU154:AZ156"/>
    <mergeCell ref="BA154:BA156"/>
    <mergeCell ref="AC154:AC156"/>
    <mergeCell ref="AD154:AD156"/>
    <mergeCell ref="AE154:AJ156"/>
    <mergeCell ref="AK154:AK156"/>
    <mergeCell ref="N148:N150"/>
    <mergeCell ref="AD134:AD136"/>
    <mergeCell ref="AE134:AJ136"/>
    <mergeCell ref="AK134:AK136"/>
    <mergeCell ref="AL134:AL136"/>
    <mergeCell ref="AM134:AR136"/>
    <mergeCell ref="AS134:AS136"/>
    <mergeCell ref="AT134:AT136"/>
    <mergeCell ref="AU134:AZ136"/>
    <mergeCell ref="AD137:AD139"/>
    <mergeCell ref="AE137:AJ139"/>
    <mergeCell ref="AK137:AK139"/>
    <mergeCell ref="AT137:AT139"/>
    <mergeCell ref="AU137:AZ139"/>
    <mergeCell ref="A143:BM144"/>
    <mergeCell ref="A145:A147"/>
    <mergeCell ref="B145:G147"/>
    <mergeCell ref="H145:H147"/>
    <mergeCell ref="I145:I147"/>
    <mergeCell ref="J145:J147"/>
    <mergeCell ref="K145:K147"/>
    <mergeCell ref="L145:L147"/>
    <mergeCell ref="M145:M147"/>
    <mergeCell ref="N145:N147"/>
    <mergeCell ref="BB145:BB147"/>
    <mergeCell ref="BC145:BI147"/>
    <mergeCell ref="BJ145:BO145"/>
    <mergeCell ref="O145:U147"/>
    <mergeCell ref="BB134:BB136"/>
    <mergeCell ref="BC134:BH136"/>
    <mergeCell ref="BI134:BI136"/>
    <mergeCell ref="BA137:BA139"/>
    <mergeCell ref="BB137:BB139"/>
    <mergeCell ref="BC151:BH153"/>
    <mergeCell ref="BI151:BI153"/>
    <mergeCell ref="AD157:AD159"/>
    <mergeCell ref="AE157:AJ159"/>
    <mergeCell ref="AK157:AK159"/>
    <mergeCell ref="AL157:AL159"/>
    <mergeCell ref="AM157:AR159"/>
    <mergeCell ref="AS157:AS159"/>
    <mergeCell ref="AS172:AS174"/>
    <mergeCell ref="AT172:AT174"/>
    <mergeCell ref="AU172:AZ174"/>
    <mergeCell ref="BA172:BA174"/>
    <mergeCell ref="BB172:BB174"/>
    <mergeCell ref="BC172:BH174"/>
    <mergeCell ref="AT160:AT162"/>
    <mergeCell ref="AU160:AZ162"/>
    <mergeCell ref="BA160:BA162"/>
    <mergeCell ref="BB160:BB162"/>
    <mergeCell ref="BC160:BH162"/>
    <mergeCell ref="BI160:BI162"/>
    <mergeCell ref="AL163:AL165"/>
    <mergeCell ref="AM163:AR165"/>
    <mergeCell ref="AS163:AS165"/>
    <mergeCell ref="AT163:AT165"/>
    <mergeCell ref="AU163:AZ165"/>
    <mergeCell ref="BA163:BA165"/>
    <mergeCell ref="BB154:BB156"/>
    <mergeCell ref="BC157:BH159"/>
    <mergeCell ref="BI157:BI159"/>
    <mergeCell ref="AL160:AL162"/>
    <mergeCell ref="BI172:BI174"/>
    <mergeCell ref="AM95:AS97"/>
    <mergeCell ref="AT95:AT97"/>
    <mergeCell ref="AU95:BA97"/>
    <mergeCell ref="BB95:BB97"/>
    <mergeCell ref="BC95:BI97"/>
    <mergeCell ref="BJ95:BO95"/>
    <mergeCell ref="BC137:BH139"/>
    <mergeCell ref="BI137:BI139"/>
    <mergeCell ref="AL128:AL130"/>
    <mergeCell ref="AM128:AR130"/>
    <mergeCell ref="AS128:AS130"/>
    <mergeCell ref="AT128:AT130"/>
    <mergeCell ref="AU128:AZ130"/>
    <mergeCell ref="BA128:BA130"/>
    <mergeCell ref="BB128:BB130"/>
    <mergeCell ref="BC128:BH130"/>
    <mergeCell ref="BI128:BI130"/>
    <mergeCell ref="BI107:BI109"/>
    <mergeCell ref="BB113:BB115"/>
    <mergeCell ref="BC113:BH115"/>
    <mergeCell ref="BI113:BI115"/>
    <mergeCell ref="BC116:BH118"/>
    <mergeCell ref="BI116:BI118"/>
    <mergeCell ref="BC119:BH121"/>
    <mergeCell ref="BI119:BI121"/>
    <mergeCell ref="BB125:BB127"/>
    <mergeCell ref="BC125:BH127"/>
    <mergeCell ref="BI125:BI127"/>
    <mergeCell ref="BA122:BA124"/>
    <mergeCell ref="BB122:BB124"/>
    <mergeCell ref="BC122:BH124"/>
    <mergeCell ref="BA134:BA136"/>
    <mergeCell ref="Q5:S6"/>
    <mergeCell ref="T5:T6"/>
    <mergeCell ref="U5:W6"/>
    <mergeCell ref="AF3:AF4"/>
    <mergeCell ref="AG3:AI4"/>
    <mergeCell ref="AJ3:AJ4"/>
    <mergeCell ref="AK3:AM4"/>
    <mergeCell ref="AN3:AN4"/>
    <mergeCell ref="A5:C6"/>
    <mergeCell ref="D5:D6"/>
    <mergeCell ref="E5:G6"/>
    <mergeCell ref="H5:H6"/>
    <mergeCell ref="I5:K6"/>
    <mergeCell ref="T3:T4"/>
    <mergeCell ref="U3:W4"/>
    <mergeCell ref="X3:X4"/>
    <mergeCell ref="Y3:AA4"/>
    <mergeCell ref="AB3:AB4"/>
    <mergeCell ref="AC3:AE4"/>
    <mergeCell ref="A3:D4"/>
    <mergeCell ref="E3:G4"/>
    <mergeCell ref="H3:H4"/>
    <mergeCell ref="I3:K4"/>
    <mergeCell ref="L3:L4"/>
    <mergeCell ref="Q3:S4"/>
    <mergeCell ref="M3:O4"/>
    <mergeCell ref="P3:P4"/>
    <mergeCell ref="BJ9:BO9"/>
    <mergeCell ref="BJ10:BO39"/>
    <mergeCell ref="T11:T13"/>
    <mergeCell ref="U11:U13"/>
    <mergeCell ref="V11:V13"/>
    <mergeCell ref="A9:A10"/>
    <mergeCell ref="B9:H10"/>
    <mergeCell ref="I9:I10"/>
    <mergeCell ref="J9:J10"/>
    <mergeCell ref="L9:L10"/>
    <mergeCell ref="M9:S10"/>
    <mergeCell ref="AV5:AV6"/>
    <mergeCell ref="AW5:AY6"/>
    <mergeCell ref="AZ5:AZ6"/>
    <mergeCell ref="BK1:BM2"/>
    <mergeCell ref="BN1:BP2"/>
    <mergeCell ref="A7:BP8"/>
    <mergeCell ref="AJ5:AJ6"/>
    <mergeCell ref="AK5:AM6"/>
    <mergeCell ref="AN5:AN6"/>
    <mergeCell ref="AO5:AQ6"/>
    <mergeCell ref="AR5:AR6"/>
    <mergeCell ref="AS5:AU6"/>
    <mergeCell ref="X5:X6"/>
    <mergeCell ref="Y5:AA6"/>
    <mergeCell ref="AB5:AB6"/>
    <mergeCell ref="AC5:AE6"/>
    <mergeCell ref="AF5:AF6"/>
    <mergeCell ref="AG5:AI6"/>
    <mergeCell ref="L5:L6"/>
    <mergeCell ref="M5:O6"/>
    <mergeCell ref="P5:P6"/>
    <mergeCell ref="W11:AC13"/>
    <mergeCell ref="AD11:AD13"/>
    <mergeCell ref="A14:A16"/>
    <mergeCell ref="B14:H16"/>
    <mergeCell ref="I14:I16"/>
    <mergeCell ref="J14:J16"/>
    <mergeCell ref="L14:L16"/>
    <mergeCell ref="M14:S16"/>
    <mergeCell ref="T14:T16"/>
    <mergeCell ref="U14:U16"/>
    <mergeCell ref="A11:A13"/>
    <mergeCell ref="B11:H13"/>
    <mergeCell ref="I11:I13"/>
    <mergeCell ref="J11:J13"/>
    <mergeCell ref="L11:L13"/>
    <mergeCell ref="M11:S13"/>
    <mergeCell ref="T9:T10"/>
    <mergeCell ref="U9:U10"/>
    <mergeCell ref="V9:V10"/>
    <mergeCell ref="W9:AC10"/>
    <mergeCell ref="AD9:AD10"/>
    <mergeCell ref="K9:K10"/>
    <mergeCell ref="K11:K13"/>
    <mergeCell ref="U17:U19"/>
    <mergeCell ref="V17:V19"/>
    <mergeCell ref="W17:AC19"/>
    <mergeCell ref="AD17:AD19"/>
    <mergeCell ref="A20:A22"/>
    <mergeCell ref="B20:H22"/>
    <mergeCell ref="I20:I22"/>
    <mergeCell ref="J20:J22"/>
    <mergeCell ref="L20:L22"/>
    <mergeCell ref="M20:S22"/>
    <mergeCell ref="V14:V16"/>
    <mergeCell ref="W14:AC16"/>
    <mergeCell ref="AD14:AD16"/>
    <mergeCell ref="A17:A19"/>
    <mergeCell ref="B17:H19"/>
    <mergeCell ref="I17:I19"/>
    <mergeCell ref="J17:J19"/>
    <mergeCell ref="L17:L19"/>
    <mergeCell ref="M17:S19"/>
    <mergeCell ref="T17:T19"/>
    <mergeCell ref="K14:K16"/>
    <mergeCell ref="K17:K19"/>
    <mergeCell ref="AD23:AD25"/>
    <mergeCell ref="A26:A28"/>
    <mergeCell ref="B26:H28"/>
    <mergeCell ref="I26:I28"/>
    <mergeCell ref="J26:J28"/>
    <mergeCell ref="L26:L28"/>
    <mergeCell ref="M26:M28"/>
    <mergeCell ref="N26:S28"/>
    <mergeCell ref="T26:T28"/>
    <mergeCell ref="U26:U28"/>
    <mergeCell ref="M23:M25"/>
    <mergeCell ref="N23:S25"/>
    <mergeCell ref="T23:T25"/>
    <mergeCell ref="U23:U25"/>
    <mergeCell ref="V23:V25"/>
    <mergeCell ref="W23:AC25"/>
    <mergeCell ref="T20:T22"/>
    <mergeCell ref="U20:U22"/>
    <mergeCell ref="V20:V22"/>
    <mergeCell ref="W20:AC22"/>
    <mergeCell ref="AD20:AD22"/>
    <mergeCell ref="A23:A25"/>
    <mergeCell ref="B23:H25"/>
    <mergeCell ref="I23:I25"/>
    <mergeCell ref="J23:J25"/>
    <mergeCell ref="L23:L25"/>
    <mergeCell ref="K20:K22"/>
    <mergeCell ref="K23:K25"/>
    <mergeCell ref="U29:U31"/>
    <mergeCell ref="V29:V31"/>
    <mergeCell ref="W29:AC31"/>
    <mergeCell ref="AD29:AD31"/>
    <mergeCell ref="A32:F32"/>
    <mergeCell ref="L32:Q32"/>
    <mergeCell ref="V32:V34"/>
    <mergeCell ref="W32:AC34"/>
    <mergeCell ref="AD32:AD34"/>
    <mergeCell ref="V26:V28"/>
    <mergeCell ref="W26:AC28"/>
    <mergeCell ref="AD26:AD28"/>
    <mergeCell ref="A29:A31"/>
    <mergeCell ref="B29:H31"/>
    <mergeCell ref="I29:I31"/>
    <mergeCell ref="J29:J31"/>
    <mergeCell ref="L29:L31"/>
    <mergeCell ref="M29:S31"/>
    <mergeCell ref="T29:T31"/>
    <mergeCell ref="K26:K28"/>
    <mergeCell ref="K29:K31"/>
    <mergeCell ref="A45:BM46"/>
    <mergeCell ref="A47:A49"/>
    <mergeCell ref="B47:G49"/>
    <mergeCell ref="H47:H49"/>
    <mergeCell ref="I47:I49"/>
    <mergeCell ref="J47:J49"/>
    <mergeCell ref="K47:K49"/>
    <mergeCell ref="L47:L49"/>
    <mergeCell ref="M47:M49"/>
    <mergeCell ref="N47:N49"/>
    <mergeCell ref="A39:A41"/>
    <mergeCell ref="B39:H41"/>
    <mergeCell ref="I39:I41"/>
    <mergeCell ref="J39:J41"/>
    <mergeCell ref="V41:AA41"/>
    <mergeCell ref="A42:F42"/>
    <mergeCell ref="V35:V37"/>
    <mergeCell ref="W35:AC37"/>
    <mergeCell ref="AD35:AD37"/>
    <mergeCell ref="A37:A38"/>
    <mergeCell ref="B37:H38"/>
    <mergeCell ref="I37:I38"/>
    <mergeCell ref="J37:J38"/>
    <mergeCell ref="V38:V40"/>
    <mergeCell ref="W38:AC40"/>
    <mergeCell ref="AD38:AD40"/>
    <mergeCell ref="K37:K38"/>
    <mergeCell ref="K39:K41"/>
    <mergeCell ref="BJ48:BO78"/>
    <mergeCell ref="BI53:BI55"/>
    <mergeCell ref="A50:A52"/>
    <mergeCell ref="B50:G52"/>
    <mergeCell ref="AU47:AZ49"/>
    <mergeCell ref="BA47:BA49"/>
    <mergeCell ref="BB47:BB49"/>
    <mergeCell ref="BC47:BH49"/>
    <mergeCell ref="BI47:BI49"/>
    <mergeCell ref="BJ47:BO47"/>
    <mergeCell ref="BC50:BH52"/>
    <mergeCell ref="BI50:BI52"/>
    <mergeCell ref="BC53:BH55"/>
    <mergeCell ref="AE47:AJ49"/>
    <mergeCell ref="AK47:AK49"/>
    <mergeCell ref="AL47:AL49"/>
    <mergeCell ref="AM47:AR49"/>
    <mergeCell ref="AS47:AS49"/>
    <mergeCell ref="AT47:AT49"/>
    <mergeCell ref="O47:T49"/>
    <mergeCell ref="U47:U49"/>
    <mergeCell ref="V47:V49"/>
    <mergeCell ref="W47:AB49"/>
    <mergeCell ref="AC47:AC49"/>
    <mergeCell ref="AD47:AD49"/>
    <mergeCell ref="AM50:AR52"/>
    <mergeCell ref="A53:A55"/>
    <mergeCell ref="B53:G55"/>
    <mergeCell ref="H53:H55"/>
    <mergeCell ref="I53:I55"/>
    <mergeCell ref="AT50:AT52"/>
    <mergeCell ref="AU50:AZ52"/>
    <mergeCell ref="BA50:BA52"/>
    <mergeCell ref="BB50:BB52"/>
    <mergeCell ref="W50:AB52"/>
    <mergeCell ref="AC50:AC52"/>
    <mergeCell ref="AD50:AD52"/>
    <mergeCell ref="AE50:AJ52"/>
    <mergeCell ref="AK50:AK52"/>
    <mergeCell ref="AL50:AL52"/>
    <mergeCell ref="L50:L52"/>
    <mergeCell ref="M50:M52"/>
    <mergeCell ref="N50:N52"/>
    <mergeCell ref="O50:T52"/>
    <mergeCell ref="U50:U52"/>
    <mergeCell ref="V50:V52"/>
    <mergeCell ref="AS50:AS52"/>
    <mergeCell ref="H50:H52"/>
    <mergeCell ref="I50:I52"/>
    <mergeCell ref="J50:J52"/>
    <mergeCell ref="K50:K52"/>
    <mergeCell ref="J53:J55"/>
    <mergeCell ref="K53:K55"/>
    <mergeCell ref="H56:H58"/>
    <mergeCell ref="I56:I58"/>
    <mergeCell ref="J56:J58"/>
    <mergeCell ref="K56:K58"/>
    <mergeCell ref="L56:L58"/>
    <mergeCell ref="M56:M58"/>
    <mergeCell ref="N56:N58"/>
    <mergeCell ref="AM53:AR55"/>
    <mergeCell ref="AS53:AS55"/>
    <mergeCell ref="AT53:AT55"/>
    <mergeCell ref="AU53:AZ55"/>
    <mergeCell ref="BA53:BA55"/>
    <mergeCell ref="BB53:BB55"/>
    <mergeCell ref="W53:AB55"/>
    <mergeCell ref="AC53:AC55"/>
    <mergeCell ref="AD53:AD55"/>
    <mergeCell ref="AE53:AJ55"/>
    <mergeCell ref="AK53:AK55"/>
    <mergeCell ref="AL53:AL55"/>
    <mergeCell ref="L53:L55"/>
    <mergeCell ref="M53:M55"/>
    <mergeCell ref="N53:N55"/>
    <mergeCell ref="O53:T55"/>
    <mergeCell ref="U53:U55"/>
    <mergeCell ref="V53:V55"/>
    <mergeCell ref="AE59:AJ61"/>
    <mergeCell ref="AK59:AK61"/>
    <mergeCell ref="K59:K61"/>
    <mergeCell ref="L59:L61"/>
    <mergeCell ref="M59:M61"/>
    <mergeCell ref="N59:N61"/>
    <mergeCell ref="O59:T61"/>
    <mergeCell ref="U59:U61"/>
    <mergeCell ref="AU56:AZ58"/>
    <mergeCell ref="BA56:BA58"/>
    <mergeCell ref="BB56:BB58"/>
    <mergeCell ref="BC56:BH58"/>
    <mergeCell ref="BI56:BI58"/>
    <mergeCell ref="A59:A61"/>
    <mergeCell ref="B59:G61"/>
    <mergeCell ref="H59:H61"/>
    <mergeCell ref="I59:I61"/>
    <mergeCell ref="J59:J61"/>
    <mergeCell ref="AE56:AJ58"/>
    <mergeCell ref="AK56:AK58"/>
    <mergeCell ref="AL56:AL58"/>
    <mergeCell ref="AM56:AR58"/>
    <mergeCell ref="AS56:AS58"/>
    <mergeCell ref="AT56:AT58"/>
    <mergeCell ref="O56:T58"/>
    <mergeCell ref="U56:U58"/>
    <mergeCell ref="V56:V58"/>
    <mergeCell ref="W56:AB58"/>
    <mergeCell ref="AC56:AC58"/>
    <mergeCell ref="AD56:AD58"/>
    <mergeCell ref="A56:A58"/>
    <mergeCell ref="B56:G58"/>
    <mergeCell ref="AC62:AC64"/>
    <mergeCell ref="AD62:AD64"/>
    <mergeCell ref="AE62:AJ64"/>
    <mergeCell ref="AK62:AK64"/>
    <mergeCell ref="AL62:AL64"/>
    <mergeCell ref="AM62:AR64"/>
    <mergeCell ref="M62:M64"/>
    <mergeCell ref="N62:N64"/>
    <mergeCell ref="O62:T64"/>
    <mergeCell ref="U62:U64"/>
    <mergeCell ref="V62:V64"/>
    <mergeCell ref="W62:AB64"/>
    <mergeCell ref="BB59:BB61"/>
    <mergeCell ref="BC59:BH61"/>
    <mergeCell ref="BI59:BI61"/>
    <mergeCell ref="A62:A64"/>
    <mergeCell ref="B62:G64"/>
    <mergeCell ref="H62:H64"/>
    <mergeCell ref="I62:I64"/>
    <mergeCell ref="J62:J64"/>
    <mergeCell ref="K62:K64"/>
    <mergeCell ref="L62:L64"/>
    <mergeCell ref="AL59:AL61"/>
    <mergeCell ref="AM59:AR61"/>
    <mergeCell ref="AS59:AS61"/>
    <mergeCell ref="AT59:AT61"/>
    <mergeCell ref="AU59:AZ61"/>
    <mergeCell ref="BA59:BA61"/>
    <mergeCell ref="V59:V61"/>
    <mergeCell ref="W59:AB61"/>
    <mergeCell ref="AC59:AC61"/>
    <mergeCell ref="AD59:AD61"/>
    <mergeCell ref="AU65:AZ67"/>
    <mergeCell ref="BA65:BA67"/>
    <mergeCell ref="BB65:BB67"/>
    <mergeCell ref="BC65:BH67"/>
    <mergeCell ref="BI65:BI67"/>
    <mergeCell ref="A68:A70"/>
    <mergeCell ref="B68:G70"/>
    <mergeCell ref="H68:H70"/>
    <mergeCell ref="I68:I70"/>
    <mergeCell ref="J68:J70"/>
    <mergeCell ref="AE65:AJ67"/>
    <mergeCell ref="AK65:AK67"/>
    <mergeCell ref="AL65:AL67"/>
    <mergeCell ref="AM65:AR67"/>
    <mergeCell ref="AS65:AS67"/>
    <mergeCell ref="AT65:AT67"/>
    <mergeCell ref="BI62:BI64"/>
    <mergeCell ref="A65:A67"/>
    <mergeCell ref="B65:G67"/>
    <mergeCell ref="H65:H67"/>
    <mergeCell ref="I65:I67"/>
    <mergeCell ref="J65:J67"/>
    <mergeCell ref="K65:K67"/>
    <mergeCell ref="L65:L67"/>
    <mergeCell ref="M65:M67"/>
    <mergeCell ref="AD65:AD67"/>
    <mergeCell ref="AS62:AS64"/>
    <mergeCell ref="AT62:AT64"/>
    <mergeCell ref="AU62:AZ64"/>
    <mergeCell ref="BA62:BA64"/>
    <mergeCell ref="BB62:BB64"/>
    <mergeCell ref="BC62:BH64"/>
    <mergeCell ref="BB68:BB70"/>
    <mergeCell ref="BC68:BH70"/>
    <mergeCell ref="BI68:BI70"/>
    <mergeCell ref="A71:A73"/>
    <mergeCell ref="B71:G73"/>
    <mergeCell ref="H71:H73"/>
    <mergeCell ref="I71:I73"/>
    <mergeCell ref="J71:J73"/>
    <mergeCell ref="K71:K73"/>
    <mergeCell ref="L71:L73"/>
    <mergeCell ref="AL68:AL70"/>
    <mergeCell ref="AM68:AR70"/>
    <mergeCell ref="AS68:AS70"/>
    <mergeCell ref="AT68:AT70"/>
    <mergeCell ref="AU68:AZ70"/>
    <mergeCell ref="BA68:BA70"/>
    <mergeCell ref="K68:K70"/>
    <mergeCell ref="L68:L70"/>
    <mergeCell ref="M68:M70"/>
    <mergeCell ref="AD68:AD70"/>
    <mergeCell ref="AE68:AJ70"/>
    <mergeCell ref="AK68:AK70"/>
    <mergeCell ref="AS71:AS73"/>
    <mergeCell ref="AT71:AT73"/>
    <mergeCell ref="AU71:AZ73"/>
    <mergeCell ref="BA71:BA73"/>
    <mergeCell ref="AD74:AD76"/>
    <mergeCell ref="AE74:AJ76"/>
    <mergeCell ref="AK74:AK76"/>
    <mergeCell ref="AL74:AL76"/>
    <mergeCell ref="AM74:AR76"/>
    <mergeCell ref="AS74:AS76"/>
    <mergeCell ref="M71:M73"/>
    <mergeCell ref="AD71:AD73"/>
    <mergeCell ref="AE71:AJ73"/>
    <mergeCell ref="AK71:AK73"/>
    <mergeCell ref="AL71:AL73"/>
    <mergeCell ref="AM71:AR73"/>
    <mergeCell ref="L74:L76"/>
    <mergeCell ref="M74:M76"/>
    <mergeCell ref="L98:L100"/>
    <mergeCell ref="M98:M100"/>
    <mergeCell ref="N98:N100"/>
    <mergeCell ref="O98:T100"/>
    <mergeCell ref="A93:BM94"/>
    <mergeCell ref="A95:A97"/>
    <mergeCell ref="B95:G97"/>
    <mergeCell ref="H95:H97"/>
    <mergeCell ref="I95:I97"/>
    <mergeCell ref="J95:J97"/>
    <mergeCell ref="K95:K97"/>
    <mergeCell ref="L95:L97"/>
    <mergeCell ref="M95:M97"/>
    <mergeCell ref="N95:N97"/>
    <mergeCell ref="O95:U97"/>
    <mergeCell ref="V95:V97"/>
    <mergeCell ref="W95:AC97"/>
    <mergeCell ref="AD95:AD97"/>
    <mergeCell ref="AE95:AK97"/>
    <mergeCell ref="U98:U100"/>
    <mergeCell ref="V98:V100"/>
    <mergeCell ref="A98:A100"/>
    <mergeCell ref="B98:G100"/>
    <mergeCell ref="H98:H100"/>
    <mergeCell ref="I98:I100"/>
    <mergeCell ref="J98:J100"/>
    <mergeCell ref="K98:K100"/>
    <mergeCell ref="BA101:BA103"/>
    <mergeCell ref="BB101:BB103"/>
    <mergeCell ref="BC101:BH103"/>
    <mergeCell ref="BI101:BI103"/>
    <mergeCell ref="O101:T103"/>
    <mergeCell ref="U101:U103"/>
    <mergeCell ref="V101:V103"/>
    <mergeCell ref="W101:AB103"/>
    <mergeCell ref="AC101:AC103"/>
    <mergeCell ref="BC98:BH100"/>
    <mergeCell ref="BI98:BI100"/>
    <mergeCell ref="AM98:AR100"/>
    <mergeCell ref="AS98:AS100"/>
    <mergeCell ref="AT98:AT100"/>
    <mergeCell ref="AU98:AZ100"/>
    <mergeCell ref="BA98:BA100"/>
    <mergeCell ref="BB98:BB100"/>
    <mergeCell ref="W98:AB100"/>
    <mergeCell ref="AC98:AC100"/>
    <mergeCell ref="AD98:AD100"/>
    <mergeCell ref="AE98:AJ100"/>
    <mergeCell ref="AK98:AK100"/>
    <mergeCell ref="AL95:AL97"/>
    <mergeCell ref="AL98:AL100"/>
    <mergeCell ref="J104:J106"/>
    <mergeCell ref="K104:K106"/>
    <mergeCell ref="AT101:AT103"/>
    <mergeCell ref="AU101:AZ103"/>
    <mergeCell ref="A101:A103"/>
    <mergeCell ref="B101:G103"/>
    <mergeCell ref="H101:H103"/>
    <mergeCell ref="I101:I103"/>
    <mergeCell ref="J101:J103"/>
    <mergeCell ref="K101:K103"/>
    <mergeCell ref="L101:L103"/>
    <mergeCell ref="M101:M103"/>
    <mergeCell ref="AD101:AD103"/>
    <mergeCell ref="AE101:AJ103"/>
    <mergeCell ref="AK101:AK103"/>
    <mergeCell ref="AL101:AL103"/>
    <mergeCell ref="AM101:AR103"/>
    <mergeCell ref="AS101:AS103"/>
    <mergeCell ref="N101:N103"/>
    <mergeCell ref="BC104:BH106"/>
    <mergeCell ref="BI104:BI106"/>
    <mergeCell ref="A107:A109"/>
    <mergeCell ref="B107:G109"/>
    <mergeCell ref="H107:H109"/>
    <mergeCell ref="I107:I109"/>
    <mergeCell ref="J107:J109"/>
    <mergeCell ref="K107:K109"/>
    <mergeCell ref="L107:L109"/>
    <mergeCell ref="M107:M109"/>
    <mergeCell ref="AM104:AR106"/>
    <mergeCell ref="AS104:AS106"/>
    <mergeCell ref="AT104:AT106"/>
    <mergeCell ref="AU104:AZ106"/>
    <mergeCell ref="BA104:BA106"/>
    <mergeCell ref="BB104:BB106"/>
    <mergeCell ref="W104:AB106"/>
    <mergeCell ref="AC104:AC106"/>
    <mergeCell ref="AD104:AD106"/>
    <mergeCell ref="AE104:AJ106"/>
    <mergeCell ref="AK104:AK106"/>
    <mergeCell ref="AL104:AL106"/>
    <mergeCell ref="L104:L106"/>
    <mergeCell ref="M104:M106"/>
    <mergeCell ref="N104:N106"/>
    <mergeCell ref="O104:T106"/>
    <mergeCell ref="U104:U106"/>
    <mergeCell ref="V104:V106"/>
    <mergeCell ref="A104:A106"/>
    <mergeCell ref="B104:G106"/>
    <mergeCell ref="H104:H106"/>
    <mergeCell ref="I104:I106"/>
    <mergeCell ref="A110:A112"/>
    <mergeCell ref="B110:G112"/>
    <mergeCell ref="H110:H112"/>
    <mergeCell ref="I110:I112"/>
    <mergeCell ref="J110:J112"/>
    <mergeCell ref="K110:K112"/>
    <mergeCell ref="AT107:AT109"/>
    <mergeCell ref="AU107:AZ109"/>
    <mergeCell ref="BA107:BA109"/>
    <mergeCell ref="BB107:BB109"/>
    <mergeCell ref="BC107:BH109"/>
    <mergeCell ref="AD107:AD109"/>
    <mergeCell ref="AE107:AJ109"/>
    <mergeCell ref="AK107:AK109"/>
    <mergeCell ref="AL107:AL109"/>
    <mergeCell ref="AM107:AR109"/>
    <mergeCell ref="AS107:AS109"/>
    <mergeCell ref="N107:N109"/>
    <mergeCell ref="O107:T109"/>
    <mergeCell ref="U107:U109"/>
    <mergeCell ref="V107:V109"/>
    <mergeCell ref="W107:AB109"/>
    <mergeCell ref="AC107:AC109"/>
    <mergeCell ref="BC110:BH112"/>
    <mergeCell ref="BI110:BI112"/>
    <mergeCell ref="AM110:AR112"/>
    <mergeCell ref="AS110:AS112"/>
    <mergeCell ref="AT110:AT112"/>
    <mergeCell ref="AU110:AZ112"/>
    <mergeCell ref="BA110:BA112"/>
    <mergeCell ref="BB110:BB112"/>
    <mergeCell ref="W110:AB112"/>
    <mergeCell ref="AC110:AC112"/>
    <mergeCell ref="AD110:AD112"/>
    <mergeCell ref="AE110:AJ112"/>
    <mergeCell ref="AK110:AK112"/>
    <mergeCell ref="AL110:AL112"/>
    <mergeCell ref="L110:L112"/>
    <mergeCell ref="M110:M112"/>
    <mergeCell ref="N110:N112"/>
    <mergeCell ref="O110:T112"/>
    <mergeCell ref="U110:U112"/>
    <mergeCell ref="V110:V112"/>
    <mergeCell ref="A116:A118"/>
    <mergeCell ref="B116:G118"/>
    <mergeCell ref="H116:H118"/>
    <mergeCell ref="I116:I118"/>
    <mergeCell ref="J116:J118"/>
    <mergeCell ref="K116:K118"/>
    <mergeCell ref="AT113:AT115"/>
    <mergeCell ref="AU113:AZ115"/>
    <mergeCell ref="BA113:BA115"/>
    <mergeCell ref="A113:A115"/>
    <mergeCell ref="B113:G115"/>
    <mergeCell ref="H113:H115"/>
    <mergeCell ref="I113:I115"/>
    <mergeCell ref="J113:J115"/>
    <mergeCell ref="K113:K115"/>
    <mergeCell ref="L113:L115"/>
    <mergeCell ref="M113:M115"/>
    <mergeCell ref="AD113:AD115"/>
    <mergeCell ref="AE113:AJ115"/>
    <mergeCell ref="AK113:AK115"/>
    <mergeCell ref="AL113:AL115"/>
    <mergeCell ref="AM113:AR115"/>
    <mergeCell ref="AS113:AS115"/>
    <mergeCell ref="N113:N115"/>
    <mergeCell ref="O113:T115"/>
    <mergeCell ref="U113:U115"/>
    <mergeCell ref="V113:V115"/>
    <mergeCell ref="W113:AB115"/>
    <mergeCell ref="AC113:AC115"/>
    <mergeCell ref="AM116:AR118"/>
    <mergeCell ref="AS116:AS118"/>
    <mergeCell ref="AT116:AT118"/>
    <mergeCell ref="AU116:AZ118"/>
    <mergeCell ref="BA116:BA118"/>
    <mergeCell ref="BB116:BB118"/>
    <mergeCell ref="W116:AB118"/>
    <mergeCell ref="AC116:AC118"/>
    <mergeCell ref="AD116:AD118"/>
    <mergeCell ref="AE116:AJ118"/>
    <mergeCell ref="AK116:AK118"/>
    <mergeCell ref="AL116:AL118"/>
    <mergeCell ref="BA119:BA121"/>
    <mergeCell ref="BB119:BB121"/>
    <mergeCell ref="L116:L118"/>
    <mergeCell ref="M116:M118"/>
    <mergeCell ref="N116:N118"/>
    <mergeCell ref="O116:T118"/>
    <mergeCell ref="U116:U118"/>
    <mergeCell ref="V116:V118"/>
    <mergeCell ref="N122:N124"/>
    <mergeCell ref="O122:T124"/>
    <mergeCell ref="U122:U124"/>
    <mergeCell ref="V122:V124"/>
    <mergeCell ref="W122:AB124"/>
    <mergeCell ref="AC122:AC124"/>
    <mergeCell ref="AK119:AK121"/>
    <mergeCell ref="AL119:AL121"/>
    <mergeCell ref="AM119:AR121"/>
    <mergeCell ref="AS119:AS121"/>
    <mergeCell ref="AT119:AT121"/>
    <mergeCell ref="AU119:AZ121"/>
    <mergeCell ref="O125:T127"/>
    <mergeCell ref="U125:U127"/>
    <mergeCell ref="V125:V127"/>
    <mergeCell ref="W125:AB127"/>
    <mergeCell ref="AC125:AC127"/>
    <mergeCell ref="AT122:AT124"/>
    <mergeCell ref="AU122:AZ124"/>
    <mergeCell ref="N119:N121"/>
    <mergeCell ref="O119:T121"/>
    <mergeCell ref="U119:U121"/>
    <mergeCell ref="V119:V121"/>
    <mergeCell ref="W119:AB121"/>
    <mergeCell ref="AC119:AC121"/>
    <mergeCell ref="AD119:AD121"/>
    <mergeCell ref="AE119:AJ121"/>
    <mergeCell ref="BI122:BI124"/>
    <mergeCell ref="AD122:AD124"/>
    <mergeCell ref="AE122:AJ124"/>
    <mergeCell ref="AK122:AK124"/>
    <mergeCell ref="AL122:AL124"/>
    <mergeCell ref="AM122:AR124"/>
    <mergeCell ref="AS122:AS124"/>
    <mergeCell ref="AD148:AD150"/>
    <mergeCell ref="AE148:AJ150"/>
    <mergeCell ref="AK148:AK150"/>
    <mergeCell ref="AL148:AL150"/>
    <mergeCell ref="AM148:AR150"/>
    <mergeCell ref="AS148:AS150"/>
    <mergeCell ref="AT148:AT150"/>
    <mergeCell ref="AU148:AZ150"/>
    <mergeCell ref="BA148:BA150"/>
    <mergeCell ref="BB148:BB150"/>
    <mergeCell ref="BC148:BH150"/>
    <mergeCell ref="BI148:BI150"/>
    <mergeCell ref="AD131:AD133"/>
    <mergeCell ref="AE131:AJ133"/>
    <mergeCell ref="AK131:AK133"/>
    <mergeCell ref="AL131:AL133"/>
    <mergeCell ref="AM131:AR133"/>
    <mergeCell ref="AS131:AS133"/>
    <mergeCell ref="AT131:AT133"/>
    <mergeCell ref="AU131:AZ133"/>
    <mergeCell ref="BA131:BA133"/>
    <mergeCell ref="BB131:BB133"/>
    <mergeCell ref="BC131:BH133"/>
    <mergeCell ref="BI131:BI133"/>
    <mergeCell ref="AE128:AJ130"/>
    <mergeCell ref="N131:N133"/>
    <mergeCell ref="O131:T133"/>
    <mergeCell ref="U131:U133"/>
    <mergeCell ref="AT125:AT127"/>
    <mergeCell ref="AU125:AZ127"/>
    <mergeCell ref="BA125:BA127"/>
    <mergeCell ref="N128:N130"/>
    <mergeCell ref="O128:T130"/>
    <mergeCell ref="U128:U130"/>
    <mergeCell ref="V128:V130"/>
    <mergeCell ref="W128:AB130"/>
    <mergeCell ref="AC128:AC130"/>
    <mergeCell ref="AD128:AD130"/>
    <mergeCell ref="AD125:AD127"/>
    <mergeCell ref="AE125:AJ127"/>
    <mergeCell ref="AK125:AK127"/>
    <mergeCell ref="AL125:AL127"/>
    <mergeCell ref="AM125:AR127"/>
    <mergeCell ref="AS125:AS127"/>
    <mergeCell ref="N125:N127"/>
    <mergeCell ref="AK128:AK130"/>
    <mergeCell ref="B151:G153"/>
    <mergeCell ref="H151:H153"/>
    <mergeCell ref="I151:I153"/>
    <mergeCell ref="J151:J153"/>
    <mergeCell ref="K151:K153"/>
    <mergeCell ref="L151:L153"/>
    <mergeCell ref="A157:A159"/>
    <mergeCell ref="B157:G159"/>
    <mergeCell ref="H157:H159"/>
    <mergeCell ref="I157:I159"/>
    <mergeCell ref="J157:J159"/>
    <mergeCell ref="K157:K159"/>
    <mergeCell ref="L157:L159"/>
    <mergeCell ref="M157:M159"/>
    <mergeCell ref="N157:N159"/>
    <mergeCell ref="O157:T159"/>
    <mergeCell ref="A154:A156"/>
    <mergeCell ref="B154:G156"/>
    <mergeCell ref="H154:H156"/>
    <mergeCell ref="I154:I156"/>
    <mergeCell ref="J154:J156"/>
    <mergeCell ref="K154:K156"/>
    <mergeCell ref="L154:L156"/>
    <mergeCell ref="M154:M156"/>
    <mergeCell ref="N154:N156"/>
    <mergeCell ref="O154:T156"/>
    <mergeCell ref="N175:N177"/>
    <mergeCell ref="O175:T177"/>
    <mergeCell ref="U175:U177"/>
    <mergeCell ref="V175:V177"/>
    <mergeCell ref="W175:AB177"/>
    <mergeCell ref="AC175:AC177"/>
    <mergeCell ref="AD175:AD177"/>
    <mergeCell ref="AE175:AJ177"/>
    <mergeCell ref="AK175:AK177"/>
    <mergeCell ref="AT175:AT177"/>
    <mergeCell ref="AU175:AZ177"/>
    <mergeCell ref="BA175:BA177"/>
    <mergeCell ref="BB175:BB177"/>
    <mergeCell ref="BC175:BH177"/>
    <mergeCell ref="BI175:BI177"/>
    <mergeCell ref="AM160:AR162"/>
    <mergeCell ref="AS160:AS162"/>
    <mergeCell ref="O160:T162"/>
    <mergeCell ref="U160:U162"/>
    <mergeCell ref="V160:V162"/>
    <mergeCell ref="W160:AB162"/>
    <mergeCell ref="AC166:AC168"/>
    <mergeCell ref="AD166:AD168"/>
    <mergeCell ref="AE166:AJ168"/>
    <mergeCell ref="AK166:AK168"/>
    <mergeCell ref="AL166:AL168"/>
    <mergeCell ref="AM166:AR168"/>
    <mergeCell ref="AS166:AS168"/>
    <mergeCell ref="AT166:AT168"/>
    <mergeCell ref="AU166:AZ168"/>
    <mergeCell ref="BA166:BA168"/>
    <mergeCell ref="BB166:BB168"/>
    <mergeCell ref="O178:T180"/>
    <mergeCell ref="U178:U180"/>
    <mergeCell ref="AT178:AT180"/>
    <mergeCell ref="AU178:AZ180"/>
    <mergeCell ref="N172:N174"/>
    <mergeCell ref="O172:T174"/>
    <mergeCell ref="U172:U174"/>
    <mergeCell ref="V172:V174"/>
    <mergeCell ref="W172:AB174"/>
    <mergeCell ref="AC172:AC174"/>
    <mergeCell ref="AD172:AD174"/>
    <mergeCell ref="AE172:AJ174"/>
    <mergeCell ref="AK172:AK174"/>
    <mergeCell ref="AL172:AL174"/>
    <mergeCell ref="AM172:AR174"/>
    <mergeCell ref="A201:A203"/>
    <mergeCell ref="B201:G203"/>
    <mergeCell ref="H201:H203"/>
    <mergeCell ref="N201:N203"/>
    <mergeCell ref="O201:T203"/>
    <mergeCell ref="U201:U203"/>
    <mergeCell ref="A198:A200"/>
    <mergeCell ref="B198:G200"/>
    <mergeCell ref="H198:H200"/>
    <mergeCell ref="N198:N200"/>
    <mergeCell ref="O198:T200"/>
    <mergeCell ref="U198:U200"/>
    <mergeCell ref="A195:A197"/>
    <mergeCell ref="B195:G197"/>
    <mergeCell ref="H195:H197"/>
    <mergeCell ref="N195:N197"/>
    <mergeCell ref="V195:V197"/>
    <mergeCell ref="A207:A209"/>
    <mergeCell ref="B207:G209"/>
    <mergeCell ref="H207:H209"/>
    <mergeCell ref="N207:N209"/>
    <mergeCell ref="O207:T209"/>
    <mergeCell ref="U207:U209"/>
    <mergeCell ref="A204:A206"/>
    <mergeCell ref="B204:G206"/>
    <mergeCell ref="H204:H206"/>
    <mergeCell ref="N204:N206"/>
    <mergeCell ref="O204:T206"/>
    <mergeCell ref="U204:U206"/>
    <mergeCell ref="I204:I206"/>
    <mergeCell ref="J204:J206"/>
    <mergeCell ref="K204:K206"/>
    <mergeCell ref="I201:I203"/>
    <mergeCell ref="J201:J203"/>
    <mergeCell ref="K201:K203"/>
    <mergeCell ref="V65:V67"/>
    <mergeCell ref="W65:AB67"/>
    <mergeCell ref="AC65:AC67"/>
    <mergeCell ref="N231:N233"/>
    <mergeCell ref="O231:T233"/>
    <mergeCell ref="U231:U233"/>
    <mergeCell ref="N234:N236"/>
    <mergeCell ref="O234:T236"/>
    <mergeCell ref="U234:U236"/>
    <mergeCell ref="N225:N227"/>
    <mergeCell ref="O225:T227"/>
    <mergeCell ref="U225:U227"/>
    <mergeCell ref="N228:N230"/>
    <mergeCell ref="O228:T230"/>
    <mergeCell ref="U228:U230"/>
    <mergeCell ref="N219:N221"/>
    <mergeCell ref="O219:T221"/>
    <mergeCell ref="U219:U221"/>
    <mergeCell ref="N222:N224"/>
    <mergeCell ref="O222:T224"/>
    <mergeCell ref="U222:U224"/>
    <mergeCell ref="N213:N215"/>
    <mergeCell ref="O213:T215"/>
    <mergeCell ref="U213:U215"/>
    <mergeCell ref="N216:N218"/>
    <mergeCell ref="O216:T218"/>
    <mergeCell ref="U216:U218"/>
    <mergeCell ref="O148:T150"/>
    <mergeCell ref="U148:U150"/>
    <mergeCell ref="V148:V150"/>
    <mergeCell ref="W148:AB150"/>
    <mergeCell ref="N178:N180"/>
    <mergeCell ref="BJ96:BO126"/>
    <mergeCell ref="BJ146:BO176"/>
    <mergeCell ref="BJ196:BO226"/>
    <mergeCell ref="AF26:AF28"/>
    <mergeCell ref="AF29:AK29"/>
    <mergeCell ref="AG9:AM10"/>
    <mergeCell ref="AN9:AN10"/>
    <mergeCell ref="AG11:AM13"/>
    <mergeCell ref="AN11:AN13"/>
    <mergeCell ref="AG14:AM16"/>
    <mergeCell ref="AN14:AN16"/>
    <mergeCell ref="AG17:AM19"/>
    <mergeCell ref="AN17:AN19"/>
    <mergeCell ref="AG20:AM22"/>
    <mergeCell ref="AN20:AN22"/>
    <mergeCell ref="AG23:AM25"/>
    <mergeCell ref="AN23:AN25"/>
    <mergeCell ref="AG26:AM28"/>
    <mergeCell ref="AN26:AN28"/>
    <mergeCell ref="AF9:AF10"/>
    <mergeCell ref="AF11:AF13"/>
    <mergeCell ref="AF14:AF16"/>
    <mergeCell ref="AF17:AF19"/>
    <mergeCell ref="AF20:AF22"/>
    <mergeCell ref="AF23:AF25"/>
    <mergeCell ref="BB163:BB165"/>
    <mergeCell ref="BC163:BH165"/>
    <mergeCell ref="BI163:BI165"/>
    <mergeCell ref="AT157:AT159"/>
    <mergeCell ref="AU157:AZ159"/>
    <mergeCell ref="BA157:BA159"/>
    <mergeCell ref="BB157:BB159"/>
  </mergeCells>
  <conditionalFormatting sqref="M3:P4">
    <cfRule type="containsBlanks" dxfId="4390" priority="1834">
      <formula>LEN(TRIM(M3))=0</formula>
    </cfRule>
  </conditionalFormatting>
  <conditionalFormatting sqref="T3">
    <cfRule type="containsBlanks" dxfId="4389" priority="1826">
      <formula>LEN(TRIM(T3))=0</formula>
    </cfRule>
  </conditionalFormatting>
  <conditionalFormatting sqref="AD11:AD40">
    <cfRule type="containsBlanks" dxfId="4388" priority="1772">
      <formula>LEN(TRIM(AD11))=0</formula>
    </cfRule>
  </conditionalFormatting>
  <conditionalFormatting sqref="X3 AB3 AF3 AJ3 AN3">
    <cfRule type="containsBlanks" dxfId="4387" priority="1825">
      <formula>LEN(TRIM(X3))=0</formula>
    </cfRule>
  </conditionalFormatting>
  <conditionalFormatting sqref="U65:U68">
    <cfRule type="containsBlanks" dxfId="4386" priority="1792">
      <formula>LEN(TRIM(U65))=0</formula>
    </cfRule>
  </conditionalFormatting>
  <conditionalFormatting sqref="AK77:AK79">
    <cfRule type="containsBlanks" dxfId="4385" priority="1791">
      <formula>LEN(TRIM(AK77))=0</formula>
    </cfRule>
  </conditionalFormatting>
  <conditionalFormatting sqref="AS77:AS79">
    <cfRule type="containsBlanks" dxfId="4384" priority="1790">
      <formula>LEN(TRIM(AS77))=0</formula>
    </cfRule>
  </conditionalFormatting>
  <conditionalFormatting sqref="BA74:BA76">
    <cfRule type="containsBlanks" dxfId="4383" priority="1789">
      <formula>LEN(TRIM(BA74))=0</formula>
    </cfRule>
  </conditionalFormatting>
  <conditionalFormatting sqref="BI71:BI73">
    <cfRule type="containsBlanks" dxfId="4382" priority="1788">
      <formula>LEN(TRIM(BI71))=0</formula>
    </cfRule>
  </conditionalFormatting>
  <conditionalFormatting sqref="U50:U64">
    <cfRule type="containsBlanks" dxfId="4381" priority="1787">
      <formula>LEN(TRIM(U50))=0</formula>
    </cfRule>
  </conditionalFormatting>
  <conditionalFormatting sqref="AC50:AC67">
    <cfRule type="containsBlanks" dxfId="4380" priority="1786">
      <formula>LEN(TRIM(AC50))=0</formula>
    </cfRule>
  </conditionalFormatting>
  <conditionalFormatting sqref="AK50:AK76">
    <cfRule type="containsBlanks" dxfId="4379" priority="1785">
      <formula>LEN(TRIM(AK50))=0</formula>
    </cfRule>
  </conditionalFormatting>
  <conditionalFormatting sqref="AS50:AS76">
    <cfRule type="containsBlanks" dxfId="4378" priority="1784">
      <formula>LEN(TRIM(AS50))=0</formula>
    </cfRule>
  </conditionalFormatting>
  <conditionalFormatting sqref="BA50:BA73">
    <cfRule type="containsBlanks" dxfId="4377" priority="1783">
      <formula>LEN(TRIM(BA50))=0</formula>
    </cfRule>
  </conditionalFormatting>
  <conditionalFormatting sqref="BI50:BI70">
    <cfRule type="containsBlanks" dxfId="4376" priority="1782">
      <formula>LEN(TRIM(BI50))=0</formula>
    </cfRule>
  </conditionalFormatting>
  <conditionalFormatting sqref="AC68:AC70">
    <cfRule type="containsBlanks" dxfId="4375" priority="1781">
      <formula>LEN(TRIM(AC68))=0</formula>
    </cfRule>
  </conditionalFormatting>
  <conditionalFormatting sqref="I42:K42">
    <cfRule type="containsBlanks" dxfId="4374" priority="1778">
      <formula>LEN(TRIM(I42))=0</formula>
    </cfRule>
  </conditionalFormatting>
  <conditionalFormatting sqref="AD41:AD44">
    <cfRule type="containsBlanks" dxfId="4373" priority="1777">
      <formula>LEN(TRIM(AD41))=0</formula>
    </cfRule>
  </conditionalFormatting>
  <conditionalFormatting sqref="I32:K35">
    <cfRule type="containsBlanks" dxfId="4372" priority="1776">
      <formula>LEN(TRIM(I32))=0</formula>
    </cfRule>
  </conditionalFormatting>
  <conditionalFormatting sqref="T32:T34">
    <cfRule type="containsBlanks" dxfId="4371" priority="1775">
      <formula>LEN(TRIM(T32))=0</formula>
    </cfRule>
  </conditionalFormatting>
  <conditionalFormatting sqref="I11:K31">
    <cfRule type="containsBlanks" dxfId="4370" priority="1774">
      <formula>LEN(TRIM(I11))=0</formula>
    </cfRule>
  </conditionalFormatting>
  <conditionalFormatting sqref="T11:T31">
    <cfRule type="containsBlanks" dxfId="4369" priority="1773">
      <formula>LEN(TRIM(T11))=0</formula>
    </cfRule>
  </conditionalFormatting>
  <conditionalFormatting sqref="I39:K41">
    <cfRule type="containsBlanks" dxfId="4368" priority="1771">
      <formula>LEN(TRIM(I39))=0</formula>
    </cfRule>
  </conditionalFormatting>
  <conditionalFormatting sqref="H3:H4">
    <cfRule type="containsBlanks" dxfId="4367" priority="1833">
      <formula>LEN(TRIM(H3))=0</formula>
    </cfRule>
  </conditionalFormatting>
  <conditionalFormatting sqref="L3:L4">
    <cfRule type="containsBlanks" dxfId="4366" priority="1832">
      <formula>LEN(TRIM(L3))=0</formula>
    </cfRule>
  </conditionalFormatting>
  <conditionalFormatting sqref="L9:U19 L41:XFD42 AD9:AE31 AD33:XFD40 AD32:AK32 AO9:XFD32 AF31:AK31 AL30:AL31 A32:K36 A39:K42 I37:K38 L23:U40 L20:L22 T20:U22 A7:XFD8 BM5:XFD6 A1:XFD4 A250:XFD1846 A43:XFD46 BQ93:XFD249 A11:A31 I9:K31 N47:XFD47 N79:XFD92 N48:BJ48 N49:BI78 BP48:XFD78">
    <cfRule type="cellIs" dxfId="4365" priority="1722" operator="equal">
      <formula>4.4</formula>
    </cfRule>
    <cfRule type="cellIs" dxfId="4364" priority="1723" operator="equal">
      <formula>4.3</formula>
    </cfRule>
    <cfRule type="cellIs" dxfId="4363" priority="1724" operator="equal">
      <formula>4.2</formula>
    </cfRule>
    <cfRule type="cellIs" dxfId="4362" priority="1725" operator="equal">
      <formula>4.1</formula>
    </cfRule>
    <cfRule type="cellIs" dxfId="4361" priority="1726" operator="equal">
      <formula>3.4</formula>
    </cfRule>
    <cfRule type="cellIs" dxfId="4360" priority="1727" operator="equal">
      <formula>3.3</formula>
    </cfRule>
    <cfRule type="cellIs" dxfId="4359" priority="1728" operator="equal">
      <formula>3.2</formula>
    </cfRule>
    <cfRule type="cellIs" dxfId="4358" priority="1729" operator="equal">
      <formula>3.1</formula>
    </cfRule>
    <cfRule type="cellIs" dxfId="4357" priority="1730" operator="equal">
      <formula>2.4</formula>
    </cfRule>
    <cfRule type="cellIs" dxfId="4356" priority="1731" operator="equal">
      <formula>2.3</formula>
    </cfRule>
    <cfRule type="cellIs" dxfId="4355" priority="1732" operator="equal">
      <formula>2.2</formula>
    </cfRule>
    <cfRule type="cellIs" dxfId="4354" priority="1733" operator="equal">
      <formula>2.1</formula>
    </cfRule>
    <cfRule type="cellIs" dxfId="4353" priority="1734" operator="equal">
      <formula>1.5</formula>
    </cfRule>
    <cfRule type="cellIs" dxfId="4352" priority="1735" operator="equal">
      <formula>1.4</formula>
    </cfRule>
    <cfRule type="cellIs" dxfId="4351" priority="1736" operator="equal">
      <formula>1.3</formula>
    </cfRule>
    <cfRule type="cellIs" dxfId="4350" priority="1737" operator="equal">
      <formula>1.2</formula>
    </cfRule>
    <cfRule type="containsText" dxfId="4349" priority="1738" operator="containsText" text="1.1">
      <formula>NOT(ISERROR(SEARCH("1.1",A1)))</formula>
    </cfRule>
  </conditionalFormatting>
  <conditionalFormatting sqref="V9:AC10">
    <cfRule type="cellIs" dxfId="4348" priority="1705" operator="equal">
      <formula>4.4</formula>
    </cfRule>
    <cfRule type="cellIs" dxfId="4347" priority="1706" operator="equal">
      <formula>4.3</formula>
    </cfRule>
    <cfRule type="cellIs" dxfId="4346" priority="1707" operator="equal">
      <formula>4.2</formula>
    </cfRule>
    <cfRule type="cellIs" dxfId="4345" priority="1708" operator="equal">
      <formula>4.1</formula>
    </cfRule>
    <cfRule type="cellIs" dxfId="4344" priority="1709" operator="equal">
      <formula>3.4</formula>
    </cfRule>
    <cfRule type="cellIs" dxfId="4343" priority="1710" operator="equal">
      <formula>3.3</formula>
    </cfRule>
    <cfRule type="cellIs" dxfId="4342" priority="1711" operator="equal">
      <formula>3.2</formula>
    </cfRule>
    <cfRule type="cellIs" dxfId="4341" priority="1712" operator="equal">
      <formula>3.1</formula>
    </cfRule>
    <cfRule type="cellIs" dxfId="4340" priority="1713" operator="equal">
      <formula>2.4</formula>
    </cfRule>
    <cfRule type="cellIs" dxfId="4339" priority="1714" operator="equal">
      <formula>2.3</formula>
    </cfRule>
    <cfRule type="cellIs" dxfId="4338" priority="1715" operator="equal">
      <formula>2.2</formula>
    </cfRule>
    <cfRule type="cellIs" dxfId="4337" priority="1716" operator="equal">
      <formula>2.1</formula>
    </cfRule>
    <cfRule type="cellIs" dxfId="4336" priority="1717" operator="equal">
      <formula>1.5</formula>
    </cfRule>
    <cfRule type="cellIs" dxfId="4335" priority="1718" operator="equal">
      <formula>1.4</formula>
    </cfRule>
    <cfRule type="cellIs" dxfId="4334" priority="1719" operator="equal">
      <formula>1.3</formula>
    </cfRule>
    <cfRule type="cellIs" dxfId="4333" priority="1720" operator="equal">
      <formula>1.2</formula>
    </cfRule>
    <cfRule type="containsText" dxfId="4332" priority="1721" operator="containsText" text="1.1">
      <formula>NOT(ISERROR(SEARCH("1.1",V9)))</formula>
    </cfRule>
  </conditionalFormatting>
  <conditionalFormatting sqref="V11:V40">
    <cfRule type="cellIs" dxfId="4331" priority="1688" operator="equal">
      <formula>4.4</formula>
    </cfRule>
    <cfRule type="cellIs" dxfId="4330" priority="1689" operator="equal">
      <formula>4.3</formula>
    </cfRule>
    <cfRule type="cellIs" dxfId="4329" priority="1690" operator="equal">
      <formula>4.2</formula>
    </cfRule>
    <cfRule type="cellIs" dxfId="4328" priority="1691" operator="equal">
      <formula>4.1</formula>
    </cfRule>
    <cfRule type="cellIs" dxfId="4327" priority="1692" operator="equal">
      <formula>3.4</formula>
    </cfRule>
    <cfRule type="cellIs" dxfId="4326" priority="1693" operator="equal">
      <formula>3.3</formula>
    </cfRule>
    <cfRule type="cellIs" dxfId="4325" priority="1694" operator="equal">
      <formula>3.2</formula>
    </cfRule>
    <cfRule type="cellIs" dxfId="4324" priority="1695" operator="equal">
      <formula>3.1</formula>
    </cfRule>
    <cfRule type="cellIs" dxfId="4323" priority="1696" operator="equal">
      <formula>2.4</formula>
    </cfRule>
    <cfRule type="cellIs" dxfId="4322" priority="1697" operator="equal">
      <formula>2.3</formula>
    </cfRule>
    <cfRule type="cellIs" dxfId="4321" priority="1698" operator="equal">
      <formula>2.2</formula>
    </cfRule>
    <cfRule type="cellIs" dxfId="4320" priority="1699" operator="equal">
      <formula>2.1</formula>
    </cfRule>
    <cfRule type="cellIs" dxfId="4319" priority="1700" operator="equal">
      <formula>1.5</formula>
    </cfRule>
    <cfRule type="cellIs" dxfId="4318" priority="1701" operator="equal">
      <formula>1.4</formula>
    </cfRule>
    <cfRule type="cellIs" dxfId="4317" priority="1702" operator="equal">
      <formula>1.3</formula>
    </cfRule>
    <cfRule type="cellIs" dxfId="4316" priority="1703" operator="equal">
      <formula>1.2</formula>
    </cfRule>
    <cfRule type="containsText" dxfId="4315" priority="1704" operator="containsText" text="1.1">
      <formula>NOT(ISERROR(SEARCH("1.1",V11)))</formula>
    </cfRule>
  </conditionalFormatting>
  <conditionalFormatting sqref="P3">
    <cfRule type="containsBlanks" dxfId="4314" priority="1669">
      <formula>LEN(TRIM(P3))=0</formula>
    </cfRule>
  </conditionalFormatting>
  <conditionalFormatting sqref="K39:K41">
    <cfRule type="containsBlanks" dxfId="4313" priority="1668">
      <formula>LEN(TRIM(K39))=0</formula>
    </cfRule>
  </conditionalFormatting>
  <conditionalFormatting sqref="AN9:AN10 AF29:AN29 AF30:AK30 AM30:AN31">
    <cfRule type="cellIs" dxfId="4312" priority="1634" operator="equal">
      <formula>4.4</formula>
    </cfRule>
    <cfRule type="cellIs" dxfId="4311" priority="1635" operator="equal">
      <formula>4.3</formula>
    </cfRule>
    <cfRule type="cellIs" dxfId="4310" priority="1636" operator="equal">
      <formula>4.2</formula>
    </cfRule>
    <cfRule type="cellIs" dxfId="4309" priority="1637" operator="equal">
      <formula>4.1</formula>
    </cfRule>
    <cfRule type="cellIs" dxfId="4308" priority="1638" operator="equal">
      <formula>3.4</formula>
    </cfRule>
    <cfRule type="cellIs" dxfId="4307" priority="1639" operator="equal">
      <formula>3.3</formula>
    </cfRule>
    <cfRule type="cellIs" dxfId="4306" priority="1640" operator="equal">
      <formula>3.2</formula>
    </cfRule>
    <cfRule type="cellIs" dxfId="4305" priority="1641" operator="equal">
      <formula>3.1</formula>
    </cfRule>
    <cfRule type="cellIs" dxfId="4304" priority="1642" operator="equal">
      <formula>2.4</formula>
    </cfRule>
    <cfRule type="cellIs" dxfId="4303" priority="1643" operator="equal">
      <formula>2.3</formula>
    </cfRule>
    <cfRule type="cellIs" dxfId="4302" priority="1644" operator="equal">
      <formula>2.2</formula>
    </cfRule>
    <cfRule type="cellIs" dxfId="4301" priority="1645" operator="equal">
      <formula>2.1</formula>
    </cfRule>
    <cfRule type="cellIs" dxfId="4300" priority="1646" operator="equal">
      <formula>1.5</formula>
    </cfRule>
    <cfRule type="cellIs" dxfId="4299" priority="1647" operator="equal">
      <formula>1.4</formula>
    </cfRule>
    <cfRule type="cellIs" dxfId="4298" priority="1648" operator="equal">
      <formula>1.3</formula>
    </cfRule>
    <cfRule type="cellIs" dxfId="4297" priority="1649" operator="equal">
      <formula>1.2</formula>
    </cfRule>
    <cfRule type="containsText" dxfId="4296" priority="1650" operator="containsText" text="1.1">
      <formula>NOT(ISERROR(SEARCH("1.1",AF9)))</formula>
    </cfRule>
  </conditionalFormatting>
  <conditionalFormatting sqref="AF11:AF28">
    <cfRule type="cellIs" dxfId="4295" priority="1617" operator="equal">
      <formula>4.4</formula>
    </cfRule>
    <cfRule type="cellIs" dxfId="4294" priority="1618" operator="equal">
      <formula>4.3</formula>
    </cfRule>
    <cfRule type="cellIs" dxfId="4293" priority="1619" operator="equal">
      <formula>4.2</formula>
    </cfRule>
    <cfRule type="cellIs" dxfId="4292" priority="1620" operator="equal">
      <formula>4.1</formula>
    </cfRule>
    <cfRule type="cellIs" dxfId="4291" priority="1621" operator="equal">
      <formula>3.4</formula>
    </cfRule>
    <cfRule type="cellIs" dxfId="4290" priority="1622" operator="equal">
      <formula>3.3</formula>
    </cfRule>
    <cfRule type="cellIs" dxfId="4289" priority="1623" operator="equal">
      <formula>3.2</formula>
    </cfRule>
    <cfRule type="cellIs" dxfId="4288" priority="1624" operator="equal">
      <formula>3.1</formula>
    </cfRule>
    <cfRule type="cellIs" dxfId="4287" priority="1625" operator="equal">
      <formula>2.4</formula>
    </cfRule>
    <cfRule type="cellIs" dxfId="4286" priority="1626" operator="equal">
      <formula>2.3</formula>
    </cfRule>
    <cfRule type="cellIs" dxfId="4285" priority="1627" operator="equal">
      <formula>2.2</formula>
    </cfRule>
    <cfRule type="cellIs" dxfId="4284" priority="1628" operator="equal">
      <formula>2.1</formula>
    </cfRule>
    <cfRule type="cellIs" dxfId="4283" priority="1629" operator="equal">
      <formula>1.5</formula>
    </cfRule>
    <cfRule type="cellIs" dxfId="4282" priority="1630" operator="equal">
      <formula>1.4</formula>
    </cfRule>
    <cfRule type="cellIs" dxfId="4281" priority="1631" operator="equal">
      <formula>1.3</formula>
    </cfRule>
    <cfRule type="cellIs" dxfId="4280" priority="1632" operator="equal">
      <formula>1.2</formula>
    </cfRule>
    <cfRule type="containsText" dxfId="4279" priority="1633" operator="containsText" text="1.1">
      <formula>NOT(ISERROR(SEARCH("1.1",AF11)))</formula>
    </cfRule>
  </conditionalFormatting>
  <conditionalFormatting sqref="AN29:AN31">
    <cfRule type="containsBlanks" dxfId="4278" priority="1616">
      <formula>LEN(TRIM(AN29))=0</formula>
    </cfRule>
  </conditionalFormatting>
  <conditionalFormatting sqref="AN11:AN28">
    <cfRule type="containsBlanks" dxfId="4277" priority="1615">
      <formula>LEN(TRIM(AN11))=0</formula>
    </cfRule>
  </conditionalFormatting>
  <conditionalFormatting sqref="AN11:AN28">
    <cfRule type="cellIs" dxfId="4276" priority="1598" operator="equal">
      <formula>4.4</formula>
    </cfRule>
    <cfRule type="cellIs" dxfId="4275" priority="1599" operator="equal">
      <formula>4.3</formula>
    </cfRule>
    <cfRule type="cellIs" dxfId="4274" priority="1600" operator="equal">
      <formula>4.2</formula>
    </cfRule>
    <cfRule type="cellIs" dxfId="4273" priority="1601" operator="equal">
      <formula>4.1</formula>
    </cfRule>
    <cfRule type="cellIs" dxfId="4272" priority="1602" operator="equal">
      <formula>3.4</formula>
    </cfRule>
    <cfRule type="cellIs" dxfId="4271" priority="1603" operator="equal">
      <formula>3.3</formula>
    </cfRule>
    <cfRule type="cellIs" dxfId="4270" priority="1604" operator="equal">
      <formula>3.2</formula>
    </cfRule>
    <cfRule type="cellIs" dxfId="4269" priority="1605" operator="equal">
      <formula>3.1</formula>
    </cfRule>
    <cfRule type="cellIs" dxfId="4268" priority="1606" operator="equal">
      <formula>2.4</formula>
    </cfRule>
    <cfRule type="cellIs" dxfId="4267" priority="1607" operator="equal">
      <formula>2.3</formula>
    </cfRule>
    <cfRule type="cellIs" dxfId="4266" priority="1608" operator="equal">
      <formula>2.2</formula>
    </cfRule>
    <cfRule type="cellIs" dxfId="4265" priority="1609" operator="equal">
      <formula>2.1</formula>
    </cfRule>
    <cfRule type="cellIs" dxfId="4264" priority="1610" operator="equal">
      <formula>1.5</formula>
    </cfRule>
    <cfRule type="cellIs" dxfId="4263" priority="1611" operator="equal">
      <formula>1.4</formula>
    </cfRule>
    <cfRule type="cellIs" dxfId="4262" priority="1612" operator="equal">
      <formula>1.3</formula>
    </cfRule>
    <cfRule type="cellIs" dxfId="4261" priority="1613" operator="equal">
      <formula>1.2</formula>
    </cfRule>
    <cfRule type="containsText" dxfId="4260" priority="1614" operator="containsText" text="1.1">
      <formula>NOT(ISERROR(SEARCH("1.1",AN11)))</formula>
    </cfRule>
  </conditionalFormatting>
  <conditionalFormatting sqref="A9:H10">
    <cfRule type="cellIs" dxfId="4259" priority="1581" operator="equal">
      <formula>4.4</formula>
    </cfRule>
    <cfRule type="cellIs" dxfId="4258" priority="1582" operator="equal">
      <formula>4.3</formula>
    </cfRule>
    <cfRule type="cellIs" dxfId="4257" priority="1583" operator="equal">
      <formula>4.2</formula>
    </cfRule>
    <cfRule type="cellIs" dxfId="4256" priority="1584" operator="equal">
      <formula>4.1</formula>
    </cfRule>
    <cfRule type="cellIs" dxfId="4255" priority="1585" operator="equal">
      <formula>3.4</formula>
    </cfRule>
    <cfRule type="cellIs" dxfId="4254" priority="1586" operator="equal">
      <formula>3.3</formula>
    </cfRule>
    <cfRule type="cellIs" dxfId="4253" priority="1587" operator="equal">
      <formula>3.2</formula>
    </cfRule>
    <cfRule type="cellIs" dxfId="4252" priority="1588" operator="equal">
      <formula>3.1</formula>
    </cfRule>
    <cfRule type="cellIs" dxfId="4251" priority="1589" operator="equal">
      <formula>2.4</formula>
    </cfRule>
    <cfRule type="cellIs" dxfId="4250" priority="1590" operator="equal">
      <formula>2.3</formula>
    </cfRule>
    <cfRule type="cellIs" dxfId="4249" priority="1591" operator="equal">
      <formula>2.2</formula>
    </cfRule>
    <cfRule type="cellIs" dxfId="4248" priority="1592" operator="equal">
      <formula>2.1</formula>
    </cfRule>
    <cfRule type="cellIs" dxfId="4247" priority="1593" operator="equal">
      <formula>1.5</formula>
    </cfRule>
    <cfRule type="cellIs" dxfId="4246" priority="1594" operator="equal">
      <formula>1.4</formula>
    </cfRule>
    <cfRule type="cellIs" dxfId="4245" priority="1595" operator="equal">
      <formula>1.3</formula>
    </cfRule>
    <cfRule type="cellIs" dxfId="4244" priority="1596" operator="equal">
      <formula>1.2</formula>
    </cfRule>
    <cfRule type="containsText" dxfId="4243" priority="1597" operator="containsText" text="1.1">
      <formula>NOT(ISERROR(SEARCH("1.1",A9)))</formula>
    </cfRule>
  </conditionalFormatting>
  <conditionalFormatting sqref="A37:H38">
    <cfRule type="cellIs" dxfId="4242" priority="1564" operator="equal">
      <formula>4.4</formula>
    </cfRule>
    <cfRule type="cellIs" dxfId="4241" priority="1565" operator="equal">
      <formula>4.3</formula>
    </cfRule>
    <cfRule type="cellIs" dxfId="4240" priority="1566" operator="equal">
      <formula>4.2</formula>
    </cfRule>
    <cfRule type="cellIs" dxfId="4239" priority="1567" operator="equal">
      <formula>4.1</formula>
    </cfRule>
    <cfRule type="cellIs" dxfId="4238" priority="1568" operator="equal">
      <formula>3.4</formula>
    </cfRule>
    <cfRule type="cellIs" dxfId="4237" priority="1569" operator="equal">
      <formula>3.3</formula>
    </cfRule>
    <cfRule type="cellIs" dxfId="4236" priority="1570" operator="equal">
      <formula>3.2</formula>
    </cfRule>
    <cfRule type="cellIs" dxfId="4235" priority="1571" operator="equal">
      <formula>3.1</formula>
    </cfRule>
    <cfRule type="cellIs" dxfId="4234" priority="1572" operator="equal">
      <formula>2.4</formula>
    </cfRule>
    <cfRule type="cellIs" dxfId="4233" priority="1573" operator="equal">
      <formula>2.3</formula>
    </cfRule>
    <cfRule type="cellIs" dxfId="4232" priority="1574" operator="equal">
      <formula>2.2</formula>
    </cfRule>
    <cfRule type="cellIs" dxfId="4231" priority="1575" operator="equal">
      <formula>2.1</formula>
    </cfRule>
    <cfRule type="cellIs" dxfId="4230" priority="1576" operator="equal">
      <formula>1.5</formula>
    </cfRule>
    <cfRule type="cellIs" dxfId="4229" priority="1577" operator="equal">
      <formula>1.4</formula>
    </cfRule>
    <cfRule type="cellIs" dxfId="4228" priority="1578" operator="equal">
      <formula>1.3</formula>
    </cfRule>
    <cfRule type="cellIs" dxfId="4227" priority="1579" operator="equal">
      <formula>1.2</formula>
    </cfRule>
    <cfRule type="containsText" dxfId="4226" priority="1580" operator="containsText" text="1.1">
      <formula>NOT(ISERROR(SEARCH("1.1",A37)))</formula>
    </cfRule>
  </conditionalFormatting>
  <conditionalFormatting sqref="M20:S22">
    <cfRule type="cellIs" dxfId="4225" priority="1461" operator="equal">
      <formula>4.4</formula>
    </cfRule>
    <cfRule type="cellIs" dxfId="4224" priority="1462" operator="equal">
      <formula>4.3</formula>
    </cfRule>
    <cfRule type="cellIs" dxfId="4223" priority="1463" operator="equal">
      <formula>4.2</formula>
    </cfRule>
    <cfRule type="cellIs" dxfId="4222" priority="1464" operator="equal">
      <formula>4.1</formula>
    </cfRule>
    <cfRule type="cellIs" dxfId="4221" priority="1465" operator="equal">
      <formula>3.4</formula>
    </cfRule>
    <cfRule type="cellIs" dxfId="4220" priority="1466" operator="equal">
      <formula>3.3</formula>
    </cfRule>
    <cfRule type="cellIs" dxfId="4219" priority="1467" operator="equal">
      <formula>3.2</formula>
    </cfRule>
    <cfRule type="cellIs" dxfId="4218" priority="1468" operator="equal">
      <formula>3.1</formula>
    </cfRule>
    <cfRule type="cellIs" dxfId="4217" priority="1469" operator="equal">
      <formula>2.4</formula>
    </cfRule>
    <cfRule type="cellIs" dxfId="4216" priority="1470" operator="equal">
      <formula>2.3</formula>
    </cfRule>
    <cfRule type="cellIs" dxfId="4215" priority="1471" operator="equal">
      <formula>2.2</formula>
    </cfRule>
    <cfRule type="cellIs" dxfId="4214" priority="1472" operator="equal">
      <formula>2.1</formula>
    </cfRule>
    <cfRule type="cellIs" dxfId="4213" priority="1473" operator="equal">
      <formula>1.5</formula>
    </cfRule>
    <cfRule type="cellIs" dxfId="4212" priority="1474" operator="equal">
      <formula>1.4</formula>
    </cfRule>
    <cfRule type="cellIs" dxfId="4211" priority="1475" operator="equal">
      <formula>1.3</formula>
    </cfRule>
    <cfRule type="cellIs" dxfId="4210" priority="1476" operator="equal">
      <formula>1.2</formula>
    </cfRule>
    <cfRule type="containsText" dxfId="4209" priority="1477" operator="containsText" text="1.1">
      <formula>NOT(ISERROR(SEARCH("1.1",M20)))</formula>
    </cfRule>
  </conditionalFormatting>
  <conditionalFormatting sqref="BP93">
    <cfRule type="cellIs" dxfId="4208" priority="1444" operator="equal">
      <formula>4.4</formula>
    </cfRule>
    <cfRule type="cellIs" dxfId="4207" priority="1445" operator="equal">
      <formula>4.3</formula>
    </cfRule>
    <cfRule type="cellIs" dxfId="4206" priority="1446" operator="equal">
      <formula>4.2</formula>
    </cfRule>
    <cfRule type="cellIs" dxfId="4205" priority="1447" operator="equal">
      <formula>4.1</formula>
    </cfRule>
    <cfRule type="cellIs" dxfId="4204" priority="1448" operator="equal">
      <formula>3.4</formula>
    </cfRule>
    <cfRule type="cellIs" dxfId="4203" priority="1449" operator="equal">
      <formula>3.3</formula>
    </cfRule>
    <cfRule type="cellIs" dxfId="4202" priority="1450" operator="equal">
      <formula>3.2</formula>
    </cfRule>
    <cfRule type="cellIs" dxfId="4201" priority="1451" operator="equal">
      <formula>3.1</formula>
    </cfRule>
    <cfRule type="cellIs" dxfId="4200" priority="1452" operator="equal">
      <formula>2.4</formula>
    </cfRule>
    <cfRule type="cellIs" dxfId="4199" priority="1453" operator="equal">
      <formula>2.3</formula>
    </cfRule>
    <cfRule type="cellIs" dxfId="4198" priority="1454" operator="equal">
      <formula>2.2</formula>
    </cfRule>
    <cfRule type="cellIs" dxfId="4197" priority="1455" operator="equal">
      <formula>2.1</formula>
    </cfRule>
    <cfRule type="cellIs" dxfId="4196" priority="1456" operator="equal">
      <formula>1.5</formula>
    </cfRule>
    <cfRule type="cellIs" dxfId="4195" priority="1457" operator="equal">
      <formula>1.4</formula>
    </cfRule>
    <cfRule type="cellIs" dxfId="4194" priority="1458" operator="equal">
      <formula>1.3</formula>
    </cfRule>
    <cfRule type="cellIs" dxfId="4193" priority="1459" operator="equal">
      <formula>1.2</formula>
    </cfRule>
    <cfRule type="containsText" dxfId="4192" priority="1460" operator="containsText" text="1.1">
      <formula>NOT(ISERROR(SEARCH("1.1",BP93)))</formula>
    </cfRule>
  </conditionalFormatting>
  <conditionalFormatting sqref="A93:BO94 A249:BO249 A143:BO144 BJ95:BO95 BJ145:BO145 AT195:BO195 A140:M142 A240:M248 A190:M192 A193 BN193:BO194 L195:M239 BJ127:BO142 BJ177:BO192 AT227:BO248 AT196:BI226">
    <cfRule type="cellIs" dxfId="4191" priority="1423" operator="equal">
      <formula>4.4</formula>
    </cfRule>
    <cfRule type="cellIs" dxfId="4190" priority="1424" operator="equal">
      <formula>4.3</formula>
    </cfRule>
    <cfRule type="cellIs" dxfId="4189" priority="1425" operator="equal">
      <formula>4.2</formula>
    </cfRule>
    <cfRule type="cellIs" dxfId="4188" priority="1426" operator="equal">
      <formula>4.1</formula>
    </cfRule>
    <cfRule type="cellIs" dxfId="4187" priority="1427" operator="equal">
      <formula>3.4</formula>
    </cfRule>
    <cfRule type="cellIs" dxfId="4186" priority="1428" operator="equal">
      <formula>3.3</formula>
    </cfRule>
    <cfRule type="cellIs" dxfId="4185" priority="1429" operator="equal">
      <formula>3.2</formula>
    </cfRule>
    <cfRule type="cellIs" dxfId="4184" priority="1430" operator="equal">
      <formula>3.1</formula>
    </cfRule>
    <cfRule type="cellIs" dxfId="4183" priority="1431" operator="equal">
      <formula>2.4</formula>
    </cfRule>
    <cfRule type="cellIs" dxfId="4182" priority="1432" operator="equal">
      <formula>2.3</formula>
    </cfRule>
    <cfRule type="cellIs" dxfId="4181" priority="1433" operator="equal">
      <formula>2.2</formula>
    </cfRule>
    <cfRule type="cellIs" dxfId="4180" priority="1434" operator="equal">
      <formula>2.1</formula>
    </cfRule>
    <cfRule type="cellIs" dxfId="4179" priority="1435" operator="equal">
      <formula>1.5</formula>
    </cfRule>
    <cfRule type="cellIs" dxfId="4178" priority="1436" operator="equal">
      <formula>1.4</formula>
    </cfRule>
    <cfRule type="cellIs" dxfId="4177" priority="1437" operator="equal">
      <formula>1.3</formula>
    </cfRule>
    <cfRule type="cellIs" dxfId="4176" priority="1438" operator="equal">
      <formula>1.2</formula>
    </cfRule>
    <cfRule type="containsText" dxfId="4175" priority="1439" operator="containsText" text="1.1">
      <formula>NOT(ISERROR(SEARCH("1.1",A93)))</formula>
    </cfRule>
  </conditionalFormatting>
  <conditionalFormatting sqref="AS98:AS136 BA98:BA139 BI98:BI139 T134:U136 AB131:AC133 AJ140:AK142 AR137:AS139 AZ140:BA142 BH140:BI142">
    <cfRule type="containsBlanks" dxfId="4174" priority="1371">
      <formula>LEN(TRIM(T98))=0</formula>
    </cfRule>
  </conditionalFormatting>
  <conditionalFormatting sqref="AK98:AK139">
    <cfRule type="containsBlanks" dxfId="4173" priority="1370">
      <formula>LEN(TRIM(AK98))=0</formula>
    </cfRule>
  </conditionalFormatting>
  <conditionalFormatting sqref="AK148:AK177">
    <cfRule type="containsBlanks" dxfId="4172" priority="1294">
      <formula>LEN(TRIM(AK148))=0</formula>
    </cfRule>
  </conditionalFormatting>
  <conditionalFormatting sqref="N137:R137 V132:Z142 AA137:AC142 N95:AK97 N98:T133 V131:AJ131 V98:AB130 AD98:AK100 AD101:AJ130 AK101:AK139 N134:U136 AA132:AJ136 AD140:AK142 AL95:BI142">
    <cfRule type="cellIs" dxfId="4171" priority="1353" operator="equal">
      <formula>4.4</formula>
    </cfRule>
    <cfRule type="cellIs" dxfId="4170" priority="1354" operator="equal">
      <formula>4.3</formula>
    </cfRule>
    <cfRule type="cellIs" dxfId="4169" priority="1355" operator="equal">
      <formula>4.2</formula>
    </cfRule>
    <cfRule type="cellIs" dxfId="4168" priority="1356" operator="equal">
      <formula>4.1</formula>
    </cfRule>
    <cfRule type="cellIs" dxfId="4167" priority="1357" operator="equal">
      <formula>3.4</formula>
    </cfRule>
    <cfRule type="cellIs" dxfId="4166" priority="1358" operator="equal">
      <formula>3.3</formula>
    </cfRule>
    <cfRule type="cellIs" dxfId="4165" priority="1359" operator="equal">
      <formula>3.2</formula>
    </cfRule>
    <cfRule type="cellIs" dxfId="4164" priority="1360" operator="equal">
      <formula>3.1</formula>
    </cfRule>
    <cfRule type="cellIs" dxfId="4163" priority="1361" operator="equal">
      <formula>2.4</formula>
    </cfRule>
    <cfRule type="cellIs" dxfId="4162" priority="1362" operator="equal">
      <formula>2.3</formula>
    </cfRule>
    <cfRule type="cellIs" dxfId="4161" priority="1363" operator="equal">
      <formula>2.2</formula>
    </cfRule>
    <cfRule type="cellIs" dxfId="4160" priority="1364" operator="equal">
      <formula>2.1</formula>
    </cfRule>
    <cfRule type="cellIs" dxfId="4159" priority="1365" operator="equal">
      <formula>1.5</formula>
    </cfRule>
    <cfRule type="cellIs" dxfId="4158" priority="1366" operator="equal">
      <formula>1.4</formula>
    </cfRule>
    <cfRule type="cellIs" dxfId="4157" priority="1367" operator="equal">
      <formula>1.3</formula>
    </cfRule>
    <cfRule type="cellIs" dxfId="4156" priority="1368" operator="equal">
      <formula>1.2</formula>
    </cfRule>
    <cfRule type="containsText" dxfId="4155" priority="1369" operator="containsText" text="1.1">
      <formula>NOT(ISERROR(SEARCH("1.1",N95)))</formula>
    </cfRule>
  </conditionalFormatting>
  <conditionalFormatting sqref="AS148:AS174">
    <cfRule type="containsBlanks" dxfId="4154" priority="1293">
      <formula>LEN(TRIM(AS148))=0</formula>
    </cfRule>
  </conditionalFormatting>
  <conditionalFormatting sqref="AD137:AJ139">
    <cfRule type="cellIs" dxfId="4153" priority="1336" operator="equal">
      <formula>4.4</formula>
    </cfRule>
    <cfRule type="cellIs" dxfId="4152" priority="1337" operator="equal">
      <formula>4.3</formula>
    </cfRule>
    <cfRule type="cellIs" dxfId="4151" priority="1338" operator="equal">
      <formula>4.2</formula>
    </cfRule>
    <cfRule type="cellIs" dxfId="4150" priority="1339" operator="equal">
      <formula>4.1</formula>
    </cfRule>
    <cfRule type="cellIs" dxfId="4149" priority="1340" operator="equal">
      <formula>3.4</formula>
    </cfRule>
    <cfRule type="cellIs" dxfId="4148" priority="1341" operator="equal">
      <formula>3.3</formula>
    </cfRule>
    <cfRule type="cellIs" dxfId="4147" priority="1342" operator="equal">
      <formula>3.2</formula>
    </cfRule>
    <cfRule type="cellIs" dxfId="4146" priority="1343" operator="equal">
      <formula>3.1</formula>
    </cfRule>
    <cfRule type="cellIs" dxfId="4145" priority="1344" operator="equal">
      <formula>2.4</formula>
    </cfRule>
    <cfRule type="cellIs" dxfId="4144" priority="1345" operator="equal">
      <formula>2.3</formula>
    </cfRule>
    <cfRule type="cellIs" dxfId="4143" priority="1346" operator="equal">
      <formula>2.2</formula>
    </cfRule>
    <cfRule type="cellIs" dxfId="4142" priority="1347" operator="equal">
      <formula>2.1</formula>
    </cfRule>
    <cfRule type="cellIs" dxfId="4141" priority="1348" operator="equal">
      <formula>1.5</formula>
    </cfRule>
    <cfRule type="cellIs" dxfId="4140" priority="1349" operator="equal">
      <formula>1.4</formula>
    </cfRule>
    <cfRule type="cellIs" dxfId="4139" priority="1350" operator="equal">
      <formula>1.3</formula>
    </cfRule>
    <cfRule type="cellIs" dxfId="4138" priority="1351" operator="equal">
      <formula>1.2</formula>
    </cfRule>
    <cfRule type="containsText" dxfId="4137" priority="1352" operator="containsText" text="1.1">
      <formula>NOT(ISERROR(SEARCH("1.1",AD137)))</formula>
    </cfRule>
  </conditionalFormatting>
  <conditionalFormatting sqref="U98:U133">
    <cfRule type="containsBlanks" dxfId="4136" priority="1335">
      <formula>LEN(TRIM(U98))=0</formula>
    </cfRule>
  </conditionalFormatting>
  <conditionalFormatting sqref="U98:U133">
    <cfRule type="cellIs" dxfId="4135" priority="1318" operator="equal">
      <formula>4.4</formula>
    </cfRule>
    <cfRule type="cellIs" dxfId="4134" priority="1319" operator="equal">
      <formula>4.3</formula>
    </cfRule>
    <cfRule type="cellIs" dxfId="4133" priority="1320" operator="equal">
      <formula>4.2</formula>
    </cfRule>
    <cfRule type="cellIs" dxfId="4132" priority="1321" operator="equal">
      <formula>4.1</formula>
    </cfRule>
    <cfRule type="cellIs" dxfId="4131" priority="1322" operator="equal">
      <formula>3.4</formula>
    </cfRule>
    <cfRule type="cellIs" dxfId="4130" priority="1323" operator="equal">
      <formula>3.3</formula>
    </cfRule>
    <cfRule type="cellIs" dxfId="4129" priority="1324" operator="equal">
      <formula>3.2</formula>
    </cfRule>
    <cfRule type="cellIs" dxfId="4128" priority="1325" operator="equal">
      <formula>3.1</formula>
    </cfRule>
    <cfRule type="cellIs" dxfId="4127" priority="1326" operator="equal">
      <formula>2.4</formula>
    </cfRule>
    <cfRule type="cellIs" dxfId="4126" priority="1327" operator="equal">
      <formula>2.3</formula>
    </cfRule>
    <cfRule type="cellIs" dxfId="4125" priority="1328" operator="equal">
      <formula>2.2</formula>
    </cfRule>
    <cfRule type="cellIs" dxfId="4124" priority="1329" operator="equal">
      <formula>2.1</formula>
    </cfRule>
    <cfRule type="cellIs" dxfId="4123" priority="1330" operator="equal">
      <formula>1.5</formula>
    </cfRule>
    <cfRule type="cellIs" dxfId="4122" priority="1331" operator="equal">
      <formula>1.4</formula>
    </cfRule>
    <cfRule type="cellIs" dxfId="4121" priority="1332" operator="equal">
      <formula>1.3</formula>
    </cfRule>
    <cfRule type="cellIs" dxfId="4120" priority="1333" operator="equal">
      <formula>1.2</formula>
    </cfRule>
    <cfRule type="containsText" dxfId="4119" priority="1334" operator="containsText" text="1.1">
      <formula>NOT(ISERROR(SEARCH("1.1",U98)))</formula>
    </cfRule>
  </conditionalFormatting>
  <conditionalFormatting sqref="AC98:AC130">
    <cfRule type="containsBlanks" dxfId="4118" priority="1317">
      <formula>LEN(TRIM(AC98))=0</formula>
    </cfRule>
  </conditionalFormatting>
  <conditionalFormatting sqref="AC98:AC130">
    <cfRule type="cellIs" dxfId="4117" priority="1300" operator="equal">
      <formula>4.4</formula>
    </cfRule>
    <cfRule type="cellIs" dxfId="4116" priority="1301" operator="equal">
      <formula>4.3</formula>
    </cfRule>
    <cfRule type="cellIs" dxfId="4115" priority="1302" operator="equal">
      <formula>4.2</formula>
    </cfRule>
    <cfRule type="cellIs" dxfId="4114" priority="1303" operator="equal">
      <formula>4.1</formula>
    </cfRule>
    <cfRule type="cellIs" dxfId="4113" priority="1304" operator="equal">
      <formula>3.4</formula>
    </cfRule>
    <cfRule type="cellIs" dxfId="4112" priority="1305" operator="equal">
      <formula>3.3</formula>
    </cfRule>
    <cfRule type="cellIs" dxfId="4111" priority="1306" operator="equal">
      <formula>3.2</formula>
    </cfRule>
    <cfRule type="cellIs" dxfId="4110" priority="1307" operator="equal">
      <formula>3.1</formula>
    </cfRule>
    <cfRule type="cellIs" dxfId="4109" priority="1308" operator="equal">
      <formula>2.4</formula>
    </cfRule>
    <cfRule type="cellIs" dxfId="4108" priority="1309" operator="equal">
      <formula>2.3</formula>
    </cfRule>
    <cfRule type="cellIs" dxfId="4107" priority="1310" operator="equal">
      <formula>2.2</formula>
    </cfRule>
    <cfRule type="cellIs" dxfId="4106" priority="1311" operator="equal">
      <formula>2.1</formula>
    </cfRule>
    <cfRule type="cellIs" dxfId="4105" priority="1312" operator="equal">
      <formula>1.5</formula>
    </cfRule>
    <cfRule type="cellIs" dxfId="4104" priority="1313" operator="equal">
      <formula>1.4</formula>
    </cfRule>
    <cfRule type="cellIs" dxfId="4103" priority="1314" operator="equal">
      <formula>1.3</formula>
    </cfRule>
    <cfRule type="cellIs" dxfId="4102" priority="1315" operator="equal">
      <formula>1.2</formula>
    </cfRule>
    <cfRule type="containsText" dxfId="4101" priority="1316" operator="containsText" text="1.1">
      <formula>NOT(ISERROR(SEARCH("1.1",AC98)))</formula>
    </cfRule>
  </conditionalFormatting>
  <conditionalFormatting sqref="T181:U183 AB178:AC180 AJ178:AK180 AR175:AS177 AZ190:BA192 BH190:BI192">
    <cfRule type="containsBlanks" dxfId="4100" priority="1299">
      <formula>LEN(TRIM(T175))=0</formula>
    </cfRule>
  </conditionalFormatting>
  <conditionalFormatting sqref="BA148:BA189">
    <cfRule type="containsBlanks" dxfId="4099" priority="1298">
      <formula>LEN(TRIM(BA148))=0</formula>
    </cfRule>
  </conditionalFormatting>
  <conditionalFormatting sqref="BI148:BI189">
    <cfRule type="containsBlanks" dxfId="4098" priority="1297">
      <formula>LEN(TRIM(BI148))=0</formula>
    </cfRule>
  </conditionalFormatting>
  <conditionalFormatting sqref="U148:U180">
    <cfRule type="containsBlanks" dxfId="4097" priority="1296">
      <formula>LEN(TRIM(U148))=0</formula>
    </cfRule>
  </conditionalFormatting>
  <conditionalFormatting sqref="AC148:AC177">
    <cfRule type="containsBlanks" dxfId="4096" priority="1295">
      <formula>LEN(TRIM(AC148))=0</formula>
    </cfRule>
  </conditionalFormatting>
  <conditionalFormatting sqref="AT176:AZ186 N145:BI150 BB151:BH186 BA151:BA189 BI151:BI189 AL151:AZ175 N151:AK192 AL176:AS192 AT190:BI192">
    <cfRule type="cellIs" dxfId="4095" priority="1276" operator="equal">
      <formula>4.4</formula>
    </cfRule>
    <cfRule type="cellIs" dxfId="4094" priority="1277" operator="equal">
      <formula>4.3</formula>
    </cfRule>
    <cfRule type="cellIs" dxfId="4093" priority="1278" operator="equal">
      <formula>4.2</formula>
    </cfRule>
    <cfRule type="cellIs" dxfId="4092" priority="1279" operator="equal">
      <formula>4.1</formula>
    </cfRule>
    <cfRule type="cellIs" dxfId="4091" priority="1280" operator="equal">
      <formula>3.4</formula>
    </cfRule>
    <cfRule type="cellIs" dxfId="4090" priority="1281" operator="equal">
      <formula>3.3</formula>
    </cfRule>
    <cfRule type="cellIs" dxfId="4089" priority="1282" operator="equal">
      <formula>3.2</formula>
    </cfRule>
    <cfRule type="cellIs" dxfId="4088" priority="1283" operator="equal">
      <formula>3.1</formula>
    </cfRule>
    <cfRule type="cellIs" dxfId="4087" priority="1284" operator="equal">
      <formula>2.4</formula>
    </cfRule>
    <cfRule type="cellIs" dxfId="4086" priority="1285" operator="equal">
      <formula>2.3</formula>
    </cfRule>
    <cfRule type="cellIs" dxfId="4085" priority="1286" operator="equal">
      <formula>2.2</formula>
    </cfRule>
    <cfRule type="cellIs" dxfId="4084" priority="1287" operator="equal">
      <formula>2.1</formula>
    </cfRule>
    <cfRule type="cellIs" dxfId="4083" priority="1288" operator="equal">
      <formula>1.5</formula>
    </cfRule>
    <cfRule type="cellIs" dxfId="4082" priority="1289" operator="equal">
      <formula>1.4</formula>
    </cfRule>
    <cfRule type="cellIs" dxfId="4081" priority="1290" operator="equal">
      <formula>1.3</formula>
    </cfRule>
    <cfRule type="cellIs" dxfId="4080" priority="1291" operator="equal">
      <formula>1.2</formula>
    </cfRule>
    <cfRule type="containsText" dxfId="4079" priority="1292" operator="containsText" text="1.1">
      <formula>NOT(ISERROR(SEARCH("1.1",N145)))</formula>
    </cfRule>
  </conditionalFormatting>
  <conditionalFormatting sqref="AT187:AZ189">
    <cfRule type="cellIs" dxfId="4078" priority="1259" operator="equal">
      <formula>4.4</formula>
    </cfRule>
    <cfRule type="cellIs" dxfId="4077" priority="1260" operator="equal">
      <formula>4.3</formula>
    </cfRule>
    <cfRule type="cellIs" dxfId="4076" priority="1261" operator="equal">
      <formula>4.2</formula>
    </cfRule>
    <cfRule type="cellIs" dxfId="4075" priority="1262" operator="equal">
      <formula>4.1</formula>
    </cfRule>
    <cfRule type="cellIs" dxfId="4074" priority="1263" operator="equal">
      <formula>3.4</formula>
    </cfRule>
    <cfRule type="cellIs" dxfId="4073" priority="1264" operator="equal">
      <formula>3.3</formula>
    </cfRule>
    <cfRule type="cellIs" dxfId="4072" priority="1265" operator="equal">
      <formula>3.2</formula>
    </cfRule>
    <cfRule type="cellIs" dxfId="4071" priority="1266" operator="equal">
      <formula>3.1</formula>
    </cfRule>
    <cfRule type="cellIs" dxfId="4070" priority="1267" operator="equal">
      <formula>2.4</formula>
    </cfRule>
    <cfRule type="cellIs" dxfId="4069" priority="1268" operator="equal">
      <formula>2.3</formula>
    </cfRule>
    <cfRule type="cellIs" dxfId="4068" priority="1269" operator="equal">
      <formula>2.2</formula>
    </cfRule>
    <cfRule type="cellIs" dxfId="4067" priority="1270" operator="equal">
      <formula>2.1</formula>
    </cfRule>
    <cfRule type="cellIs" dxfId="4066" priority="1271" operator="equal">
      <formula>1.5</formula>
    </cfRule>
    <cfRule type="cellIs" dxfId="4065" priority="1272" operator="equal">
      <formula>1.4</formula>
    </cfRule>
    <cfRule type="cellIs" dxfId="4064" priority="1273" operator="equal">
      <formula>1.3</formula>
    </cfRule>
    <cfRule type="cellIs" dxfId="4063" priority="1274" operator="equal">
      <formula>1.2</formula>
    </cfRule>
    <cfRule type="containsText" dxfId="4062" priority="1275" operator="containsText" text="1.1">
      <formula>NOT(ISERROR(SEARCH("1.1",AT187)))</formula>
    </cfRule>
  </conditionalFormatting>
  <conditionalFormatting sqref="BB187:BH189">
    <cfRule type="cellIs" dxfId="4061" priority="1242" operator="equal">
      <formula>4.4</formula>
    </cfRule>
    <cfRule type="cellIs" dxfId="4060" priority="1243" operator="equal">
      <formula>4.3</formula>
    </cfRule>
    <cfRule type="cellIs" dxfId="4059" priority="1244" operator="equal">
      <formula>4.2</formula>
    </cfRule>
    <cfRule type="cellIs" dxfId="4058" priority="1245" operator="equal">
      <formula>4.1</formula>
    </cfRule>
    <cfRule type="cellIs" dxfId="4057" priority="1246" operator="equal">
      <formula>3.4</formula>
    </cfRule>
    <cfRule type="cellIs" dxfId="4056" priority="1247" operator="equal">
      <formula>3.3</formula>
    </cfRule>
    <cfRule type="cellIs" dxfId="4055" priority="1248" operator="equal">
      <formula>3.2</formula>
    </cfRule>
    <cfRule type="cellIs" dxfId="4054" priority="1249" operator="equal">
      <formula>3.1</formula>
    </cfRule>
    <cfRule type="cellIs" dxfId="4053" priority="1250" operator="equal">
      <formula>2.4</formula>
    </cfRule>
    <cfRule type="cellIs" dxfId="4052" priority="1251" operator="equal">
      <formula>2.3</formula>
    </cfRule>
    <cfRule type="cellIs" dxfId="4051" priority="1252" operator="equal">
      <formula>2.2</formula>
    </cfRule>
    <cfRule type="cellIs" dxfId="4050" priority="1253" operator="equal">
      <formula>2.1</formula>
    </cfRule>
    <cfRule type="cellIs" dxfId="4049" priority="1254" operator="equal">
      <formula>1.5</formula>
    </cfRule>
    <cfRule type="cellIs" dxfId="4048" priority="1255" operator="equal">
      <formula>1.4</formula>
    </cfRule>
    <cfRule type="cellIs" dxfId="4047" priority="1256" operator="equal">
      <formula>1.3</formula>
    </cfRule>
    <cfRule type="cellIs" dxfId="4046" priority="1257" operator="equal">
      <formula>1.2</formula>
    </cfRule>
    <cfRule type="containsText" dxfId="4045" priority="1258" operator="containsText" text="1.1">
      <formula>NOT(ISERROR(SEARCH("1.1",BB187)))</formula>
    </cfRule>
  </conditionalFormatting>
  <conditionalFormatting sqref="AS198:AS245 T237:U239 AR246:AS248 AB237:AC239 AJ234:AK236">
    <cfRule type="containsBlanks" dxfId="4044" priority="1241">
      <formula>LEN(TRIM(T198))=0</formula>
    </cfRule>
  </conditionalFormatting>
  <conditionalFormatting sqref="U198:U236">
    <cfRule type="containsBlanks" dxfId="4043" priority="1240">
      <formula>LEN(TRIM(U198))=0</formula>
    </cfRule>
  </conditionalFormatting>
  <conditionalFormatting sqref="AC198:AC236">
    <cfRule type="containsBlanks" dxfId="4042" priority="1239">
      <formula>LEN(TRIM(AC198))=0</formula>
    </cfRule>
  </conditionalFormatting>
  <conditionalFormatting sqref="AK198:AK233">
    <cfRule type="containsBlanks" dxfId="4041" priority="1238">
      <formula>LEN(TRIM(AK198))=0</formula>
    </cfRule>
  </conditionalFormatting>
  <conditionalFormatting sqref="AI248:AK248 AI238:AK246 N195:AS200 AL240:AR245 AS201:AS245 AL246:AS248 N237:AK237 N238:AH248 N201:AR236">
    <cfRule type="cellIs" dxfId="4040" priority="1221" operator="equal">
      <formula>4.4</formula>
    </cfRule>
    <cfRule type="cellIs" dxfId="4039" priority="1222" operator="equal">
      <formula>4.3</formula>
    </cfRule>
    <cfRule type="cellIs" dxfId="4038" priority="1223" operator="equal">
      <formula>4.2</formula>
    </cfRule>
    <cfRule type="cellIs" dxfId="4037" priority="1224" operator="equal">
      <formula>4.1</formula>
    </cfRule>
    <cfRule type="cellIs" dxfId="4036" priority="1225" operator="equal">
      <formula>3.4</formula>
    </cfRule>
    <cfRule type="cellIs" dxfId="4035" priority="1226" operator="equal">
      <formula>3.3</formula>
    </cfRule>
    <cfRule type="cellIs" dxfId="4034" priority="1227" operator="equal">
      <formula>3.2</formula>
    </cfRule>
    <cfRule type="cellIs" dxfId="4033" priority="1228" operator="equal">
      <formula>3.1</formula>
    </cfRule>
    <cfRule type="cellIs" dxfId="4032" priority="1229" operator="equal">
      <formula>2.4</formula>
    </cfRule>
    <cfRule type="cellIs" dxfId="4031" priority="1230" operator="equal">
      <formula>2.3</formula>
    </cfRule>
    <cfRule type="cellIs" dxfId="4030" priority="1231" operator="equal">
      <formula>2.2</formula>
    </cfRule>
    <cfRule type="cellIs" dxfId="4029" priority="1232" operator="equal">
      <formula>2.1</formula>
    </cfRule>
    <cfRule type="cellIs" dxfId="4028" priority="1233" operator="equal">
      <formula>1.5</formula>
    </cfRule>
    <cfRule type="cellIs" dxfId="4027" priority="1234" operator="equal">
      <formula>1.4</formula>
    </cfRule>
    <cfRule type="cellIs" dxfId="4026" priority="1235" operator="equal">
      <formula>1.3</formula>
    </cfRule>
    <cfRule type="cellIs" dxfId="4025" priority="1236" operator="equal">
      <formula>1.2</formula>
    </cfRule>
    <cfRule type="containsText" dxfId="4024" priority="1237" operator="containsText" text="1.1">
      <formula>NOT(ISERROR(SEARCH("1.1",N195)))</formula>
    </cfRule>
  </conditionalFormatting>
  <conditionalFormatting sqref="AL237:AR239">
    <cfRule type="cellIs" dxfId="4023" priority="1204" operator="equal">
      <formula>4.4</formula>
    </cfRule>
    <cfRule type="cellIs" dxfId="4022" priority="1205" operator="equal">
      <formula>4.3</formula>
    </cfRule>
    <cfRule type="cellIs" dxfId="4021" priority="1206" operator="equal">
      <formula>4.2</formula>
    </cfRule>
    <cfRule type="cellIs" dxfId="4020" priority="1207" operator="equal">
      <formula>4.1</formula>
    </cfRule>
    <cfRule type="cellIs" dxfId="4019" priority="1208" operator="equal">
      <formula>3.4</formula>
    </cfRule>
    <cfRule type="cellIs" dxfId="4018" priority="1209" operator="equal">
      <formula>3.3</formula>
    </cfRule>
    <cfRule type="cellIs" dxfId="4017" priority="1210" operator="equal">
      <formula>3.2</formula>
    </cfRule>
    <cfRule type="cellIs" dxfId="4016" priority="1211" operator="equal">
      <formula>3.1</formula>
    </cfRule>
    <cfRule type="cellIs" dxfId="4015" priority="1212" operator="equal">
      <formula>2.4</formula>
    </cfRule>
    <cfRule type="cellIs" dxfId="4014" priority="1213" operator="equal">
      <formula>2.3</formula>
    </cfRule>
    <cfRule type="cellIs" dxfId="4013" priority="1214" operator="equal">
      <formula>2.2</formula>
    </cfRule>
    <cfRule type="cellIs" dxfId="4012" priority="1215" operator="equal">
      <formula>2.1</formula>
    </cfRule>
    <cfRule type="cellIs" dxfId="4011" priority="1216" operator="equal">
      <formula>1.5</formula>
    </cfRule>
    <cfRule type="cellIs" dxfId="4010" priority="1217" operator="equal">
      <formula>1.4</formula>
    </cfRule>
    <cfRule type="cellIs" dxfId="4009" priority="1218" operator="equal">
      <formula>1.3</formula>
    </cfRule>
    <cfRule type="cellIs" dxfId="4008" priority="1219" operator="equal">
      <formula>1.2</formula>
    </cfRule>
    <cfRule type="containsText" dxfId="4007" priority="1220" operator="containsText" text="1.1">
      <formula>NOT(ISERROR(SEARCH("1.1",AL237)))</formula>
    </cfRule>
  </conditionalFormatting>
  <conditionalFormatting sqref="T5:T6 X5:X6 AB5:AB6 AF5:AF6 AJ5:AJ6 AN5:AN6 AR5:AR6 AZ5:AZ6 AV5:AV6 P5:P6 D5:D6 H5:H6 L5:L6">
    <cfRule type="containsBlanks" dxfId="4006" priority="1203">
      <formula>LEN(TRIM(D5))=0</formula>
    </cfRule>
  </conditionalFormatting>
  <conditionalFormatting sqref="A5:AZ6">
    <cfRule type="cellIs" dxfId="4005" priority="1186" operator="equal">
      <formula>4.4</formula>
    </cfRule>
    <cfRule type="cellIs" dxfId="4004" priority="1187" operator="equal">
      <formula>4.3</formula>
    </cfRule>
    <cfRule type="cellIs" dxfId="4003" priority="1188" operator="equal">
      <formula>4.2</formula>
    </cfRule>
    <cfRule type="cellIs" dxfId="4002" priority="1189" operator="equal">
      <formula>4.1</formula>
    </cfRule>
    <cfRule type="cellIs" dxfId="4001" priority="1190" operator="equal">
      <formula>3.4</formula>
    </cfRule>
    <cfRule type="cellIs" dxfId="4000" priority="1191" operator="equal">
      <formula>3.3</formula>
    </cfRule>
    <cfRule type="cellIs" dxfId="3999" priority="1192" operator="equal">
      <formula>3.2</formula>
    </cfRule>
    <cfRule type="cellIs" dxfId="3998" priority="1193" operator="equal">
      <formula>3.1</formula>
    </cfRule>
    <cfRule type="cellIs" dxfId="3997" priority="1194" operator="equal">
      <formula>2.4</formula>
    </cfRule>
    <cfRule type="cellIs" dxfId="3996" priority="1195" operator="equal">
      <formula>2.3</formula>
    </cfRule>
    <cfRule type="cellIs" dxfId="3995" priority="1196" operator="equal">
      <formula>2.2</formula>
    </cfRule>
    <cfRule type="cellIs" dxfId="3994" priority="1197" operator="equal">
      <formula>2.1</formula>
    </cfRule>
    <cfRule type="cellIs" dxfId="3993" priority="1198" operator="equal">
      <formula>1.5</formula>
    </cfRule>
    <cfRule type="cellIs" dxfId="3992" priority="1199" operator="equal">
      <formula>1.4</formula>
    </cfRule>
    <cfRule type="cellIs" dxfId="3991" priority="1200" operator="equal">
      <formula>1.3</formula>
    </cfRule>
    <cfRule type="cellIs" dxfId="3990" priority="1201" operator="equal">
      <formula>1.2</formula>
    </cfRule>
    <cfRule type="containsText" dxfId="3989" priority="1202" operator="containsText" text="1.1">
      <formula>NOT(ISERROR(SEARCH("1.1",A5)))</formula>
    </cfRule>
  </conditionalFormatting>
  <conditionalFormatting sqref="BI5:BL6">
    <cfRule type="cellIs" dxfId="3988" priority="1169" operator="equal">
      <formula>4.4</formula>
    </cfRule>
    <cfRule type="cellIs" dxfId="3987" priority="1170" operator="equal">
      <formula>4.3</formula>
    </cfRule>
    <cfRule type="cellIs" dxfId="3986" priority="1171" operator="equal">
      <formula>4.2</formula>
    </cfRule>
    <cfRule type="cellIs" dxfId="3985" priority="1172" operator="equal">
      <formula>4.1</formula>
    </cfRule>
    <cfRule type="cellIs" dxfId="3984" priority="1173" operator="equal">
      <formula>3.4</formula>
    </cfRule>
    <cfRule type="cellIs" dxfId="3983" priority="1174" operator="equal">
      <formula>3.3</formula>
    </cfRule>
    <cfRule type="cellIs" dxfId="3982" priority="1175" operator="equal">
      <formula>3.2</formula>
    </cfRule>
    <cfRule type="cellIs" dxfId="3981" priority="1176" operator="equal">
      <formula>3.1</formula>
    </cfRule>
    <cfRule type="cellIs" dxfId="3980" priority="1177" operator="equal">
      <formula>2.4</formula>
    </cfRule>
    <cfRule type="cellIs" dxfId="3979" priority="1178" operator="equal">
      <formula>2.3</formula>
    </cfRule>
    <cfRule type="cellIs" dxfId="3978" priority="1179" operator="equal">
      <formula>2.2</formula>
    </cfRule>
    <cfRule type="cellIs" dxfId="3977" priority="1180" operator="equal">
      <formula>2.1</formula>
    </cfRule>
    <cfRule type="cellIs" dxfId="3976" priority="1181" operator="equal">
      <formula>1.5</formula>
    </cfRule>
    <cfRule type="cellIs" dxfId="3975" priority="1182" operator="equal">
      <formula>1.4</formula>
    </cfRule>
    <cfRule type="cellIs" dxfId="3974" priority="1183" operator="equal">
      <formula>1.3</formula>
    </cfRule>
    <cfRule type="cellIs" dxfId="3973" priority="1184" operator="equal">
      <formula>1.2</formula>
    </cfRule>
    <cfRule type="containsText" dxfId="3972" priority="1185" operator="containsText" text="1.1">
      <formula>NOT(ISERROR(SEARCH("1.1",BI5)))</formula>
    </cfRule>
  </conditionalFormatting>
  <conditionalFormatting sqref="BD5:BD6">
    <cfRule type="containsBlanks" dxfId="3971" priority="1168">
      <formula>LEN(TRIM(BD5))=0</formula>
    </cfRule>
  </conditionalFormatting>
  <conditionalFormatting sqref="BA5:BD6">
    <cfRule type="cellIs" dxfId="3970" priority="1151" operator="equal">
      <formula>4.4</formula>
    </cfRule>
    <cfRule type="cellIs" dxfId="3969" priority="1152" operator="equal">
      <formula>4.3</formula>
    </cfRule>
    <cfRule type="cellIs" dxfId="3968" priority="1153" operator="equal">
      <formula>4.2</formula>
    </cfRule>
    <cfRule type="cellIs" dxfId="3967" priority="1154" operator="equal">
      <formula>4.1</formula>
    </cfRule>
    <cfRule type="cellIs" dxfId="3966" priority="1155" operator="equal">
      <formula>3.4</formula>
    </cfRule>
    <cfRule type="cellIs" dxfId="3965" priority="1156" operator="equal">
      <formula>3.3</formula>
    </cfRule>
    <cfRule type="cellIs" dxfId="3964" priority="1157" operator="equal">
      <formula>3.2</formula>
    </cfRule>
    <cfRule type="cellIs" dxfId="3963" priority="1158" operator="equal">
      <formula>3.1</formula>
    </cfRule>
    <cfRule type="cellIs" dxfId="3962" priority="1159" operator="equal">
      <formula>2.4</formula>
    </cfRule>
    <cfRule type="cellIs" dxfId="3961" priority="1160" operator="equal">
      <formula>2.3</formula>
    </cfRule>
    <cfRule type="cellIs" dxfId="3960" priority="1161" operator="equal">
      <formula>2.2</formula>
    </cfRule>
    <cfRule type="cellIs" dxfId="3959" priority="1162" operator="equal">
      <formula>2.1</formula>
    </cfRule>
    <cfRule type="cellIs" dxfId="3958" priority="1163" operator="equal">
      <formula>1.5</formula>
    </cfRule>
    <cfRule type="cellIs" dxfId="3957" priority="1164" operator="equal">
      <formula>1.4</formula>
    </cfRule>
    <cfRule type="cellIs" dxfId="3956" priority="1165" operator="equal">
      <formula>1.3</formula>
    </cfRule>
    <cfRule type="cellIs" dxfId="3955" priority="1166" operator="equal">
      <formula>1.2</formula>
    </cfRule>
    <cfRule type="containsText" dxfId="3954" priority="1167" operator="containsText" text="1.1">
      <formula>NOT(ISERROR(SEARCH("1.1",BA5)))</formula>
    </cfRule>
  </conditionalFormatting>
  <conditionalFormatting sqref="BH5:BH6">
    <cfRule type="containsBlanks" dxfId="3953" priority="1150">
      <formula>LEN(TRIM(BH5))=0</formula>
    </cfRule>
  </conditionalFormatting>
  <conditionalFormatting sqref="BE5:BH6">
    <cfRule type="cellIs" dxfId="3952" priority="1133" operator="equal">
      <formula>4.4</formula>
    </cfRule>
    <cfRule type="cellIs" dxfId="3951" priority="1134" operator="equal">
      <formula>4.3</formula>
    </cfRule>
    <cfRule type="cellIs" dxfId="3950" priority="1135" operator="equal">
      <formula>4.2</formula>
    </cfRule>
    <cfRule type="cellIs" dxfId="3949" priority="1136" operator="equal">
      <formula>4.1</formula>
    </cfRule>
    <cfRule type="cellIs" dxfId="3948" priority="1137" operator="equal">
      <formula>3.4</formula>
    </cfRule>
    <cfRule type="cellIs" dxfId="3947" priority="1138" operator="equal">
      <formula>3.3</formula>
    </cfRule>
    <cfRule type="cellIs" dxfId="3946" priority="1139" operator="equal">
      <formula>3.2</formula>
    </cfRule>
    <cfRule type="cellIs" dxfId="3945" priority="1140" operator="equal">
      <formula>3.1</formula>
    </cfRule>
    <cfRule type="cellIs" dxfId="3944" priority="1141" operator="equal">
      <formula>2.4</formula>
    </cfRule>
    <cfRule type="cellIs" dxfId="3943" priority="1142" operator="equal">
      <formula>2.3</formula>
    </cfRule>
    <cfRule type="cellIs" dxfId="3942" priority="1143" operator="equal">
      <formula>2.2</formula>
    </cfRule>
    <cfRule type="cellIs" dxfId="3941" priority="1144" operator="equal">
      <formula>2.1</formula>
    </cfRule>
    <cfRule type="cellIs" dxfId="3940" priority="1145" operator="equal">
      <formula>1.5</formula>
    </cfRule>
    <cfRule type="cellIs" dxfId="3939" priority="1146" operator="equal">
      <formula>1.4</formula>
    </cfRule>
    <cfRule type="cellIs" dxfId="3938" priority="1147" operator="equal">
      <formula>1.3</formula>
    </cfRule>
    <cfRule type="cellIs" dxfId="3937" priority="1148" operator="equal">
      <formula>1.2</formula>
    </cfRule>
    <cfRule type="containsText" dxfId="3936" priority="1149" operator="containsText" text="1.1">
      <formula>NOT(ISERROR(SEARCH("1.1",BE5)))</formula>
    </cfRule>
  </conditionalFormatting>
  <conditionalFormatting sqref="BL5:BL6">
    <cfRule type="containsBlanks" dxfId="3935" priority="1132">
      <formula>LEN(TRIM(BL5))=0</formula>
    </cfRule>
  </conditionalFormatting>
  <conditionalFormatting sqref="B11:H31">
    <cfRule type="cellIs" dxfId="3934" priority="1115" operator="equal">
      <formula>4.4</formula>
    </cfRule>
    <cfRule type="cellIs" dxfId="3933" priority="1116" operator="equal">
      <formula>4.3</formula>
    </cfRule>
    <cfRule type="cellIs" dxfId="3932" priority="1117" operator="equal">
      <formula>4.2</formula>
    </cfRule>
    <cfRule type="cellIs" dxfId="3931" priority="1118" operator="equal">
      <formula>4.1</formula>
    </cfRule>
    <cfRule type="cellIs" dxfId="3930" priority="1119" operator="equal">
      <formula>3.4</formula>
    </cfRule>
    <cfRule type="cellIs" dxfId="3929" priority="1120" operator="equal">
      <formula>3.3</formula>
    </cfRule>
    <cfRule type="cellIs" dxfId="3928" priority="1121" operator="equal">
      <formula>3.2</formula>
    </cfRule>
    <cfRule type="cellIs" dxfId="3927" priority="1122" operator="equal">
      <formula>3.1</formula>
    </cfRule>
    <cfRule type="cellIs" dxfId="3926" priority="1123" operator="equal">
      <formula>2.4</formula>
    </cfRule>
    <cfRule type="cellIs" dxfId="3925" priority="1124" operator="equal">
      <formula>2.3</formula>
    </cfRule>
    <cfRule type="cellIs" dxfId="3924" priority="1125" operator="equal">
      <formula>2.2</formula>
    </cfRule>
    <cfRule type="cellIs" dxfId="3923" priority="1126" operator="equal">
      <formula>2.1</formula>
    </cfRule>
    <cfRule type="cellIs" dxfId="3922" priority="1127" operator="equal">
      <formula>1.5</formula>
    </cfRule>
    <cfRule type="cellIs" dxfId="3921" priority="1128" operator="equal">
      <formula>1.4</formula>
    </cfRule>
    <cfRule type="cellIs" dxfId="3920" priority="1129" operator="equal">
      <formula>1.3</formula>
    </cfRule>
    <cfRule type="cellIs" dxfId="3919" priority="1130" operator="equal">
      <formula>1.2</formula>
    </cfRule>
    <cfRule type="containsText" dxfId="3918" priority="1131" operator="containsText" text="1.1">
      <formula>NOT(ISERROR(SEARCH("1.1",B11)))</formula>
    </cfRule>
  </conditionalFormatting>
  <conditionalFormatting sqref="M98:M124">
    <cfRule type="containsBlanks" dxfId="3917" priority="1097">
      <formula>LEN(TRIM(M98))=0</formula>
    </cfRule>
  </conditionalFormatting>
  <conditionalFormatting sqref="M95:M124 M129">
    <cfRule type="cellIs" dxfId="3916" priority="1080" operator="equal">
      <formula>4.4</formula>
    </cfRule>
    <cfRule type="cellIs" dxfId="3915" priority="1081" operator="equal">
      <formula>4.3</formula>
    </cfRule>
    <cfRule type="cellIs" dxfId="3914" priority="1082" operator="equal">
      <formula>4.2</formula>
    </cfRule>
    <cfRule type="cellIs" dxfId="3913" priority="1083" operator="equal">
      <formula>4.1</formula>
    </cfRule>
    <cfRule type="cellIs" dxfId="3912" priority="1084" operator="equal">
      <formula>3.4</formula>
    </cfRule>
    <cfRule type="cellIs" dxfId="3911" priority="1085" operator="equal">
      <formula>3.3</formula>
    </cfRule>
    <cfRule type="cellIs" dxfId="3910" priority="1086" operator="equal">
      <formula>3.2</formula>
    </cfRule>
    <cfRule type="cellIs" dxfId="3909" priority="1087" operator="equal">
      <formula>3.1</formula>
    </cfRule>
    <cfRule type="cellIs" dxfId="3908" priority="1088" operator="equal">
      <formula>2.4</formula>
    </cfRule>
    <cfRule type="cellIs" dxfId="3907" priority="1089" operator="equal">
      <formula>2.3</formula>
    </cfRule>
    <cfRule type="cellIs" dxfId="3906" priority="1090" operator="equal">
      <formula>2.2</formula>
    </cfRule>
    <cfRule type="cellIs" dxfId="3905" priority="1091" operator="equal">
      <formula>2.1</formula>
    </cfRule>
    <cfRule type="cellIs" dxfId="3904" priority="1092" operator="equal">
      <formula>1.5</formula>
    </cfRule>
    <cfRule type="cellIs" dxfId="3903" priority="1093" operator="equal">
      <formula>1.4</formula>
    </cfRule>
    <cfRule type="cellIs" dxfId="3902" priority="1094" operator="equal">
      <formula>1.3</formula>
    </cfRule>
    <cfRule type="cellIs" dxfId="3901" priority="1095" operator="equal">
      <formula>1.2</formula>
    </cfRule>
    <cfRule type="containsText" dxfId="3900" priority="1096" operator="containsText" text="1.1">
      <formula>NOT(ISERROR(SEARCH("1.1",M95)))</formula>
    </cfRule>
  </conditionalFormatting>
  <conditionalFormatting sqref="H98:L124 H125:M128">
    <cfRule type="containsBlanks" dxfId="3899" priority="1079">
      <formula>LEN(TRIM(H98))=0</formula>
    </cfRule>
  </conditionalFormatting>
  <conditionalFormatting sqref="H95:L97 A98:L100 A126:E127 A101:G118 H101:L124 A125:M125 F126:M128">
    <cfRule type="cellIs" dxfId="3898" priority="1062" operator="equal">
      <formula>4.4</formula>
    </cfRule>
    <cfRule type="cellIs" dxfId="3897" priority="1063" operator="equal">
      <formula>4.3</formula>
    </cfRule>
    <cfRule type="cellIs" dxfId="3896" priority="1064" operator="equal">
      <formula>4.2</formula>
    </cfRule>
    <cfRule type="cellIs" dxfId="3895" priority="1065" operator="equal">
      <formula>4.1</formula>
    </cfRule>
    <cfRule type="cellIs" dxfId="3894" priority="1066" operator="equal">
      <formula>3.4</formula>
    </cfRule>
    <cfRule type="cellIs" dxfId="3893" priority="1067" operator="equal">
      <formula>3.3</formula>
    </cfRule>
    <cfRule type="cellIs" dxfId="3892" priority="1068" operator="equal">
      <formula>3.2</formula>
    </cfRule>
    <cfRule type="cellIs" dxfId="3891" priority="1069" operator="equal">
      <formula>3.1</formula>
    </cfRule>
    <cfRule type="cellIs" dxfId="3890" priority="1070" operator="equal">
      <formula>2.4</formula>
    </cfRule>
    <cfRule type="cellIs" dxfId="3889" priority="1071" operator="equal">
      <formula>2.3</formula>
    </cfRule>
    <cfRule type="cellIs" dxfId="3888" priority="1072" operator="equal">
      <formula>2.2</formula>
    </cfRule>
    <cfRule type="cellIs" dxfId="3887" priority="1073" operator="equal">
      <formula>2.1</formula>
    </cfRule>
    <cfRule type="cellIs" dxfId="3886" priority="1074" operator="equal">
      <formula>1.5</formula>
    </cfRule>
    <cfRule type="cellIs" dxfId="3885" priority="1075" operator="equal">
      <formula>1.4</formula>
    </cfRule>
    <cfRule type="cellIs" dxfId="3884" priority="1076" operator="equal">
      <formula>1.3</formula>
    </cfRule>
    <cfRule type="cellIs" dxfId="3883" priority="1077" operator="equal">
      <formula>1.2</formula>
    </cfRule>
    <cfRule type="containsText" dxfId="3882" priority="1078" operator="containsText" text="1.1">
      <formula>NOT(ISERROR(SEARCH("1.1",A95)))</formula>
    </cfRule>
  </conditionalFormatting>
  <conditionalFormatting sqref="A132:A134 A138 A130:M131 F138:M139">
    <cfRule type="cellIs" dxfId="3881" priority="1045" operator="equal">
      <formula>4.4</formula>
    </cfRule>
    <cfRule type="cellIs" dxfId="3880" priority="1046" operator="equal">
      <formula>4.3</formula>
    </cfRule>
    <cfRule type="cellIs" dxfId="3879" priority="1047" operator="equal">
      <formula>4.2</formula>
    </cfRule>
    <cfRule type="cellIs" dxfId="3878" priority="1048" operator="equal">
      <formula>4.1</formula>
    </cfRule>
    <cfRule type="cellIs" dxfId="3877" priority="1049" operator="equal">
      <formula>3.4</formula>
    </cfRule>
    <cfRule type="cellIs" dxfId="3876" priority="1050" operator="equal">
      <formula>3.3</formula>
    </cfRule>
    <cfRule type="cellIs" dxfId="3875" priority="1051" operator="equal">
      <formula>3.2</formula>
    </cfRule>
    <cfRule type="cellIs" dxfId="3874" priority="1052" operator="equal">
      <formula>3.1</formula>
    </cfRule>
    <cfRule type="cellIs" dxfId="3873" priority="1053" operator="equal">
      <formula>2.4</formula>
    </cfRule>
    <cfRule type="cellIs" dxfId="3872" priority="1054" operator="equal">
      <formula>2.3</formula>
    </cfRule>
    <cfRule type="cellIs" dxfId="3871" priority="1055" operator="equal">
      <formula>2.2</formula>
    </cfRule>
    <cfRule type="cellIs" dxfId="3870" priority="1056" operator="equal">
      <formula>2.1</formula>
    </cfRule>
    <cfRule type="cellIs" dxfId="3869" priority="1057" operator="equal">
      <formula>1.5</formula>
    </cfRule>
    <cfRule type="cellIs" dxfId="3868" priority="1058" operator="equal">
      <formula>1.4</formula>
    </cfRule>
    <cfRule type="cellIs" dxfId="3867" priority="1059" operator="equal">
      <formula>1.3</formula>
    </cfRule>
    <cfRule type="cellIs" dxfId="3866" priority="1060" operator="equal">
      <formula>1.2</formula>
    </cfRule>
    <cfRule type="containsText" dxfId="3865" priority="1061" operator="containsText" text="1.1">
      <formula>NOT(ISERROR(SEARCH("1.1",A130)))</formula>
    </cfRule>
  </conditionalFormatting>
  <conditionalFormatting sqref="H138:M139">
    <cfRule type="containsBlanks" dxfId="3864" priority="1044">
      <formula>LEN(TRIM(H138))=0</formula>
    </cfRule>
  </conditionalFormatting>
  <conditionalFormatting sqref="B132:G134">
    <cfRule type="cellIs" dxfId="3863" priority="1027" operator="equal">
      <formula>4.4</formula>
    </cfRule>
    <cfRule type="cellIs" dxfId="3862" priority="1028" operator="equal">
      <formula>4.3</formula>
    </cfRule>
    <cfRule type="cellIs" dxfId="3861" priority="1029" operator="equal">
      <formula>4.2</formula>
    </cfRule>
    <cfRule type="cellIs" dxfId="3860" priority="1030" operator="equal">
      <formula>4.1</formula>
    </cfRule>
    <cfRule type="cellIs" dxfId="3859" priority="1031" operator="equal">
      <formula>3.4</formula>
    </cfRule>
    <cfRule type="cellIs" dxfId="3858" priority="1032" operator="equal">
      <formula>3.3</formula>
    </cfRule>
    <cfRule type="cellIs" dxfId="3857" priority="1033" operator="equal">
      <formula>3.2</formula>
    </cfRule>
    <cfRule type="cellIs" dxfId="3856" priority="1034" operator="equal">
      <formula>3.1</formula>
    </cfRule>
    <cfRule type="cellIs" dxfId="3855" priority="1035" operator="equal">
      <formula>2.4</formula>
    </cfRule>
    <cfRule type="cellIs" dxfId="3854" priority="1036" operator="equal">
      <formula>2.3</formula>
    </cfRule>
    <cfRule type="cellIs" dxfId="3853" priority="1037" operator="equal">
      <formula>2.2</formula>
    </cfRule>
    <cfRule type="cellIs" dxfId="3852" priority="1038" operator="equal">
      <formula>2.1</formula>
    </cfRule>
    <cfRule type="cellIs" dxfId="3851" priority="1039" operator="equal">
      <formula>1.5</formula>
    </cfRule>
    <cfRule type="cellIs" dxfId="3850" priority="1040" operator="equal">
      <formula>1.4</formula>
    </cfRule>
    <cfRule type="cellIs" dxfId="3849" priority="1041" operator="equal">
      <formula>1.3</formula>
    </cfRule>
    <cfRule type="cellIs" dxfId="3848" priority="1042" operator="equal">
      <formula>1.2</formula>
    </cfRule>
    <cfRule type="containsText" dxfId="3847" priority="1043" operator="containsText" text="1.1">
      <formula>NOT(ISERROR(SEARCH("1.1",B132)))</formula>
    </cfRule>
  </conditionalFormatting>
  <conditionalFormatting sqref="A95:G97">
    <cfRule type="cellIs" dxfId="3846" priority="1010" operator="equal">
      <formula>4.4</formula>
    </cfRule>
    <cfRule type="cellIs" dxfId="3845" priority="1011" operator="equal">
      <formula>4.3</formula>
    </cfRule>
    <cfRule type="cellIs" dxfId="3844" priority="1012" operator="equal">
      <formula>4.2</formula>
    </cfRule>
    <cfRule type="cellIs" dxfId="3843" priority="1013" operator="equal">
      <formula>4.1</formula>
    </cfRule>
    <cfRule type="cellIs" dxfId="3842" priority="1014" operator="equal">
      <formula>3.4</formula>
    </cfRule>
    <cfRule type="cellIs" dxfId="3841" priority="1015" operator="equal">
      <formula>3.3</formula>
    </cfRule>
    <cfRule type="cellIs" dxfId="3840" priority="1016" operator="equal">
      <formula>3.2</formula>
    </cfRule>
    <cfRule type="cellIs" dxfId="3839" priority="1017" operator="equal">
      <formula>3.1</formula>
    </cfRule>
    <cfRule type="cellIs" dxfId="3838" priority="1018" operator="equal">
      <formula>2.4</formula>
    </cfRule>
    <cfRule type="cellIs" dxfId="3837" priority="1019" operator="equal">
      <formula>2.3</formula>
    </cfRule>
    <cfRule type="cellIs" dxfId="3836" priority="1020" operator="equal">
      <formula>2.2</formula>
    </cfRule>
    <cfRule type="cellIs" dxfId="3835" priority="1021" operator="equal">
      <formula>2.1</formula>
    </cfRule>
    <cfRule type="cellIs" dxfId="3834" priority="1022" operator="equal">
      <formula>1.5</formula>
    </cfRule>
    <cfRule type="cellIs" dxfId="3833" priority="1023" operator="equal">
      <formula>1.4</formula>
    </cfRule>
    <cfRule type="cellIs" dxfId="3832" priority="1024" operator="equal">
      <formula>1.3</formula>
    </cfRule>
    <cfRule type="cellIs" dxfId="3831" priority="1025" operator="equal">
      <formula>1.2</formula>
    </cfRule>
    <cfRule type="containsText" dxfId="3830" priority="1026" operator="containsText" text="1.1">
      <formula>NOT(ISERROR(SEARCH("1.1",A95)))</formula>
    </cfRule>
  </conditionalFormatting>
  <conditionalFormatting sqref="A119:G121">
    <cfRule type="cellIs" dxfId="3829" priority="993" operator="equal">
      <formula>4.4</formula>
    </cfRule>
    <cfRule type="cellIs" dxfId="3828" priority="994" operator="equal">
      <formula>4.3</formula>
    </cfRule>
    <cfRule type="cellIs" dxfId="3827" priority="995" operator="equal">
      <formula>4.2</formula>
    </cfRule>
    <cfRule type="cellIs" dxfId="3826" priority="996" operator="equal">
      <formula>4.1</formula>
    </cfRule>
    <cfRule type="cellIs" dxfId="3825" priority="997" operator="equal">
      <formula>3.4</formula>
    </cfRule>
    <cfRule type="cellIs" dxfId="3824" priority="998" operator="equal">
      <formula>3.3</formula>
    </cfRule>
    <cfRule type="cellIs" dxfId="3823" priority="999" operator="equal">
      <formula>3.2</formula>
    </cfRule>
    <cfRule type="cellIs" dxfId="3822" priority="1000" operator="equal">
      <formula>3.1</formula>
    </cfRule>
    <cfRule type="cellIs" dxfId="3821" priority="1001" operator="equal">
      <formula>2.4</formula>
    </cfRule>
    <cfRule type="cellIs" dxfId="3820" priority="1002" operator="equal">
      <formula>2.3</formula>
    </cfRule>
    <cfRule type="cellIs" dxfId="3819" priority="1003" operator="equal">
      <formula>2.2</formula>
    </cfRule>
    <cfRule type="cellIs" dxfId="3818" priority="1004" operator="equal">
      <formula>2.1</formula>
    </cfRule>
    <cfRule type="cellIs" dxfId="3817" priority="1005" operator="equal">
      <formula>1.5</formula>
    </cfRule>
    <cfRule type="cellIs" dxfId="3816" priority="1006" operator="equal">
      <formula>1.4</formula>
    </cfRule>
    <cfRule type="cellIs" dxfId="3815" priority="1007" operator="equal">
      <formula>1.3</formula>
    </cfRule>
    <cfRule type="cellIs" dxfId="3814" priority="1008" operator="equal">
      <formula>1.2</formula>
    </cfRule>
    <cfRule type="containsText" dxfId="3813" priority="1009" operator="containsText" text="1.1">
      <formula>NOT(ISERROR(SEARCH("1.1",A119)))</formula>
    </cfRule>
  </conditionalFormatting>
  <conditionalFormatting sqref="B122:G124">
    <cfRule type="cellIs" dxfId="3812" priority="959" operator="equal">
      <formula>4.4</formula>
    </cfRule>
    <cfRule type="cellIs" dxfId="3811" priority="960" operator="equal">
      <formula>4.3</formula>
    </cfRule>
    <cfRule type="cellIs" dxfId="3810" priority="961" operator="equal">
      <formula>4.2</formula>
    </cfRule>
    <cfRule type="cellIs" dxfId="3809" priority="962" operator="equal">
      <formula>4.1</formula>
    </cfRule>
    <cfRule type="cellIs" dxfId="3808" priority="963" operator="equal">
      <formula>3.4</formula>
    </cfRule>
    <cfRule type="cellIs" dxfId="3807" priority="964" operator="equal">
      <formula>3.3</formula>
    </cfRule>
    <cfRule type="cellIs" dxfId="3806" priority="965" operator="equal">
      <formula>3.2</formula>
    </cfRule>
    <cfRule type="cellIs" dxfId="3805" priority="966" operator="equal">
      <formula>3.1</formula>
    </cfRule>
    <cfRule type="cellIs" dxfId="3804" priority="967" operator="equal">
      <formula>2.4</formula>
    </cfRule>
    <cfRule type="cellIs" dxfId="3803" priority="968" operator="equal">
      <formula>2.3</formula>
    </cfRule>
    <cfRule type="cellIs" dxfId="3802" priority="969" operator="equal">
      <formula>2.2</formula>
    </cfRule>
    <cfRule type="cellIs" dxfId="3801" priority="970" operator="equal">
      <formula>2.1</formula>
    </cfRule>
    <cfRule type="cellIs" dxfId="3800" priority="971" operator="equal">
      <formula>1.5</formula>
    </cfRule>
    <cfRule type="cellIs" dxfId="3799" priority="972" operator="equal">
      <formula>1.4</formula>
    </cfRule>
    <cfRule type="cellIs" dxfId="3798" priority="973" operator="equal">
      <formula>1.3</formula>
    </cfRule>
    <cfRule type="cellIs" dxfId="3797" priority="974" operator="equal">
      <formula>1.2</formula>
    </cfRule>
    <cfRule type="containsText" dxfId="3796" priority="975" operator="containsText" text="1.1">
      <formula>NOT(ISERROR(SEARCH("1.1",B122)))</formula>
    </cfRule>
  </conditionalFormatting>
  <conditionalFormatting sqref="A122:A124">
    <cfRule type="cellIs" dxfId="3795" priority="976" operator="equal">
      <formula>4.4</formula>
    </cfRule>
    <cfRule type="cellIs" dxfId="3794" priority="977" operator="equal">
      <formula>4.3</formula>
    </cfRule>
    <cfRule type="cellIs" dxfId="3793" priority="978" operator="equal">
      <formula>4.2</formula>
    </cfRule>
    <cfRule type="cellIs" dxfId="3792" priority="979" operator="equal">
      <formula>4.1</formula>
    </cfRule>
    <cfRule type="cellIs" dxfId="3791" priority="980" operator="equal">
      <formula>3.4</formula>
    </cfRule>
    <cfRule type="cellIs" dxfId="3790" priority="981" operator="equal">
      <formula>3.3</formula>
    </cfRule>
    <cfRule type="cellIs" dxfId="3789" priority="982" operator="equal">
      <formula>3.2</formula>
    </cfRule>
    <cfRule type="cellIs" dxfId="3788" priority="983" operator="equal">
      <formula>3.1</formula>
    </cfRule>
    <cfRule type="cellIs" dxfId="3787" priority="984" operator="equal">
      <formula>2.4</formula>
    </cfRule>
    <cfRule type="cellIs" dxfId="3786" priority="985" operator="equal">
      <formula>2.3</formula>
    </cfRule>
    <cfRule type="cellIs" dxfId="3785" priority="986" operator="equal">
      <formula>2.2</formula>
    </cfRule>
    <cfRule type="cellIs" dxfId="3784" priority="987" operator="equal">
      <formula>2.1</formula>
    </cfRule>
    <cfRule type="cellIs" dxfId="3783" priority="988" operator="equal">
      <formula>1.5</formula>
    </cfRule>
    <cfRule type="cellIs" dxfId="3782" priority="989" operator="equal">
      <formula>1.4</formula>
    </cfRule>
    <cfRule type="cellIs" dxfId="3781" priority="990" operator="equal">
      <formula>1.3</formula>
    </cfRule>
    <cfRule type="cellIs" dxfId="3780" priority="991" operator="equal">
      <formula>1.2</formula>
    </cfRule>
    <cfRule type="containsText" dxfId="3779" priority="992" operator="containsText" text="1.1">
      <formula>NOT(ISERROR(SEARCH("1.1",A122)))</formula>
    </cfRule>
  </conditionalFormatting>
  <conditionalFormatting sqref="B135:G137">
    <cfRule type="cellIs" dxfId="3778" priority="925" operator="equal">
      <formula>4.4</formula>
    </cfRule>
    <cfRule type="cellIs" dxfId="3777" priority="926" operator="equal">
      <formula>4.3</formula>
    </cfRule>
    <cfRule type="cellIs" dxfId="3776" priority="927" operator="equal">
      <formula>4.2</formula>
    </cfRule>
    <cfRule type="cellIs" dxfId="3775" priority="928" operator="equal">
      <formula>4.1</formula>
    </cfRule>
    <cfRule type="cellIs" dxfId="3774" priority="929" operator="equal">
      <formula>3.4</formula>
    </cfRule>
    <cfRule type="cellIs" dxfId="3773" priority="930" operator="equal">
      <formula>3.3</formula>
    </cfRule>
    <cfRule type="cellIs" dxfId="3772" priority="931" operator="equal">
      <formula>3.2</formula>
    </cfRule>
    <cfRule type="cellIs" dxfId="3771" priority="932" operator="equal">
      <formula>3.1</formula>
    </cfRule>
    <cfRule type="cellIs" dxfId="3770" priority="933" operator="equal">
      <formula>2.4</formula>
    </cfRule>
    <cfRule type="cellIs" dxfId="3769" priority="934" operator="equal">
      <formula>2.3</formula>
    </cfRule>
    <cfRule type="cellIs" dxfId="3768" priority="935" operator="equal">
      <formula>2.2</formula>
    </cfRule>
    <cfRule type="cellIs" dxfId="3767" priority="936" operator="equal">
      <formula>2.1</formula>
    </cfRule>
    <cfRule type="cellIs" dxfId="3766" priority="937" operator="equal">
      <formula>1.5</formula>
    </cfRule>
    <cfRule type="cellIs" dxfId="3765" priority="938" operator="equal">
      <formula>1.4</formula>
    </cfRule>
    <cfRule type="cellIs" dxfId="3764" priority="939" operator="equal">
      <formula>1.3</formula>
    </cfRule>
    <cfRule type="cellIs" dxfId="3763" priority="940" operator="equal">
      <formula>1.2</formula>
    </cfRule>
    <cfRule type="containsText" dxfId="3762" priority="941" operator="containsText" text="1.1">
      <formula>NOT(ISERROR(SEARCH("1.1",B135)))</formula>
    </cfRule>
  </conditionalFormatting>
  <conditionalFormatting sqref="A135:A137">
    <cfRule type="cellIs" dxfId="3761" priority="942" operator="equal">
      <formula>4.4</formula>
    </cfRule>
    <cfRule type="cellIs" dxfId="3760" priority="943" operator="equal">
      <formula>4.3</formula>
    </cfRule>
    <cfRule type="cellIs" dxfId="3759" priority="944" operator="equal">
      <formula>4.2</formula>
    </cfRule>
    <cfRule type="cellIs" dxfId="3758" priority="945" operator="equal">
      <formula>4.1</formula>
    </cfRule>
    <cfRule type="cellIs" dxfId="3757" priority="946" operator="equal">
      <formula>3.4</formula>
    </cfRule>
    <cfRule type="cellIs" dxfId="3756" priority="947" operator="equal">
      <formula>3.3</formula>
    </cfRule>
    <cfRule type="cellIs" dxfId="3755" priority="948" operator="equal">
      <formula>3.2</formula>
    </cfRule>
    <cfRule type="cellIs" dxfId="3754" priority="949" operator="equal">
      <formula>3.1</formula>
    </cfRule>
    <cfRule type="cellIs" dxfId="3753" priority="950" operator="equal">
      <formula>2.4</formula>
    </cfRule>
    <cfRule type="cellIs" dxfId="3752" priority="951" operator="equal">
      <formula>2.3</formula>
    </cfRule>
    <cfRule type="cellIs" dxfId="3751" priority="952" operator="equal">
      <formula>2.2</formula>
    </cfRule>
    <cfRule type="cellIs" dxfId="3750" priority="953" operator="equal">
      <formula>2.1</formula>
    </cfRule>
    <cfRule type="cellIs" dxfId="3749" priority="954" operator="equal">
      <formula>1.5</formula>
    </cfRule>
    <cfRule type="cellIs" dxfId="3748" priority="955" operator="equal">
      <formula>1.4</formula>
    </cfRule>
    <cfRule type="cellIs" dxfId="3747" priority="956" operator="equal">
      <formula>1.3</formula>
    </cfRule>
    <cfRule type="cellIs" dxfId="3746" priority="957" operator="equal">
      <formula>1.2</formula>
    </cfRule>
    <cfRule type="containsText" dxfId="3745" priority="958" operator="containsText" text="1.1">
      <formula>NOT(ISERROR(SEARCH("1.1",A135)))</formula>
    </cfRule>
  </conditionalFormatting>
  <conditionalFormatting sqref="M132:M134">
    <cfRule type="containsBlanks" dxfId="3744" priority="924">
      <formula>LEN(TRIM(M132))=0</formula>
    </cfRule>
  </conditionalFormatting>
  <conditionalFormatting sqref="M132:M134">
    <cfRule type="cellIs" dxfId="3743" priority="907" operator="equal">
      <formula>4.4</formula>
    </cfRule>
    <cfRule type="cellIs" dxfId="3742" priority="908" operator="equal">
      <formula>4.3</formula>
    </cfRule>
    <cfRule type="cellIs" dxfId="3741" priority="909" operator="equal">
      <formula>4.2</formula>
    </cfRule>
    <cfRule type="cellIs" dxfId="3740" priority="910" operator="equal">
      <formula>4.1</formula>
    </cfRule>
    <cfRule type="cellIs" dxfId="3739" priority="911" operator="equal">
      <formula>3.4</formula>
    </cfRule>
    <cfRule type="cellIs" dxfId="3738" priority="912" operator="equal">
      <formula>3.3</formula>
    </cfRule>
    <cfRule type="cellIs" dxfId="3737" priority="913" operator="equal">
      <formula>3.2</formula>
    </cfRule>
    <cfRule type="cellIs" dxfId="3736" priority="914" operator="equal">
      <formula>3.1</formula>
    </cfRule>
    <cfRule type="cellIs" dxfId="3735" priority="915" operator="equal">
      <formula>2.4</formula>
    </cfRule>
    <cfRule type="cellIs" dxfId="3734" priority="916" operator="equal">
      <formula>2.3</formula>
    </cfRule>
    <cfRule type="cellIs" dxfId="3733" priority="917" operator="equal">
      <formula>2.2</formula>
    </cfRule>
    <cfRule type="cellIs" dxfId="3732" priority="918" operator="equal">
      <formula>2.1</formula>
    </cfRule>
    <cfRule type="cellIs" dxfId="3731" priority="919" operator="equal">
      <formula>1.5</formula>
    </cfRule>
    <cfRule type="cellIs" dxfId="3730" priority="920" operator="equal">
      <formula>1.4</formula>
    </cfRule>
    <cfRule type="cellIs" dxfId="3729" priority="921" operator="equal">
      <formula>1.3</formula>
    </cfRule>
    <cfRule type="cellIs" dxfId="3728" priority="922" operator="equal">
      <formula>1.2</formula>
    </cfRule>
    <cfRule type="containsText" dxfId="3727" priority="923" operator="containsText" text="1.1">
      <formula>NOT(ISERROR(SEARCH("1.1",M132)))</formula>
    </cfRule>
  </conditionalFormatting>
  <conditionalFormatting sqref="H132:L134">
    <cfRule type="containsBlanks" dxfId="3726" priority="906">
      <formula>LEN(TRIM(H132))=0</formula>
    </cfRule>
  </conditionalFormatting>
  <conditionalFormatting sqref="H132:L134">
    <cfRule type="cellIs" dxfId="3725" priority="889" operator="equal">
      <formula>4.4</formula>
    </cfRule>
    <cfRule type="cellIs" dxfId="3724" priority="890" operator="equal">
      <formula>4.3</formula>
    </cfRule>
    <cfRule type="cellIs" dxfId="3723" priority="891" operator="equal">
      <formula>4.2</formula>
    </cfRule>
    <cfRule type="cellIs" dxfId="3722" priority="892" operator="equal">
      <formula>4.1</formula>
    </cfRule>
    <cfRule type="cellIs" dxfId="3721" priority="893" operator="equal">
      <formula>3.4</formula>
    </cfRule>
    <cfRule type="cellIs" dxfId="3720" priority="894" operator="equal">
      <formula>3.3</formula>
    </cfRule>
    <cfRule type="cellIs" dxfId="3719" priority="895" operator="equal">
      <formula>3.2</formula>
    </cfRule>
    <cfRule type="cellIs" dxfId="3718" priority="896" operator="equal">
      <formula>3.1</formula>
    </cfRule>
    <cfRule type="cellIs" dxfId="3717" priority="897" operator="equal">
      <formula>2.4</formula>
    </cfRule>
    <cfRule type="cellIs" dxfId="3716" priority="898" operator="equal">
      <formula>2.3</formula>
    </cfRule>
    <cfRule type="cellIs" dxfId="3715" priority="899" operator="equal">
      <formula>2.2</formula>
    </cfRule>
    <cfRule type="cellIs" dxfId="3714" priority="900" operator="equal">
      <formula>2.1</formula>
    </cfRule>
    <cfRule type="cellIs" dxfId="3713" priority="901" operator="equal">
      <formula>1.5</formula>
    </cfRule>
    <cfRule type="cellIs" dxfId="3712" priority="902" operator="equal">
      <formula>1.4</formula>
    </cfRule>
    <cfRule type="cellIs" dxfId="3711" priority="903" operator="equal">
      <formula>1.3</formula>
    </cfRule>
    <cfRule type="cellIs" dxfId="3710" priority="904" operator="equal">
      <formula>1.2</formula>
    </cfRule>
    <cfRule type="containsText" dxfId="3709" priority="905" operator="containsText" text="1.1">
      <formula>NOT(ISERROR(SEARCH("1.1",H132)))</formula>
    </cfRule>
  </conditionalFormatting>
  <conditionalFormatting sqref="M135:M137">
    <cfRule type="containsBlanks" dxfId="3708" priority="888">
      <formula>LEN(TRIM(M135))=0</formula>
    </cfRule>
  </conditionalFormatting>
  <conditionalFormatting sqref="M135:M137">
    <cfRule type="cellIs" dxfId="3707" priority="871" operator="equal">
      <formula>4.4</formula>
    </cfRule>
    <cfRule type="cellIs" dxfId="3706" priority="872" operator="equal">
      <formula>4.3</formula>
    </cfRule>
    <cfRule type="cellIs" dxfId="3705" priority="873" operator="equal">
      <formula>4.2</formula>
    </cfRule>
    <cfRule type="cellIs" dxfId="3704" priority="874" operator="equal">
      <formula>4.1</formula>
    </cfRule>
    <cfRule type="cellIs" dxfId="3703" priority="875" operator="equal">
      <formula>3.4</formula>
    </cfRule>
    <cfRule type="cellIs" dxfId="3702" priority="876" operator="equal">
      <formula>3.3</formula>
    </cfRule>
    <cfRule type="cellIs" dxfId="3701" priority="877" operator="equal">
      <formula>3.2</formula>
    </cfRule>
    <cfRule type="cellIs" dxfId="3700" priority="878" operator="equal">
      <formula>3.1</formula>
    </cfRule>
    <cfRule type="cellIs" dxfId="3699" priority="879" operator="equal">
      <formula>2.4</formula>
    </cfRule>
    <cfRule type="cellIs" dxfId="3698" priority="880" operator="equal">
      <formula>2.3</formula>
    </cfRule>
    <cfRule type="cellIs" dxfId="3697" priority="881" operator="equal">
      <formula>2.2</formula>
    </cfRule>
    <cfRule type="cellIs" dxfId="3696" priority="882" operator="equal">
      <formula>2.1</formula>
    </cfRule>
    <cfRule type="cellIs" dxfId="3695" priority="883" operator="equal">
      <formula>1.5</formula>
    </cfRule>
    <cfRule type="cellIs" dxfId="3694" priority="884" operator="equal">
      <formula>1.4</formula>
    </cfRule>
    <cfRule type="cellIs" dxfId="3693" priority="885" operator="equal">
      <formula>1.3</formula>
    </cfRule>
    <cfRule type="cellIs" dxfId="3692" priority="886" operator="equal">
      <formula>1.2</formula>
    </cfRule>
    <cfRule type="containsText" dxfId="3691" priority="887" operator="containsText" text="1.1">
      <formula>NOT(ISERROR(SEARCH("1.1",M135)))</formula>
    </cfRule>
  </conditionalFormatting>
  <conditionalFormatting sqref="H135:L137">
    <cfRule type="containsBlanks" dxfId="3690" priority="870">
      <formula>LEN(TRIM(H135))=0</formula>
    </cfRule>
  </conditionalFormatting>
  <conditionalFormatting sqref="H135:L137">
    <cfRule type="cellIs" dxfId="3689" priority="853" operator="equal">
      <formula>4.4</formula>
    </cfRule>
    <cfRule type="cellIs" dxfId="3688" priority="854" operator="equal">
      <formula>4.3</formula>
    </cfRule>
    <cfRule type="cellIs" dxfId="3687" priority="855" operator="equal">
      <formula>4.2</formula>
    </cfRule>
    <cfRule type="cellIs" dxfId="3686" priority="856" operator="equal">
      <formula>4.1</formula>
    </cfRule>
    <cfRule type="cellIs" dxfId="3685" priority="857" operator="equal">
      <formula>3.4</formula>
    </cfRule>
    <cfRule type="cellIs" dxfId="3684" priority="858" operator="equal">
      <formula>3.3</formula>
    </cfRule>
    <cfRule type="cellIs" dxfId="3683" priority="859" operator="equal">
      <formula>3.2</formula>
    </cfRule>
    <cfRule type="cellIs" dxfId="3682" priority="860" operator="equal">
      <formula>3.1</formula>
    </cfRule>
    <cfRule type="cellIs" dxfId="3681" priority="861" operator="equal">
      <formula>2.4</formula>
    </cfRule>
    <cfRule type="cellIs" dxfId="3680" priority="862" operator="equal">
      <formula>2.3</formula>
    </cfRule>
    <cfRule type="cellIs" dxfId="3679" priority="863" operator="equal">
      <formula>2.2</formula>
    </cfRule>
    <cfRule type="cellIs" dxfId="3678" priority="864" operator="equal">
      <formula>2.1</formula>
    </cfRule>
    <cfRule type="cellIs" dxfId="3677" priority="865" operator="equal">
      <formula>1.5</formula>
    </cfRule>
    <cfRule type="cellIs" dxfId="3676" priority="866" operator="equal">
      <formula>1.4</formula>
    </cfRule>
    <cfRule type="cellIs" dxfId="3675" priority="867" operator="equal">
      <formula>1.3</formula>
    </cfRule>
    <cfRule type="cellIs" dxfId="3674" priority="868" operator="equal">
      <formula>1.2</formula>
    </cfRule>
    <cfRule type="containsText" dxfId="3673" priority="869" operator="containsText" text="1.1">
      <formula>NOT(ISERROR(SEARCH("1.1",H135)))</formula>
    </cfRule>
  </conditionalFormatting>
  <conditionalFormatting sqref="A182:A184 A188 A180:M181 F188:G189">
    <cfRule type="cellIs" dxfId="3672" priority="802" operator="equal">
      <formula>4.4</formula>
    </cfRule>
    <cfRule type="cellIs" dxfId="3671" priority="803" operator="equal">
      <formula>4.3</formula>
    </cfRule>
    <cfRule type="cellIs" dxfId="3670" priority="804" operator="equal">
      <formula>4.2</formula>
    </cfRule>
    <cfRule type="cellIs" dxfId="3669" priority="805" operator="equal">
      <formula>4.1</formula>
    </cfRule>
    <cfRule type="cellIs" dxfId="3668" priority="806" operator="equal">
      <formula>3.4</formula>
    </cfRule>
    <cfRule type="cellIs" dxfId="3667" priority="807" operator="equal">
      <formula>3.3</formula>
    </cfRule>
    <cfRule type="cellIs" dxfId="3666" priority="808" operator="equal">
      <formula>3.2</formula>
    </cfRule>
    <cfRule type="cellIs" dxfId="3665" priority="809" operator="equal">
      <formula>3.1</formula>
    </cfRule>
    <cfRule type="cellIs" dxfId="3664" priority="810" operator="equal">
      <formula>2.4</formula>
    </cfRule>
    <cfRule type="cellIs" dxfId="3663" priority="811" operator="equal">
      <formula>2.3</formula>
    </cfRule>
    <cfRule type="cellIs" dxfId="3662" priority="812" operator="equal">
      <formula>2.2</formula>
    </cfRule>
    <cfRule type="cellIs" dxfId="3661" priority="813" operator="equal">
      <formula>2.1</formula>
    </cfRule>
    <cfRule type="cellIs" dxfId="3660" priority="814" operator="equal">
      <formula>1.5</formula>
    </cfRule>
    <cfRule type="cellIs" dxfId="3659" priority="815" operator="equal">
      <formula>1.4</formula>
    </cfRule>
    <cfRule type="cellIs" dxfId="3658" priority="816" operator="equal">
      <formula>1.3</formula>
    </cfRule>
    <cfRule type="cellIs" dxfId="3657" priority="817" operator="equal">
      <formula>1.2</formula>
    </cfRule>
    <cfRule type="containsText" dxfId="3656" priority="818" operator="containsText" text="1.1">
      <formula>NOT(ISERROR(SEARCH("1.1",A180)))</formula>
    </cfRule>
  </conditionalFormatting>
  <conditionalFormatting sqref="B182:G184">
    <cfRule type="cellIs" dxfId="3655" priority="785" operator="equal">
      <formula>4.4</formula>
    </cfRule>
    <cfRule type="cellIs" dxfId="3654" priority="786" operator="equal">
      <formula>4.3</formula>
    </cfRule>
    <cfRule type="cellIs" dxfId="3653" priority="787" operator="equal">
      <formula>4.2</formula>
    </cfRule>
    <cfRule type="cellIs" dxfId="3652" priority="788" operator="equal">
      <formula>4.1</formula>
    </cfRule>
    <cfRule type="cellIs" dxfId="3651" priority="789" operator="equal">
      <formula>3.4</formula>
    </cfRule>
    <cfRule type="cellIs" dxfId="3650" priority="790" operator="equal">
      <formula>3.3</formula>
    </cfRule>
    <cfRule type="cellIs" dxfId="3649" priority="791" operator="equal">
      <formula>3.2</formula>
    </cfRule>
    <cfRule type="cellIs" dxfId="3648" priority="792" operator="equal">
      <formula>3.1</formula>
    </cfRule>
    <cfRule type="cellIs" dxfId="3647" priority="793" operator="equal">
      <formula>2.4</formula>
    </cfRule>
    <cfRule type="cellIs" dxfId="3646" priority="794" operator="equal">
      <formula>2.3</formula>
    </cfRule>
    <cfRule type="cellIs" dxfId="3645" priority="795" operator="equal">
      <formula>2.2</formula>
    </cfRule>
    <cfRule type="cellIs" dxfId="3644" priority="796" operator="equal">
      <formula>2.1</formula>
    </cfRule>
    <cfRule type="cellIs" dxfId="3643" priority="797" operator="equal">
      <formula>1.5</formula>
    </cfRule>
    <cfRule type="cellIs" dxfId="3642" priority="798" operator="equal">
      <formula>1.4</formula>
    </cfRule>
    <cfRule type="cellIs" dxfId="3641" priority="799" operator="equal">
      <formula>1.3</formula>
    </cfRule>
    <cfRule type="cellIs" dxfId="3640" priority="800" operator="equal">
      <formula>1.2</formula>
    </cfRule>
    <cfRule type="containsText" dxfId="3639" priority="801" operator="containsText" text="1.1">
      <formula>NOT(ISERROR(SEARCH("1.1",B182)))</formula>
    </cfRule>
  </conditionalFormatting>
  <conditionalFormatting sqref="A145:G147">
    <cfRule type="cellIs" dxfId="3638" priority="768" operator="equal">
      <formula>4.4</formula>
    </cfRule>
    <cfRule type="cellIs" dxfId="3637" priority="769" operator="equal">
      <formula>4.3</formula>
    </cfRule>
    <cfRule type="cellIs" dxfId="3636" priority="770" operator="equal">
      <formula>4.2</formula>
    </cfRule>
    <cfRule type="cellIs" dxfId="3635" priority="771" operator="equal">
      <formula>4.1</formula>
    </cfRule>
    <cfRule type="cellIs" dxfId="3634" priority="772" operator="equal">
      <formula>3.4</formula>
    </cfRule>
    <cfRule type="cellIs" dxfId="3633" priority="773" operator="equal">
      <formula>3.3</formula>
    </cfRule>
    <cfRule type="cellIs" dxfId="3632" priority="774" operator="equal">
      <formula>3.2</formula>
    </cfRule>
    <cfRule type="cellIs" dxfId="3631" priority="775" operator="equal">
      <formula>3.1</formula>
    </cfRule>
    <cfRule type="cellIs" dxfId="3630" priority="776" operator="equal">
      <formula>2.4</formula>
    </cfRule>
    <cfRule type="cellIs" dxfId="3629" priority="777" operator="equal">
      <formula>2.3</formula>
    </cfRule>
    <cfRule type="cellIs" dxfId="3628" priority="778" operator="equal">
      <formula>2.2</formula>
    </cfRule>
    <cfRule type="cellIs" dxfId="3627" priority="779" operator="equal">
      <formula>2.1</formula>
    </cfRule>
    <cfRule type="cellIs" dxfId="3626" priority="780" operator="equal">
      <formula>1.5</formula>
    </cfRule>
    <cfRule type="cellIs" dxfId="3625" priority="781" operator="equal">
      <formula>1.4</formula>
    </cfRule>
    <cfRule type="cellIs" dxfId="3624" priority="782" operator="equal">
      <formula>1.3</formula>
    </cfRule>
    <cfRule type="cellIs" dxfId="3623" priority="783" operator="equal">
      <formula>1.2</formula>
    </cfRule>
    <cfRule type="containsText" dxfId="3622" priority="784" operator="containsText" text="1.1">
      <formula>NOT(ISERROR(SEARCH("1.1",A145)))</formula>
    </cfRule>
  </conditionalFormatting>
  <conditionalFormatting sqref="A169:G171">
    <cfRule type="cellIs" dxfId="3621" priority="751" operator="equal">
      <formula>4.4</formula>
    </cfRule>
    <cfRule type="cellIs" dxfId="3620" priority="752" operator="equal">
      <formula>4.3</formula>
    </cfRule>
    <cfRule type="cellIs" dxfId="3619" priority="753" operator="equal">
      <formula>4.2</formula>
    </cfRule>
    <cfRule type="cellIs" dxfId="3618" priority="754" operator="equal">
      <formula>4.1</formula>
    </cfRule>
    <cfRule type="cellIs" dxfId="3617" priority="755" operator="equal">
      <formula>3.4</formula>
    </cfRule>
    <cfRule type="cellIs" dxfId="3616" priority="756" operator="equal">
      <formula>3.3</formula>
    </cfRule>
    <cfRule type="cellIs" dxfId="3615" priority="757" operator="equal">
      <formula>3.2</formula>
    </cfRule>
    <cfRule type="cellIs" dxfId="3614" priority="758" operator="equal">
      <formula>3.1</formula>
    </cfRule>
    <cfRule type="cellIs" dxfId="3613" priority="759" operator="equal">
      <formula>2.4</formula>
    </cfRule>
    <cfRule type="cellIs" dxfId="3612" priority="760" operator="equal">
      <formula>2.3</formula>
    </cfRule>
    <cfRule type="cellIs" dxfId="3611" priority="761" operator="equal">
      <formula>2.2</formula>
    </cfRule>
    <cfRule type="cellIs" dxfId="3610" priority="762" operator="equal">
      <formula>2.1</formula>
    </cfRule>
    <cfRule type="cellIs" dxfId="3609" priority="763" operator="equal">
      <formula>1.5</formula>
    </cfRule>
    <cfRule type="cellIs" dxfId="3608" priority="764" operator="equal">
      <formula>1.4</formula>
    </cfRule>
    <cfRule type="cellIs" dxfId="3607" priority="765" operator="equal">
      <formula>1.3</formula>
    </cfRule>
    <cfRule type="cellIs" dxfId="3606" priority="766" operator="equal">
      <formula>1.2</formula>
    </cfRule>
    <cfRule type="containsText" dxfId="3605" priority="767" operator="containsText" text="1.1">
      <formula>NOT(ISERROR(SEARCH("1.1",A169)))</formula>
    </cfRule>
  </conditionalFormatting>
  <conditionalFormatting sqref="A172:A174">
    <cfRule type="cellIs" dxfId="3604" priority="734" operator="equal">
      <formula>4.4</formula>
    </cfRule>
    <cfRule type="cellIs" dxfId="3603" priority="735" operator="equal">
      <formula>4.3</formula>
    </cfRule>
    <cfRule type="cellIs" dxfId="3602" priority="736" operator="equal">
      <formula>4.2</formula>
    </cfRule>
    <cfRule type="cellIs" dxfId="3601" priority="737" operator="equal">
      <formula>4.1</formula>
    </cfRule>
    <cfRule type="cellIs" dxfId="3600" priority="738" operator="equal">
      <formula>3.4</formula>
    </cfRule>
    <cfRule type="cellIs" dxfId="3599" priority="739" operator="equal">
      <formula>3.3</formula>
    </cfRule>
    <cfRule type="cellIs" dxfId="3598" priority="740" operator="equal">
      <formula>3.2</formula>
    </cfRule>
    <cfRule type="cellIs" dxfId="3597" priority="741" operator="equal">
      <formula>3.1</formula>
    </cfRule>
    <cfRule type="cellIs" dxfId="3596" priority="742" operator="equal">
      <formula>2.4</formula>
    </cfRule>
    <cfRule type="cellIs" dxfId="3595" priority="743" operator="equal">
      <formula>2.3</formula>
    </cfRule>
    <cfRule type="cellIs" dxfId="3594" priority="744" operator="equal">
      <formula>2.2</formula>
    </cfRule>
    <cfRule type="cellIs" dxfId="3593" priority="745" operator="equal">
      <formula>2.1</formula>
    </cfRule>
    <cfRule type="cellIs" dxfId="3592" priority="746" operator="equal">
      <formula>1.5</formula>
    </cfRule>
    <cfRule type="cellIs" dxfId="3591" priority="747" operator="equal">
      <formula>1.4</formula>
    </cfRule>
    <cfRule type="cellIs" dxfId="3590" priority="748" operator="equal">
      <formula>1.3</formula>
    </cfRule>
    <cfRule type="cellIs" dxfId="3589" priority="749" operator="equal">
      <formula>1.2</formula>
    </cfRule>
    <cfRule type="containsText" dxfId="3588" priority="750" operator="containsText" text="1.1">
      <formula>NOT(ISERROR(SEARCH("1.1",A172)))</formula>
    </cfRule>
  </conditionalFormatting>
  <conditionalFormatting sqref="B172:G174">
    <cfRule type="cellIs" dxfId="3587" priority="717" operator="equal">
      <formula>4.4</formula>
    </cfRule>
    <cfRule type="cellIs" dxfId="3586" priority="718" operator="equal">
      <formula>4.3</formula>
    </cfRule>
    <cfRule type="cellIs" dxfId="3585" priority="719" operator="equal">
      <formula>4.2</formula>
    </cfRule>
    <cfRule type="cellIs" dxfId="3584" priority="720" operator="equal">
      <formula>4.1</formula>
    </cfRule>
    <cfRule type="cellIs" dxfId="3583" priority="721" operator="equal">
      <formula>3.4</formula>
    </cfRule>
    <cfRule type="cellIs" dxfId="3582" priority="722" operator="equal">
      <formula>3.3</formula>
    </cfRule>
    <cfRule type="cellIs" dxfId="3581" priority="723" operator="equal">
      <formula>3.2</formula>
    </cfRule>
    <cfRule type="cellIs" dxfId="3580" priority="724" operator="equal">
      <formula>3.1</formula>
    </cfRule>
    <cfRule type="cellIs" dxfId="3579" priority="725" operator="equal">
      <formula>2.4</formula>
    </cfRule>
    <cfRule type="cellIs" dxfId="3578" priority="726" operator="equal">
      <formula>2.3</formula>
    </cfRule>
    <cfRule type="cellIs" dxfId="3577" priority="727" operator="equal">
      <formula>2.2</formula>
    </cfRule>
    <cfRule type="cellIs" dxfId="3576" priority="728" operator="equal">
      <formula>2.1</formula>
    </cfRule>
    <cfRule type="cellIs" dxfId="3575" priority="729" operator="equal">
      <formula>1.5</formula>
    </cfRule>
    <cfRule type="cellIs" dxfId="3574" priority="730" operator="equal">
      <formula>1.4</formula>
    </cfRule>
    <cfRule type="cellIs" dxfId="3573" priority="731" operator="equal">
      <formula>1.3</formula>
    </cfRule>
    <cfRule type="cellIs" dxfId="3572" priority="732" operator="equal">
      <formula>1.2</formula>
    </cfRule>
    <cfRule type="containsText" dxfId="3571" priority="733" operator="containsText" text="1.1">
      <formula>NOT(ISERROR(SEARCH("1.1",B172)))</formula>
    </cfRule>
  </conditionalFormatting>
  <conditionalFormatting sqref="B185:G187">
    <cfRule type="cellIs" dxfId="3570" priority="683" operator="equal">
      <formula>4.4</formula>
    </cfRule>
    <cfRule type="cellIs" dxfId="3569" priority="684" operator="equal">
      <formula>4.3</formula>
    </cfRule>
    <cfRule type="cellIs" dxfId="3568" priority="685" operator="equal">
      <formula>4.2</formula>
    </cfRule>
    <cfRule type="cellIs" dxfId="3567" priority="686" operator="equal">
      <formula>4.1</formula>
    </cfRule>
    <cfRule type="cellIs" dxfId="3566" priority="687" operator="equal">
      <formula>3.4</formula>
    </cfRule>
    <cfRule type="cellIs" dxfId="3565" priority="688" operator="equal">
      <formula>3.3</formula>
    </cfRule>
    <cfRule type="cellIs" dxfId="3564" priority="689" operator="equal">
      <formula>3.2</formula>
    </cfRule>
    <cfRule type="cellIs" dxfId="3563" priority="690" operator="equal">
      <formula>3.1</formula>
    </cfRule>
    <cfRule type="cellIs" dxfId="3562" priority="691" operator="equal">
      <formula>2.4</formula>
    </cfRule>
    <cfRule type="cellIs" dxfId="3561" priority="692" operator="equal">
      <formula>2.3</formula>
    </cfRule>
    <cfRule type="cellIs" dxfId="3560" priority="693" operator="equal">
      <formula>2.2</formula>
    </cfRule>
    <cfRule type="cellIs" dxfId="3559" priority="694" operator="equal">
      <formula>2.1</formula>
    </cfRule>
    <cfRule type="cellIs" dxfId="3558" priority="695" operator="equal">
      <formula>1.5</formula>
    </cfRule>
    <cfRule type="cellIs" dxfId="3557" priority="696" operator="equal">
      <formula>1.4</formula>
    </cfRule>
    <cfRule type="cellIs" dxfId="3556" priority="697" operator="equal">
      <formula>1.3</formula>
    </cfRule>
    <cfRule type="cellIs" dxfId="3555" priority="698" operator="equal">
      <formula>1.2</formula>
    </cfRule>
    <cfRule type="containsText" dxfId="3554" priority="699" operator="containsText" text="1.1">
      <formula>NOT(ISERROR(SEARCH("1.1",B185)))</formula>
    </cfRule>
  </conditionalFormatting>
  <conditionalFormatting sqref="A185:A187">
    <cfRule type="cellIs" dxfId="3553" priority="700" operator="equal">
      <formula>4.4</formula>
    </cfRule>
    <cfRule type="cellIs" dxfId="3552" priority="701" operator="equal">
      <formula>4.3</formula>
    </cfRule>
    <cfRule type="cellIs" dxfId="3551" priority="702" operator="equal">
      <formula>4.2</formula>
    </cfRule>
    <cfRule type="cellIs" dxfId="3550" priority="703" operator="equal">
      <formula>4.1</formula>
    </cfRule>
    <cfRule type="cellIs" dxfId="3549" priority="704" operator="equal">
      <formula>3.4</formula>
    </cfRule>
    <cfRule type="cellIs" dxfId="3548" priority="705" operator="equal">
      <formula>3.3</formula>
    </cfRule>
    <cfRule type="cellIs" dxfId="3547" priority="706" operator="equal">
      <formula>3.2</formula>
    </cfRule>
    <cfRule type="cellIs" dxfId="3546" priority="707" operator="equal">
      <formula>3.1</formula>
    </cfRule>
    <cfRule type="cellIs" dxfId="3545" priority="708" operator="equal">
      <formula>2.4</formula>
    </cfRule>
    <cfRule type="cellIs" dxfId="3544" priority="709" operator="equal">
      <formula>2.3</formula>
    </cfRule>
    <cfRule type="cellIs" dxfId="3543" priority="710" operator="equal">
      <formula>2.2</formula>
    </cfRule>
    <cfRule type="cellIs" dxfId="3542" priority="711" operator="equal">
      <formula>2.1</formula>
    </cfRule>
    <cfRule type="cellIs" dxfId="3541" priority="712" operator="equal">
      <formula>1.5</formula>
    </cfRule>
    <cfRule type="cellIs" dxfId="3540" priority="713" operator="equal">
      <formula>1.4</formula>
    </cfRule>
    <cfRule type="cellIs" dxfId="3539" priority="714" operator="equal">
      <formula>1.3</formula>
    </cfRule>
    <cfRule type="cellIs" dxfId="3538" priority="715" operator="equal">
      <formula>1.2</formula>
    </cfRule>
    <cfRule type="containsText" dxfId="3537" priority="716" operator="containsText" text="1.1">
      <formula>NOT(ISERROR(SEARCH("1.1",A185)))</formula>
    </cfRule>
  </conditionalFormatting>
  <conditionalFormatting sqref="M179">
    <cfRule type="cellIs" dxfId="3536" priority="836" operator="equal">
      <formula>4.4</formula>
    </cfRule>
    <cfRule type="cellIs" dxfId="3535" priority="837" operator="equal">
      <formula>4.3</formula>
    </cfRule>
    <cfRule type="cellIs" dxfId="3534" priority="838" operator="equal">
      <formula>4.2</formula>
    </cfRule>
    <cfRule type="cellIs" dxfId="3533" priority="839" operator="equal">
      <formula>4.1</formula>
    </cfRule>
    <cfRule type="cellIs" dxfId="3532" priority="840" operator="equal">
      <formula>3.4</formula>
    </cfRule>
    <cfRule type="cellIs" dxfId="3531" priority="841" operator="equal">
      <formula>3.3</formula>
    </cfRule>
    <cfRule type="cellIs" dxfId="3530" priority="842" operator="equal">
      <formula>3.2</formula>
    </cfRule>
    <cfRule type="cellIs" dxfId="3529" priority="843" operator="equal">
      <formula>3.1</formula>
    </cfRule>
    <cfRule type="cellIs" dxfId="3528" priority="844" operator="equal">
      <formula>2.4</formula>
    </cfRule>
    <cfRule type="cellIs" dxfId="3527" priority="845" operator="equal">
      <formula>2.3</formula>
    </cfRule>
    <cfRule type="cellIs" dxfId="3526" priority="846" operator="equal">
      <formula>2.2</formula>
    </cfRule>
    <cfRule type="cellIs" dxfId="3525" priority="847" operator="equal">
      <formula>2.1</formula>
    </cfRule>
    <cfRule type="cellIs" dxfId="3524" priority="848" operator="equal">
      <formula>1.5</formula>
    </cfRule>
    <cfRule type="cellIs" dxfId="3523" priority="849" operator="equal">
      <formula>1.4</formula>
    </cfRule>
    <cfRule type="cellIs" dxfId="3522" priority="850" operator="equal">
      <formula>1.3</formula>
    </cfRule>
    <cfRule type="cellIs" dxfId="3521" priority="851" operator="equal">
      <formula>1.2</formula>
    </cfRule>
    <cfRule type="containsText" dxfId="3520" priority="852" operator="containsText" text="1.1">
      <formula>NOT(ISERROR(SEARCH("1.1",M179)))</formula>
    </cfRule>
  </conditionalFormatting>
  <conditionalFormatting sqref="A176:E177 A148:G168 A175:G175 H145:M147 F176:G178">
    <cfRule type="cellIs" dxfId="3519" priority="819" operator="equal">
      <formula>4.4</formula>
    </cfRule>
    <cfRule type="cellIs" dxfId="3518" priority="820" operator="equal">
      <formula>4.3</formula>
    </cfRule>
    <cfRule type="cellIs" dxfId="3517" priority="821" operator="equal">
      <formula>4.2</formula>
    </cfRule>
    <cfRule type="cellIs" dxfId="3516" priority="822" operator="equal">
      <formula>4.1</formula>
    </cfRule>
    <cfRule type="cellIs" dxfId="3515" priority="823" operator="equal">
      <formula>3.4</formula>
    </cfRule>
    <cfRule type="cellIs" dxfId="3514" priority="824" operator="equal">
      <formula>3.3</formula>
    </cfRule>
    <cfRule type="cellIs" dxfId="3513" priority="825" operator="equal">
      <formula>3.2</formula>
    </cfRule>
    <cfRule type="cellIs" dxfId="3512" priority="826" operator="equal">
      <formula>3.1</formula>
    </cfRule>
    <cfRule type="cellIs" dxfId="3511" priority="827" operator="equal">
      <formula>2.4</formula>
    </cfRule>
    <cfRule type="cellIs" dxfId="3510" priority="828" operator="equal">
      <formula>2.3</formula>
    </cfRule>
    <cfRule type="cellIs" dxfId="3509" priority="829" operator="equal">
      <formula>2.2</formula>
    </cfRule>
    <cfRule type="cellIs" dxfId="3508" priority="830" operator="equal">
      <formula>2.1</formula>
    </cfRule>
    <cfRule type="cellIs" dxfId="3507" priority="831" operator="equal">
      <formula>1.5</formula>
    </cfRule>
    <cfRule type="cellIs" dxfId="3506" priority="832" operator="equal">
      <formula>1.4</formula>
    </cfRule>
    <cfRule type="cellIs" dxfId="3505" priority="833" operator="equal">
      <formula>1.3</formula>
    </cfRule>
    <cfRule type="cellIs" dxfId="3504" priority="834" operator="equal">
      <formula>1.2</formula>
    </cfRule>
    <cfRule type="containsText" dxfId="3503" priority="835" operator="containsText" text="1.1">
      <formula>NOT(ISERROR(SEARCH("1.1",A145)))</formula>
    </cfRule>
  </conditionalFormatting>
  <conditionalFormatting sqref="H148:M174">
    <cfRule type="cellIs" dxfId="3502" priority="665" operator="equal">
      <formula>4.4</formula>
    </cfRule>
    <cfRule type="cellIs" dxfId="3501" priority="666" operator="equal">
      <formula>4.3</formula>
    </cfRule>
    <cfRule type="cellIs" dxfId="3500" priority="667" operator="equal">
      <formula>4.2</formula>
    </cfRule>
    <cfRule type="cellIs" dxfId="3499" priority="668" operator="equal">
      <formula>4.1</formula>
    </cfRule>
    <cfRule type="cellIs" dxfId="3498" priority="669" operator="equal">
      <formula>3.4</formula>
    </cfRule>
    <cfRule type="cellIs" dxfId="3497" priority="670" operator="equal">
      <formula>3.3</formula>
    </cfRule>
    <cfRule type="cellIs" dxfId="3496" priority="671" operator="equal">
      <formula>3.2</formula>
    </cfRule>
    <cfRule type="cellIs" dxfId="3495" priority="672" operator="equal">
      <formula>3.1</formula>
    </cfRule>
    <cfRule type="cellIs" dxfId="3494" priority="673" operator="equal">
      <formula>2.4</formula>
    </cfRule>
    <cfRule type="cellIs" dxfId="3493" priority="674" operator="equal">
      <formula>2.3</formula>
    </cfRule>
    <cfRule type="cellIs" dxfId="3492" priority="675" operator="equal">
      <formula>2.2</formula>
    </cfRule>
    <cfRule type="cellIs" dxfId="3491" priority="676" operator="equal">
      <formula>2.1</formula>
    </cfRule>
    <cfRule type="cellIs" dxfId="3490" priority="677" operator="equal">
      <formula>1.5</formula>
    </cfRule>
    <cfRule type="cellIs" dxfId="3489" priority="678" operator="equal">
      <formula>1.4</formula>
    </cfRule>
    <cfRule type="cellIs" dxfId="3488" priority="679" operator="equal">
      <formula>1.3</formula>
    </cfRule>
    <cfRule type="cellIs" dxfId="3487" priority="680" operator="equal">
      <formula>1.2</formula>
    </cfRule>
    <cfRule type="containsText" dxfId="3486" priority="681" operator="containsText" text="1.1">
      <formula>NOT(ISERROR(SEARCH("1.1",H148)))</formula>
    </cfRule>
  </conditionalFormatting>
  <conditionalFormatting sqref="H148:M174">
    <cfRule type="containsBlanks" dxfId="3485" priority="682">
      <formula>LEN(TRIM(H148))=0</formula>
    </cfRule>
  </conditionalFormatting>
  <conditionalFormatting sqref="H175:M178">
    <cfRule type="containsBlanks" dxfId="3484" priority="664">
      <formula>LEN(TRIM(H175))=0</formula>
    </cfRule>
  </conditionalFormatting>
  <conditionalFormatting sqref="H175:M178">
    <cfRule type="cellIs" dxfId="3483" priority="647" operator="equal">
      <formula>4.4</formula>
    </cfRule>
    <cfRule type="cellIs" dxfId="3482" priority="648" operator="equal">
      <formula>4.3</formula>
    </cfRule>
    <cfRule type="cellIs" dxfId="3481" priority="649" operator="equal">
      <formula>4.2</formula>
    </cfRule>
    <cfRule type="cellIs" dxfId="3480" priority="650" operator="equal">
      <formula>4.1</formula>
    </cfRule>
    <cfRule type="cellIs" dxfId="3479" priority="651" operator="equal">
      <formula>3.4</formula>
    </cfRule>
    <cfRule type="cellIs" dxfId="3478" priority="652" operator="equal">
      <formula>3.3</formula>
    </cfRule>
    <cfRule type="cellIs" dxfId="3477" priority="653" operator="equal">
      <formula>3.2</formula>
    </cfRule>
    <cfRule type="cellIs" dxfId="3476" priority="654" operator="equal">
      <formula>3.1</formula>
    </cfRule>
    <cfRule type="cellIs" dxfId="3475" priority="655" operator="equal">
      <formula>2.4</formula>
    </cfRule>
    <cfRule type="cellIs" dxfId="3474" priority="656" operator="equal">
      <formula>2.3</formula>
    </cfRule>
    <cfRule type="cellIs" dxfId="3473" priority="657" operator="equal">
      <formula>2.2</formula>
    </cfRule>
    <cfRule type="cellIs" dxfId="3472" priority="658" operator="equal">
      <formula>2.1</formula>
    </cfRule>
    <cfRule type="cellIs" dxfId="3471" priority="659" operator="equal">
      <formula>1.5</formula>
    </cfRule>
    <cfRule type="cellIs" dxfId="3470" priority="660" operator="equal">
      <formula>1.4</formula>
    </cfRule>
    <cfRule type="cellIs" dxfId="3469" priority="661" operator="equal">
      <formula>1.3</formula>
    </cfRule>
    <cfRule type="cellIs" dxfId="3468" priority="662" operator="equal">
      <formula>1.2</formula>
    </cfRule>
    <cfRule type="containsText" dxfId="3467" priority="663" operator="containsText" text="1.1">
      <formula>NOT(ISERROR(SEARCH("1.1",H175)))</formula>
    </cfRule>
  </conditionalFormatting>
  <conditionalFormatting sqref="H182:M184">
    <cfRule type="containsBlanks" dxfId="3466" priority="646">
      <formula>LEN(TRIM(H182))=0</formula>
    </cfRule>
  </conditionalFormatting>
  <conditionalFormatting sqref="H182:M184">
    <cfRule type="cellIs" dxfId="3465" priority="629" operator="equal">
      <formula>4.4</formula>
    </cfRule>
    <cfRule type="cellIs" dxfId="3464" priority="630" operator="equal">
      <formula>4.3</formula>
    </cfRule>
    <cfRule type="cellIs" dxfId="3463" priority="631" operator="equal">
      <formula>4.2</formula>
    </cfRule>
    <cfRule type="cellIs" dxfId="3462" priority="632" operator="equal">
      <formula>4.1</formula>
    </cfRule>
    <cfRule type="cellIs" dxfId="3461" priority="633" operator="equal">
      <formula>3.4</formula>
    </cfRule>
    <cfRule type="cellIs" dxfId="3460" priority="634" operator="equal">
      <formula>3.3</formula>
    </cfRule>
    <cfRule type="cellIs" dxfId="3459" priority="635" operator="equal">
      <formula>3.2</formula>
    </cfRule>
    <cfRule type="cellIs" dxfId="3458" priority="636" operator="equal">
      <formula>3.1</formula>
    </cfRule>
    <cfRule type="cellIs" dxfId="3457" priority="637" operator="equal">
      <formula>2.4</formula>
    </cfRule>
    <cfRule type="cellIs" dxfId="3456" priority="638" operator="equal">
      <formula>2.3</formula>
    </cfRule>
    <cfRule type="cellIs" dxfId="3455" priority="639" operator="equal">
      <formula>2.2</formula>
    </cfRule>
    <cfRule type="cellIs" dxfId="3454" priority="640" operator="equal">
      <formula>2.1</formula>
    </cfRule>
    <cfRule type="cellIs" dxfId="3453" priority="641" operator="equal">
      <formula>1.5</formula>
    </cfRule>
    <cfRule type="cellIs" dxfId="3452" priority="642" operator="equal">
      <formula>1.4</formula>
    </cfRule>
    <cfRule type="cellIs" dxfId="3451" priority="643" operator="equal">
      <formula>1.3</formula>
    </cfRule>
    <cfRule type="cellIs" dxfId="3450" priority="644" operator="equal">
      <formula>1.2</formula>
    </cfRule>
    <cfRule type="containsText" dxfId="3449" priority="645" operator="containsText" text="1.1">
      <formula>NOT(ISERROR(SEARCH("1.1",H182)))</formula>
    </cfRule>
  </conditionalFormatting>
  <conditionalFormatting sqref="H185:M187">
    <cfRule type="containsBlanks" dxfId="3448" priority="628">
      <formula>LEN(TRIM(H185))=0</formula>
    </cfRule>
  </conditionalFormatting>
  <conditionalFormatting sqref="H185:M187">
    <cfRule type="cellIs" dxfId="3447" priority="611" operator="equal">
      <formula>4.4</formula>
    </cfRule>
    <cfRule type="cellIs" dxfId="3446" priority="612" operator="equal">
      <formula>4.3</formula>
    </cfRule>
    <cfRule type="cellIs" dxfId="3445" priority="613" operator="equal">
      <formula>4.2</formula>
    </cfRule>
    <cfRule type="cellIs" dxfId="3444" priority="614" operator="equal">
      <formula>4.1</formula>
    </cfRule>
    <cfRule type="cellIs" dxfId="3443" priority="615" operator="equal">
      <formula>3.4</formula>
    </cfRule>
    <cfRule type="cellIs" dxfId="3442" priority="616" operator="equal">
      <formula>3.3</formula>
    </cfRule>
    <cfRule type="cellIs" dxfId="3441" priority="617" operator="equal">
      <formula>3.2</formula>
    </cfRule>
    <cfRule type="cellIs" dxfId="3440" priority="618" operator="equal">
      <formula>3.1</formula>
    </cfRule>
    <cfRule type="cellIs" dxfId="3439" priority="619" operator="equal">
      <formula>2.4</formula>
    </cfRule>
    <cfRule type="cellIs" dxfId="3438" priority="620" operator="equal">
      <formula>2.3</formula>
    </cfRule>
    <cfRule type="cellIs" dxfId="3437" priority="621" operator="equal">
      <formula>2.2</formula>
    </cfRule>
    <cfRule type="cellIs" dxfId="3436" priority="622" operator="equal">
      <formula>2.1</formula>
    </cfRule>
    <cfRule type="cellIs" dxfId="3435" priority="623" operator="equal">
      <formula>1.5</formula>
    </cfRule>
    <cfRule type="cellIs" dxfId="3434" priority="624" operator="equal">
      <formula>1.4</formula>
    </cfRule>
    <cfRule type="cellIs" dxfId="3433" priority="625" operator="equal">
      <formula>1.3</formula>
    </cfRule>
    <cfRule type="cellIs" dxfId="3432" priority="626" operator="equal">
      <formula>1.2</formula>
    </cfRule>
    <cfRule type="containsText" dxfId="3431" priority="627" operator="containsText" text="1.1">
      <formula>NOT(ISERROR(SEARCH("1.1",H185)))</formula>
    </cfRule>
  </conditionalFormatting>
  <conditionalFormatting sqref="H188:M189">
    <cfRule type="containsBlanks" dxfId="3430" priority="610">
      <formula>LEN(TRIM(H188))=0</formula>
    </cfRule>
  </conditionalFormatting>
  <conditionalFormatting sqref="H188:M189">
    <cfRule type="cellIs" dxfId="3429" priority="593" operator="equal">
      <formula>4.4</formula>
    </cfRule>
    <cfRule type="cellIs" dxfId="3428" priority="594" operator="equal">
      <formula>4.3</formula>
    </cfRule>
    <cfRule type="cellIs" dxfId="3427" priority="595" operator="equal">
      <formula>4.2</formula>
    </cfRule>
    <cfRule type="cellIs" dxfId="3426" priority="596" operator="equal">
      <formula>4.1</formula>
    </cfRule>
    <cfRule type="cellIs" dxfId="3425" priority="597" operator="equal">
      <formula>3.4</formula>
    </cfRule>
    <cfRule type="cellIs" dxfId="3424" priority="598" operator="equal">
      <formula>3.3</formula>
    </cfRule>
    <cfRule type="cellIs" dxfId="3423" priority="599" operator="equal">
      <formula>3.2</formula>
    </cfRule>
    <cfRule type="cellIs" dxfId="3422" priority="600" operator="equal">
      <formula>3.1</formula>
    </cfRule>
    <cfRule type="cellIs" dxfId="3421" priority="601" operator="equal">
      <formula>2.4</formula>
    </cfRule>
    <cfRule type="cellIs" dxfId="3420" priority="602" operator="equal">
      <formula>2.3</formula>
    </cfRule>
    <cfRule type="cellIs" dxfId="3419" priority="603" operator="equal">
      <formula>2.2</formula>
    </cfRule>
    <cfRule type="cellIs" dxfId="3418" priority="604" operator="equal">
      <formula>2.1</formula>
    </cfRule>
    <cfRule type="cellIs" dxfId="3417" priority="605" operator="equal">
      <formula>1.5</formula>
    </cfRule>
    <cfRule type="cellIs" dxfId="3416" priority="606" operator="equal">
      <formula>1.4</formula>
    </cfRule>
    <cfRule type="cellIs" dxfId="3415" priority="607" operator="equal">
      <formula>1.3</formula>
    </cfRule>
    <cfRule type="cellIs" dxfId="3414" priority="608" operator="equal">
      <formula>1.2</formula>
    </cfRule>
    <cfRule type="containsText" dxfId="3413" priority="609" operator="containsText" text="1.1">
      <formula>NOT(ISERROR(SEARCH("1.1",H188)))</formula>
    </cfRule>
  </conditionalFormatting>
  <conditionalFormatting sqref="H232:K237">
    <cfRule type="cellIs" dxfId="3412" priority="385" operator="equal">
      <formula>4.4</formula>
    </cfRule>
    <cfRule type="cellIs" dxfId="3411" priority="386" operator="equal">
      <formula>4.3</formula>
    </cfRule>
    <cfRule type="cellIs" dxfId="3410" priority="387" operator="equal">
      <formula>4.2</formula>
    </cfRule>
    <cfRule type="cellIs" dxfId="3409" priority="388" operator="equal">
      <formula>4.1</formula>
    </cfRule>
    <cfRule type="cellIs" dxfId="3408" priority="389" operator="equal">
      <formula>3.4</formula>
    </cfRule>
    <cfRule type="cellIs" dxfId="3407" priority="390" operator="equal">
      <formula>3.3</formula>
    </cfRule>
    <cfRule type="cellIs" dxfId="3406" priority="391" operator="equal">
      <formula>3.2</formula>
    </cfRule>
    <cfRule type="cellIs" dxfId="3405" priority="392" operator="equal">
      <formula>3.1</formula>
    </cfRule>
    <cfRule type="cellIs" dxfId="3404" priority="393" operator="equal">
      <formula>2.4</formula>
    </cfRule>
    <cfRule type="cellIs" dxfId="3403" priority="394" operator="equal">
      <formula>2.3</formula>
    </cfRule>
    <cfRule type="cellIs" dxfId="3402" priority="395" operator="equal">
      <formula>2.2</formula>
    </cfRule>
    <cfRule type="cellIs" dxfId="3401" priority="396" operator="equal">
      <formula>2.1</formula>
    </cfRule>
    <cfRule type="cellIs" dxfId="3400" priority="397" operator="equal">
      <formula>1.5</formula>
    </cfRule>
    <cfRule type="cellIs" dxfId="3399" priority="398" operator="equal">
      <formula>1.4</formula>
    </cfRule>
    <cfRule type="cellIs" dxfId="3398" priority="399" operator="equal">
      <formula>1.3</formula>
    </cfRule>
    <cfRule type="cellIs" dxfId="3397" priority="400" operator="equal">
      <formula>1.2</formula>
    </cfRule>
    <cfRule type="containsText" dxfId="3396" priority="401" operator="containsText" text="1.1">
      <formula>NOT(ISERROR(SEARCH("1.1",H232)))</formula>
    </cfRule>
  </conditionalFormatting>
  <conditionalFormatting sqref="H238:K239">
    <cfRule type="cellIs" dxfId="3395" priority="403" operator="equal">
      <formula>4.4</formula>
    </cfRule>
    <cfRule type="cellIs" dxfId="3394" priority="404" operator="equal">
      <formula>4.3</formula>
    </cfRule>
    <cfRule type="cellIs" dxfId="3393" priority="405" operator="equal">
      <formula>4.2</formula>
    </cfRule>
    <cfRule type="cellIs" dxfId="3392" priority="406" operator="equal">
      <formula>4.1</formula>
    </cfRule>
    <cfRule type="cellIs" dxfId="3391" priority="407" operator="equal">
      <formula>3.4</formula>
    </cfRule>
    <cfRule type="cellIs" dxfId="3390" priority="408" operator="equal">
      <formula>3.3</formula>
    </cfRule>
    <cfRule type="cellIs" dxfId="3389" priority="409" operator="equal">
      <formula>3.2</formula>
    </cfRule>
    <cfRule type="cellIs" dxfId="3388" priority="410" operator="equal">
      <formula>3.1</formula>
    </cfRule>
    <cfRule type="cellIs" dxfId="3387" priority="411" operator="equal">
      <formula>2.4</formula>
    </cfRule>
    <cfRule type="cellIs" dxfId="3386" priority="412" operator="equal">
      <formula>2.3</formula>
    </cfRule>
    <cfRule type="cellIs" dxfId="3385" priority="413" operator="equal">
      <formula>2.2</formula>
    </cfRule>
    <cfRule type="cellIs" dxfId="3384" priority="414" operator="equal">
      <formula>2.1</formula>
    </cfRule>
    <cfRule type="cellIs" dxfId="3383" priority="415" operator="equal">
      <formula>1.5</formula>
    </cfRule>
    <cfRule type="cellIs" dxfId="3382" priority="416" operator="equal">
      <formula>1.4</formula>
    </cfRule>
    <cfRule type="cellIs" dxfId="3381" priority="417" operator="equal">
      <formula>1.3</formula>
    </cfRule>
    <cfRule type="cellIs" dxfId="3380" priority="418" operator="equal">
      <formula>1.2</formula>
    </cfRule>
    <cfRule type="containsText" dxfId="3379" priority="419" operator="containsText" text="1.1">
      <formula>NOT(ISERROR(SEARCH("1.1",H238)))</formula>
    </cfRule>
  </conditionalFormatting>
  <conditionalFormatting sqref="H198:K224">
    <cfRule type="containsBlanks" dxfId="3378" priority="592">
      <formula>LEN(TRIM(H198))=0</formula>
    </cfRule>
  </conditionalFormatting>
  <conditionalFormatting sqref="A198:K200 A226:E227 A201:G218 A225:G225 H195:K197 H201:K224 F226:G228">
    <cfRule type="cellIs" dxfId="3377" priority="575" operator="equal">
      <formula>4.4</formula>
    </cfRule>
    <cfRule type="cellIs" dxfId="3376" priority="576" operator="equal">
      <formula>4.3</formula>
    </cfRule>
    <cfRule type="cellIs" dxfId="3375" priority="577" operator="equal">
      <formula>4.2</formula>
    </cfRule>
    <cfRule type="cellIs" dxfId="3374" priority="578" operator="equal">
      <formula>4.1</formula>
    </cfRule>
    <cfRule type="cellIs" dxfId="3373" priority="579" operator="equal">
      <formula>3.4</formula>
    </cfRule>
    <cfRule type="cellIs" dxfId="3372" priority="580" operator="equal">
      <formula>3.3</formula>
    </cfRule>
    <cfRule type="cellIs" dxfId="3371" priority="581" operator="equal">
      <formula>3.2</formula>
    </cfRule>
    <cfRule type="cellIs" dxfId="3370" priority="582" operator="equal">
      <formula>3.1</formula>
    </cfRule>
    <cfRule type="cellIs" dxfId="3369" priority="583" operator="equal">
      <formula>2.4</formula>
    </cfRule>
    <cfRule type="cellIs" dxfId="3368" priority="584" operator="equal">
      <formula>2.3</formula>
    </cfRule>
    <cfRule type="cellIs" dxfId="3367" priority="585" operator="equal">
      <formula>2.2</formula>
    </cfRule>
    <cfRule type="cellIs" dxfId="3366" priority="586" operator="equal">
      <formula>2.1</formula>
    </cfRule>
    <cfRule type="cellIs" dxfId="3365" priority="587" operator="equal">
      <formula>1.5</formula>
    </cfRule>
    <cfRule type="cellIs" dxfId="3364" priority="588" operator="equal">
      <formula>1.4</formula>
    </cfRule>
    <cfRule type="cellIs" dxfId="3363" priority="589" operator="equal">
      <formula>1.3</formula>
    </cfRule>
    <cfRule type="cellIs" dxfId="3362" priority="590" operator="equal">
      <formula>1.2</formula>
    </cfRule>
    <cfRule type="containsText" dxfId="3361" priority="591" operator="containsText" text="1.1">
      <formula>NOT(ISERROR(SEARCH("1.1",A195)))</formula>
    </cfRule>
  </conditionalFormatting>
  <conditionalFormatting sqref="A232:A234 A238 A230:K231 F238:G239">
    <cfRule type="cellIs" dxfId="3360" priority="558" operator="equal">
      <formula>4.4</formula>
    </cfRule>
    <cfRule type="cellIs" dxfId="3359" priority="559" operator="equal">
      <formula>4.3</formula>
    </cfRule>
    <cfRule type="cellIs" dxfId="3358" priority="560" operator="equal">
      <formula>4.2</formula>
    </cfRule>
    <cfRule type="cellIs" dxfId="3357" priority="561" operator="equal">
      <formula>4.1</formula>
    </cfRule>
    <cfRule type="cellIs" dxfId="3356" priority="562" operator="equal">
      <formula>3.4</formula>
    </cfRule>
    <cfRule type="cellIs" dxfId="3355" priority="563" operator="equal">
      <formula>3.3</formula>
    </cfRule>
    <cfRule type="cellIs" dxfId="3354" priority="564" operator="equal">
      <formula>3.2</formula>
    </cfRule>
    <cfRule type="cellIs" dxfId="3353" priority="565" operator="equal">
      <formula>3.1</formula>
    </cfRule>
    <cfRule type="cellIs" dxfId="3352" priority="566" operator="equal">
      <formula>2.4</formula>
    </cfRule>
    <cfRule type="cellIs" dxfId="3351" priority="567" operator="equal">
      <formula>2.3</formula>
    </cfRule>
    <cfRule type="cellIs" dxfId="3350" priority="568" operator="equal">
      <formula>2.2</formula>
    </cfRule>
    <cfRule type="cellIs" dxfId="3349" priority="569" operator="equal">
      <formula>2.1</formula>
    </cfRule>
    <cfRule type="cellIs" dxfId="3348" priority="570" operator="equal">
      <formula>1.5</formula>
    </cfRule>
    <cfRule type="cellIs" dxfId="3347" priority="571" operator="equal">
      <formula>1.4</formula>
    </cfRule>
    <cfRule type="cellIs" dxfId="3346" priority="572" operator="equal">
      <formula>1.3</formula>
    </cfRule>
    <cfRule type="cellIs" dxfId="3345" priority="573" operator="equal">
      <formula>1.2</formula>
    </cfRule>
    <cfRule type="containsText" dxfId="3344" priority="574" operator="containsText" text="1.1">
      <formula>NOT(ISERROR(SEARCH("1.1",A230)))</formula>
    </cfRule>
  </conditionalFormatting>
  <conditionalFormatting sqref="B232:G234">
    <cfRule type="cellIs" dxfId="3343" priority="541" operator="equal">
      <formula>4.4</formula>
    </cfRule>
    <cfRule type="cellIs" dxfId="3342" priority="542" operator="equal">
      <formula>4.3</formula>
    </cfRule>
    <cfRule type="cellIs" dxfId="3341" priority="543" operator="equal">
      <formula>4.2</formula>
    </cfRule>
    <cfRule type="cellIs" dxfId="3340" priority="544" operator="equal">
      <formula>4.1</formula>
    </cfRule>
    <cfRule type="cellIs" dxfId="3339" priority="545" operator="equal">
      <formula>3.4</formula>
    </cfRule>
    <cfRule type="cellIs" dxfId="3338" priority="546" operator="equal">
      <formula>3.3</formula>
    </cfRule>
    <cfRule type="cellIs" dxfId="3337" priority="547" operator="equal">
      <formula>3.2</formula>
    </cfRule>
    <cfRule type="cellIs" dxfId="3336" priority="548" operator="equal">
      <formula>3.1</formula>
    </cfRule>
    <cfRule type="cellIs" dxfId="3335" priority="549" operator="equal">
      <formula>2.4</formula>
    </cfRule>
    <cfRule type="cellIs" dxfId="3334" priority="550" operator="equal">
      <formula>2.3</formula>
    </cfRule>
    <cfRule type="cellIs" dxfId="3333" priority="551" operator="equal">
      <formula>2.2</formula>
    </cfRule>
    <cfRule type="cellIs" dxfId="3332" priority="552" operator="equal">
      <formula>2.1</formula>
    </cfRule>
    <cfRule type="cellIs" dxfId="3331" priority="553" operator="equal">
      <formula>1.5</formula>
    </cfRule>
    <cfRule type="cellIs" dxfId="3330" priority="554" operator="equal">
      <formula>1.4</formula>
    </cfRule>
    <cfRule type="cellIs" dxfId="3329" priority="555" operator="equal">
      <formula>1.3</formula>
    </cfRule>
    <cfRule type="cellIs" dxfId="3328" priority="556" operator="equal">
      <formula>1.2</formula>
    </cfRule>
    <cfRule type="containsText" dxfId="3327" priority="557" operator="containsText" text="1.1">
      <formula>NOT(ISERROR(SEARCH("1.1",B232)))</formula>
    </cfRule>
  </conditionalFormatting>
  <conditionalFormatting sqref="A195:G197">
    <cfRule type="cellIs" dxfId="3326" priority="524" operator="equal">
      <formula>4.4</formula>
    </cfRule>
    <cfRule type="cellIs" dxfId="3325" priority="525" operator="equal">
      <formula>4.3</formula>
    </cfRule>
    <cfRule type="cellIs" dxfId="3324" priority="526" operator="equal">
      <formula>4.2</formula>
    </cfRule>
    <cfRule type="cellIs" dxfId="3323" priority="527" operator="equal">
      <formula>4.1</formula>
    </cfRule>
    <cfRule type="cellIs" dxfId="3322" priority="528" operator="equal">
      <formula>3.4</formula>
    </cfRule>
    <cfRule type="cellIs" dxfId="3321" priority="529" operator="equal">
      <formula>3.3</formula>
    </cfRule>
    <cfRule type="cellIs" dxfId="3320" priority="530" operator="equal">
      <formula>3.2</formula>
    </cfRule>
    <cfRule type="cellIs" dxfId="3319" priority="531" operator="equal">
      <formula>3.1</formula>
    </cfRule>
    <cfRule type="cellIs" dxfId="3318" priority="532" operator="equal">
      <formula>2.4</formula>
    </cfRule>
    <cfRule type="cellIs" dxfId="3317" priority="533" operator="equal">
      <formula>2.3</formula>
    </cfRule>
    <cfRule type="cellIs" dxfId="3316" priority="534" operator="equal">
      <formula>2.2</formula>
    </cfRule>
    <cfRule type="cellIs" dxfId="3315" priority="535" operator="equal">
      <formula>2.1</formula>
    </cfRule>
    <cfRule type="cellIs" dxfId="3314" priority="536" operator="equal">
      <formula>1.5</formula>
    </cfRule>
    <cfRule type="cellIs" dxfId="3313" priority="537" operator="equal">
      <formula>1.4</formula>
    </cfRule>
    <cfRule type="cellIs" dxfId="3312" priority="538" operator="equal">
      <formula>1.3</formula>
    </cfRule>
    <cfRule type="cellIs" dxfId="3311" priority="539" operator="equal">
      <formula>1.2</formula>
    </cfRule>
    <cfRule type="containsText" dxfId="3310" priority="540" operator="containsText" text="1.1">
      <formula>NOT(ISERROR(SEARCH("1.1",A195)))</formula>
    </cfRule>
  </conditionalFormatting>
  <conditionalFormatting sqref="A219:G221">
    <cfRule type="cellIs" dxfId="3309" priority="507" operator="equal">
      <formula>4.4</formula>
    </cfRule>
    <cfRule type="cellIs" dxfId="3308" priority="508" operator="equal">
      <formula>4.3</formula>
    </cfRule>
    <cfRule type="cellIs" dxfId="3307" priority="509" operator="equal">
      <formula>4.2</formula>
    </cfRule>
    <cfRule type="cellIs" dxfId="3306" priority="510" operator="equal">
      <formula>4.1</formula>
    </cfRule>
    <cfRule type="cellIs" dxfId="3305" priority="511" operator="equal">
      <formula>3.4</formula>
    </cfRule>
    <cfRule type="cellIs" dxfId="3304" priority="512" operator="equal">
      <formula>3.3</formula>
    </cfRule>
    <cfRule type="cellIs" dxfId="3303" priority="513" operator="equal">
      <formula>3.2</formula>
    </cfRule>
    <cfRule type="cellIs" dxfId="3302" priority="514" operator="equal">
      <formula>3.1</formula>
    </cfRule>
    <cfRule type="cellIs" dxfId="3301" priority="515" operator="equal">
      <formula>2.4</formula>
    </cfRule>
    <cfRule type="cellIs" dxfId="3300" priority="516" operator="equal">
      <formula>2.3</formula>
    </cfRule>
    <cfRule type="cellIs" dxfId="3299" priority="517" operator="equal">
      <formula>2.2</formula>
    </cfRule>
    <cfRule type="cellIs" dxfId="3298" priority="518" operator="equal">
      <formula>2.1</formula>
    </cfRule>
    <cfRule type="cellIs" dxfId="3297" priority="519" operator="equal">
      <formula>1.5</formula>
    </cfRule>
    <cfRule type="cellIs" dxfId="3296" priority="520" operator="equal">
      <formula>1.4</formula>
    </cfRule>
    <cfRule type="cellIs" dxfId="3295" priority="521" operator="equal">
      <formula>1.3</formula>
    </cfRule>
    <cfRule type="cellIs" dxfId="3294" priority="522" operator="equal">
      <formula>1.2</formula>
    </cfRule>
    <cfRule type="containsText" dxfId="3293" priority="523" operator="containsText" text="1.1">
      <formula>NOT(ISERROR(SEARCH("1.1",A219)))</formula>
    </cfRule>
  </conditionalFormatting>
  <conditionalFormatting sqref="B222:G224">
    <cfRule type="cellIs" dxfId="3292" priority="473" operator="equal">
      <formula>4.4</formula>
    </cfRule>
    <cfRule type="cellIs" dxfId="3291" priority="474" operator="equal">
      <formula>4.3</formula>
    </cfRule>
    <cfRule type="cellIs" dxfId="3290" priority="475" operator="equal">
      <formula>4.2</formula>
    </cfRule>
    <cfRule type="cellIs" dxfId="3289" priority="476" operator="equal">
      <formula>4.1</formula>
    </cfRule>
    <cfRule type="cellIs" dxfId="3288" priority="477" operator="equal">
      <formula>3.4</formula>
    </cfRule>
    <cfRule type="cellIs" dxfId="3287" priority="478" operator="equal">
      <formula>3.3</formula>
    </cfRule>
    <cfRule type="cellIs" dxfId="3286" priority="479" operator="equal">
      <formula>3.2</formula>
    </cfRule>
    <cfRule type="cellIs" dxfId="3285" priority="480" operator="equal">
      <formula>3.1</formula>
    </cfRule>
    <cfRule type="cellIs" dxfId="3284" priority="481" operator="equal">
      <formula>2.4</formula>
    </cfRule>
    <cfRule type="cellIs" dxfId="3283" priority="482" operator="equal">
      <formula>2.3</formula>
    </cfRule>
    <cfRule type="cellIs" dxfId="3282" priority="483" operator="equal">
      <formula>2.2</formula>
    </cfRule>
    <cfRule type="cellIs" dxfId="3281" priority="484" operator="equal">
      <formula>2.1</formula>
    </cfRule>
    <cfRule type="cellIs" dxfId="3280" priority="485" operator="equal">
      <formula>1.5</formula>
    </cfRule>
    <cfRule type="cellIs" dxfId="3279" priority="486" operator="equal">
      <formula>1.4</formula>
    </cfRule>
    <cfRule type="cellIs" dxfId="3278" priority="487" operator="equal">
      <formula>1.3</formula>
    </cfRule>
    <cfRule type="cellIs" dxfId="3277" priority="488" operator="equal">
      <formula>1.2</formula>
    </cfRule>
    <cfRule type="containsText" dxfId="3276" priority="489" operator="containsText" text="1.1">
      <formula>NOT(ISERROR(SEARCH("1.1",B222)))</formula>
    </cfRule>
  </conditionalFormatting>
  <conditionalFormatting sqref="A222:A224">
    <cfRule type="cellIs" dxfId="3275" priority="490" operator="equal">
      <formula>4.4</formula>
    </cfRule>
    <cfRule type="cellIs" dxfId="3274" priority="491" operator="equal">
      <formula>4.3</formula>
    </cfRule>
    <cfRule type="cellIs" dxfId="3273" priority="492" operator="equal">
      <formula>4.2</formula>
    </cfRule>
    <cfRule type="cellIs" dxfId="3272" priority="493" operator="equal">
      <formula>4.1</formula>
    </cfRule>
    <cfRule type="cellIs" dxfId="3271" priority="494" operator="equal">
      <formula>3.4</formula>
    </cfRule>
    <cfRule type="cellIs" dxfId="3270" priority="495" operator="equal">
      <formula>3.3</formula>
    </cfRule>
    <cfRule type="cellIs" dxfId="3269" priority="496" operator="equal">
      <formula>3.2</formula>
    </cfRule>
    <cfRule type="cellIs" dxfId="3268" priority="497" operator="equal">
      <formula>3.1</formula>
    </cfRule>
    <cfRule type="cellIs" dxfId="3267" priority="498" operator="equal">
      <formula>2.4</formula>
    </cfRule>
    <cfRule type="cellIs" dxfId="3266" priority="499" operator="equal">
      <formula>2.3</formula>
    </cfRule>
    <cfRule type="cellIs" dxfId="3265" priority="500" operator="equal">
      <formula>2.2</formula>
    </cfRule>
    <cfRule type="cellIs" dxfId="3264" priority="501" operator="equal">
      <formula>2.1</formula>
    </cfRule>
    <cfRule type="cellIs" dxfId="3263" priority="502" operator="equal">
      <formula>1.5</formula>
    </cfRule>
    <cfRule type="cellIs" dxfId="3262" priority="503" operator="equal">
      <formula>1.4</formula>
    </cfRule>
    <cfRule type="cellIs" dxfId="3261" priority="504" operator="equal">
      <formula>1.3</formula>
    </cfRule>
    <cfRule type="cellIs" dxfId="3260" priority="505" operator="equal">
      <formula>1.2</formula>
    </cfRule>
    <cfRule type="containsText" dxfId="3259" priority="506" operator="containsText" text="1.1">
      <formula>NOT(ISERROR(SEARCH("1.1",A222)))</formula>
    </cfRule>
  </conditionalFormatting>
  <conditionalFormatting sqref="B235:G237">
    <cfRule type="cellIs" dxfId="3258" priority="439" operator="equal">
      <formula>4.4</formula>
    </cfRule>
    <cfRule type="cellIs" dxfId="3257" priority="440" operator="equal">
      <formula>4.3</formula>
    </cfRule>
    <cfRule type="cellIs" dxfId="3256" priority="441" operator="equal">
      <formula>4.2</formula>
    </cfRule>
    <cfRule type="cellIs" dxfId="3255" priority="442" operator="equal">
      <formula>4.1</formula>
    </cfRule>
    <cfRule type="cellIs" dxfId="3254" priority="443" operator="equal">
      <formula>3.4</formula>
    </cfRule>
    <cfRule type="cellIs" dxfId="3253" priority="444" operator="equal">
      <formula>3.3</formula>
    </cfRule>
    <cfRule type="cellIs" dxfId="3252" priority="445" operator="equal">
      <formula>3.2</formula>
    </cfRule>
    <cfRule type="cellIs" dxfId="3251" priority="446" operator="equal">
      <formula>3.1</formula>
    </cfRule>
    <cfRule type="cellIs" dxfId="3250" priority="447" operator="equal">
      <formula>2.4</formula>
    </cfRule>
    <cfRule type="cellIs" dxfId="3249" priority="448" operator="equal">
      <formula>2.3</formula>
    </cfRule>
    <cfRule type="cellIs" dxfId="3248" priority="449" operator="equal">
      <formula>2.2</formula>
    </cfRule>
    <cfRule type="cellIs" dxfId="3247" priority="450" operator="equal">
      <formula>2.1</formula>
    </cfRule>
    <cfRule type="cellIs" dxfId="3246" priority="451" operator="equal">
      <formula>1.5</formula>
    </cfRule>
    <cfRule type="cellIs" dxfId="3245" priority="452" operator="equal">
      <formula>1.4</formula>
    </cfRule>
    <cfRule type="cellIs" dxfId="3244" priority="453" operator="equal">
      <formula>1.3</formula>
    </cfRule>
    <cfRule type="cellIs" dxfId="3243" priority="454" operator="equal">
      <formula>1.2</formula>
    </cfRule>
    <cfRule type="containsText" dxfId="3242" priority="455" operator="containsText" text="1.1">
      <formula>NOT(ISERROR(SEARCH("1.1",B235)))</formula>
    </cfRule>
  </conditionalFormatting>
  <conditionalFormatting sqref="A235:A237">
    <cfRule type="cellIs" dxfId="3241" priority="456" operator="equal">
      <formula>4.4</formula>
    </cfRule>
    <cfRule type="cellIs" dxfId="3240" priority="457" operator="equal">
      <formula>4.3</formula>
    </cfRule>
    <cfRule type="cellIs" dxfId="3239" priority="458" operator="equal">
      <formula>4.2</formula>
    </cfRule>
    <cfRule type="cellIs" dxfId="3238" priority="459" operator="equal">
      <formula>4.1</formula>
    </cfRule>
    <cfRule type="cellIs" dxfId="3237" priority="460" operator="equal">
      <formula>3.4</formula>
    </cfRule>
    <cfRule type="cellIs" dxfId="3236" priority="461" operator="equal">
      <formula>3.3</formula>
    </cfRule>
    <cfRule type="cellIs" dxfId="3235" priority="462" operator="equal">
      <formula>3.2</formula>
    </cfRule>
    <cfRule type="cellIs" dxfId="3234" priority="463" operator="equal">
      <formula>3.1</formula>
    </cfRule>
    <cfRule type="cellIs" dxfId="3233" priority="464" operator="equal">
      <formula>2.4</formula>
    </cfRule>
    <cfRule type="cellIs" dxfId="3232" priority="465" operator="equal">
      <formula>2.3</formula>
    </cfRule>
    <cfRule type="cellIs" dxfId="3231" priority="466" operator="equal">
      <formula>2.2</formula>
    </cfRule>
    <cfRule type="cellIs" dxfId="3230" priority="467" operator="equal">
      <formula>2.1</formula>
    </cfRule>
    <cfRule type="cellIs" dxfId="3229" priority="468" operator="equal">
      <formula>1.5</formula>
    </cfRule>
    <cfRule type="cellIs" dxfId="3228" priority="469" operator="equal">
      <formula>1.4</formula>
    </cfRule>
    <cfRule type="cellIs" dxfId="3227" priority="470" operator="equal">
      <formula>1.3</formula>
    </cfRule>
    <cfRule type="cellIs" dxfId="3226" priority="471" operator="equal">
      <formula>1.2</formula>
    </cfRule>
    <cfRule type="containsText" dxfId="3225" priority="472" operator="containsText" text="1.1">
      <formula>NOT(ISERROR(SEARCH("1.1",A235)))</formula>
    </cfRule>
  </conditionalFormatting>
  <conditionalFormatting sqref="H238:K239">
    <cfRule type="containsBlanks" dxfId="3224" priority="420">
      <formula>LEN(TRIM(H238))=0</formula>
    </cfRule>
  </conditionalFormatting>
  <conditionalFormatting sqref="H225:K228">
    <cfRule type="containsBlanks" dxfId="3223" priority="438">
      <formula>LEN(TRIM(H225))=0</formula>
    </cfRule>
  </conditionalFormatting>
  <conditionalFormatting sqref="H225:K228">
    <cfRule type="cellIs" dxfId="3222" priority="421" operator="equal">
      <formula>4.4</formula>
    </cfRule>
    <cfRule type="cellIs" dxfId="3221" priority="422" operator="equal">
      <formula>4.3</formula>
    </cfRule>
    <cfRule type="cellIs" dxfId="3220" priority="423" operator="equal">
      <formula>4.2</formula>
    </cfRule>
    <cfRule type="cellIs" dxfId="3219" priority="424" operator="equal">
      <formula>4.1</formula>
    </cfRule>
    <cfRule type="cellIs" dxfId="3218" priority="425" operator="equal">
      <formula>3.4</formula>
    </cfRule>
    <cfRule type="cellIs" dxfId="3217" priority="426" operator="equal">
      <formula>3.3</formula>
    </cfRule>
    <cfRule type="cellIs" dxfId="3216" priority="427" operator="equal">
      <formula>3.2</formula>
    </cfRule>
    <cfRule type="cellIs" dxfId="3215" priority="428" operator="equal">
      <formula>3.1</formula>
    </cfRule>
    <cfRule type="cellIs" dxfId="3214" priority="429" operator="equal">
      <formula>2.4</formula>
    </cfRule>
    <cfRule type="cellIs" dxfId="3213" priority="430" operator="equal">
      <formula>2.3</formula>
    </cfRule>
    <cfRule type="cellIs" dxfId="3212" priority="431" operator="equal">
      <formula>2.2</formula>
    </cfRule>
    <cfRule type="cellIs" dxfId="3211" priority="432" operator="equal">
      <formula>2.1</formula>
    </cfRule>
    <cfRule type="cellIs" dxfId="3210" priority="433" operator="equal">
      <formula>1.5</formula>
    </cfRule>
    <cfRule type="cellIs" dxfId="3209" priority="434" operator="equal">
      <formula>1.4</formula>
    </cfRule>
    <cfRule type="cellIs" dxfId="3208" priority="435" operator="equal">
      <formula>1.3</formula>
    </cfRule>
    <cfRule type="cellIs" dxfId="3207" priority="436" operator="equal">
      <formula>1.2</formula>
    </cfRule>
    <cfRule type="containsText" dxfId="3206" priority="437" operator="containsText" text="1.1">
      <formula>NOT(ISERROR(SEARCH("1.1",H225)))</formula>
    </cfRule>
  </conditionalFormatting>
  <conditionalFormatting sqref="H232:K237">
    <cfRule type="containsBlanks" dxfId="3205" priority="402">
      <formula>LEN(TRIM(H232))=0</formula>
    </cfRule>
  </conditionalFormatting>
  <conditionalFormatting sqref="M47:M49">
    <cfRule type="cellIs" dxfId="3204" priority="142" operator="equal">
      <formula>4.4</formula>
    </cfRule>
    <cfRule type="cellIs" dxfId="3203" priority="143" operator="equal">
      <formula>4.3</formula>
    </cfRule>
    <cfRule type="cellIs" dxfId="3202" priority="144" operator="equal">
      <formula>4.2</formula>
    </cfRule>
    <cfRule type="cellIs" dxfId="3201" priority="145" operator="equal">
      <formula>4.1</formula>
    </cfRule>
    <cfRule type="cellIs" dxfId="3200" priority="146" operator="equal">
      <formula>3.4</formula>
    </cfRule>
    <cfRule type="cellIs" dxfId="3199" priority="147" operator="equal">
      <formula>3.3</formula>
    </cfRule>
    <cfRule type="cellIs" dxfId="3198" priority="148" operator="equal">
      <formula>3.2</formula>
    </cfRule>
    <cfRule type="cellIs" dxfId="3197" priority="149" operator="equal">
      <formula>3.1</formula>
    </cfRule>
    <cfRule type="cellIs" dxfId="3196" priority="150" operator="equal">
      <formula>2.4</formula>
    </cfRule>
    <cfRule type="cellIs" dxfId="3195" priority="151" operator="equal">
      <formula>2.3</formula>
    </cfRule>
    <cfRule type="cellIs" dxfId="3194" priority="152" operator="equal">
      <formula>2.2</formula>
    </cfRule>
    <cfRule type="cellIs" dxfId="3193" priority="153" operator="equal">
      <formula>2.1</formula>
    </cfRule>
    <cfRule type="cellIs" dxfId="3192" priority="154" operator="equal">
      <formula>1.5</formula>
    </cfRule>
    <cfRule type="cellIs" dxfId="3191" priority="155" operator="equal">
      <formula>1.4</formula>
    </cfRule>
    <cfRule type="cellIs" dxfId="3190" priority="156" operator="equal">
      <formula>1.3</formula>
    </cfRule>
    <cfRule type="cellIs" dxfId="3189" priority="157" operator="equal">
      <formula>1.2</formula>
    </cfRule>
    <cfRule type="containsText" dxfId="3188" priority="158" operator="containsText" text="1.1">
      <formula>NOT(ISERROR(SEARCH("1.1",M47)))</formula>
    </cfRule>
  </conditionalFormatting>
  <conditionalFormatting sqref="M77:M80">
    <cfRule type="cellIs" dxfId="3187" priority="368" operator="equal">
      <formula>4.4</formula>
    </cfRule>
    <cfRule type="cellIs" dxfId="3186" priority="369" operator="equal">
      <formula>4.3</formula>
    </cfRule>
    <cfRule type="cellIs" dxfId="3185" priority="370" operator="equal">
      <formula>4.2</formula>
    </cfRule>
    <cfRule type="cellIs" dxfId="3184" priority="371" operator="equal">
      <formula>4.1</formula>
    </cfRule>
    <cfRule type="cellIs" dxfId="3183" priority="372" operator="equal">
      <formula>3.4</formula>
    </cfRule>
    <cfRule type="cellIs" dxfId="3182" priority="373" operator="equal">
      <formula>3.3</formula>
    </cfRule>
    <cfRule type="cellIs" dxfId="3181" priority="374" operator="equal">
      <formula>3.2</formula>
    </cfRule>
    <cfRule type="cellIs" dxfId="3180" priority="375" operator="equal">
      <formula>3.1</formula>
    </cfRule>
    <cfRule type="cellIs" dxfId="3179" priority="376" operator="equal">
      <formula>2.4</formula>
    </cfRule>
    <cfRule type="cellIs" dxfId="3178" priority="377" operator="equal">
      <formula>2.3</formula>
    </cfRule>
    <cfRule type="cellIs" dxfId="3177" priority="378" operator="equal">
      <formula>2.2</formula>
    </cfRule>
    <cfRule type="cellIs" dxfId="3176" priority="379" operator="equal">
      <formula>2.1</formula>
    </cfRule>
    <cfRule type="cellIs" dxfId="3175" priority="380" operator="equal">
      <formula>1.5</formula>
    </cfRule>
    <cfRule type="cellIs" dxfId="3174" priority="381" operator="equal">
      <formula>1.4</formula>
    </cfRule>
    <cfRule type="cellIs" dxfId="3173" priority="382" operator="equal">
      <formula>1.3</formula>
    </cfRule>
    <cfRule type="cellIs" dxfId="3172" priority="383" operator="equal">
      <formula>1.2</formula>
    </cfRule>
    <cfRule type="containsText" dxfId="3171" priority="384" operator="containsText" text="1.1">
      <formula>NOT(ISERROR(SEARCH("1.1",M77)))</formula>
    </cfRule>
  </conditionalFormatting>
  <conditionalFormatting sqref="H50:M80">
    <cfRule type="containsBlanks" dxfId="3170" priority="367">
      <formula>LEN(TRIM(H50))=0</formula>
    </cfRule>
  </conditionalFormatting>
  <conditionalFormatting sqref="A53:G70 A78:E79 A77:M77 F78:M80 A50:M52 H53:M76">
    <cfRule type="cellIs" dxfId="3169" priority="350" operator="equal">
      <formula>4.4</formula>
    </cfRule>
    <cfRule type="cellIs" dxfId="3168" priority="351" operator="equal">
      <formula>4.3</formula>
    </cfRule>
    <cfRule type="cellIs" dxfId="3167" priority="352" operator="equal">
      <formula>4.2</formula>
    </cfRule>
    <cfRule type="cellIs" dxfId="3166" priority="353" operator="equal">
      <formula>4.1</formula>
    </cfRule>
    <cfRule type="cellIs" dxfId="3165" priority="354" operator="equal">
      <formula>3.4</formula>
    </cfRule>
    <cfRule type="cellIs" dxfId="3164" priority="355" operator="equal">
      <formula>3.3</formula>
    </cfRule>
    <cfRule type="cellIs" dxfId="3163" priority="356" operator="equal">
      <formula>3.2</formula>
    </cfRule>
    <cfRule type="cellIs" dxfId="3162" priority="357" operator="equal">
      <formula>3.1</formula>
    </cfRule>
    <cfRule type="cellIs" dxfId="3161" priority="358" operator="equal">
      <formula>2.4</formula>
    </cfRule>
    <cfRule type="cellIs" dxfId="3160" priority="359" operator="equal">
      <formula>2.3</formula>
    </cfRule>
    <cfRule type="cellIs" dxfId="3159" priority="360" operator="equal">
      <formula>2.2</formula>
    </cfRule>
    <cfRule type="cellIs" dxfId="3158" priority="361" operator="equal">
      <formula>2.1</formula>
    </cfRule>
    <cfRule type="cellIs" dxfId="3157" priority="362" operator="equal">
      <formula>1.5</formula>
    </cfRule>
    <cfRule type="cellIs" dxfId="3156" priority="363" operator="equal">
      <formula>1.4</formula>
    </cfRule>
    <cfRule type="cellIs" dxfId="3155" priority="364" operator="equal">
      <formula>1.3</formula>
    </cfRule>
    <cfRule type="cellIs" dxfId="3154" priority="365" operator="equal">
      <formula>1.2</formula>
    </cfRule>
    <cfRule type="containsText" dxfId="3153" priority="366" operator="containsText" text="1.1">
      <formula>NOT(ISERROR(SEARCH("1.1",A50)))</formula>
    </cfRule>
  </conditionalFormatting>
  <conditionalFormatting sqref="A85:A87 A91 A82:M84 F91:M92">
    <cfRule type="cellIs" dxfId="3152" priority="333" operator="equal">
      <formula>4.4</formula>
    </cfRule>
    <cfRule type="cellIs" dxfId="3151" priority="334" operator="equal">
      <formula>4.3</formula>
    </cfRule>
    <cfRule type="cellIs" dxfId="3150" priority="335" operator="equal">
      <formula>4.2</formula>
    </cfRule>
    <cfRule type="cellIs" dxfId="3149" priority="336" operator="equal">
      <formula>4.1</formula>
    </cfRule>
    <cfRule type="cellIs" dxfId="3148" priority="337" operator="equal">
      <formula>3.4</formula>
    </cfRule>
    <cfRule type="cellIs" dxfId="3147" priority="338" operator="equal">
      <formula>3.3</formula>
    </cfRule>
    <cfRule type="cellIs" dxfId="3146" priority="339" operator="equal">
      <formula>3.2</formula>
    </cfRule>
    <cfRule type="cellIs" dxfId="3145" priority="340" operator="equal">
      <formula>3.1</formula>
    </cfRule>
    <cfRule type="cellIs" dxfId="3144" priority="341" operator="equal">
      <formula>2.4</formula>
    </cfRule>
    <cfRule type="cellIs" dxfId="3143" priority="342" operator="equal">
      <formula>2.3</formula>
    </cfRule>
    <cfRule type="cellIs" dxfId="3142" priority="343" operator="equal">
      <formula>2.2</formula>
    </cfRule>
    <cfRule type="cellIs" dxfId="3141" priority="344" operator="equal">
      <formula>2.1</formula>
    </cfRule>
    <cfRule type="cellIs" dxfId="3140" priority="345" operator="equal">
      <formula>1.5</formula>
    </cfRule>
    <cfRule type="cellIs" dxfId="3139" priority="346" operator="equal">
      <formula>1.4</formula>
    </cfRule>
    <cfRule type="cellIs" dxfId="3138" priority="347" operator="equal">
      <formula>1.3</formula>
    </cfRule>
    <cfRule type="cellIs" dxfId="3137" priority="348" operator="equal">
      <formula>1.2</formula>
    </cfRule>
    <cfRule type="containsText" dxfId="3136" priority="349" operator="containsText" text="1.1">
      <formula>NOT(ISERROR(SEARCH("1.1",A82)))</formula>
    </cfRule>
  </conditionalFormatting>
  <conditionalFormatting sqref="H91:M92">
    <cfRule type="containsBlanks" dxfId="3135" priority="332">
      <formula>LEN(TRIM(H91))=0</formula>
    </cfRule>
  </conditionalFormatting>
  <conditionalFormatting sqref="B85:G87">
    <cfRule type="cellIs" dxfId="3134" priority="315" operator="equal">
      <formula>4.4</formula>
    </cfRule>
    <cfRule type="cellIs" dxfId="3133" priority="316" operator="equal">
      <formula>4.3</formula>
    </cfRule>
    <cfRule type="cellIs" dxfId="3132" priority="317" operator="equal">
      <formula>4.2</formula>
    </cfRule>
    <cfRule type="cellIs" dxfId="3131" priority="318" operator="equal">
      <formula>4.1</formula>
    </cfRule>
    <cfRule type="cellIs" dxfId="3130" priority="319" operator="equal">
      <formula>3.4</formula>
    </cfRule>
    <cfRule type="cellIs" dxfId="3129" priority="320" operator="equal">
      <formula>3.3</formula>
    </cfRule>
    <cfRule type="cellIs" dxfId="3128" priority="321" operator="equal">
      <formula>3.2</formula>
    </cfRule>
    <cfRule type="cellIs" dxfId="3127" priority="322" operator="equal">
      <formula>3.1</formula>
    </cfRule>
    <cfRule type="cellIs" dxfId="3126" priority="323" operator="equal">
      <formula>2.4</formula>
    </cfRule>
    <cfRule type="cellIs" dxfId="3125" priority="324" operator="equal">
      <formula>2.3</formula>
    </cfRule>
    <cfRule type="cellIs" dxfId="3124" priority="325" operator="equal">
      <formula>2.2</formula>
    </cfRule>
    <cfRule type="cellIs" dxfId="3123" priority="326" operator="equal">
      <formula>2.1</formula>
    </cfRule>
    <cfRule type="cellIs" dxfId="3122" priority="327" operator="equal">
      <formula>1.5</formula>
    </cfRule>
    <cfRule type="cellIs" dxfId="3121" priority="328" operator="equal">
      <formula>1.4</formula>
    </cfRule>
    <cfRule type="cellIs" dxfId="3120" priority="329" operator="equal">
      <formula>1.3</formula>
    </cfRule>
    <cfRule type="cellIs" dxfId="3119" priority="330" operator="equal">
      <formula>1.2</formula>
    </cfRule>
    <cfRule type="containsText" dxfId="3118" priority="331" operator="containsText" text="1.1">
      <formula>NOT(ISERROR(SEARCH("1.1",B85)))</formula>
    </cfRule>
  </conditionalFormatting>
  <conditionalFormatting sqref="A71:G73">
    <cfRule type="cellIs" dxfId="3117" priority="297" operator="equal">
      <formula>4.4</formula>
    </cfRule>
    <cfRule type="cellIs" dxfId="3116" priority="298" operator="equal">
      <formula>4.3</formula>
    </cfRule>
    <cfRule type="cellIs" dxfId="3115" priority="299" operator="equal">
      <formula>4.2</formula>
    </cfRule>
    <cfRule type="cellIs" dxfId="3114" priority="300" operator="equal">
      <formula>4.1</formula>
    </cfRule>
    <cfRule type="cellIs" dxfId="3113" priority="301" operator="equal">
      <formula>3.4</formula>
    </cfRule>
    <cfRule type="cellIs" dxfId="3112" priority="302" operator="equal">
      <formula>3.3</formula>
    </cfRule>
    <cfRule type="cellIs" dxfId="3111" priority="303" operator="equal">
      <formula>3.2</formula>
    </cfRule>
    <cfRule type="cellIs" dxfId="3110" priority="304" operator="equal">
      <formula>3.1</formula>
    </cfRule>
    <cfRule type="cellIs" dxfId="3109" priority="305" operator="equal">
      <formula>2.4</formula>
    </cfRule>
    <cfRule type="cellIs" dxfId="3108" priority="306" operator="equal">
      <formula>2.3</formula>
    </cfRule>
    <cfRule type="cellIs" dxfId="3107" priority="307" operator="equal">
      <formula>2.2</formula>
    </cfRule>
    <cfRule type="cellIs" dxfId="3106" priority="308" operator="equal">
      <formula>2.1</formula>
    </cfRule>
    <cfRule type="cellIs" dxfId="3105" priority="309" operator="equal">
      <formula>1.5</formula>
    </cfRule>
    <cfRule type="cellIs" dxfId="3104" priority="310" operator="equal">
      <formula>1.4</formula>
    </cfRule>
    <cfRule type="cellIs" dxfId="3103" priority="311" operator="equal">
      <formula>1.3</formula>
    </cfRule>
    <cfRule type="cellIs" dxfId="3102" priority="312" operator="equal">
      <formula>1.2</formula>
    </cfRule>
    <cfRule type="containsText" dxfId="3101" priority="313" operator="containsText" text="1.1">
      <formula>NOT(ISERROR(SEARCH("1.1",A71)))</formula>
    </cfRule>
  </conditionalFormatting>
  <conditionalFormatting sqref="B74:G76">
    <cfRule type="cellIs" dxfId="3100" priority="263" operator="equal">
      <formula>4.4</formula>
    </cfRule>
    <cfRule type="cellIs" dxfId="3099" priority="264" operator="equal">
      <formula>4.3</formula>
    </cfRule>
    <cfRule type="cellIs" dxfId="3098" priority="265" operator="equal">
      <formula>4.2</formula>
    </cfRule>
    <cfRule type="cellIs" dxfId="3097" priority="266" operator="equal">
      <formula>4.1</formula>
    </cfRule>
    <cfRule type="cellIs" dxfId="3096" priority="267" operator="equal">
      <formula>3.4</formula>
    </cfRule>
    <cfRule type="cellIs" dxfId="3095" priority="268" operator="equal">
      <formula>3.3</formula>
    </cfRule>
    <cfRule type="cellIs" dxfId="3094" priority="269" operator="equal">
      <formula>3.2</formula>
    </cfRule>
    <cfRule type="cellIs" dxfId="3093" priority="270" operator="equal">
      <formula>3.1</formula>
    </cfRule>
    <cfRule type="cellIs" dxfId="3092" priority="271" operator="equal">
      <formula>2.4</formula>
    </cfRule>
    <cfRule type="cellIs" dxfId="3091" priority="272" operator="equal">
      <formula>2.3</formula>
    </cfRule>
    <cfRule type="cellIs" dxfId="3090" priority="273" operator="equal">
      <formula>2.2</formula>
    </cfRule>
    <cfRule type="cellIs" dxfId="3089" priority="274" operator="equal">
      <formula>2.1</formula>
    </cfRule>
    <cfRule type="cellIs" dxfId="3088" priority="275" operator="equal">
      <formula>1.5</formula>
    </cfRule>
    <cfRule type="cellIs" dxfId="3087" priority="276" operator="equal">
      <formula>1.4</formula>
    </cfRule>
    <cfRule type="cellIs" dxfId="3086" priority="277" operator="equal">
      <formula>1.3</formula>
    </cfRule>
    <cfRule type="cellIs" dxfId="3085" priority="278" operator="equal">
      <formula>1.2</formula>
    </cfRule>
    <cfRule type="containsText" dxfId="3084" priority="279" operator="containsText" text="1.1">
      <formula>NOT(ISERROR(SEARCH("1.1",B74)))</formula>
    </cfRule>
  </conditionalFormatting>
  <conditionalFormatting sqref="A74:A76">
    <cfRule type="cellIs" dxfId="3083" priority="280" operator="equal">
      <formula>4.4</formula>
    </cfRule>
    <cfRule type="cellIs" dxfId="3082" priority="281" operator="equal">
      <formula>4.3</formula>
    </cfRule>
    <cfRule type="cellIs" dxfId="3081" priority="282" operator="equal">
      <formula>4.2</formula>
    </cfRule>
    <cfRule type="cellIs" dxfId="3080" priority="283" operator="equal">
      <formula>4.1</formula>
    </cfRule>
    <cfRule type="cellIs" dxfId="3079" priority="284" operator="equal">
      <formula>3.4</formula>
    </cfRule>
    <cfRule type="cellIs" dxfId="3078" priority="285" operator="equal">
      <formula>3.3</formula>
    </cfRule>
    <cfRule type="cellIs" dxfId="3077" priority="286" operator="equal">
      <formula>3.2</formula>
    </cfRule>
    <cfRule type="cellIs" dxfId="3076" priority="287" operator="equal">
      <formula>3.1</formula>
    </cfRule>
    <cfRule type="cellIs" dxfId="3075" priority="288" operator="equal">
      <formula>2.4</formula>
    </cfRule>
    <cfRule type="cellIs" dxfId="3074" priority="289" operator="equal">
      <formula>2.3</formula>
    </cfRule>
    <cfRule type="cellIs" dxfId="3073" priority="290" operator="equal">
      <formula>2.2</formula>
    </cfRule>
    <cfRule type="cellIs" dxfId="3072" priority="291" operator="equal">
      <formula>2.1</formula>
    </cfRule>
    <cfRule type="cellIs" dxfId="3071" priority="292" operator="equal">
      <formula>1.5</formula>
    </cfRule>
    <cfRule type="cellIs" dxfId="3070" priority="293" operator="equal">
      <formula>1.4</formula>
    </cfRule>
    <cfRule type="cellIs" dxfId="3069" priority="294" operator="equal">
      <formula>1.3</formula>
    </cfRule>
    <cfRule type="cellIs" dxfId="3068" priority="295" operator="equal">
      <formula>1.2</formula>
    </cfRule>
    <cfRule type="containsText" dxfId="3067" priority="296" operator="containsText" text="1.1">
      <formula>NOT(ISERROR(SEARCH("1.1",A74)))</formula>
    </cfRule>
  </conditionalFormatting>
  <conditionalFormatting sqref="B88:G90">
    <cfRule type="cellIs" dxfId="3066" priority="229" operator="equal">
      <formula>4.4</formula>
    </cfRule>
    <cfRule type="cellIs" dxfId="3065" priority="230" operator="equal">
      <formula>4.3</formula>
    </cfRule>
    <cfRule type="cellIs" dxfId="3064" priority="231" operator="equal">
      <formula>4.2</formula>
    </cfRule>
    <cfRule type="cellIs" dxfId="3063" priority="232" operator="equal">
      <formula>4.1</formula>
    </cfRule>
    <cfRule type="cellIs" dxfId="3062" priority="233" operator="equal">
      <formula>3.4</formula>
    </cfRule>
    <cfRule type="cellIs" dxfId="3061" priority="234" operator="equal">
      <formula>3.3</formula>
    </cfRule>
    <cfRule type="cellIs" dxfId="3060" priority="235" operator="equal">
      <formula>3.2</formula>
    </cfRule>
    <cfRule type="cellIs" dxfId="3059" priority="236" operator="equal">
      <formula>3.1</formula>
    </cfRule>
    <cfRule type="cellIs" dxfId="3058" priority="237" operator="equal">
      <formula>2.4</formula>
    </cfRule>
    <cfRule type="cellIs" dxfId="3057" priority="238" operator="equal">
      <formula>2.3</formula>
    </cfRule>
    <cfRule type="cellIs" dxfId="3056" priority="239" operator="equal">
      <formula>2.2</formula>
    </cfRule>
    <cfRule type="cellIs" dxfId="3055" priority="240" operator="equal">
      <formula>2.1</formula>
    </cfRule>
    <cfRule type="cellIs" dxfId="3054" priority="241" operator="equal">
      <formula>1.5</formula>
    </cfRule>
    <cfRule type="cellIs" dxfId="3053" priority="242" operator="equal">
      <formula>1.4</formula>
    </cfRule>
    <cfRule type="cellIs" dxfId="3052" priority="243" operator="equal">
      <formula>1.3</formula>
    </cfRule>
    <cfRule type="cellIs" dxfId="3051" priority="244" operator="equal">
      <formula>1.2</formula>
    </cfRule>
    <cfRule type="containsText" dxfId="3050" priority="245" operator="containsText" text="1.1">
      <formula>NOT(ISERROR(SEARCH("1.1",B88)))</formula>
    </cfRule>
  </conditionalFormatting>
  <conditionalFormatting sqref="A88:A90">
    <cfRule type="cellIs" dxfId="3049" priority="246" operator="equal">
      <formula>4.4</formula>
    </cfRule>
    <cfRule type="cellIs" dxfId="3048" priority="247" operator="equal">
      <formula>4.3</formula>
    </cfRule>
    <cfRule type="cellIs" dxfId="3047" priority="248" operator="equal">
      <formula>4.2</formula>
    </cfRule>
    <cfRule type="cellIs" dxfId="3046" priority="249" operator="equal">
      <formula>4.1</formula>
    </cfRule>
    <cfRule type="cellIs" dxfId="3045" priority="250" operator="equal">
      <formula>3.4</formula>
    </cfRule>
    <cfRule type="cellIs" dxfId="3044" priority="251" operator="equal">
      <formula>3.3</formula>
    </cfRule>
    <cfRule type="cellIs" dxfId="3043" priority="252" operator="equal">
      <formula>3.2</formula>
    </cfRule>
    <cfRule type="cellIs" dxfId="3042" priority="253" operator="equal">
      <formula>3.1</formula>
    </cfRule>
    <cfRule type="cellIs" dxfId="3041" priority="254" operator="equal">
      <formula>2.4</formula>
    </cfRule>
    <cfRule type="cellIs" dxfId="3040" priority="255" operator="equal">
      <formula>2.3</formula>
    </cfRule>
    <cfRule type="cellIs" dxfId="3039" priority="256" operator="equal">
      <formula>2.2</formula>
    </cfRule>
    <cfRule type="cellIs" dxfId="3038" priority="257" operator="equal">
      <formula>2.1</formula>
    </cfRule>
    <cfRule type="cellIs" dxfId="3037" priority="258" operator="equal">
      <formula>1.5</formula>
    </cfRule>
    <cfRule type="cellIs" dxfId="3036" priority="259" operator="equal">
      <formula>1.4</formula>
    </cfRule>
    <cfRule type="cellIs" dxfId="3035" priority="260" operator="equal">
      <formula>1.3</formula>
    </cfRule>
    <cfRule type="cellIs" dxfId="3034" priority="261" operator="equal">
      <formula>1.2</formula>
    </cfRule>
    <cfRule type="containsText" dxfId="3033" priority="262" operator="containsText" text="1.1">
      <formula>NOT(ISERROR(SEARCH("1.1",A88)))</formula>
    </cfRule>
  </conditionalFormatting>
  <conditionalFormatting sqref="H47:L49">
    <cfRule type="cellIs" dxfId="3032" priority="176" operator="equal">
      <formula>4.4</formula>
    </cfRule>
    <cfRule type="cellIs" dxfId="3031" priority="177" operator="equal">
      <formula>4.3</formula>
    </cfRule>
    <cfRule type="cellIs" dxfId="3030" priority="178" operator="equal">
      <formula>4.2</formula>
    </cfRule>
    <cfRule type="cellIs" dxfId="3029" priority="179" operator="equal">
      <formula>4.1</formula>
    </cfRule>
    <cfRule type="cellIs" dxfId="3028" priority="180" operator="equal">
      <formula>3.4</formula>
    </cfRule>
    <cfRule type="cellIs" dxfId="3027" priority="181" operator="equal">
      <formula>3.3</formula>
    </cfRule>
    <cfRule type="cellIs" dxfId="3026" priority="182" operator="equal">
      <formula>3.2</formula>
    </cfRule>
    <cfRule type="cellIs" dxfId="3025" priority="183" operator="equal">
      <formula>3.1</formula>
    </cfRule>
    <cfRule type="cellIs" dxfId="3024" priority="184" operator="equal">
      <formula>2.4</formula>
    </cfRule>
    <cfRule type="cellIs" dxfId="3023" priority="185" operator="equal">
      <formula>2.3</formula>
    </cfRule>
    <cfRule type="cellIs" dxfId="3022" priority="186" operator="equal">
      <formula>2.2</formula>
    </cfRule>
    <cfRule type="cellIs" dxfId="3021" priority="187" operator="equal">
      <formula>2.1</formula>
    </cfRule>
    <cfRule type="cellIs" dxfId="3020" priority="188" operator="equal">
      <formula>1.5</formula>
    </cfRule>
    <cfRule type="cellIs" dxfId="3019" priority="189" operator="equal">
      <formula>1.4</formula>
    </cfRule>
    <cfRule type="cellIs" dxfId="3018" priority="190" operator="equal">
      <formula>1.3</formula>
    </cfRule>
    <cfRule type="cellIs" dxfId="3017" priority="191" operator="equal">
      <formula>1.2</formula>
    </cfRule>
    <cfRule type="containsText" dxfId="3016" priority="192" operator="containsText" text="1.1">
      <formula>NOT(ISERROR(SEARCH("1.1",H47)))</formula>
    </cfRule>
  </conditionalFormatting>
  <conditionalFormatting sqref="A47:G49">
    <cfRule type="cellIs" dxfId="3015" priority="159" operator="equal">
      <formula>4.4</formula>
    </cfRule>
    <cfRule type="cellIs" dxfId="3014" priority="160" operator="equal">
      <formula>4.3</formula>
    </cfRule>
    <cfRule type="cellIs" dxfId="3013" priority="161" operator="equal">
      <formula>4.2</formula>
    </cfRule>
    <cfRule type="cellIs" dxfId="3012" priority="162" operator="equal">
      <formula>4.1</formula>
    </cfRule>
    <cfRule type="cellIs" dxfId="3011" priority="163" operator="equal">
      <formula>3.4</formula>
    </cfRule>
    <cfRule type="cellIs" dxfId="3010" priority="164" operator="equal">
      <formula>3.3</formula>
    </cfRule>
    <cfRule type="cellIs" dxfId="3009" priority="165" operator="equal">
      <formula>3.2</formula>
    </cfRule>
    <cfRule type="cellIs" dxfId="3008" priority="166" operator="equal">
      <formula>3.1</formula>
    </cfRule>
    <cfRule type="cellIs" dxfId="3007" priority="167" operator="equal">
      <formula>2.4</formula>
    </cfRule>
    <cfRule type="cellIs" dxfId="3006" priority="168" operator="equal">
      <formula>2.3</formula>
    </cfRule>
    <cfRule type="cellIs" dxfId="3005" priority="169" operator="equal">
      <formula>2.2</formula>
    </cfRule>
    <cfRule type="cellIs" dxfId="3004" priority="170" operator="equal">
      <formula>2.1</formula>
    </cfRule>
    <cfRule type="cellIs" dxfId="3003" priority="171" operator="equal">
      <formula>1.5</formula>
    </cfRule>
    <cfRule type="cellIs" dxfId="3002" priority="172" operator="equal">
      <formula>1.4</formula>
    </cfRule>
    <cfRule type="cellIs" dxfId="3001" priority="173" operator="equal">
      <formula>1.3</formula>
    </cfRule>
    <cfRule type="cellIs" dxfId="3000" priority="174" operator="equal">
      <formula>1.2</formula>
    </cfRule>
    <cfRule type="containsText" dxfId="2999" priority="175" operator="containsText" text="1.1">
      <formula>NOT(ISERROR(SEARCH("1.1",A47)))</formula>
    </cfRule>
  </conditionalFormatting>
  <conditionalFormatting sqref="H85:M87">
    <cfRule type="containsBlanks" dxfId="2998" priority="87">
      <formula>LEN(TRIM(H85))=0</formula>
    </cfRule>
  </conditionalFormatting>
  <conditionalFormatting sqref="H85:M87">
    <cfRule type="cellIs" dxfId="2997" priority="70" operator="equal">
      <formula>4.4</formula>
    </cfRule>
    <cfRule type="cellIs" dxfId="2996" priority="71" operator="equal">
      <formula>4.3</formula>
    </cfRule>
    <cfRule type="cellIs" dxfId="2995" priority="72" operator="equal">
      <formula>4.2</formula>
    </cfRule>
    <cfRule type="cellIs" dxfId="2994" priority="73" operator="equal">
      <formula>4.1</formula>
    </cfRule>
    <cfRule type="cellIs" dxfId="2993" priority="74" operator="equal">
      <formula>3.4</formula>
    </cfRule>
    <cfRule type="cellIs" dxfId="2992" priority="75" operator="equal">
      <formula>3.3</formula>
    </cfRule>
    <cfRule type="cellIs" dxfId="2991" priority="76" operator="equal">
      <formula>3.2</formula>
    </cfRule>
    <cfRule type="cellIs" dxfId="2990" priority="77" operator="equal">
      <formula>3.1</formula>
    </cfRule>
    <cfRule type="cellIs" dxfId="2989" priority="78" operator="equal">
      <formula>2.4</formula>
    </cfRule>
    <cfRule type="cellIs" dxfId="2988" priority="79" operator="equal">
      <formula>2.3</formula>
    </cfRule>
    <cfRule type="cellIs" dxfId="2987" priority="80" operator="equal">
      <formula>2.2</formula>
    </cfRule>
    <cfRule type="cellIs" dxfId="2986" priority="81" operator="equal">
      <formula>2.1</formula>
    </cfRule>
    <cfRule type="cellIs" dxfId="2985" priority="82" operator="equal">
      <formula>1.5</formula>
    </cfRule>
    <cfRule type="cellIs" dxfId="2984" priority="83" operator="equal">
      <formula>1.4</formula>
    </cfRule>
    <cfRule type="cellIs" dxfId="2983" priority="84" operator="equal">
      <formula>1.3</formula>
    </cfRule>
    <cfRule type="cellIs" dxfId="2982" priority="85" operator="equal">
      <formula>1.2</formula>
    </cfRule>
    <cfRule type="containsText" dxfId="2981" priority="86" operator="containsText" text="1.1">
      <formula>NOT(ISERROR(SEARCH("1.1",H85)))</formula>
    </cfRule>
  </conditionalFormatting>
  <conditionalFormatting sqref="H88:M90">
    <cfRule type="containsBlanks" dxfId="2980" priority="69">
      <formula>LEN(TRIM(H88))=0</formula>
    </cfRule>
  </conditionalFormatting>
  <conditionalFormatting sqref="H88:M90">
    <cfRule type="cellIs" dxfId="2979" priority="52" operator="equal">
      <formula>4.4</formula>
    </cfRule>
    <cfRule type="cellIs" dxfId="2978" priority="53" operator="equal">
      <formula>4.3</formula>
    </cfRule>
    <cfRule type="cellIs" dxfId="2977" priority="54" operator="equal">
      <formula>4.2</formula>
    </cfRule>
    <cfRule type="cellIs" dxfId="2976" priority="55" operator="equal">
      <formula>4.1</formula>
    </cfRule>
    <cfRule type="cellIs" dxfId="2975" priority="56" operator="equal">
      <formula>3.4</formula>
    </cfRule>
    <cfRule type="cellIs" dxfId="2974" priority="57" operator="equal">
      <formula>3.3</formula>
    </cfRule>
    <cfRule type="cellIs" dxfId="2973" priority="58" operator="equal">
      <formula>3.2</formula>
    </cfRule>
    <cfRule type="cellIs" dxfId="2972" priority="59" operator="equal">
      <formula>3.1</formula>
    </cfRule>
    <cfRule type="cellIs" dxfId="2971" priority="60" operator="equal">
      <formula>2.4</formula>
    </cfRule>
    <cfRule type="cellIs" dxfId="2970" priority="61" operator="equal">
      <formula>2.3</formula>
    </cfRule>
    <cfRule type="cellIs" dxfId="2969" priority="62" operator="equal">
      <formula>2.2</formula>
    </cfRule>
    <cfRule type="cellIs" dxfId="2968" priority="63" operator="equal">
      <formula>2.1</formula>
    </cfRule>
    <cfRule type="cellIs" dxfId="2967" priority="64" operator="equal">
      <formula>1.5</formula>
    </cfRule>
    <cfRule type="cellIs" dxfId="2966" priority="65" operator="equal">
      <formula>1.4</formula>
    </cfRule>
    <cfRule type="cellIs" dxfId="2965" priority="66" operator="equal">
      <formula>1.3</formula>
    </cfRule>
    <cfRule type="cellIs" dxfId="2964" priority="67" operator="equal">
      <formula>1.2</formula>
    </cfRule>
    <cfRule type="containsText" dxfId="2963" priority="68" operator="containsText" text="1.1">
      <formula>NOT(ISERROR(SEARCH("1.1",H88)))</formula>
    </cfRule>
  </conditionalFormatting>
  <conditionalFormatting sqref="BJ96">
    <cfRule type="cellIs" dxfId="2962" priority="35" operator="equal">
      <formula>4.4</formula>
    </cfRule>
    <cfRule type="cellIs" dxfId="2961" priority="36" operator="equal">
      <formula>4.3</formula>
    </cfRule>
    <cfRule type="cellIs" dxfId="2960" priority="37" operator="equal">
      <formula>4.2</formula>
    </cfRule>
    <cfRule type="cellIs" dxfId="2959" priority="38" operator="equal">
      <formula>4.1</formula>
    </cfRule>
    <cfRule type="cellIs" dxfId="2958" priority="39" operator="equal">
      <formula>3.4</formula>
    </cfRule>
    <cfRule type="cellIs" dxfId="2957" priority="40" operator="equal">
      <formula>3.3</formula>
    </cfRule>
    <cfRule type="cellIs" dxfId="2956" priority="41" operator="equal">
      <formula>3.2</formula>
    </cfRule>
    <cfRule type="cellIs" dxfId="2955" priority="42" operator="equal">
      <formula>3.1</formula>
    </cfRule>
    <cfRule type="cellIs" dxfId="2954" priority="43" operator="equal">
      <formula>2.4</formula>
    </cfRule>
    <cfRule type="cellIs" dxfId="2953" priority="44" operator="equal">
      <formula>2.3</formula>
    </cfRule>
    <cfRule type="cellIs" dxfId="2952" priority="45" operator="equal">
      <formula>2.2</formula>
    </cfRule>
    <cfRule type="cellIs" dxfId="2951" priority="46" operator="equal">
      <formula>2.1</formula>
    </cfRule>
    <cfRule type="cellIs" dxfId="2950" priority="47" operator="equal">
      <formula>1.5</formula>
    </cfRule>
    <cfRule type="cellIs" dxfId="2949" priority="48" operator="equal">
      <formula>1.4</formula>
    </cfRule>
    <cfRule type="cellIs" dxfId="2948" priority="49" operator="equal">
      <formula>1.3</formula>
    </cfRule>
    <cfRule type="cellIs" dxfId="2947" priority="50" operator="equal">
      <formula>1.2</formula>
    </cfRule>
    <cfRule type="containsText" dxfId="2946" priority="51" operator="containsText" text="1.1">
      <formula>NOT(ISERROR(SEARCH("1.1",BJ96)))</formula>
    </cfRule>
  </conditionalFormatting>
  <conditionalFormatting sqref="BJ146">
    <cfRule type="cellIs" dxfId="2945" priority="18" operator="equal">
      <formula>4.4</formula>
    </cfRule>
    <cfRule type="cellIs" dxfId="2944" priority="19" operator="equal">
      <formula>4.3</formula>
    </cfRule>
    <cfRule type="cellIs" dxfId="2943" priority="20" operator="equal">
      <formula>4.2</formula>
    </cfRule>
    <cfRule type="cellIs" dxfId="2942" priority="21" operator="equal">
      <formula>4.1</formula>
    </cfRule>
    <cfRule type="cellIs" dxfId="2941" priority="22" operator="equal">
      <formula>3.4</formula>
    </cfRule>
    <cfRule type="cellIs" dxfId="2940" priority="23" operator="equal">
      <formula>3.3</formula>
    </cfRule>
    <cfRule type="cellIs" dxfId="2939" priority="24" operator="equal">
      <formula>3.2</formula>
    </cfRule>
    <cfRule type="cellIs" dxfId="2938" priority="25" operator="equal">
      <formula>3.1</formula>
    </cfRule>
    <cfRule type="cellIs" dxfId="2937" priority="26" operator="equal">
      <formula>2.4</formula>
    </cfRule>
    <cfRule type="cellIs" dxfId="2936" priority="27" operator="equal">
      <formula>2.3</formula>
    </cfRule>
    <cfRule type="cellIs" dxfId="2935" priority="28" operator="equal">
      <formula>2.2</formula>
    </cfRule>
    <cfRule type="cellIs" dxfId="2934" priority="29" operator="equal">
      <formula>2.1</formula>
    </cfRule>
    <cfRule type="cellIs" dxfId="2933" priority="30" operator="equal">
      <formula>1.5</formula>
    </cfRule>
    <cfRule type="cellIs" dxfId="2932" priority="31" operator="equal">
      <formula>1.4</formula>
    </cfRule>
    <cfRule type="cellIs" dxfId="2931" priority="32" operator="equal">
      <formula>1.3</formula>
    </cfRule>
    <cfRule type="cellIs" dxfId="2930" priority="33" operator="equal">
      <formula>1.2</formula>
    </cfRule>
    <cfRule type="containsText" dxfId="2929" priority="34" operator="containsText" text="1.1">
      <formula>NOT(ISERROR(SEARCH("1.1",BJ146)))</formula>
    </cfRule>
  </conditionalFormatting>
  <conditionalFormatting sqref="BJ196">
    <cfRule type="cellIs" dxfId="2928" priority="1" operator="equal">
      <formula>4.4</formula>
    </cfRule>
    <cfRule type="cellIs" dxfId="2927" priority="2" operator="equal">
      <formula>4.3</formula>
    </cfRule>
    <cfRule type="cellIs" dxfId="2926" priority="3" operator="equal">
      <formula>4.2</formula>
    </cfRule>
    <cfRule type="cellIs" dxfId="2925" priority="4" operator="equal">
      <formula>4.1</formula>
    </cfRule>
    <cfRule type="cellIs" dxfId="2924" priority="5" operator="equal">
      <formula>3.4</formula>
    </cfRule>
    <cfRule type="cellIs" dxfId="2923" priority="6" operator="equal">
      <formula>3.3</formula>
    </cfRule>
    <cfRule type="cellIs" dxfId="2922" priority="7" operator="equal">
      <formula>3.2</formula>
    </cfRule>
    <cfRule type="cellIs" dxfId="2921" priority="8" operator="equal">
      <formula>3.1</formula>
    </cfRule>
    <cfRule type="cellIs" dxfId="2920" priority="9" operator="equal">
      <formula>2.4</formula>
    </cfRule>
    <cfRule type="cellIs" dxfId="2919" priority="10" operator="equal">
      <formula>2.3</formula>
    </cfRule>
    <cfRule type="cellIs" dxfId="2918" priority="11" operator="equal">
      <formula>2.2</formula>
    </cfRule>
    <cfRule type="cellIs" dxfId="2917" priority="12" operator="equal">
      <formula>2.1</formula>
    </cfRule>
    <cfRule type="cellIs" dxfId="2916" priority="13" operator="equal">
      <formula>1.5</formula>
    </cfRule>
    <cfRule type="cellIs" dxfId="2915" priority="14" operator="equal">
      <formula>1.4</formula>
    </cfRule>
    <cfRule type="cellIs" dxfId="2914" priority="15" operator="equal">
      <formula>1.3</formula>
    </cfRule>
    <cfRule type="cellIs" dxfId="2913" priority="16" operator="equal">
      <formula>1.2</formula>
    </cfRule>
    <cfRule type="containsText" dxfId="2912" priority="17" operator="containsText" text="1.1">
      <formula>NOT(ISERROR(SEARCH("1.1",BJ196)))</formula>
    </cfRule>
  </conditionalFormatting>
  <hyperlinks>
    <hyperlink ref="BK1:BN2" location="CustomerProfiles" display="CustomerProfiles" xr:uid="{00000000-0004-0000-0C00-000000000000}"/>
    <hyperlink ref="BN1:BP2" location="CustomerScenariors" display="CustomerScenariors" xr:uid="{00000000-0004-0000-0C00-000001000000}"/>
    <hyperlink ref="E3:G4" location="Welcome_Services_DEL" display="Welcome_Services_DEL" xr:uid="{00000000-0004-0000-0C00-000002000000}"/>
    <hyperlink ref="I3:K4" location="Welcome_Services_DEL" display="Welcome_Services_DEL" xr:uid="{00000000-0004-0000-0C00-000003000000}"/>
    <hyperlink ref="Q3:S4" location="Lunch__CAT_3_DEL" display="Lunch__CAT_3_DEL" xr:uid="{00000000-0004-0000-0C00-000004000000}"/>
    <hyperlink ref="U3:W4" location="Lunch__CAT_3_DEL" display="Lunch__CAT_3_DEL" xr:uid="{00000000-0004-0000-0C00-000005000000}"/>
    <hyperlink ref="Y3:AA4" location="Lunch__CAT_3_DEL" display="Lunch__CAT_3_DEL" xr:uid="{00000000-0004-0000-0C00-000006000000}"/>
    <hyperlink ref="AC3:AE4" location="Lunch__CAT_3_DEL" display="Lunch__CAT_3_DEL" xr:uid="{00000000-0004-0000-0C00-000007000000}"/>
    <hyperlink ref="AG3:AI4" location="Lunch__CAT_3_DEL" display="Lunch__CAT_3_DEL" xr:uid="{00000000-0004-0000-0C00-000008000000}"/>
    <hyperlink ref="AK3:AM4" location="Lunch__CAT_3_DEL" display="Lunch__CAT_3_DEL" xr:uid="{00000000-0004-0000-0C00-000009000000}"/>
    <hyperlink ref="Y5:AA6" location="Drinks2" display="Drinks2" xr:uid="{00000000-0004-0000-0C00-00000A000000}"/>
    <hyperlink ref="AC5:AE6" location="Drinks2" display="Drinks2" xr:uid="{00000000-0004-0000-0C00-00000B000000}"/>
    <hyperlink ref="AG5:AI6" location="Drinks2" display="Drinks2" xr:uid="{00000000-0004-0000-0C00-00000C000000}"/>
    <hyperlink ref="AK5:AM6" location="Drinks2" display="Drinks2" xr:uid="{00000000-0004-0000-0C00-00000D000000}"/>
    <hyperlink ref="AO5:AQ6" location="Drinks2" display="Drinks2" xr:uid="{00000000-0004-0000-0C00-00000E000000}"/>
    <hyperlink ref="AS5:AU6" location="Drinks2" display="Drinks2" xr:uid="{00000000-0004-0000-0C00-00000F000000}"/>
    <hyperlink ref="AW5:AY6" location="Drinks3" display="Drinks3" xr:uid="{00000000-0004-0000-0C00-000010000000}"/>
    <hyperlink ref="U5:W6" location="Drinks1" display="Drinks1" xr:uid="{00000000-0004-0000-0C00-000011000000}"/>
    <hyperlink ref="Q5:S6" location="Drinks1" display="Drinks1" xr:uid="{00000000-0004-0000-0C00-000012000000}"/>
    <hyperlink ref="M5:O6" location="Drinks1" display="Drinks1" xr:uid="{00000000-0004-0000-0C00-000013000000}"/>
    <hyperlink ref="I5:K6" location="Drinks1" display="Drinks1" xr:uid="{00000000-0004-0000-0C00-000014000000}"/>
    <hyperlink ref="E5:G6" location="Drinks1" display="Drinks1" xr:uid="{00000000-0004-0000-0C00-000015000000}"/>
    <hyperlink ref="A5:C6" location="Drinks1" display="Drinks1" xr:uid="{00000000-0004-0000-0C00-000016000000}"/>
    <hyperlink ref="BA5:BC6" location="Drinks3" display="Drinks3" xr:uid="{00000000-0004-0000-0C00-000017000000}"/>
    <hyperlink ref="BE5:BG6" location="Drinks3" display="Drinks3" xr:uid="{00000000-0004-0000-0C00-000018000000}"/>
    <hyperlink ref="BI5:BK6" location="Drinks3" display="Drinks3" xr:uid="{00000000-0004-0000-0C00-000019000000}"/>
  </hyperlinks>
  <pageMargins left="0.70866141732283472" right="0.70866141732283472" top="0" bottom="0.74803149606299213" header="0.31496062992125984" footer="0.31496062992125984"/>
  <pageSetup paperSize="9" scale="62" fitToHeight="0" orientation="landscape" r:id="rId2"/>
  <rowBreaks count="4" manualBreakCount="4">
    <brk id="44" max="67" man="1"/>
    <brk id="92" max="67" man="1"/>
    <brk id="142" max="67" man="1"/>
    <brk id="192" max="67"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A1:EO343"/>
  <sheetViews>
    <sheetView showGridLines="0" view="pageBreakPreview" zoomScale="85" zoomScaleNormal="85" zoomScaleSheetLayoutView="85" workbookViewId="0"/>
  </sheetViews>
  <sheetFormatPr baseColWidth="10" defaultColWidth="2.6640625" defaultRowHeight="15" customHeight="1"/>
  <cols>
    <col min="1" max="1" width="2.6640625" style="242"/>
    <col min="2" max="7" width="2.6640625" style="52"/>
    <col min="8" max="12" width="3.1640625" style="52" bestFit="1" customWidth="1"/>
    <col min="13" max="13" width="3.33203125" style="52" customWidth="1"/>
    <col min="14" max="14" width="2.6640625" style="52"/>
    <col min="15" max="15" width="2.6640625" style="242"/>
    <col min="16" max="22" width="2.6640625" style="52"/>
    <col min="23" max="23" width="2.6640625" style="242"/>
    <col min="24" max="28" width="2.6640625" style="52"/>
    <col min="29" max="29" width="2.6640625" style="52" customWidth="1"/>
    <col min="30" max="31" width="2.6640625" style="52"/>
    <col min="32" max="32" width="2.6640625" style="242"/>
    <col min="33" max="40" width="2.6640625" style="52"/>
    <col min="41" max="41" width="2.6640625" style="242"/>
    <col min="42" max="16384" width="2.6640625" style="52"/>
  </cols>
  <sheetData>
    <row r="1" spans="1:89" ht="15" customHeight="1">
      <c r="A1" s="295"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95" t="str">
        <f>"Abinitio No : "&amp;Group</f>
        <v xml:space="preserve">Abinitio No : </v>
      </c>
      <c r="AB1" s="259"/>
      <c r="AC1" s="259"/>
      <c r="AD1" s="259"/>
      <c r="AE1" s="259"/>
      <c r="AF1" s="259"/>
      <c r="AG1" s="259"/>
      <c r="AH1" s="259"/>
      <c r="AI1" s="259"/>
      <c r="AJ1" s="259"/>
      <c r="AK1" s="259"/>
      <c r="AL1" s="259"/>
      <c r="AM1" s="259"/>
      <c r="AN1" s="259"/>
      <c r="AO1" s="259"/>
      <c r="AP1" s="259"/>
      <c r="AQ1" s="259"/>
      <c r="AR1" s="295"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89" ht="15" customHeight="1">
      <c r="A2" s="295"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673</v>
      </c>
      <c r="AS2" s="259"/>
      <c r="AT2" s="259"/>
      <c r="AU2" s="259"/>
      <c r="AV2" s="259"/>
      <c r="AW2" s="259"/>
      <c r="AX2" s="295"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89" s="242" customFormat="1" ht="15" customHeight="1">
      <c r="A3" s="1227" t="s">
        <v>453</v>
      </c>
      <c r="B3" s="1228"/>
      <c r="C3" s="1228"/>
      <c r="D3" s="1229"/>
      <c r="E3" s="1219" t="str">
        <f>M9</f>
        <v>1. Children's Headsets
&amp; Toys/Baby Kits</v>
      </c>
      <c r="F3" s="1220"/>
      <c r="G3" s="1221"/>
      <c r="H3" s="1225"/>
      <c r="I3" s="1219" t="str">
        <f>W9</f>
        <v>2. Menu Card &amp; Landing Cards</v>
      </c>
      <c r="J3" s="1220"/>
      <c r="K3" s="1221"/>
      <c r="L3" s="1225"/>
      <c r="M3" s="1219" t="str">
        <f>AG9</f>
        <v>3. Kit Bags</v>
      </c>
      <c r="N3" s="1220"/>
      <c r="O3" s="1221"/>
      <c r="P3" s="1225"/>
      <c r="Q3" s="1219" t="str">
        <f>O47</f>
        <v>1. LB-SPML</v>
      </c>
      <c r="R3" s="1220"/>
      <c r="S3" s="1221"/>
      <c r="T3" s="1225"/>
      <c r="U3" s="1219" t="str">
        <f>W47</f>
        <v>2. LB-Meal Cart</v>
      </c>
      <c r="V3" s="1220"/>
      <c r="W3" s="1221"/>
      <c r="X3" s="1225"/>
      <c r="Y3" s="1219" t="str">
        <f>AE47</f>
        <v>3. LB-Clearance
Cart</v>
      </c>
      <c r="Z3" s="1220"/>
      <c r="AA3" s="1221"/>
      <c r="AB3" s="1225"/>
      <c r="AC3" s="1219" t="str">
        <f>AM47</f>
        <v>4. LB-Final 
Clearance</v>
      </c>
      <c r="AD3" s="1220"/>
      <c r="AE3" s="1221"/>
      <c r="AF3" s="1225"/>
      <c r="AG3" s="1843" t="s">
        <v>659</v>
      </c>
      <c r="AH3" s="1844"/>
      <c r="AI3" s="1844"/>
      <c r="AJ3" s="1845"/>
      <c r="AK3" s="1219" t="str">
        <f>O95</f>
        <v>1. BF-Hot Towels - Pre Service</v>
      </c>
      <c r="AL3" s="1220"/>
      <c r="AM3" s="1221"/>
      <c r="AN3" s="1225"/>
      <c r="AO3" s="1219" t="str">
        <f>W95</f>
        <v>2. BF-SPML</v>
      </c>
      <c r="AP3" s="1220"/>
      <c r="AQ3" s="1221"/>
      <c r="AR3" s="1225"/>
      <c r="AS3" s="1219" t="str">
        <f>AE95</f>
        <v>3. BF-Bar Beverage Cart</v>
      </c>
      <c r="AT3" s="1220"/>
      <c r="AU3" s="1221"/>
      <c r="AV3" s="1225"/>
      <c r="AW3" s="1219" t="str">
        <f>AM95</f>
        <v>4. BF-Meal Cart</v>
      </c>
      <c r="AX3" s="1220"/>
      <c r="AY3" s="1221"/>
      <c r="AZ3" s="1225"/>
      <c r="BA3" s="1219" t="str">
        <f>AU95</f>
        <v>5. BF-Hot Beverage - By Hand</v>
      </c>
      <c r="BB3" s="1220"/>
      <c r="BC3" s="1221"/>
      <c r="BD3" s="1225"/>
      <c r="BE3" s="1219" t="str">
        <f>BC95</f>
        <v>6. BF-Clearance 
Cart</v>
      </c>
      <c r="BF3" s="1220"/>
      <c r="BG3" s="1221"/>
      <c r="BH3" s="1225"/>
      <c r="BI3" s="1219" t="str">
        <f>O142</f>
        <v>7. BF-Final 
Clearance</v>
      </c>
      <c r="BJ3" s="1220"/>
      <c r="BK3" s="1221"/>
      <c r="BL3" s="1225"/>
      <c r="BM3" s="1219" t="str">
        <f>W142</f>
        <v>8. BF-Hot Towels - Pre Landing</v>
      </c>
      <c r="BN3" s="1220"/>
      <c r="BO3" s="1221"/>
      <c r="BP3" s="1225"/>
    </row>
    <row r="4" spans="1:89" s="242" customFormat="1" ht="15" customHeight="1">
      <c r="A4" s="1230"/>
      <c r="B4" s="1231"/>
      <c r="C4" s="1231"/>
      <c r="D4" s="1232"/>
      <c r="E4" s="1222"/>
      <c r="F4" s="1223"/>
      <c r="G4" s="1224"/>
      <c r="H4" s="1226"/>
      <c r="I4" s="1222"/>
      <c r="J4" s="1223"/>
      <c r="K4" s="1224"/>
      <c r="L4" s="1226"/>
      <c r="M4" s="1222"/>
      <c r="N4" s="1223"/>
      <c r="O4" s="1224"/>
      <c r="P4" s="1226"/>
      <c r="Q4" s="1222"/>
      <c r="R4" s="1223"/>
      <c r="S4" s="1224"/>
      <c r="T4" s="1226"/>
      <c r="U4" s="1222"/>
      <c r="V4" s="1223"/>
      <c r="W4" s="1224"/>
      <c r="X4" s="1226"/>
      <c r="Y4" s="1222"/>
      <c r="Z4" s="1223"/>
      <c r="AA4" s="1224"/>
      <c r="AB4" s="1226"/>
      <c r="AC4" s="1222"/>
      <c r="AD4" s="1223"/>
      <c r="AE4" s="1224"/>
      <c r="AF4" s="1226"/>
      <c r="AG4" s="1846"/>
      <c r="AH4" s="1847"/>
      <c r="AI4" s="1847"/>
      <c r="AJ4" s="1848"/>
      <c r="AK4" s="1222"/>
      <c r="AL4" s="1223"/>
      <c r="AM4" s="1224"/>
      <c r="AN4" s="1226"/>
      <c r="AO4" s="1222"/>
      <c r="AP4" s="1223"/>
      <c r="AQ4" s="1224"/>
      <c r="AR4" s="1226"/>
      <c r="AS4" s="1222"/>
      <c r="AT4" s="1223"/>
      <c r="AU4" s="1224"/>
      <c r="AV4" s="1226"/>
      <c r="AW4" s="1222"/>
      <c r="AX4" s="1223"/>
      <c r="AY4" s="1224"/>
      <c r="AZ4" s="1226"/>
      <c r="BA4" s="1222"/>
      <c r="BB4" s="1223"/>
      <c r="BC4" s="1224"/>
      <c r="BD4" s="1226"/>
      <c r="BE4" s="1222"/>
      <c r="BF4" s="1223"/>
      <c r="BG4" s="1224"/>
      <c r="BH4" s="1226"/>
      <c r="BI4" s="1222"/>
      <c r="BJ4" s="1223"/>
      <c r="BK4" s="1224"/>
      <c r="BL4" s="1226"/>
      <c r="BM4" s="1222"/>
      <c r="BN4" s="1223"/>
      <c r="BO4" s="1224"/>
      <c r="BP4" s="1226"/>
    </row>
    <row r="5" spans="1:89" ht="15" customHeight="1">
      <c r="A5" s="1219" t="str">
        <f>O190</f>
        <v>1. Champagne</v>
      </c>
      <c r="B5" s="1220"/>
      <c r="C5" s="1221"/>
      <c r="D5" s="1225"/>
      <c r="E5" s="1219" t="str">
        <f>W190</f>
        <v>2. Wine 
- Small Bottles</v>
      </c>
      <c r="F5" s="1220"/>
      <c r="G5" s="1221"/>
      <c r="H5" s="1225"/>
      <c r="I5" s="1219" t="str">
        <f>AE190</f>
        <v>3. White Wine Spritzer
- Small Bottles</v>
      </c>
      <c r="J5" s="1220"/>
      <c r="K5" s="1221"/>
      <c r="L5" s="1225"/>
      <c r="M5" s="1219" t="str">
        <f>AM190</f>
        <v>4. Wine
- Big Bottles</v>
      </c>
      <c r="N5" s="1220"/>
      <c r="O5" s="1221"/>
      <c r="P5" s="1225"/>
      <c r="Q5" s="1219" t="str">
        <f>AU190</f>
        <v>5. Dry - White Wine Spritzer - Big Bottle of Wine</v>
      </c>
      <c r="R5" s="1220"/>
      <c r="S5" s="1221"/>
      <c r="T5" s="1225"/>
      <c r="U5" s="1219" t="str">
        <f>BC190</f>
        <v>6. Sweet - White Wine Spritzer- Big Bottle of Wine</v>
      </c>
      <c r="V5" s="1220"/>
      <c r="W5" s="1221"/>
      <c r="X5" s="1225"/>
      <c r="Y5" s="1219" t="str">
        <f>O240</f>
        <v>7. Liqueur</v>
      </c>
      <c r="Z5" s="1220"/>
      <c r="AA5" s="1221"/>
      <c r="AB5" s="1225"/>
      <c r="AC5" s="1219" t="str">
        <f>W240</f>
        <v>8. Shandy</v>
      </c>
      <c r="AD5" s="1220"/>
      <c r="AE5" s="1221"/>
      <c r="AF5" s="1225"/>
      <c r="AG5" s="1219" t="str">
        <f>AE240</f>
        <v>9. Hot Beverage 
- Tea</v>
      </c>
      <c r="AH5" s="1220"/>
      <c r="AI5" s="1221"/>
      <c r="AJ5" s="1225"/>
      <c r="AK5" s="1219" t="str">
        <f>AM240</f>
        <v>10. Beer</v>
      </c>
      <c r="AL5" s="1220"/>
      <c r="AM5" s="1221"/>
      <c r="AN5" s="1225"/>
      <c r="AO5" s="1219" t="str">
        <f>AU240</f>
        <v>11. Screwdriver</v>
      </c>
      <c r="AP5" s="1220"/>
      <c r="AQ5" s="1221"/>
      <c r="AR5" s="1225"/>
      <c r="AS5" s="1219" t="str">
        <f>BC240</f>
        <v>12. Gin &amp; Orange Juice</v>
      </c>
      <c r="AT5" s="1220"/>
      <c r="AU5" s="1221"/>
      <c r="AV5" s="1225"/>
      <c r="AW5" s="1219" t="str">
        <f>O290</f>
        <v>13. Rum &amp; Pepsi</v>
      </c>
      <c r="AX5" s="1220"/>
      <c r="AY5" s="1221"/>
      <c r="AZ5" s="1225"/>
      <c r="BA5" s="1219" t="str">
        <f>W290</f>
        <v>14. Gin &amp; Tonic</v>
      </c>
      <c r="BB5" s="1220"/>
      <c r="BC5" s="1221"/>
      <c r="BD5" s="1225"/>
      <c r="BE5" s="1219" t="str">
        <f>AE290</f>
        <v>15. Scotch &amp; Soda</v>
      </c>
      <c r="BF5" s="1220"/>
      <c r="BG5" s="1221"/>
      <c r="BH5" s="1225"/>
      <c r="BI5" s="1219" t="str">
        <f>AM290</f>
        <v>16. Bloody Mary</v>
      </c>
      <c r="BJ5" s="1220"/>
      <c r="BK5" s="1221"/>
      <c r="BL5" s="1225"/>
    </row>
    <row r="6" spans="1:89" ht="15" customHeight="1">
      <c r="A6" s="1222"/>
      <c r="B6" s="1223"/>
      <c r="C6" s="1224"/>
      <c r="D6" s="1226"/>
      <c r="E6" s="1222"/>
      <c r="F6" s="1223"/>
      <c r="G6" s="1224"/>
      <c r="H6" s="1226"/>
      <c r="I6" s="1222"/>
      <c r="J6" s="1223"/>
      <c r="K6" s="1224"/>
      <c r="L6" s="1226"/>
      <c r="M6" s="1222"/>
      <c r="N6" s="1223"/>
      <c r="O6" s="1224"/>
      <c r="P6" s="1226"/>
      <c r="Q6" s="1222"/>
      <c r="R6" s="1223"/>
      <c r="S6" s="1224"/>
      <c r="T6" s="1226"/>
      <c r="U6" s="1222"/>
      <c r="V6" s="1223"/>
      <c r="W6" s="1224"/>
      <c r="X6" s="1226"/>
      <c r="Y6" s="1222"/>
      <c r="Z6" s="1223"/>
      <c r="AA6" s="1224"/>
      <c r="AB6" s="1226"/>
      <c r="AC6" s="1222"/>
      <c r="AD6" s="1223"/>
      <c r="AE6" s="1224"/>
      <c r="AF6" s="1226"/>
      <c r="AG6" s="1222"/>
      <c r="AH6" s="1223"/>
      <c r="AI6" s="1224"/>
      <c r="AJ6" s="1226"/>
      <c r="AK6" s="1222"/>
      <c r="AL6" s="1223"/>
      <c r="AM6" s="1224"/>
      <c r="AN6" s="1226"/>
      <c r="AO6" s="1222"/>
      <c r="AP6" s="1223"/>
      <c r="AQ6" s="1224"/>
      <c r="AR6" s="1226"/>
      <c r="AS6" s="1222"/>
      <c r="AT6" s="1223"/>
      <c r="AU6" s="1224"/>
      <c r="AV6" s="1226"/>
      <c r="AW6" s="1222"/>
      <c r="AX6" s="1223"/>
      <c r="AY6" s="1224"/>
      <c r="AZ6" s="1226"/>
      <c r="BA6" s="1222"/>
      <c r="BB6" s="1223"/>
      <c r="BC6" s="1224"/>
      <c r="BD6" s="1226"/>
      <c r="BE6" s="1222"/>
      <c r="BF6" s="1223"/>
      <c r="BG6" s="1224"/>
      <c r="BH6" s="1226"/>
      <c r="BI6" s="1222"/>
      <c r="BJ6" s="1223"/>
      <c r="BK6" s="1224"/>
      <c r="BL6" s="1226"/>
    </row>
    <row r="7" spans="1:89" ht="15" customHeight="1">
      <c r="A7" s="1237" t="s">
        <v>15</v>
      </c>
      <c r="B7" s="1238"/>
      <c r="C7" s="1238"/>
      <c r="D7" s="1238"/>
      <c r="E7" s="1238"/>
      <c r="F7" s="1238"/>
      <c r="G7" s="1238"/>
      <c r="H7" s="1238"/>
      <c r="I7" s="1238"/>
      <c r="J7" s="1238"/>
      <c r="K7" s="1238"/>
      <c r="L7" s="1238"/>
      <c r="M7" s="1238"/>
      <c r="N7" s="1238"/>
      <c r="O7" s="1238"/>
      <c r="P7" s="1238"/>
      <c r="Q7" s="1238"/>
      <c r="R7" s="1238"/>
      <c r="S7" s="1238"/>
      <c r="T7" s="1238"/>
      <c r="U7" s="1238"/>
      <c r="V7" s="1238"/>
      <c r="W7" s="1238"/>
      <c r="X7" s="1238"/>
      <c r="Y7" s="1238"/>
      <c r="Z7" s="1238"/>
      <c r="AA7" s="1238"/>
      <c r="AB7" s="1238"/>
      <c r="AC7" s="1238"/>
      <c r="AD7" s="1238"/>
      <c r="AE7" s="1238"/>
      <c r="AF7" s="1238"/>
      <c r="AG7" s="1238"/>
      <c r="AH7" s="1238"/>
      <c r="AI7" s="1238"/>
      <c r="AJ7" s="1238"/>
      <c r="AK7" s="1238"/>
      <c r="AL7" s="1238"/>
      <c r="AM7" s="1238"/>
      <c r="AN7" s="1238"/>
      <c r="AO7" s="1238"/>
      <c r="AP7" s="1238"/>
      <c r="AQ7" s="1238"/>
      <c r="AR7" s="1238"/>
      <c r="AS7" s="1238"/>
      <c r="AT7" s="1238"/>
      <c r="AU7" s="1238"/>
      <c r="AV7" s="1238"/>
      <c r="AW7" s="1238"/>
      <c r="AX7" s="1238"/>
      <c r="AY7" s="1238"/>
      <c r="AZ7" s="1238"/>
      <c r="BA7" s="1238"/>
      <c r="BB7" s="1238"/>
      <c r="BC7" s="1238"/>
      <c r="BD7" s="1238"/>
      <c r="BE7" s="1238"/>
      <c r="BF7" s="1238"/>
      <c r="BG7" s="1238"/>
      <c r="BH7" s="1238"/>
      <c r="BI7" s="1238"/>
      <c r="BJ7" s="1238"/>
      <c r="BK7" s="1238"/>
      <c r="BL7" s="1238"/>
      <c r="BM7" s="1238"/>
      <c r="BN7" s="1238"/>
      <c r="BO7" s="1238"/>
      <c r="BP7" s="1238"/>
      <c r="BQ7" s="300"/>
      <c r="BR7" s="300"/>
    </row>
    <row r="8" spans="1:89" ht="15" customHeight="1" thickBot="1">
      <c r="A8" s="1237"/>
      <c r="B8" s="1238"/>
      <c r="C8" s="1238"/>
      <c r="D8" s="1238"/>
      <c r="E8" s="1238"/>
      <c r="F8" s="1238"/>
      <c r="G8" s="1238"/>
      <c r="H8" s="1238"/>
      <c r="I8" s="1238"/>
      <c r="J8" s="1238"/>
      <c r="K8" s="1238"/>
      <c r="L8" s="1238"/>
      <c r="M8" s="1238"/>
      <c r="N8" s="1238"/>
      <c r="O8" s="1238"/>
      <c r="P8" s="1238"/>
      <c r="Q8" s="1238"/>
      <c r="R8" s="1238"/>
      <c r="S8" s="1238"/>
      <c r="T8" s="1238"/>
      <c r="U8" s="1238"/>
      <c r="V8" s="1238"/>
      <c r="W8" s="1238"/>
      <c r="X8" s="1238"/>
      <c r="Y8" s="1238"/>
      <c r="Z8" s="1238"/>
      <c r="AA8" s="1238"/>
      <c r="AB8" s="1238"/>
      <c r="AC8" s="1238"/>
      <c r="AD8" s="1238"/>
      <c r="AE8" s="1238"/>
      <c r="AF8" s="1238"/>
      <c r="AG8" s="1238"/>
      <c r="AH8" s="1238"/>
      <c r="AI8" s="1238"/>
      <c r="AJ8" s="1238"/>
      <c r="AK8" s="1238"/>
      <c r="AL8" s="1238"/>
      <c r="AM8" s="1238"/>
      <c r="AN8" s="1238"/>
      <c r="AO8" s="1238"/>
      <c r="AP8" s="1238"/>
      <c r="AQ8" s="1238"/>
      <c r="AR8" s="1238"/>
      <c r="AS8" s="1238"/>
      <c r="AT8" s="1238"/>
      <c r="AU8" s="1238"/>
      <c r="AV8" s="1238"/>
      <c r="AW8" s="1238"/>
      <c r="AX8" s="1238"/>
      <c r="AY8" s="1238"/>
      <c r="AZ8" s="1238"/>
      <c r="BA8" s="1238"/>
      <c r="BB8" s="1238"/>
      <c r="BC8" s="1238"/>
      <c r="BD8" s="1238"/>
      <c r="BE8" s="1238"/>
      <c r="BF8" s="1238"/>
      <c r="BG8" s="1238"/>
      <c r="BH8" s="1238"/>
      <c r="BI8" s="1238"/>
      <c r="BJ8" s="1238"/>
      <c r="BK8" s="1238"/>
      <c r="BL8" s="1238"/>
      <c r="BM8" s="1238"/>
      <c r="BN8" s="1238"/>
      <c r="BO8" s="1238"/>
      <c r="BP8" s="1238"/>
      <c r="BQ8" s="300"/>
      <c r="BR8" s="300"/>
    </row>
    <row r="9" spans="1:89" ht="15" customHeight="1">
      <c r="A9" s="1172"/>
      <c r="B9" s="1173" t="s">
        <v>608</v>
      </c>
      <c r="C9" s="1173"/>
      <c r="D9" s="1173"/>
      <c r="E9" s="1173"/>
      <c r="F9" s="1173"/>
      <c r="G9" s="1173"/>
      <c r="H9" s="1173"/>
      <c r="I9" s="1174">
        <v>1</v>
      </c>
      <c r="J9" s="1174">
        <v>2</v>
      </c>
      <c r="K9" s="1174">
        <v>3</v>
      </c>
      <c r="L9" s="1537"/>
      <c r="M9" s="1541" t="s">
        <v>662</v>
      </c>
      <c r="N9" s="1541"/>
      <c r="O9" s="1541"/>
      <c r="P9" s="1541"/>
      <c r="Q9" s="1541"/>
      <c r="R9" s="1541"/>
      <c r="S9" s="1541"/>
      <c r="T9" s="1249"/>
      <c r="U9" s="1250"/>
      <c r="V9" s="1251"/>
      <c r="W9" s="1529" t="s">
        <v>677</v>
      </c>
      <c r="X9" s="1252"/>
      <c r="Y9" s="1252"/>
      <c r="Z9" s="1252"/>
      <c r="AA9" s="1252"/>
      <c r="AB9" s="1252"/>
      <c r="AC9" s="1253"/>
      <c r="AD9" s="1256"/>
      <c r="AE9" s="256"/>
      <c r="AF9" s="1806"/>
      <c r="AG9" s="1802" t="s">
        <v>678</v>
      </c>
      <c r="AH9" s="1803"/>
      <c r="AI9" s="1803"/>
      <c r="AJ9" s="1803"/>
      <c r="AK9" s="1803"/>
      <c r="AL9" s="1803"/>
      <c r="AM9" s="1803"/>
      <c r="AN9" s="1256"/>
      <c r="AO9" s="52"/>
      <c r="BJ9" s="1182" t="s">
        <v>263</v>
      </c>
      <c r="BK9" s="1183"/>
      <c r="BL9" s="1183"/>
      <c r="BM9" s="1183"/>
      <c r="BN9" s="1183"/>
      <c r="BO9" s="1184"/>
      <c r="BP9" s="255"/>
      <c r="BQ9" s="255"/>
      <c r="BR9" s="255"/>
      <c r="BS9" s="242"/>
      <c r="CB9" s="242"/>
    </row>
    <row r="10" spans="1:89" ht="15" customHeight="1" thickBot="1">
      <c r="A10" s="1172"/>
      <c r="B10" s="1173"/>
      <c r="C10" s="1173"/>
      <c r="D10" s="1173"/>
      <c r="E10" s="1173"/>
      <c r="F10" s="1173"/>
      <c r="G10" s="1173"/>
      <c r="H10" s="1173"/>
      <c r="I10" s="1174"/>
      <c r="J10" s="1174"/>
      <c r="K10" s="1174"/>
      <c r="L10" s="1539"/>
      <c r="M10" s="1547"/>
      <c r="N10" s="1547"/>
      <c r="O10" s="1547"/>
      <c r="P10" s="1547"/>
      <c r="Q10" s="1547"/>
      <c r="R10" s="1547"/>
      <c r="S10" s="1547"/>
      <c r="T10" s="1249" t="s">
        <v>312</v>
      </c>
      <c r="U10" s="1250"/>
      <c r="V10" s="1251"/>
      <c r="W10" s="1531"/>
      <c r="X10" s="1254"/>
      <c r="Y10" s="1254"/>
      <c r="Z10" s="1254"/>
      <c r="AA10" s="1254"/>
      <c r="AB10" s="1254"/>
      <c r="AC10" s="1255"/>
      <c r="AD10" s="1257"/>
      <c r="AE10" s="256"/>
      <c r="AF10" s="1807"/>
      <c r="AG10" s="1804"/>
      <c r="AH10" s="1805"/>
      <c r="AI10" s="1805"/>
      <c r="AJ10" s="1805"/>
      <c r="AK10" s="1805"/>
      <c r="AL10" s="1805"/>
      <c r="AM10" s="1805"/>
      <c r="AN10" s="1257"/>
      <c r="AO10" s="52"/>
      <c r="BJ10" s="1185"/>
      <c r="BK10" s="1186"/>
      <c r="BL10" s="1186"/>
      <c r="BM10" s="1186"/>
      <c r="BN10" s="1186"/>
      <c r="BO10" s="1187"/>
      <c r="BP10" s="255"/>
      <c r="BQ10" s="255"/>
      <c r="BR10" s="255"/>
      <c r="BS10" s="242"/>
      <c r="CB10" s="242"/>
    </row>
    <row r="11" spans="1:89" ht="15" customHeight="1">
      <c r="A11" s="1307">
        <v>1.1000000000000001</v>
      </c>
      <c r="B11" s="1395" t="s">
        <v>939</v>
      </c>
      <c r="C11" s="1396"/>
      <c r="D11" s="1396"/>
      <c r="E11" s="1396"/>
      <c r="F11" s="1396"/>
      <c r="G11" s="1396"/>
      <c r="H11" s="1536"/>
      <c r="I11" s="1205" t="str">
        <f>IF(ISBLANK(H$3),"",1)</f>
        <v/>
      </c>
      <c r="J11" s="1205" t="str">
        <f>IF(ISBLANK(L$3),"",1)</f>
        <v/>
      </c>
      <c r="K11" s="1205" t="str">
        <f>IF(ISBLANK(P$3),"",1)</f>
        <v/>
      </c>
      <c r="L11" s="1236">
        <v>1.5</v>
      </c>
      <c r="M11" s="1395" t="s">
        <v>314</v>
      </c>
      <c r="N11" s="1396"/>
      <c r="O11" s="1396"/>
      <c r="P11" s="1396"/>
      <c r="Q11" s="1396"/>
      <c r="R11" s="1396"/>
      <c r="S11" s="1396"/>
      <c r="T11" s="1205" t="str">
        <f>IF(ISBLANK(H$3),"",1)</f>
        <v/>
      </c>
      <c r="U11" s="1241"/>
      <c r="V11" s="1236">
        <v>4.4000000000000004</v>
      </c>
      <c r="W11" s="1526" t="s">
        <v>628</v>
      </c>
      <c r="X11" s="1527"/>
      <c r="Y11" s="1527"/>
      <c r="Z11" s="1527"/>
      <c r="AA11" s="1527"/>
      <c r="AB11" s="1527"/>
      <c r="AC11" s="1533"/>
      <c r="AD11" s="1205" t="str">
        <f>IF(ISBLANK(L$3),"",1)</f>
        <v/>
      </c>
      <c r="AE11" s="256"/>
      <c r="AF11" s="1236">
        <v>1.5</v>
      </c>
      <c r="AG11" s="1161" t="s">
        <v>314</v>
      </c>
      <c r="AH11" s="1162"/>
      <c r="AI11" s="1162"/>
      <c r="AJ11" s="1162"/>
      <c r="AK11" s="1162"/>
      <c r="AL11" s="1162"/>
      <c r="AM11" s="1199"/>
      <c r="AN11" s="1205" t="str">
        <f>IF(ISBLANK(P$3),"",1)</f>
        <v/>
      </c>
      <c r="AO11" s="52"/>
      <c r="BJ11" s="1188"/>
      <c r="BK11" s="1189"/>
      <c r="BL11" s="1189"/>
      <c r="BM11" s="1189"/>
      <c r="BN11" s="1189"/>
      <c r="BO11" s="1190"/>
      <c r="BP11" s="255"/>
      <c r="BQ11" s="255"/>
      <c r="BR11" s="255"/>
      <c r="BS11" s="242"/>
      <c r="CB11" s="242"/>
    </row>
    <row r="12" spans="1:89" ht="15" customHeight="1">
      <c r="A12" s="1308"/>
      <c r="B12" s="1163"/>
      <c r="C12" s="1164"/>
      <c r="D12" s="1164"/>
      <c r="E12" s="1164"/>
      <c r="F12" s="1164"/>
      <c r="G12" s="1164"/>
      <c r="H12" s="1266"/>
      <c r="I12" s="1206"/>
      <c r="J12" s="1206"/>
      <c r="K12" s="1206"/>
      <c r="L12" s="1236"/>
      <c r="M12" s="1163"/>
      <c r="N12" s="1164"/>
      <c r="O12" s="1164"/>
      <c r="P12" s="1164"/>
      <c r="Q12" s="1164"/>
      <c r="R12" s="1164"/>
      <c r="S12" s="1164"/>
      <c r="T12" s="1206"/>
      <c r="U12" s="1241"/>
      <c r="V12" s="1236"/>
      <c r="W12" s="1317"/>
      <c r="X12" s="1296"/>
      <c r="Y12" s="1296"/>
      <c r="Z12" s="1296"/>
      <c r="AA12" s="1296"/>
      <c r="AB12" s="1296"/>
      <c r="AC12" s="1297"/>
      <c r="AD12" s="1206"/>
      <c r="AE12" s="256"/>
      <c r="AF12" s="1236"/>
      <c r="AG12" s="1163"/>
      <c r="AH12" s="1164"/>
      <c r="AI12" s="1164"/>
      <c r="AJ12" s="1164"/>
      <c r="AK12" s="1164"/>
      <c r="AL12" s="1164"/>
      <c r="AM12" s="1201"/>
      <c r="AN12" s="1206"/>
      <c r="AO12" s="52"/>
      <c r="BJ12" s="1188"/>
      <c r="BK12" s="1189"/>
      <c r="BL12" s="1189"/>
      <c r="BM12" s="1189"/>
      <c r="BN12" s="1189"/>
      <c r="BO12" s="1190"/>
      <c r="BP12" s="255"/>
      <c r="BQ12" s="255"/>
      <c r="BR12" s="255"/>
      <c r="BS12" s="242"/>
      <c r="CB12" s="242"/>
    </row>
    <row r="13" spans="1:89" ht="15" customHeight="1">
      <c r="A13" s="1309"/>
      <c r="B13" s="1163"/>
      <c r="C13" s="1164"/>
      <c r="D13" s="1164"/>
      <c r="E13" s="1164"/>
      <c r="F13" s="1164"/>
      <c r="G13" s="1164"/>
      <c r="H13" s="1266"/>
      <c r="I13" s="1207"/>
      <c r="J13" s="1207"/>
      <c r="K13" s="1207"/>
      <c r="L13" s="1236"/>
      <c r="M13" s="1165"/>
      <c r="N13" s="1166"/>
      <c r="O13" s="1166"/>
      <c r="P13" s="1166"/>
      <c r="Q13" s="1166"/>
      <c r="R13" s="1166"/>
      <c r="S13" s="1166"/>
      <c r="T13" s="1207"/>
      <c r="U13" s="1241"/>
      <c r="V13" s="1236"/>
      <c r="W13" s="1317"/>
      <c r="X13" s="1296"/>
      <c r="Y13" s="1296"/>
      <c r="Z13" s="1296"/>
      <c r="AA13" s="1296"/>
      <c r="AB13" s="1296"/>
      <c r="AC13" s="1297"/>
      <c r="AD13" s="1207"/>
      <c r="AE13" s="256"/>
      <c r="AF13" s="1236"/>
      <c r="AG13" s="1165"/>
      <c r="AH13" s="1166"/>
      <c r="AI13" s="1166"/>
      <c r="AJ13" s="1166"/>
      <c r="AK13" s="1166"/>
      <c r="AL13" s="1166"/>
      <c r="AM13" s="1292"/>
      <c r="AN13" s="1207"/>
      <c r="AO13" s="52"/>
      <c r="BJ13" s="1188"/>
      <c r="BK13" s="1189"/>
      <c r="BL13" s="1189"/>
      <c r="BM13" s="1189"/>
      <c r="BN13" s="1189"/>
      <c r="BO13" s="1190"/>
      <c r="BP13" s="255"/>
      <c r="BQ13" s="255"/>
      <c r="BR13" s="255"/>
      <c r="BS13" s="242"/>
      <c r="CB13" s="242"/>
    </row>
    <row r="14" spans="1:89" ht="15" customHeight="1">
      <c r="A14" s="1307">
        <v>1.1000000000000001</v>
      </c>
      <c r="B14" s="1395" t="s">
        <v>316</v>
      </c>
      <c r="C14" s="1396"/>
      <c r="D14" s="1396"/>
      <c r="E14" s="1396"/>
      <c r="F14" s="1396"/>
      <c r="G14" s="1396"/>
      <c r="H14" s="1536"/>
      <c r="I14" s="1205" t="str">
        <f t="shared" ref="I14" si="0">IF(ISBLANK(H$3),"",1)</f>
        <v/>
      </c>
      <c r="J14" s="1205" t="str">
        <f>IF(ISBLANK(L$3),"",1)</f>
        <v/>
      </c>
      <c r="K14" s="1205" t="str">
        <f t="shared" ref="K14" si="1">IF(ISBLANK(P$3),"",1)</f>
        <v/>
      </c>
      <c r="L14" s="1258">
        <v>4.4000000000000004</v>
      </c>
      <c r="M14" s="1161" t="s">
        <v>317</v>
      </c>
      <c r="N14" s="1162"/>
      <c r="O14" s="1162"/>
      <c r="P14" s="1162"/>
      <c r="Q14" s="1162"/>
      <c r="R14" s="1162"/>
      <c r="S14" s="1162"/>
      <c r="T14" s="1205" t="str">
        <f>IF(ISBLANK(H$3),"",1)</f>
        <v/>
      </c>
      <c r="U14" s="1241"/>
      <c r="V14" s="1258">
        <v>4.4000000000000004</v>
      </c>
      <c r="W14" s="1526" t="s">
        <v>874</v>
      </c>
      <c r="X14" s="1527"/>
      <c r="Y14" s="1527"/>
      <c r="Z14" s="1527"/>
      <c r="AA14" s="1527"/>
      <c r="AB14" s="1527"/>
      <c r="AC14" s="1533" t="s">
        <v>696</v>
      </c>
      <c r="AD14" s="1205" t="str">
        <f>IF(ISBLANK(L$3),"",1)</f>
        <v/>
      </c>
      <c r="AE14" s="256"/>
      <c r="AF14" s="1258">
        <v>4.4000000000000004</v>
      </c>
      <c r="AG14" s="1161" t="s">
        <v>317</v>
      </c>
      <c r="AH14" s="1162"/>
      <c r="AI14" s="1162"/>
      <c r="AJ14" s="1162"/>
      <c r="AK14" s="1162"/>
      <c r="AL14" s="1162"/>
      <c r="AM14" s="1199"/>
      <c r="AN14" s="1205" t="str">
        <f t="shared" ref="AN14" si="2">IF(ISBLANK(P$3),"",1)</f>
        <v/>
      </c>
      <c r="AO14" s="52"/>
      <c r="BJ14" s="1188"/>
      <c r="BK14" s="1189"/>
      <c r="BL14" s="1189"/>
      <c r="BM14" s="1189"/>
      <c r="BN14" s="1189"/>
      <c r="BO14" s="1190"/>
      <c r="BP14" s="255"/>
      <c r="BQ14" s="255"/>
      <c r="BR14" s="255"/>
      <c r="BS14" s="242"/>
      <c r="CB14" s="242"/>
      <c r="CK14" s="242"/>
    </row>
    <row r="15" spans="1:89" ht="15" customHeight="1">
      <c r="A15" s="1308"/>
      <c r="B15" s="1163"/>
      <c r="C15" s="1164"/>
      <c r="D15" s="1164"/>
      <c r="E15" s="1164"/>
      <c r="F15" s="1164"/>
      <c r="G15" s="1164"/>
      <c r="H15" s="1266"/>
      <c r="I15" s="1206"/>
      <c r="J15" s="1206"/>
      <c r="K15" s="1206"/>
      <c r="L15" s="1258"/>
      <c r="M15" s="1163"/>
      <c r="N15" s="1164"/>
      <c r="O15" s="1164"/>
      <c r="P15" s="1164"/>
      <c r="Q15" s="1164"/>
      <c r="R15" s="1164"/>
      <c r="S15" s="1164"/>
      <c r="T15" s="1206"/>
      <c r="U15" s="1241"/>
      <c r="V15" s="1258"/>
      <c r="W15" s="1317"/>
      <c r="X15" s="1296"/>
      <c r="Y15" s="1296"/>
      <c r="Z15" s="1296"/>
      <c r="AA15" s="1296"/>
      <c r="AB15" s="1296"/>
      <c r="AC15" s="1297"/>
      <c r="AD15" s="1206"/>
      <c r="AE15" s="256"/>
      <c r="AF15" s="1258"/>
      <c r="AG15" s="1163"/>
      <c r="AH15" s="1164"/>
      <c r="AI15" s="1164"/>
      <c r="AJ15" s="1164"/>
      <c r="AK15" s="1164"/>
      <c r="AL15" s="1164"/>
      <c r="AM15" s="1201"/>
      <c r="AN15" s="1206"/>
      <c r="AO15" s="52"/>
      <c r="BJ15" s="1188"/>
      <c r="BK15" s="1189"/>
      <c r="BL15" s="1189"/>
      <c r="BM15" s="1189"/>
      <c r="BN15" s="1189"/>
      <c r="BO15" s="1190"/>
      <c r="BP15" s="255"/>
      <c r="BQ15" s="255"/>
      <c r="BR15" s="255"/>
      <c r="BS15" s="242"/>
      <c r="CB15" s="242"/>
      <c r="CK15" s="242"/>
    </row>
    <row r="16" spans="1:89" ht="15" customHeight="1">
      <c r="A16" s="1309"/>
      <c r="B16" s="1163"/>
      <c r="C16" s="1164"/>
      <c r="D16" s="1164"/>
      <c r="E16" s="1164"/>
      <c r="F16" s="1164"/>
      <c r="G16" s="1164"/>
      <c r="H16" s="1266"/>
      <c r="I16" s="1207"/>
      <c r="J16" s="1207"/>
      <c r="K16" s="1207"/>
      <c r="L16" s="1258"/>
      <c r="M16" s="1165"/>
      <c r="N16" s="1166"/>
      <c r="O16" s="1166"/>
      <c r="P16" s="1166"/>
      <c r="Q16" s="1166"/>
      <c r="R16" s="1166"/>
      <c r="S16" s="1166"/>
      <c r="T16" s="1207"/>
      <c r="U16" s="1241"/>
      <c r="V16" s="1258"/>
      <c r="W16" s="1317"/>
      <c r="X16" s="1296"/>
      <c r="Y16" s="1296"/>
      <c r="Z16" s="1296"/>
      <c r="AA16" s="1296"/>
      <c r="AB16" s="1296"/>
      <c r="AC16" s="1297"/>
      <c r="AD16" s="1207"/>
      <c r="AE16" s="256"/>
      <c r="AF16" s="1258"/>
      <c r="AG16" s="1165"/>
      <c r="AH16" s="1166"/>
      <c r="AI16" s="1166"/>
      <c r="AJ16" s="1166"/>
      <c r="AK16" s="1166"/>
      <c r="AL16" s="1166"/>
      <c r="AM16" s="1292"/>
      <c r="AN16" s="1207"/>
      <c r="AO16" s="52"/>
      <c r="BJ16" s="1188"/>
      <c r="BK16" s="1189"/>
      <c r="BL16" s="1189"/>
      <c r="BM16" s="1189"/>
      <c r="BN16" s="1189"/>
      <c r="BO16" s="1190"/>
      <c r="BP16" s="255"/>
      <c r="BQ16" s="255"/>
      <c r="BR16" s="255"/>
      <c r="BS16" s="242"/>
      <c r="CB16" s="242"/>
      <c r="CK16" s="242"/>
    </row>
    <row r="17" spans="1:89" ht="15" customHeight="1">
      <c r="A17" s="1304">
        <v>2.4</v>
      </c>
      <c r="B17" s="1395" t="s">
        <v>320</v>
      </c>
      <c r="C17" s="1396"/>
      <c r="D17" s="1396"/>
      <c r="E17" s="1396"/>
      <c r="F17" s="1396"/>
      <c r="G17" s="1396"/>
      <c r="H17" s="1536"/>
      <c r="I17" s="1205" t="str">
        <f t="shared" ref="I17" si="3">IF(ISBLANK(H$3),"",1)</f>
        <v/>
      </c>
      <c r="J17" s="1205" t="str">
        <f>IF(ISBLANK(L$3),"",1)</f>
        <v/>
      </c>
      <c r="K17" s="1205" t="str">
        <f t="shared" ref="K17" si="4">IF(ISBLANK(P$3),"",1)</f>
        <v/>
      </c>
      <c r="L17" s="1258">
        <v>4.4000000000000004</v>
      </c>
      <c r="M17" s="1163" t="s">
        <v>319</v>
      </c>
      <c r="N17" s="1164"/>
      <c r="O17" s="1164"/>
      <c r="P17" s="1164"/>
      <c r="Q17" s="1164"/>
      <c r="R17" s="1164"/>
      <c r="S17" s="1164"/>
      <c r="T17" s="1205" t="str">
        <f>IF(ISBLANK(H$3),"",1)</f>
        <v/>
      </c>
      <c r="U17" s="1241"/>
      <c r="V17" s="1258">
        <v>4.4000000000000004</v>
      </c>
      <c r="W17" s="1526" t="s">
        <v>321</v>
      </c>
      <c r="X17" s="1527"/>
      <c r="Y17" s="1527"/>
      <c r="Z17" s="1527"/>
      <c r="AA17" s="1527"/>
      <c r="AB17" s="1527"/>
      <c r="AC17" s="1533" t="s">
        <v>696</v>
      </c>
      <c r="AD17" s="1205" t="str">
        <f>IF(ISBLANK(L$3),"",1)</f>
        <v/>
      </c>
      <c r="AE17" s="256"/>
      <c r="AF17" s="1258">
        <v>4.4000000000000004</v>
      </c>
      <c r="AG17" s="1161" t="s">
        <v>875</v>
      </c>
      <c r="AH17" s="1162"/>
      <c r="AI17" s="1162"/>
      <c r="AJ17" s="1162"/>
      <c r="AK17" s="1162"/>
      <c r="AL17" s="1162"/>
      <c r="AM17" s="1199"/>
      <c r="AN17" s="1205" t="str">
        <f t="shared" ref="AN17" si="5">IF(ISBLANK(P$3),"",1)</f>
        <v/>
      </c>
      <c r="AO17" s="52"/>
      <c r="BJ17" s="1188"/>
      <c r="BK17" s="1189"/>
      <c r="BL17" s="1189"/>
      <c r="BM17" s="1189"/>
      <c r="BN17" s="1189"/>
      <c r="BO17" s="1190"/>
      <c r="BP17" s="255"/>
      <c r="BQ17" s="255"/>
      <c r="BR17" s="255"/>
      <c r="BS17" s="242"/>
      <c r="CB17" s="242"/>
      <c r="CK17" s="242"/>
    </row>
    <row r="18" spans="1:89" ht="15" customHeight="1">
      <c r="A18" s="1290"/>
      <c r="B18" s="1163"/>
      <c r="C18" s="1164"/>
      <c r="D18" s="1164"/>
      <c r="E18" s="1164"/>
      <c r="F18" s="1164"/>
      <c r="G18" s="1164"/>
      <c r="H18" s="1266"/>
      <c r="I18" s="1206"/>
      <c r="J18" s="1206"/>
      <c r="K18" s="1206"/>
      <c r="L18" s="1258"/>
      <c r="M18" s="1163"/>
      <c r="N18" s="1164"/>
      <c r="O18" s="1164"/>
      <c r="P18" s="1164"/>
      <c r="Q18" s="1164"/>
      <c r="R18" s="1164"/>
      <c r="S18" s="1164"/>
      <c r="T18" s="1206"/>
      <c r="U18" s="1241"/>
      <c r="V18" s="1258"/>
      <c r="W18" s="1317"/>
      <c r="X18" s="1296"/>
      <c r="Y18" s="1296"/>
      <c r="Z18" s="1296"/>
      <c r="AA18" s="1296"/>
      <c r="AB18" s="1296"/>
      <c r="AC18" s="1297"/>
      <c r="AD18" s="1206"/>
      <c r="AE18" s="256"/>
      <c r="AF18" s="1258"/>
      <c r="AG18" s="1163"/>
      <c r="AH18" s="1164"/>
      <c r="AI18" s="1164"/>
      <c r="AJ18" s="1164"/>
      <c r="AK18" s="1164"/>
      <c r="AL18" s="1164"/>
      <c r="AM18" s="1201"/>
      <c r="AN18" s="1206"/>
      <c r="AO18" s="52"/>
      <c r="BJ18" s="1188"/>
      <c r="BK18" s="1189"/>
      <c r="BL18" s="1189"/>
      <c r="BM18" s="1189"/>
      <c r="BN18" s="1189"/>
      <c r="BO18" s="1190"/>
      <c r="BP18" s="255"/>
      <c r="BQ18" s="255"/>
      <c r="BR18" s="255"/>
      <c r="BS18" s="242"/>
      <c r="CB18" s="242"/>
      <c r="CK18" s="242"/>
    </row>
    <row r="19" spans="1:89" ht="15" customHeight="1">
      <c r="A19" s="1291"/>
      <c r="B19" s="1163"/>
      <c r="C19" s="1164"/>
      <c r="D19" s="1164"/>
      <c r="E19" s="1164"/>
      <c r="F19" s="1164"/>
      <c r="G19" s="1164"/>
      <c r="H19" s="1266"/>
      <c r="I19" s="1207"/>
      <c r="J19" s="1207"/>
      <c r="K19" s="1207"/>
      <c r="L19" s="1258"/>
      <c r="M19" s="1552"/>
      <c r="N19" s="1203"/>
      <c r="O19" s="1203"/>
      <c r="P19" s="1203"/>
      <c r="Q19" s="1203"/>
      <c r="R19" s="1203"/>
      <c r="S19" s="1203"/>
      <c r="T19" s="1207"/>
      <c r="U19" s="1241"/>
      <c r="V19" s="1258"/>
      <c r="W19" s="1317"/>
      <c r="X19" s="1296"/>
      <c r="Y19" s="1296"/>
      <c r="Z19" s="1296"/>
      <c r="AA19" s="1296"/>
      <c r="AB19" s="1296"/>
      <c r="AC19" s="1297"/>
      <c r="AD19" s="1207"/>
      <c r="AE19" s="256"/>
      <c r="AF19" s="1258"/>
      <c r="AG19" s="1165"/>
      <c r="AH19" s="1166"/>
      <c r="AI19" s="1166"/>
      <c r="AJ19" s="1166"/>
      <c r="AK19" s="1166"/>
      <c r="AL19" s="1166"/>
      <c r="AM19" s="1292"/>
      <c r="AN19" s="1207"/>
      <c r="AO19" s="52"/>
      <c r="BJ19" s="1188"/>
      <c r="BK19" s="1189"/>
      <c r="BL19" s="1189"/>
      <c r="BM19" s="1189"/>
      <c r="BN19" s="1189"/>
      <c r="BO19" s="1190"/>
      <c r="BP19" s="255"/>
      <c r="BQ19" s="255"/>
      <c r="BR19" s="255"/>
      <c r="BS19" s="242"/>
      <c r="CB19" s="242"/>
      <c r="CK19" s="242"/>
    </row>
    <row r="20" spans="1:89" ht="15" customHeight="1">
      <c r="A20" s="1307">
        <v>1.1000000000000001</v>
      </c>
      <c r="B20" s="1395" t="s">
        <v>322</v>
      </c>
      <c r="C20" s="1396"/>
      <c r="D20" s="1396"/>
      <c r="E20" s="1396"/>
      <c r="F20" s="1396"/>
      <c r="G20" s="1396"/>
      <c r="H20" s="1536"/>
      <c r="I20" s="1205" t="str">
        <f t="shared" ref="I20" si="6">IF(ISBLANK(H$3),"",1)</f>
        <v/>
      </c>
      <c r="J20" s="1205" t="str">
        <f>IF(ISBLANK(L$3),"",1)</f>
        <v/>
      </c>
      <c r="K20" s="1205" t="str">
        <f t="shared" ref="K20" si="7">IF(ISBLANK(P$3),"",1)</f>
        <v/>
      </c>
      <c r="L20" s="1258">
        <v>4.4000000000000004</v>
      </c>
      <c r="M20" s="1395" t="s">
        <v>873</v>
      </c>
      <c r="N20" s="1396"/>
      <c r="O20" s="1396"/>
      <c r="P20" s="1396"/>
      <c r="Q20" s="1396"/>
      <c r="R20" s="1396"/>
      <c r="S20" s="1536"/>
      <c r="T20" s="1205" t="str">
        <f>IF(ISBLANK(H$3),"",1)</f>
        <v/>
      </c>
      <c r="U20" s="1241"/>
      <c r="V20" s="1258">
        <v>4.4000000000000004</v>
      </c>
      <c r="W20" s="1526" t="s">
        <v>323</v>
      </c>
      <c r="X20" s="1527"/>
      <c r="Y20" s="1527"/>
      <c r="Z20" s="1527"/>
      <c r="AA20" s="1527"/>
      <c r="AB20" s="1527"/>
      <c r="AC20" s="1533" t="s">
        <v>696</v>
      </c>
      <c r="AD20" s="1205" t="str">
        <f>IF(ISBLANK(L$3),"",1)</f>
        <v/>
      </c>
      <c r="AE20" s="256"/>
      <c r="AF20" s="1258">
        <v>4.4000000000000004</v>
      </c>
      <c r="AG20" s="1161" t="s">
        <v>321</v>
      </c>
      <c r="AH20" s="1162"/>
      <c r="AI20" s="1162"/>
      <c r="AJ20" s="1162"/>
      <c r="AK20" s="1162"/>
      <c r="AL20" s="1162"/>
      <c r="AM20" s="1199"/>
      <c r="AN20" s="1205" t="str">
        <f t="shared" ref="AN20" si="8">IF(ISBLANK(P$3),"",1)</f>
        <v/>
      </c>
      <c r="AO20" s="52"/>
      <c r="BJ20" s="1188"/>
      <c r="BK20" s="1189"/>
      <c r="BL20" s="1189"/>
      <c r="BM20" s="1189"/>
      <c r="BN20" s="1189"/>
      <c r="BO20" s="1190"/>
      <c r="BP20" s="255"/>
      <c r="BQ20" s="255"/>
      <c r="BR20" s="255"/>
      <c r="BS20" s="242"/>
      <c r="CB20" s="242"/>
      <c r="CK20" s="242"/>
    </row>
    <row r="21" spans="1:89" ht="15" customHeight="1">
      <c r="A21" s="1308"/>
      <c r="B21" s="1163"/>
      <c r="C21" s="1164"/>
      <c r="D21" s="1164"/>
      <c r="E21" s="1164"/>
      <c r="F21" s="1164"/>
      <c r="G21" s="1164"/>
      <c r="H21" s="1266"/>
      <c r="I21" s="1206"/>
      <c r="J21" s="1206"/>
      <c r="K21" s="1206"/>
      <c r="L21" s="1258"/>
      <c r="M21" s="1163"/>
      <c r="N21" s="1164"/>
      <c r="O21" s="1164"/>
      <c r="P21" s="1164"/>
      <c r="Q21" s="1164"/>
      <c r="R21" s="1164"/>
      <c r="S21" s="1266"/>
      <c r="T21" s="1206"/>
      <c r="U21" s="1241"/>
      <c r="V21" s="1258"/>
      <c r="W21" s="1317"/>
      <c r="X21" s="1296"/>
      <c r="Y21" s="1296"/>
      <c r="Z21" s="1296"/>
      <c r="AA21" s="1296"/>
      <c r="AB21" s="1296"/>
      <c r="AC21" s="1297"/>
      <c r="AD21" s="1206"/>
      <c r="AE21" s="256"/>
      <c r="AF21" s="1258"/>
      <c r="AG21" s="1163"/>
      <c r="AH21" s="1164"/>
      <c r="AI21" s="1164"/>
      <c r="AJ21" s="1164"/>
      <c r="AK21" s="1164"/>
      <c r="AL21" s="1164"/>
      <c r="AM21" s="1201"/>
      <c r="AN21" s="1206"/>
      <c r="AO21" s="52"/>
      <c r="BJ21" s="1188"/>
      <c r="BK21" s="1189"/>
      <c r="BL21" s="1189"/>
      <c r="BM21" s="1189"/>
      <c r="BN21" s="1189"/>
      <c r="BO21" s="1190"/>
      <c r="BP21" s="255"/>
      <c r="BQ21" s="255"/>
      <c r="BR21" s="255"/>
      <c r="BS21" s="242"/>
      <c r="CB21" s="242"/>
      <c r="CK21" s="242"/>
    </row>
    <row r="22" spans="1:89" ht="15" customHeight="1">
      <c r="A22" s="1309"/>
      <c r="B22" s="1163"/>
      <c r="C22" s="1164"/>
      <c r="D22" s="1164"/>
      <c r="E22" s="1164"/>
      <c r="F22" s="1164"/>
      <c r="G22" s="1164"/>
      <c r="H22" s="1266"/>
      <c r="I22" s="1207"/>
      <c r="J22" s="1207"/>
      <c r="K22" s="1207"/>
      <c r="L22" s="1258"/>
      <c r="M22" s="1163"/>
      <c r="N22" s="1164"/>
      <c r="O22" s="1164"/>
      <c r="P22" s="1164"/>
      <c r="Q22" s="1164"/>
      <c r="R22" s="1164"/>
      <c r="S22" s="1266"/>
      <c r="T22" s="1207"/>
      <c r="U22" s="1241"/>
      <c r="V22" s="1258"/>
      <c r="W22" s="1317"/>
      <c r="X22" s="1296"/>
      <c r="Y22" s="1296"/>
      <c r="Z22" s="1296"/>
      <c r="AA22" s="1296"/>
      <c r="AB22" s="1296"/>
      <c r="AC22" s="1297"/>
      <c r="AD22" s="1207"/>
      <c r="AE22" s="256"/>
      <c r="AF22" s="1258"/>
      <c r="AG22" s="1165"/>
      <c r="AH22" s="1166"/>
      <c r="AI22" s="1166"/>
      <c r="AJ22" s="1166"/>
      <c r="AK22" s="1166"/>
      <c r="AL22" s="1166"/>
      <c r="AM22" s="1292"/>
      <c r="AN22" s="1207"/>
      <c r="AO22" s="52"/>
      <c r="BJ22" s="1188"/>
      <c r="BK22" s="1189"/>
      <c r="BL22" s="1189"/>
      <c r="BM22" s="1189"/>
      <c r="BN22" s="1189"/>
      <c r="BO22" s="1190"/>
      <c r="BP22" s="255"/>
      <c r="BQ22" s="255"/>
      <c r="BR22" s="255"/>
      <c r="BS22" s="242"/>
      <c r="CB22" s="242"/>
      <c r="CK22" s="242"/>
    </row>
    <row r="23" spans="1:89" ht="15" customHeight="1">
      <c r="A23" s="1304">
        <v>2.1</v>
      </c>
      <c r="B23" s="1395" t="s">
        <v>940</v>
      </c>
      <c r="C23" s="1396"/>
      <c r="D23" s="1396"/>
      <c r="E23" s="1396"/>
      <c r="F23" s="1396"/>
      <c r="G23" s="1396"/>
      <c r="H23" s="1536"/>
      <c r="I23" s="1205" t="str">
        <f t="shared" ref="I23" si="9">IF(ISBLANK(H$3),"",1)</f>
        <v/>
      </c>
      <c r="J23" s="1205" t="str">
        <f>IF(ISBLANK(L$3),"",1)</f>
        <v/>
      </c>
      <c r="K23" s="1205" t="str">
        <f t="shared" ref="K23" si="10">IF(ISBLANK(P$3),"",1)</f>
        <v/>
      </c>
      <c r="L23" s="1258">
        <v>4.3</v>
      </c>
      <c r="M23" s="1562" t="s">
        <v>326</v>
      </c>
      <c r="N23" s="1626" t="s">
        <v>327</v>
      </c>
      <c r="O23" s="1627"/>
      <c r="P23" s="1627"/>
      <c r="Q23" s="1627"/>
      <c r="R23" s="1627"/>
      <c r="S23" s="1627"/>
      <c r="T23" s="1205" t="str">
        <f>IF(ISBLANK(H$3),"",1)</f>
        <v/>
      </c>
      <c r="U23" s="1241"/>
      <c r="V23" s="1258">
        <v>4.4000000000000004</v>
      </c>
      <c r="W23" s="1526" t="s">
        <v>328</v>
      </c>
      <c r="X23" s="1527"/>
      <c r="Y23" s="1527"/>
      <c r="Z23" s="1527"/>
      <c r="AA23" s="1527"/>
      <c r="AB23" s="1527"/>
      <c r="AC23" s="1533" t="s">
        <v>696</v>
      </c>
      <c r="AD23" s="1205" t="str">
        <f>IF(ISBLANK(L$3),"",1)</f>
        <v/>
      </c>
      <c r="AE23" s="256"/>
      <c r="AF23" s="1258">
        <v>4.4000000000000004</v>
      </c>
      <c r="AG23" s="1161" t="s">
        <v>636</v>
      </c>
      <c r="AH23" s="1162"/>
      <c r="AI23" s="1162"/>
      <c r="AJ23" s="1162"/>
      <c r="AK23" s="1162"/>
      <c r="AL23" s="1162"/>
      <c r="AM23" s="1199"/>
      <c r="AN23" s="1205" t="str">
        <f t="shared" ref="AN23" si="11">IF(ISBLANK(P$3),"",1)</f>
        <v/>
      </c>
      <c r="AO23" s="52"/>
      <c r="BJ23" s="1188"/>
      <c r="BK23" s="1189"/>
      <c r="BL23" s="1189"/>
      <c r="BM23" s="1189"/>
      <c r="BN23" s="1189"/>
      <c r="BO23" s="1190"/>
      <c r="BP23" s="255"/>
      <c r="BQ23" s="255"/>
      <c r="BR23" s="255"/>
      <c r="BS23" s="242"/>
      <c r="CB23" s="242"/>
      <c r="CK23" s="242"/>
    </row>
    <row r="24" spans="1:89" ht="15" customHeight="1">
      <c r="A24" s="1290"/>
      <c r="B24" s="1163"/>
      <c r="C24" s="1164"/>
      <c r="D24" s="1164"/>
      <c r="E24" s="1164"/>
      <c r="F24" s="1164"/>
      <c r="G24" s="1164"/>
      <c r="H24" s="1266"/>
      <c r="I24" s="1206"/>
      <c r="J24" s="1206"/>
      <c r="K24" s="1206"/>
      <c r="L24" s="1258"/>
      <c r="M24" s="1562"/>
      <c r="N24" s="1624"/>
      <c r="O24" s="1625"/>
      <c r="P24" s="1625"/>
      <c r="Q24" s="1625"/>
      <c r="R24" s="1625"/>
      <c r="S24" s="1625"/>
      <c r="T24" s="1206"/>
      <c r="U24" s="1241"/>
      <c r="V24" s="1258"/>
      <c r="W24" s="1317"/>
      <c r="X24" s="1296"/>
      <c r="Y24" s="1296"/>
      <c r="Z24" s="1296"/>
      <c r="AA24" s="1296"/>
      <c r="AB24" s="1296"/>
      <c r="AC24" s="1297"/>
      <c r="AD24" s="1206"/>
      <c r="AE24" s="256"/>
      <c r="AF24" s="1258"/>
      <c r="AG24" s="1163"/>
      <c r="AH24" s="1164"/>
      <c r="AI24" s="1164"/>
      <c r="AJ24" s="1164"/>
      <c r="AK24" s="1164"/>
      <c r="AL24" s="1164"/>
      <c r="AM24" s="1201"/>
      <c r="AN24" s="1206"/>
      <c r="AO24" s="52"/>
      <c r="BJ24" s="1188"/>
      <c r="BK24" s="1189"/>
      <c r="BL24" s="1189"/>
      <c r="BM24" s="1189"/>
      <c r="BN24" s="1189"/>
      <c r="BO24" s="1190"/>
      <c r="BP24" s="255"/>
      <c r="BQ24" s="255"/>
      <c r="BR24" s="255"/>
      <c r="BS24" s="242"/>
      <c r="CB24" s="242"/>
      <c r="CK24" s="242"/>
    </row>
    <row r="25" spans="1:89" ht="15" customHeight="1">
      <c r="A25" s="1291"/>
      <c r="B25" s="1163"/>
      <c r="C25" s="1164"/>
      <c r="D25" s="1164"/>
      <c r="E25" s="1164"/>
      <c r="F25" s="1164"/>
      <c r="G25" s="1164"/>
      <c r="H25" s="1266"/>
      <c r="I25" s="1207"/>
      <c r="J25" s="1207"/>
      <c r="K25" s="1207"/>
      <c r="L25" s="1258"/>
      <c r="M25" s="1562"/>
      <c r="N25" s="1624"/>
      <c r="O25" s="1625"/>
      <c r="P25" s="1625"/>
      <c r="Q25" s="1625"/>
      <c r="R25" s="1625"/>
      <c r="S25" s="1625"/>
      <c r="T25" s="1207"/>
      <c r="U25" s="1241"/>
      <c r="V25" s="1258"/>
      <c r="W25" s="1317"/>
      <c r="X25" s="1296"/>
      <c r="Y25" s="1296"/>
      <c r="Z25" s="1296"/>
      <c r="AA25" s="1296"/>
      <c r="AB25" s="1296"/>
      <c r="AC25" s="1297"/>
      <c r="AD25" s="1207"/>
      <c r="AE25" s="256"/>
      <c r="AF25" s="1258"/>
      <c r="AG25" s="1165"/>
      <c r="AH25" s="1166"/>
      <c r="AI25" s="1166"/>
      <c r="AJ25" s="1166"/>
      <c r="AK25" s="1166"/>
      <c r="AL25" s="1166"/>
      <c r="AM25" s="1292"/>
      <c r="AN25" s="1207"/>
      <c r="AO25" s="52"/>
      <c r="BJ25" s="1188"/>
      <c r="BK25" s="1189"/>
      <c r="BL25" s="1189"/>
      <c r="BM25" s="1189"/>
      <c r="BN25" s="1189"/>
      <c r="BO25" s="1190"/>
      <c r="BP25" s="255"/>
      <c r="BQ25" s="255"/>
      <c r="BR25" s="255"/>
      <c r="BS25" s="242"/>
      <c r="CB25" s="242"/>
      <c r="CK25" s="242"/>
    </row>
    <row r="26" spans="1:89" ht="15" customHeight="1">
      <c r="A26" s="1307">
        <v>1.1000000000000001</v>
      </c>
      <c r="B26" s="1395" t="s">
        <v>330</v>
      </c>
      <c r="C26" s="1396"/>
      <c r="D26" s="1396"/>
      <c r="E26" s="1396"/>
      <c r="F26" s="1396"/>
      <c r="G26" s="1396"/>
      <c r="H26" s="1536"/>
      <c r="I26" s="1205" t="str">
        <f t="shared" ref="I26" si="12">IF(ISBLANK(H$3),"",1)</f>
        <v/>
      </c>
      <c r="J26" s="1205" t="str">
        <f>IF(ISBLANK(L$3),"",1)</f>
        <v/>
      </c>
      <c r="K26" s="1205" t="str">
        <f t="shared" ref="K26" si="13">IF(ISBLANK(P$3),"",1)</f>
        <v/>
      </c>
      <c r="L26" s="1236">
        <v>1.5</v>
      </c>
      <c r="M26" s="1562" t="s">
        <v>332</v>
      </c>
      <c r="N26" s="1624" t="s">
        <v>333</v>
      </c>
      <c r="O26" s="1625"/>
      <c r="P26" s="1625"/>
      <c r="Q26" s="1625"/>
      <c r="R26" s="1625"/>
      <c r="S26" s="1625"/>
      <c r="T26" s="1205" t="str">
        <f>IF(ISBLANK(H$3),"",1)</f>
        <v/>
      </c>
      <c r="U26" s="1241"/>
      <c r="V26" s="1236">
        <v>4.3</v>
      </c>
      <c r="W26" s="1526" t="s">
        <v>324</v>
      </c>
      <c r="X26" s="1527"/>
      <c r="Y26" s="1527"/>
      <c r="Z26" s="1527"/>
      <c r="AA26" s="1527"/>
      <c r="AB26" s="1527"/>
      <c r="AC26" s="1533" t="s">
        <v>696</v>
      </c>
      <c r="AD26" s="1205" t="str">
        <f>IF(ISBLANK(L$3),"",1)</f>
        <v/>
      </c>
      <c r="AE26" s="256"/>
      <c r="AF26" s="1258">
        <v>4.3</v>
      </c>
      <c r="AG26" s="1161" t="s">
        <v>331</v>
      </c>
      <c r="AH26" s="1162"/>
      <c r="AI26" s="1162"/>
      <c r="AJ26" s="1162"/>
      <c r="AK26" s="1162"/>
      <c r="AL26" s="1162"/>
      <c r="AM26" s="1199"/>
      <c r="AN26" s="1205" t="str">
        <f t="shared" ref="AN26" si="14">IF(ISBLANK(P$3),"",1)</f>
        <v/>
      </c>
      <c r="AO26" s="52"/>
      <c r="BJ26" s="1188"/>
      <c r="BK26" s="1189"/>
      <c r="BL26" s="1189"/>
      <c r="BM26" s="1189"/>
      <c r="BN26" s="1189"/>
      <c r="BO26" s="1190"/>
      <c r="BP26" s="255"/>
      <c r="BQ26" s="255"/>
      <c r="BR26" s="255"/>
      <c r="BS26" s="242"/>
      <c r="CB26" s="242"/>
      <c r="CK26" s="242"/>
    </row>
    <row r="27" spans="1:89" ht="15" customHeight="1">
      <c r="A27" s="1308"/>
      <c r="B27" s="1163"/>
      <c r="C27" s="1164"/>
      <c r="D27" s="1164"/>
      <c r="E27" s="1164"/>
      <c r="F27" s="1164"/>
      <c r="G27" s="1164"/>
      <c r="H27" s="1266"/>
      <c r="I27" s="1206"/>
      <c r="J27" s="1206"/>
      <c r="K27" s="1206"/>
      <c r="L27" s="1236"/>
      <c r="M27" s="1562"/>
      <c r="N27" s="1624"/>
      <c r="O27" s="1625"/>
      <c r="P27" s="1625"/>
      <c r="Q27" s="1625"/>
      <c r="R27" s="1625"/>
      <c r="S27" s="1625"/>
      <c r="T27" s="1206"/>
      <c r="U27" s="1241"/>
      <c r="V27" s="1236"/>
      <c r="W27" s="1317"/>
      <c r="X27" s="1296"/>
      <c r="Y27" s="1296"/>
      <c r="Z27" s="1296"/>
      <c r="AA27" s="1296"/>
      <c r="AB27" s="1296"/>
      <c r="AC27" s="1297"/>
      <c r="AD27" s="1206"/>
      <c r="AE27" s="256"/>
      <c r="AF27" s="1258"/>
      <c r="AG27" s="1163"/>
      <c r="AH27" s="1164"/>
      <c r="AI27" s="1164"/>
      <c r="AJ27" s="1164"/>
      <c r="AK27" s="1164"/>
      <c r="AL27" s="1164"/>
      <c r="AM27" s="1201"/>
      <c r="AN27" s="1206"/>
      <c r="AO27" s="52"/>
      <c r="BJ27" s="1188"/>
      <c r="BK27" s="1189"/>
      <c r="BL27" s="1189"/>
      <c r="BM27" s="1189"/>
      <c r="BN27" s="1189"/>
      <c r="BO27" s="1190"/>
      <c r="BP27" s="255"/>
      <c r="BQ27" s="255"/>
      <c r="BR27" s="255"/>
      <c r="BS27" s="242"/>
      <c r="CB27" s="242"/>
      <c r="CK27" s="242"/>
    </row>
    <row r="28" spans="1:89" ht="15" customHeight="1">
      <c r="A28" s="1308"/>
      <c r="B28" s="1163"/>
      <c r="C28" s="1164"/>
      <c r="D28" s="1164"/>
      <c r="E28" s="1164"/>
      <c r="F28" s="1164"/>
      <c r="G28" s="1164"/>
      <c r="H28" s="1266"/>
      <c r="I28" s="1207"/>
      <c r="J28" s="1207"/>
      <c r="K28" s="1207"/>
      <c r="L28" s="1236"/>
      <c r="M28" s="1562"/>
      <c r="N28" s="1624"/>
      <c r="O28" s="1625"/>
      <c r="P28" s="1625"/>
      <c r="Q28" s="1625"/>
      <c r="R28" s="1625"/>
      <c r="S28" s="1625"/>
      <c r="T28" s="1207"/>
      <c r="U28" s="1241"/>
      <c r="V28" s="1236"/>
      <c r="W28" s="1317"/>
      <c r="X28" s="1296"/>
      <c r="Y28" s="1296"/>
      <c r="Z28" s="1296"/>
      <c r="AA28" s="1296"/>
      <c r="AB28" s="1296"/>
      <c r="AC28" s="1297"/>
      <c r="AD28" s="1207"/>
      <c r="AE28" s="256"/>
      <c r="AF28" s="1258"/>
      <c r="AG28" s="1165"/>
      <c r="AH28" s="1166"/>
      <c r="AI28" s="1166"/>
      <c r="AJ28" s="1166"/>
      <c r="AK28" s="1166"/>
      <c r="AL28" s="1166"/>
      <c r="AM28" s="1292"/>
      <c r="AN28" s="1207"/>
      <c r="AO28" s="52"/>
      <c r="BJ28" s="1188"/>
      <c r="BK28" s="1189"/>
      <c r="BL28" s="1189"/>
      <c r="BM28" s="1189"/>
      <c r="BN28" s="1189"/>
      <c r="BO28" s="1190"/>
      <c r="BP28" s="255"/>
      <c r="BQ28" s="255"/>
      <c r="BR28" s="255"/>
      <c r="BS28" s="242"/>
      <c r="CB28" s="242"/>
      <c r="CK28" s="242"/>
    </row>
    <row r="29" spans="1:89" ht="15" customHeight="1">
      <c r="A29" s="1307">
        <v>1.5</v>
      </c>
      <c r="B29" s="1549" t="s">
        <v>336</v>
      </c>
      <c r="C29" s="1549"/>
      <c r="D29" s="1549"/>
      <c r="E29" s="1549"/>
      <c r="F29" s="1549"/>
      <c r="G29" s="1549"/>
      <c r="H29" s="1549"/>
      <c r="I29" s="1205" t="str">
        <f t="shared" ref="I29" si="15">IF(ISBLANK(H$3),"",1)</f>
        <v/>
      </c>
      <c r="J29" s="1205" t="str">
        <f>IF(ISBLANK(L$3),"",1)</f>
        <v/>
      </c>
      <c r="K29" s="1205" t="str">
        <f t="shared" ref="K29" si="16">IF(ISBLANK(P$3),"",1)</f>
        <v/>
      </c>
      <c r="L29" s="1258">
        <v>4.3</v>
      </c>
      <c r="M29" s="1163" t="s">
        <v>331</v>
      </c>
      <c r="N29" s="1164"/>
      <c r="O29" s="1164"/>
      <c r="P29" s="1164"/>
      <c r="Q29" s="1164"/>
      <c r="R29" s="1164"/>
      <c r="S29" s="1164"/>
      <c r="T29" s="1205" t="str">
        <f>IF(ISBLANK(H$3),"",1)</f>
        <v/>
      </c>
      <c r="U29" s="1241"/>
      <c r="V29" s="1258">
        <v>4.4000000000000004</v>
      </c>
      <c r="W29" s="1526" t="s">
        <v>329</v>
      </c>
      <c r="X29" s="1527"/>
      <c r="Y29" s="1527"/>
      <c r="Z29" s="1527"/>
      <c r="AA29" s="1527"/>
      <c r="AB29" s="1527"/>
      <c r="AC29" s="1533" t="s">
        <v>696</v>
      </c>
      <c r="AD29" s="1205" t="str">
        <f>IF(ISBLANK(L$3),"",1)</f>
        <v/>
      </c>
      <c r="AE29" s="256"/>
      <c r="AF29" s="1262" t="s">
        <v>637</v>
      </c>
      <c r="AG29" s="1262"/>
      <c r="AH29" s="1262"/>
      <c r="AI29" s="1262"/>
      <c r="AJ29" s="1262"/>
      <c r="AK29" s="1263"/>
      <c r="AL29" s="294">
        <v>1.5</v>
      </c>
      <c r="AM29" s="311">
        <f>COUNTIF($AF$11:$AF$28,AL29)</f>
        <v>1</v>
      </c>
      <c r="AN29" s="240" t="str">
        <f>IF($P$3=1,SUMIF($AF$11:$AF$28,AL29,$AN$11:$AN$28),"")</f>
        <v/>
      </c>
      <c r="AO29" s="52"/>
      <c r="BJ29" s="1188"/>
      <c r="BK29" s="1189"/>
      <c r="BL29" s="1189"/>
      <c r="BM29" s="1189"/>
      <c r="BN29" s="1189"/>
      <c r="BO29" s="1190"/>
      <c r="BP29" s="255"/>
      <c r="BQ29" s="255"/>
      <c r="BR29" s="255"/>
    </row>
    <row r="30" spans="1:89" ht="15" customHeight="1">
      <c r="A30" s="1308"/>
      <c r="B30" s="1550"/>
      <c r="C30" s="1550"/>
      <c r="D30" s="1550"/>
      <c r="E30" s="1550"/>
      <c r="F30" s="1550"/>
      <c r="G30" s="1550"/>
      <c r="H30" s="1550"/>
      <c r="I30" s="1206"/>
      <c r="J30" s="1206"/>
      <c r="K30" s="1206"/>
      <c r="L30" s="1258"/>
      <c r="M30" s="1163"/>
      <c r="N30" s="1164"/>
      <c r="O30" s="1164"/>
      <c r="P30" s="1164"/>
      <c r="Q30" s="1164"/>
      <c r="R30" s="1164"/>
      <c r="S30" s="1164"/>
      <c r="T30" s="1206"/>
      <c r="U30" s="1241"/>
      <c r="V30" s="1258"/>
      <c r="W30" s="1317"/>
      <c r="X30" s="1296"/>
      <c r="Y30" s="1296"/>
      <c r="Z30" s="1296"/>
      <c r="AA30" s="1296"/>
      <c r="AB30" s="1296"/>
      <c r="AC30" s="1297"/>
      <c r="AD30" s="1206"/>
      <c r="AE30" s="256"/>
      <c r="AF30" s="253"/>
      <c r="AG30" s="244"/>
      <c r="AH30" s="244"/>
      <c r="AI30" s="244"/>
      <c r="AL30" s="274">
        <v>4.3</v>
      </c>
      <c r="AM30" s="311">
        <f>COUNTIF($AF$11:$AF$28,AL30)</f>
        <v>1</v>
      </c>
      <c r="AN30" s="240" t="str">
        <f>IF($P$3=1,SUMIF($AF$11:$AF$28,AL30,$AN$11:$AN$28),"")</f>
        <v/>
      </c>
      <c r="AO30" s="52"/>
      <c r="BJ30" s="1188"/>
      <c r="BK30" s="1189"/>
      <c r="BL30" s="1189"/>
      <c r="BM30" s="1189"/>
      <c r="BN30" s="1189"/>
      <c r="BO30" s="1190"/>
      <c r="BP30" s="255"/>
      <c r="BQ30" s="255"/>
      <c r="BR30" s="255"/>
    </row>
    <row r="31" spans="1:89" ht="15" customHeight="1">
      <c r="A31" s="1309"/>
      <c r="B31" s="1551"/>
      <c r="C31" s="1551"/>
      <c r="D31" s="1551"/>
      <c r="E31" s="1551"/>
      <c r="F31" s="1551"/>
      <c r="G31" s="1551"/>
      <c r="H31" s="1551"/>
      <c r="I31" s="1207"/>
      <c r="J31" s="1207"/>
      <c r="K31" s="1207"/>
      <c r="L31" s="1258"/>
      <c r="M31" s="1552"/>
      <c r="N31" s="1203"/>
      <c r="O31" s="1203"/>
      <c r="P31" s="1203"/>
      <c r="Q31" s="1203"/>
      <c r="R31" s="1203"/>
      <c r="S31" s="1203"/>
      <c r="T31" s="1207"/>
      <c r="U31" s="1241"/>
      <c r="V31" s="1258"/>
      <c r="W31" s="1317"/>
      <c r="X31" s="1296"/>
      <c r="Y31" s="1296"/>
      <c r="Z31" s="1296"/>
      <c r="AA31" s="1296"/>
      <c r="AB31" s="1296"/>
      <c r="AC31" s="1297"/>
      <c r="AD31" s="1207"/>
      <c r="AE31" s="256"/>
      <c r="AF31" s="253"/>
      <c r="AG31" s="244"/>
      <c r="AH31" s="244"/>
      <c r="AI31" s="244"/>
      <c r="AL31" s="274">
        <v>4.4000000000000004</v>
      </c>
      <c r="AM31" s="311">
        <f>COUNTIF($AF$11:$AF$28,AL31)</f>
        <v>4</v>
      </c>
      <c r="AN31" s="240" t="str">
        <f>IF($P$3=1,SUMIF($AF$11:$AF$28,AL31,$AN$11:$AN$28),"")</f>
        <v/>
      </c>
      <c r="AO31" s="52"/>
      <c r="BJ31" s="1188"/>
      <c r="BK31" s="1189"/>
      <c r="BL31" s="1189"/>
      <c r="BM31" s="1189"/>
      <c r="BN31" s="1189"/>
      <c r="BO31" s="1190"/>
      <c r="BP31" s="255"/>
      <c r="BQ31" s="255"/>
      <c r="BR31" s="255"/>
    </row>
    <row r="32" spans="1:89" ht="15" customHeight="1">
      <c r="A32" s="1260" t="s">
        <v>637</v>
      </c>
      <c r="B32" s="1260"/>
      <c r="C32" s="1260"/>
      <c r="D32" s="1260"/>
      <c r="E32" s="1260"/>
      <c r="F32" s="1261"/>
      <c r="G32" s="294">
        <v>1.1000000000000001</v>
      </c>
      <c r="H32" s="311">
        <f>COUNTIF($A$11:$A$31,G32)</f>
        <v>4</v>
      </c>
      <c r="I32" s="240" t="str">
        <f>IF($H$3=1,SUMIF($A$11:$A$31,G32,$I$11:$I$31),"")</f>
        <v/>
      </c>
      <c r="J32" s="240" t="str">
        <f>IF($L$3=1,SUMIF($A$11:$A$31,G32,$J$11:$J$31),"")</f>
        <v/>
      </c>
      <c r="K32" s="240" t="str">
        <f>IF($P$3=1,SUMIF($A$11:$A$31,G32,$K$11:$K$31),"")</f>
        <v/>
      </c>
      <c r="L32" s="1262" t="s">
        <v>637</v>
      </c>
      <c r="M32" s="1262"/>
      <c r="N32" s="1262"/>
      <c r="O32" s="1262"/>
      <c r="P32" s="1262"/>
      <c r="Q32" s="1263"/>
      <c r="R32" s="273">
        <v>1.5</v>
      </c>
      <c r="S32" s="311">
        <f>COUNTIF($L$11:$L$31,R32)</f>
        <v>2</v>
      </c>
      <c r="T32" s="240" t="str">
        <f>IF($H$3=1,SUMIF($L$11:$L$31,R32,$T$11:$T$31),"")</f>
        <v/>
      </c>
      <c r="U32" s="301"/>
      <c r="V32" s="1236">
        <v>2.4</v>
      </c>
      <c r="W32" s="1526" t="s">
        <v>334</v>
      </c>
      <c r="X32" s="1527"/>
      <c r="Y32" s="1527"/>
      <c r="Z32" s="1527"/>
      <c r="AA32" s="1527"/>
      <c r="AB32" s="1527"/>
      <c r="AC32" s="1533" t="s">
        <v>696</v>
      </c>
      <c r="AD32" s="1205" t="str">
        <f>IF(ISBLANK(L$3),"",1)</f>
        <v/>
      </c>
      <c r="AE32" s="256"/>
      <c r="AF32" s="253"/>
      <c r="AG32" s="244"/>
      <c r="AH32" s="244"/>
      <c r="AI32" s="244"/>
      <c r="AO32" s="52"/>
      <c r="BJ32" s="1188"/>
      <c r="BK32" s="1189"/>
      <c r="BL32" s="1189"/>
      <c r="BM32" s="1189"/>
      <c r="BN32" s="1189"/>
      <c r="BO32" s="1190"/>
      <c r="BP32" s="255"/>
      <c r="BQ32" s="255"/>
      <c r="BR32" s="255"/>
    </row>
    <row r="33" spans="1:70" ht="15" customHeight="1">
      <c r="A33" s="52"/>
      <c r="B33" s="248"/>
      <c r="C33" s="248"/>
      <c r="D33" s="248"/>
      <c r="E33" s="248"/>
      <c r="F33" s="299"/>
      <c r="G33" s="273">
        <v>1.5</v>
      </c>
      <c r="H33" s="311">
        <f t="shared" ref="H33:H35" si="17">COUNTIF($A$11:$A$31,G33)</f>
        <v>1</v>
      </c>
      <c r="I33" s="240" t="str">
        <f t="shared" ref="I33:I35" si="18">IF($H$3=1,SUMIF($A$11:$A$31,G33,$I$11:$I$31),"")</f>
        <v/>
      </c>
      <c r="J33" s="240" t="str">
        <f t="shared" ref="J33:J35" si="19">IF($L$3=1,SUMIF($A$11:$A$31,G33,$J$11:$J$31),"")</f>
        <v/>
      </c>
      <c r="K33" s="240" t="str">
        <f t="shared" ref="K33:K35" si="20">IF($P$3=1,SUMIF($A$11:$A$31,G33,$K$11:$K$31),"")</f>
        <v/>
      </c>
      <c r="L33" s="248"/>
      <c r="M33" s="248"/>
      <c r="N33" s="248"/>
      <c r="O33" s="248"/>
      <c r="P33" s="248"/>
      <c r="R33" s="274">
        <v>4.3</v>
      </c>
      <c r="S33" s="311">
        <f t="shared" ref="S33:S34" si="21">COUNTIF($L$11:$L$31,R33)</f>
        <v>2</v>
      </c>
      <c r="T33" s="240" t="str">
        <f t="shared" ref="T33:T34" si="22">IF($H$3=1,SUMIF($L$11:$L$31,R33,$T$11:$T$31),"")</f>
        <v/>
      </c>
      <c r="U33" s="301"/>
      <c r="V33" s="1236"/>
      <c r="W33" s="1317"/>
      <c r="X33" s="1296"/>
      <c r="Y33" s="1296"/>
      <c r="Z33" s="1296"/>
      <c r="AA33" s="1296"/>
      <c r="AB33" s="1296"/>
      <c r="AC33" s="1297"/>
      <c r="AD33" s="1206"/>
      <c r="AE33" s="256"/>
      <c r="AF33" s="256"/>
      <c r="AO33" s="52"/>
      <c r="BJ33" s="1188"/>
      <c r="BK33" s="1189"/>
      <c r="BL33" s="1189"/>
      <c r="BM33" s="1189"/>
      <c r="BN33" s="1189"/>
      <c r="BO33" s="1190"/>
      <c r="BP33" s="255"/>
      <c r="BQ33" s="255"/>
      <c r="BR33" s="255"/>
    </row>
    <row r="34" spans="1:70" ht="15" customHeight="1">
      <c r="A34" s="255"/>
      <c r="B34" s="255"/>
      <c r="C34" s="255"/>
      <c r="D34" s="255"/>
      <c r="E34" s="255"/>
      <c r="G34" s="272">
        <v>2.1</v>
      </c>
      <c r="H34" s="311">
        <f t="shared" si="17"/>
        <v>1</v>
      </c>
      <c r="I34" s="240" t="str">
        <f t="shared" si="18"/>
        <v/>
      </c>
      <c r="J34" s="240" t="str">
        <f t="shared" si="19"/>
        <v/>
      </c>
      <c r="K34" s="240" t="str">
        <f t="shared" si="20"/>
        <v/>
      </c>
      <c r="L34" s="255"/>
      <c r="M34" s="255"/>
      <c r="N34" s="255"/>
      <c r="O34" s="255"/>
      <c r="P34" s="255"/>
      <c r="R34" s="274">
        <v>4.4000000000000004</v>
      </c>
      <c r="S34" s="311">
        <f t="shared" si="21"/>
        <v>3</v>
      </c>
      <c r="T34" s="240" t="str">
        <f t="shared" si="22"/>
        <v/>
      </c>
      <c r="U34" s="255"/>
      <c r="V34" s="1236"/>
      <c r="W34" s="1317"/>
      <c r="X34" s="1296"/>
      <c r="Y34" s="1296"/>
      <c r="Z34" s="1296"/>
      <c r="AA34" s="1296"/>
      <c r="AB34" s="1296"/>
      <c r="AC34" s="1297"/>
      <c r="AD34" s="1207"/>
      <c r="AE34" s="256"/>
      <c r="AF34" s="256"/>
      <c r="AO34" s="52"/>
      <c r="BJ34" s="1188"/>
      <c r="BK34" s="1189"/>
      <c r="BL34" s="1189"/>
      <c r="BM34" s="1189"/>
      <c r="BN34" s="1189"/>
      <c r="BO34" s="1190"/>
      <c r="BP34" s="255"/>
      <c r="BQ34" s="255"/>
      <c r="BR34" s="255"/>
    </row>
    <row r="35" spans="1:70" ht="15" customHeight="1">
      <c r="A35" s="255"/>
      <c r="B35" s="255"/>
      <c r="C35" s="255"/>
      <c r="D35" s="255"/>
      <c r="E35" s="255"/>
      <c r="G35" s="272">
        <v>2.4</v>
      </c>
      <c r="H35" s="311">
        <f t="shared" si="17"/>
        <v>1</v>
      </c>
      <c r="I35" s="240" t="str">
        <f t="shared" si="18"/>
        <v/>
      </c>
      <c r="J35" s="240" t="str">
        <f t="shared" si="19"/>
        <v/>
      </c>
      <c r="K35" s="240" t="str">
        <f t="shared" si="20"/>
        <v/>
      </c>
      <c r="L35" s="255"/>
      <c r="M35" s="255"/>
      <c r="N35" s="255"/>
      <c r="O35" s="255"/>
      <c r="P35" s="255"/>
      <c r="Q35" s="255"/>
      <c r="R35" s="255"/>
      <c r="S35" s="255"/>
      <c r="T35" s="255"/>
      <c r="U35" s="255"/>
      <c r="V35" s="1258">
        <v>2.4</v>
      </c>
      <c r="W35" s="1526" t="s">
        <v>337</v>
      </c>
      <c r="X35" s="1527"/>
      <c r="Y35" s="1527"/>
      <c r="Z35" s="1527"/>
      <c r="AA35" s="1527"/>
      <c r="AB35" s="1527"/>
      <c r="AC35" s="1533" t="s">
        <v>696</v>
      </c>
      <c r="AD35" s="1205" t="str">
        <f>IF(ISBLANK(L$3),"",1)</f>
        <v/>
      </c>
      <c r="AE35" s="256"/>
      <c r="AF35" s="256"/>
      <c r="AO35" s="52"/>
      <c r="BJ35" s="1188"/>
      <c r="BK35" s="1189"/>
      <c r="BL35" s="1189"/>
      <c r="BM35" s="1189"/>
      <c r="BN35" s="1189"/>
      <c r="BO35" s="1190"/>
      <c r="BP35" s="255"/>
      <c r="BQ35" s="255"/>
      <c r="BR35" s="255"/>
    </row>
    <row r="36" spans="1:70" ht="15" customHeight="1">
      <c r="A36" s="255"/>
      <c r="B36" s="255"/>
      <c r="C36" s="255"/>
      <c r="D36" s="255"/>
      <c r="E36" s="255"/>
      <c r="F36" s="255"/>
      <c r="G36" s="255"/>
      <c r="H36" s="255"/>
      <c r="I36" s="255"/>
      <c r="J36" s="255"/>
      <c r="K36" s="255"/>
      <c r="L36" s="255"/>
      <c r="M36" s="255"/>
      <c r="N36" s="255"/>
      <c r="O36" s="255"/>
      <c r="P36" s="255"/>
      <c r="Q36" s="255"/>
      <c r="R36" s="255"/>
      <c r="S36" s="255"/>
      <c r="T36" s="255"/>
      <c r="U36" s="255"/>
      <c r="V36" s="1258"/>
      <c r="W36" s="1317"/>
      <c r="X36" s="1296"/>
      <c r="Y36" s="1296"/>
      <c r="Z36" s="1296"/>
      <c r="AA36" s="1296"/>
      <c r="AB36" s="1296"/>
      <c r="AC36" s="1297"/>
      <c r="AD36" s="1206"/>
      <c r="AE36" s="256"/>
      <c r="AF36" s="256"/>
      <c r="AO36" s="52"/>
      <c r="BJ36" s="1188"/>
      <c r="BK36" s="1189"/>
      <c r="BL36" s="1189"/>
      <c r="BM36" s="1189"/>
      <c r="BN36" s="1189"/>
      <c r="BO36" s="1190"/>
      <c r="BP36" s="255"/>
      <c r="BQ36" s="255"/>
      <c r="BR36" s="255"/>
    </row>
    <row r="37" spans="1:70" ht="15" customHeight="1">
      <c r="A37" s="1209"/>
      <c r="B37" s="1210" t="s">
        <v>609</v>
      </c>
      <c r="C37" s="1211"/>
      <c r="D37" s="1211"/>
      <c r="E37" s="1211"/>
      <c r="F37" s="1211"/>
      <c r="G37" s="1211"/>
      <c r="H37" s="1272"/>
      <c r="I37" s="1174">
        <v>1</v>
      </c>
      <c r="J37" s="1174">
        <v>2</v>
      </c>
      <c r="K37" s="1174">
        <v>3</v>
      </c>
      <c r="L37" s="255"/>
      <c r="M37" s="255"/>
      <c r="N37" s="255"/>
      <c r="O37" s="255"/>
      <c r="P37" s="255"/>
      <c r="Q37" s="255"/>
      <c r="R37" s="255"/>
      <c r="S37" s="255"/>
      <c r="T37" s="255"/>
      <c r="U37" s="255"/>
      <c r="V37" s="1258"/>
      <c r="W37" s="1317"/>
      <c r="X37" s="1296"/>
      <c r="Y37" s="1296"/>
      <c r="Z37" s="1296"/>
      <c r="AA37" s="1296"/>
      <c r="AB37" s="1296"/>
      <c r="AC37" s="1297"/>
      <c r="AD37" s="1207"/>
      <c r="AE37" s="256"/>
      <c r="AF37" s="256"/>
      <c r="AO37" s="52"/>
      <c r="BJ37" s="1188"/>
      <c r="BK37" s="1189"/>
      <c r="BL37" s="1189"/>
      <c r="BM37" s="1189"/>
      <c r="BN37" s="1189"/>
      <c r="BO37" s="1190"/>
      <c r="BP37" s="256"/>
      <c r="BQ37" s="256"/>
      <c r="BR37" s="256"/>
    </row>
    <row r="38" spans="1:70" ht="15" customHeight="1">
      <c r="A38" s="1209"/>
      <c r="B38" s="1212"/>
      <c r="C38" s="1213"/>
      <c r="D38" s="1213"/>
      <c r="E38" s="1213"/>
      <c r="F38" s="1213"/>
      <c r="G38" s="1213"/>
      <c r="H38" s="1273"/>
      <c r="I38" s="1174"/>
      <c r="J38" s="1174"/>
      <c r="K38" s="1174"/>
      <c r="L38" s="255"/>
      <c r="M38" s="255"/>
      <c r="N38" s="255"/>
      <c r="O38" s="255"/>
      <c r="P38" s="255"/>
      <c r="Q38" s="255"/>
      <c r="R38" s="255"/>
      <c r="S38" s="255"/>
      <c r="T38" s="255"/>
      <c r="U38" s="256"/>
      <c r="V38" s="1258">
        <v>1.5</v>
      </c>
      <c r="W38" s="1526" t="s">
        <v>331</v>
      </c>
      <c r="X38" s="1527"/>
      <c r="Y38" s="1527"/>
      <c r="Z38" s="1527"/>
      <c r="AA38" s="1527"/>
      <c r="AB38" s="1527"/>
      <c r="AC38" s="1533" t="s">
        <v>696</v>
      </c>
      <c r="AD38" s="1205" t="str">
        <f>IF(ISBLANK(L$3),"",1)</f>
        <v/>
      </c>
      <c r="AE38" s="256"/>
      <c r="AF38" s="256"/>
      <c r="AO38" s="52"/>
      <c r="BJ38" s="1188"/>
      <c r="BK38" s="1189"/>
      <c r="BL38" s="1189"/>
      <c r="BM38" s="1189"/>
      <c r="BN38" s="1189"/>
      <c r="BO38" s="1190"/>
      <c r="BP38" s="255"/>
      <c r="BQ38" s="256"/>
      <c r="BR38" s="255"/>
    </row>
    <row r="39" spans="1:70" ht="15" customHeight="1">
      <c r="A39" s="1264">
        <v>3.1</v>
      </c>
      <c r="B39" s="1553" t="s">
        <v>338</v>
      </c>
      <c r="C39" s="1554"/>
      <c r="D39" s="1554"/>
      <c r="E39" s="1554"/>
      <c r="F39" s="1554"/>
      <c r="G39" s="1554"/>
      <c r="H39" s="1555"/>
      <c r="I39" s="1205" t="str">
        <f t="shared" ref="I39" si="23">IF(ISBLANK(H$3),"",1)</f>
        <v/>
      </c>
      <c r="J39" s="1205" t="str">
        <f>IF(ISBLANK(L$3),"",1)</f>
        <v/>
      </c>
      <c r="K39" s="1205" t="str">
        <f t="shared" ref="K39" si="24">IF(ISBLANK(P$3),"",1)</f>
        <v/>
      </c>
      <c r="L39" s="255"/>
      <c r="M39" s="255"/>
      <c r="N39" s="255"/>
      <c r="O39" s="255"/>
      <c r="P39" s="255"/>
      <c r="Q39" s="255"/>
      <c r="R39" s="255"/>
      <c r="S39" s="255"/>
      <c r="T39" s="255"/>
      <c r="U39" s="256"/>
      <c r="V39" s="1258"/>
      <c r="W39" s="1317"/>
      <c r="X39" s="1296"/>
      <c r="Y39" s="1296"/>
      <c r="Z39" s="1296"/>
      <c r="AA39" s="1296"/>
      <c r="AB39" s="1296"/>
      <c r="AC39" s="1297"/>
      <c r="AD39" s="1206"/>
      <c r="AE39" s="256"/>
      <c r="AF39" s="256"/>
      <c r="AO39" s="52"/>
      <c r="BJ39" s="1191"/>
      <c r="BK39" s="1192"/>
      <c r="BL39" s="1192"/>
      <c r="BM39" s="1192"/>
      <c r="BN39" s="1192"/>
      <c r="BO39" s="1193"/>
      <c r="BP39" s="255"/>
      <c r="BQ39" s="256"/>
      <c r="BR39" s="255"/>
    </row>
    <row r="40" spans="1:70" ht="15" customHeight="1">
      <c r="A40" s="1264"/>
      <c r="B40" s="1556"/>
      <c r="C40" s="1557"/>
      <c r="D40" s="1557"/>
      <c r="E40" s="1557"/>
      <c r="F40" s="1557"/>
      <c r="G40" s="1557"/>
      <c r="H40" s="1558"/>
      <c r="I40" s="1206"/>
      <c r="J40" s="1206"/>
      <c r="K40" s="1206"/>
      <c r="L40" s="255"/>
      <c r="M40" s="255"/>
      <c r="N40" s="255"/>
      <c r="O40" s="255"/>
      <c r="P40" s="255"/>
      <c r="Q40" s="255"/>
      <c r="R40" s="255"/>
      <c r="S40" s="255"/>
      <c r="T40" s="255"/>
      <c r="U40" s="256"/>
      <c r="V40" s="1258"/>
      <c r="W40" s="1319"/>
      <c r="X40" s="1320"/>
      <c r="Y40" s="1320"/>
      <c r="Z40" s="1320"/>
      <c r="AA40" s="1320"/>
      <c r="AB40" s="1320"/>
      <c r="AC40" s="1534"/>
      <c r="AD40" s="1207"/>
      <c r="AE40" s="256"/>
      <c r="AF40" s="256"/>
      <c r="AO40" s="52"/>
      <c r="BO40" s="255"/>
      <c r="BP40" s="255"/>
      <c r="BQ40" s="256"/>
      <c r="BR40" s="255"/>
    </row>
    <row r="41" spans="1:70" ht="15" customHeight="1">
      <c r="A41" s="1264"/>
      <c r="B41" s="1559"/>
      <c r="C41" s="1560"/>
      <c r="D41" s="1560"/>
      <c r="E41" s="1560"/>
      <c r="F41" s="1560"/>
      <c r="G41" s="1560"/>
      <c r="H41" s="1561"/>
      <c r="I41" s="1207"/>
      <c r="J41" s="1207"/>
      <c r="K41" s="1207"/>
      <c r="L41" s="256"/>
      <c r="M41" s="256"/>
      <c r="N41" s="256"/>
      <c r="O41" s="256"/>
      <c r="P41" s="256"/>
      <c r="Q41" s="256"/>
      <c r="R41" s="256"/>
      <c r="S41" s="256"/>
      <c r="T41" s="256"/>
      <c r="U41" s="255"/>
      <c r="V41" s="1262" t="s">
        <v>637</v>
      </c>
      <c r="W41" s="1262"/>
      <c r="X41" s="1262"/>
      <c r="Y41" s="1262"/>
      <c r="Z41" s="1262"/>
      <c r="AA41" s="1263"/>
      <c r="AB41" s="294">
        <v>1.5</v>
      </c>
      <c r="AC41" s="311">
        <f>COUNTIF($V$11:$V$40,AB41)</f>
        <v>1</v>
      </c>
      <c r="AD41" s="240" t="str">
        <f>IF($L$3=1,SUMIF($V$11:$V$40,AB41,$AD$11:$AD$40),"")</f>
        <v/>
      </c>
      <c r="AE41" s="255"/>
      <c r="AF41" s="256"/>
      <c r="AG41" s="256"/>
      <c r="AO41" s="52"/>
      <c r="BP41" s="255"/>
      <c r="BQ41" s="255"/>
      <c r="BR41" s="255"/>
    </row>
    <row r="42" spans="1:70" ht="15" customHeight="1">
      <c r="A42" s="1260" t="s">
        <v>637</v>
      </c>
      <c r="B42" s="1260"/>
      <c r="C42" s="1260"/>
      <c r="D42" s="1260"/>
      <c r="E42" s="1260"/>
      <c r="F42" s="1271"/>
      <c r="G42" s="302">
        <v>3.1</v>
      </c>
      <c r="H42" s="311">
        <f>COUNTIF(A39,G42)</f>
        <v>1</v>
      </c>
      <c r="I42" s="240" t="str">
        <f>IF($H$3=1,SUMIF($A$39,G42,$I$39),"")</f>
        <v/>
      </c>
      <c r="J42" s="240" t="str">
        <f>IF(L3=1,SUMIF($A$39,G42,$J$39),"")</f>
        <v/>
      </c>
      <c r="K42" s="240" t="str">
        <f>IF(P3=1,SUMIF($A$39,G42,$K$39),"")</f>
        <v/>
      </c>
      <c r="L42" s="256"/>
      <c r="M42" s="256"/>
      <c r="N42" s="256"/>
      <c r="O42" s="256"/>
      <c r="P42" s="256"/>
      <c r="Q42" s="256"/>
      <c r="R42" s="256"/>
      <c r="S42" s="256"/>
      <c r="T42" s="256"/>
      <c r="U42" s="256"/>
      <c r="V42" s="253"/>
      <c r="W42" s="244"/>
      <c r="X42" s="244"/>
      <c r="Y42" s="244"/>
      <c r="AB42" s="272">
        <v>2.4</v>
      </c>
      <c r="AC42" s="311">
        <f>COUNTIF($V$11:$V$40,AB42)</f>
        <v>2</v>
      </c>
      <c r="AD42" s="240" t="str">
        <f>IF($L$3=1,SUMIF($V$11:$V$40,AB42,$AD$11:$AD$40),"")</f>
        <v/>
      </c>
      <c r="AE42" s="255"/>
      <c r="AF42" s="256"/>
      <c r="AG42" s="256"/>
      <c r="AO42" s="52"/>
      <c r="BP42" s="255"/>
      <c r="BQ42" s="255"/>
      <c r="BR42" s="255"/>
    </row>
    <row r="43" spans="1:70" ht="15" customHeight="1">
      <c r="A43" s="255"/>
      <c r="B43" s="255"/>
      <c r="C43" s="255"/>
      <c r="D43" s="255"/>
      <c r="E43" s="255"/>
      <c r="F43" s="255"/>
      <c r="G43" s="255"/>
      <c r="H43" s="255"/>
      <c r="I43" s="255"/>
      <c r="J43" s="255"/>
      <c r="K43" s="255"/>
      <c r="L43" s="255"/>
      <c r="M43" s="255"/>
      <c r="N43" s="255"/>
      <c r="O43" s="255"/>
      <c r="P43" s="255"/>
      <c r="Q43" s="255"/>
      <c r="R43" s="255"/>
      <c r="S43" s="255"/>
      <c r="T43" s="255"/>
      <c r="U43" s="256"/>
      <c r="V43" s="253"/>
      <c r="W43" s="244"/>
      <c r="X43" s="244"/>
      <c r="Y43" s="244"/>
      <c r="AB43" s="274">
        <v>4.3</v>
      </c>
      <c r="AC43" s="311">
        <f>COUNTIF($V$11:$V$40,AB43)</f>
        <v>1</v>
      </c>
      <c r="AD43" s="240" t="str">
        <f>IF($L$3=1,SUMIF($V$11:$V$40,AB43,$AD$11:$AD$40),"")</f>
        <v/>
      </c>
      <c r="AE43" s="255"/>
      <c r="AF43" s="255"/>
      <c r="AG43" s="255"/>
      <c r="AO43" s="52"/>
      <c r="BP43" s="255"/>
      <c r="BQ43" s="255"/>
      <c r="BR43" s="255"/>
    </row>
    <row r="44" spans="1:70" ht="15" customHeight="1">
      <c r="A44" s="255"/>
      <c r="B44" s="255"/>
      <c r="C44" s="255"/>
      <c r="D44" s="255"/>
      <c r="E44" s="255"/>
      <c r="F44" s="255"/>
      <c r="G44" s="255"/>
      <c r="H44" s="255"/>
      <c r="I44" s="255"/>
      <c r="J44" s="255"/>
      <c r="K44" s="255"/>
      <c r="L44" s="255"/>
      <c r="M44" s="255"/>
      <c r="N44" s="255"/>
      <c r="O44" s="255"/>
      <c r="P44" s="255"/>
      <c r="Q44" s="255"/>
      <c r="R44" s="255"/>
      <c r="S44" s="255"/>
      <c r="T44" s="255"/>
      <c r="U44" s="255"/>
      <c r="V44" s="253"/>
      <c r="W44" s="244"/>
      <c r="X44" s="244"/>
      <c r="Y44" s="244"/>
      <c r="AB44" s="274">
        <v>4.4000000000000004</v>
      </c>
      <c r="AC44" s="311">
        <f>COUNTIF($V$11:$V$40,AB44)</f>
        <v>6</v>
      </c>
      <c r="AD44" s="240" t="str">
        <f>IF($L$3=1,SUMIF($V$11:$V$40,AB44,$AD$11:$AD$40),"")</f>
        <v/>
      </c>
      <c r="AE44" s="255"/>
      <c r="AF44" s="255"/>
      <c r="AG44" s="255"/>
      <c r="AO44" s="52"/>
      <c r="BP44" s="255"/>
      <c r="BQ44" s="255"/>
      <c r="BR44" s="255"/>
    </row>
    <row r="45" spans="1:70" ht="15" customHeight="1">
      <c r="A45" s="1171" t="s">
        <v>646</v>
      </c>
      <c r="B45" s="1171"/>
      <c r="C45" s="1171"/>
      <c r="D45" s="1171"/>
      <c r="E45" s="1171"/>
      <c r="F45" s="1171"/>
      <c r="G45" s="1171"/>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1"/>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255"/>
      <c r="BO45" s="255"/>
      <c r="BP45" s="255"/>
      <c r="BQ45" s="255"/>
      <c r="BR45" s="255"/>
    </row>
    <row r="46" spans="1:70" ht="15" customHeight="1" thickBot="1">
      <c r="A46" s="1171"/>
      <c r="B46" s="1171"/>
      <c r="C46" s="1171"/>
      <c r="D46" s="1171"/>
      <c r="E46" s="1171"/>
      <c r="F46" s="1171"/>
      <c r="G46" s="1171"/>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1"/>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255"/>
      <c r="BO46" s="255"/>
      <c r="BP46" s="255"/>
      <c r="BQ46" s="255"/>
      <c r="BR46" s="305"/>
    </row>
    <row r="47" spans="1:70" ht="15" customHeight="1">
      <c r="A47" s="1172"/>
      <c r="B47" s="1173" t="s">
        <v>608</v>
      </c>
      <c r="C47" s="1173"/>
      <c r="D47" s="1173"/>
      <c r="E47" s="1173"/>
      <c r="F47" s="1173"/>
      <c r="G47" s="1173"/>
      <c r="H47" s="1343">
        <v>1</v>
      </c>
      <c r="I47" s="1174">
        <v>2</v>
      </c>
      <c r="J47" s="1343">
        <v>3</v>
      </c>
      <c r="K47" s="1343">
        <v>4</v>
      </c>
      <c r="L47" s="1621"/>
      <c r="M47" s="1621"/>
      <c r="N47" s="1840"/>
      <c r="O47" s="1648" t="s">
        <v>647</v>
      </c>
      <c r="P47" s="1648">
        <v>1</v>
      </c>
      <c r="Q47" s="1648" t="s">
        <v>16</v>
      </c>
      <c r="R47" s="1648"/>
      <c r="S47" s="1648"/>
      <c r="T47" s="1648"/>
      <c r="U47" s="1731"/>
      <c r="V47" s="1653"/>
      <c r="W47" s="1656" t="s">
        <v>648</v>
      </c>
      <c r="X47" s="1657"/>
      <c r="Y47" s="1657"/>
      <c r="Z47" s="1657"/>
      <c r="AA47" s="1657"/>
      <c r="AB47" s="1657"/>
      <c r="AC47" s="1731"/>
      <c r="AD47" s="1708"/>
      <c r="AE47" s="1809" t="s">
        <v>652</v>
      </c>
      <c r="AF47" s="1712"/>
      <c r="AG47" s="1712"/>
      <c r="AH47" s="1712"/>
      <c r="AI47" s="1712"/>
      <c r="AJ47" s="1712"/>
      <c r="AK47" s="1760"/>
      <c r="AL47" s="1725"/>
      <c r="AM47" s="1816" t="s">
        <v>669</v>
      </c>
      <c r="AN47" s="1692"/>
      <c r="AO47" s="1692"/>
      <c r="AP47" s="1692"/>
      <c r="AQ47" s="1692"/>
      <c r="AR47" s="1692"/>
      <c r="AS47" s="1813"/>
      <c r="AT47" s="346"/>
      <c r="AU47" s="346"/>
      <c r="AV47" s="346"/>
      <c r="AW47" s="346"/>
      <c r="AX47" s="346"/>
      <c r="AY47" s="346"/>
      <c r="AZ47" s="346"/>
      <c r="BA47" s="346"/>
      <c r="BB47" s="346"/>
      <c r="BC47" s="346"/>
      <c r="BD47" s="346"/>
      <c r="BE47" s="346"/>
      <c r="BF47" s="346"/>
      <c r="BG47" s="346"/>
      <c r="BH47" s="346"/>
      <c r="BI47" s="346"/>
      <c r="BJ47" s="1182" t="s">
        <v>263</v>
      </c>
      <c r="BK47" s="1183"/>
      <c r="BL47" s="1183"/>
      <c r="BM47" s="1183"/>
      <c r="BN47" s="1183"/>
      <c r="BO47" s="1184"/>
      <c r="BP47" s="255"/>
      <c r="BQ47" s="255"/>
      <c r="BR47" s="255"/>
    </row>
    <row r="48" spans="1:70" ht="15" customHeight="1">
      <c r="A48" s="1172"/>
      <c r="B48" s="1173"/>
      <c r="C48" s="1173"/>
      <c r="D48" s="1173"/>
      <c r="E48" s="1173"/>
      <c r="F48" s="1173"/>
      <c r="G48" s="1173"/>
      <c r="H48" s="1344"/>
      <c r="I48" s="1174"/>
      <c r="J48" s="1344"/>
      <c r="K48" s="1344"/>
      <c r="L48" s="1621"/>
      <c r="M48" s="1621"/>
      <c r="N48" s="1841"/>
      <c r="O48" s="1386"/>
      <c r="P48" s="1386"/>
      <c r="Q48" s="1386"/>
      <c r="R48" s="1386"/>
      <c r="S48" s="1386"/>
      <c r="T48" s="1386"/>
      <c r="U48" s="1732"/>
      <c r="V48" s="1654"/>
      <c r="W48" s="1659"/>
      <c r="X48" s="1660"/>
      <c r="Y48" s="1660"/>
      <c r="Z48" s="1660"/>
      <c r="AA48" s="1660"/>
      <c r="AB48" s="1660"/>
      <c r="AC48" s="1732"/>
      <c r="AD48" s="1709"/>
      <c r="AE48" s="1810"/>
      <c r="AF48" s="1715"/>
      <c r="AG48" s="1715"/>
      <c r="AH48" s="1715"/>
      <c r="AI48" s="1715"/>
      <c r="AJ48" s="1715"/>
      <c r="AK48" s="1761"/>
      <c r="AL48" s="1726"/>
      <c r="AM48" s="1817"/>
      <c r="AN48" s="1695"/>
      <c r="AO48" s="1695"/>
      <c r="AP48" s="1695"/>
      <c r="AQ48" s="1695"/>
      <c r="AR48" s="1695"/>
      <c r="AS48" s="1814"/>
      <c r="AT48" s="346"/>
      <c r="AU48" s="346"/>
      <c r="AV48" s="346"/>
      <c r="AW48" s="346"/>
      <c r="AX48" s="346"/>
      <c r="AY48" s="346"/>
      <c r="AZ48" s="346"/>
      <c r="BA48" s="346"/>
      <c r="BB48" s="346"/>
      <c r="BC48" s="346"/>
      <c r="BD48" s="346"/>
      <c r="BE48" s="346"/>
      <c r="BF48" s="346"/>
      <c r="BG48" s="346"/>
      <c r="BH48" s="346"/>
      <c r="BI48" s="346"/>
      <c r="BJ48" s="1219"/>
      <c r="BK48" s="1220"/>
      <c r="BL48" s="1220"/>
      <c r="BM48" s="1220"/>
      <c r="BN48" s="1220"/>
      <c r="BO48" s="1221"/>
      <c r="BP48" s="255"/>
      <c r="BQ48" s="255"/>
      <c r="BR48" s="255"/>
    </row>
    <row r="49" spans="1:70" ht="15" customHeight="1" thickBot="1">
      <c r="A49" s="1172"/>
      <c r="B49" s="1173"/>
      <c r="C49" s="1173"/>
      <c r="D49" s="1173"/>
      <c r="E49" s="1173"/>
      <c r="F49" s="1173"/>
      <c r="G49" s="1173"/>
      <c r="H49" s="1345"/>
      <c r="I49" s="1174"/>
      <c r="J49" s="1345"/>
      <c r="K49" s="1345"/>
      <c r="L49" s="1621"/>
      <c r="M49" s="1621"/>
      <c r="N49" s="1842"/>
      <c r="O49" s="1651"/>
      <c r="P49" s="1651"/>
      <c r="Q49" s="1651"/>
      <c r="R49" s="1651"/>
      <c r="S49" s="1651"/>
      <c r="T49" s="1651"/>
      <c r="U49" s="1733"/>
      <c r="V49" s="1655"/>
      <c r="W49" s="1662"/>
      <c r="X49" s="1663"/>
      <c r="Y49" s="1663"/>
      <c r="Z49" s="1663"/>
      <c r="AA49" s="1663"/>
      <c r="AB49" s="1663"/>
      <c r="AC49" s="1733"/>
      <c r="AD49" s="1710"/>
      <c r="AE49" s="1717"/>
      <c r="AF49" s="1718"/>
      <c r="AG49" s="1718"/>
      <c r="AH49" s="1718"/>
      <c r="AI49" s="1718"/>
      <c r="AJ49" s="1718"/>
      <c r="AK49" s="1762"/>
      <c r="AL49" s="1727"/>
      <c r="AM49" s="1697"/>
      <c r="AN49" s="1698"/>
      <c r="AO49" s="1698"/>
      <c r="AP49" s="1698"/>
      <c r="AQ49" s="1698"/>
      <c r="AR49" s="1698"/>
      <c r="AS49" s="1839"/>
      <c r="AT49" s="346"/>
      <c r="AU49" s="346"/>
      <c r="AV49" s="346"/>
      <c r="AW49" s="346"/>
      <c r="AX49" s="346"/>
      <c r="AY49" s="346"/>
      <c r="AZ49" s="346"/>
      <c r="BA49" s="346"/>
      <c r="BB49" s="346"/>
      <c r="BC49" s="346"/>
      <c r="BD49" s="346"/>
      <c r="BE49" s="346"/>
      <c r="BF49" s="346"/>
      <c r="BG49" s="346"/>
      <c r="BH49" s="346"/>
      <c r="BI49" s="346"/>
      <c r="BJ49" s="1337"/>
      <c r="BK49" s="1338"/>
      <c r="BL49" s="1338"/>
      <c r="BM49" s="1338"/>
      <c r="BN49" s="1338"/>
      <c r="BO49" s="1339"/>
      <c r="BP49" s="255"/>
      <c r="BQ49" s="255"/>
      <c r="BR49" s="255"/>
    </row>
    <row r="50" spans="1:70" ht="15" customHeight="1">
      <c r="A50" s="1307">
        <v>1.1000000000000001</v>
      </c>
      <c r="B50" s="1161" t="s">
        <v>941</v>
      </c>
      <c r="C50" s="1162"/>
      <c r="D50" s="1162"/>
      <c r="E50" s="1162"/>
      <c r="F50" s="1162"/>
      <c r="G50" s="1199"/>
      <c r="H50" s="1268" t="str">
        <f>IF(ISBLANK(T$3),"",1)</f>
        <v/>
      </c>
      <c r="I50" s="1205" t="str">
        <f>IF(ISBLANK(X$3),"",1)</f>
        <v/>
      </c>
      <c r="J50" s="1205" t="str">
        <f>IF(ISBLANK(AB$3),"",1)</f>
        <v/>
      </c>
      <c r="K50" s="1205" t="str">
        <f>IF(ISBLANK(AF$3),"",1)</f>
        <v/>
      </c>
      <c r="L50" s="1621"/>
      <c r="M50" s="1621"/>
      <c r="N50" s="1745">
        <v>4.4000000000000004</v>
      </c>
      <c r="O50" s="1790" t="s">
        <v>642</v>
      </c>
      <c r="P50" s="1790"/>
      <c r="Q50" s="1790"/>
      <c r="R50" s="1790"/>
      <c r="S50" s="1790"/>
      <c r="T50" s="1790"/>
      <c r="U50" s="1342" t="str">
        <f>IF(ISBLANK(T$3),"",1)</f>
        <v/>
      </c>
      <c r="V50" s="1303">
        <v>4.4000000000000004</v>
      </c>
      <c r="W50" s="1684" t="s">
        <v>340</v>
      </c>
      <c r="X50" s="1684"/>
      <c r="Y50" s="1684"/>
      <c r="Z50" s="1684"/>
      <c r="AA50" s="1684"/>
      <c r="AB50" s="1684"/>
      <c r="AC50" s="1342" t="str">
        <f>IF(ISBLANK(X$3),"",1)</f>
        <v/>
      </c>
      <c r="AD50" s="1303">
        <v>4.4000000000000004</v>
      </c>
      <c r="AE50" s="1684" t="s">
        <v>340</v>
      </c>
      <c r="AF50" s="1684"/>
      <c r="AG50" s="1684"/>
      <c r="AH50" s="1684"/>
      <c r="AI50" s="1684"/>
      <c r="AJ50" s="1684"/>
      <c r="AK50" s="1342" t="str">
        <f>IF(ISBLANK(AB$3),"",1)</f>
        <v/>
      </c>
      <c r="AL50" s="1258">
        <v>4.4000000000000004</v>
      </c>
      <c r="AM50" s="1684" t="s">
        <v>342</v>
      </c>
      <c r="AN50" s="1684"/>
      <c r="AO50" s="1684"/>
      <c r="AP50" s="1684"/>
      <c r="AQ50" s="1684"/>
      <c r="AR50" s="1684"/>
      <c r="AS50" s="1342" t="str">
        <f>IF(ISBLANK(AF$3),"",1)</f>
        <v/>
      </c>
      <c r="AT50" s="331"/>
      <c r="AU50" s="331"/>
      <c r="AV50" s="331"/>
      <c r="AW50" s="331"/>
      <c r="AX50" s="331"/>
      <c r="AY50" s="331"/>
      <c r="AZ50" s="331"/>
      <c r="BA50" s="331"/>
      <c r="BB50" s="331"/>
      <c r="BC50" s="331"/>
      <c r="BD50" s="331"/>
      <c r="BE50" s="331"/>
      <c r="BF50" s="331"/>
      <c r="BG50" s="331"/>
      <c r="BH50" s="331"/>
      <c r="BI50" s="331"/>
      <c r="BJ50" s="1337"/>
      <c r="BK50" s="1338"/>
      <c r="BL50" s="1338"/>
      <c r="BM50" s="1338"/>
      <c r="BN50" s="1338"/>
      <c r="BO50" s="1339"/>
      <c r="BP50" s="255"/>
      <c r="BQ50" s="255"/>
      <c r="BR50" s="255"/>
    </row>
    <row r="51" spans="1:70" ht="15" customHeight="1">
      <c r="A51" s="1308"/>
      <c r="B51" s="1163"/>
      <c r="C51" s="1164"/>
      <c r="D51" s="1164"/>
      <c r="E51" s="1164"/>
      <c r="F51" s="1164"/>
      <c r="G51" s="1201"/>
      <c r="H51" s="1269"/>
      <c r="I51" s="1206"/>
      <c r="J51" s="1206"/>
      <c r="K51" s="1206"/>
      <c r="L51" s="1621"/>
      <c r="M51" s="1621"/>
      <c r="N51" s="1838"/>
      <c r="O51" s="1684"/>
      <c r="P51" s="1684"/>
      <c r="Q51" s="1684"/>
      <c r="R51" s="1684"/>
      <c r="S51" s="1684"/>
      <c r="T51" s="1684"/>
      <c r="U51" s="1342"/>
      <c r="V51" s="1258"/>
      <c r="W51" s="1684"/>
      <c r="X51" s="1684"/>
      <c r="Y51" s="1684"/>
      <c r="Z51" s="1684"/>
      <c r="AA51" s="1684"/>
      <c r="AB51" s="1684"/>
      <c r="AC51" s="1342"/>
      <c r="AD51" s="1258"/>
      <c r="AE51" s="1684"/>
      <c r="AF51" s="1684"/>
      <c r="AG51" s="1684"/>
      <c r="AH51" s="1684"/>
      <c r="AI51" s="1684"/>
      <c r="AJ51" s="1684"/>
      <c r="AK51" s="1342"/>
      <c r="AL51" s="1258"/>
      <c r="AM51" s="1684"/>
      <c r="AN51" s="1684"/>
      <c r="AO51" s="1684"/>
      <c r="AP51" s="1684"/>
      <c r="AQ51" s="1684"/>
      <c r="AR51" s="1684"/>
      <c r="AS51" s="1342"/>
      <c r="AT51" s="331"/>
      <c r="AU51" s="331"/>
      <c r="AV51" s="331"/>
      <c r="AW51" s="331"/>
      <c r="AX51" s="331"/>
      <c r="AY51" s="331"/>
      <c r="AZ51" s="331"/>
      <c r="BA51" s="331"/>
      <c r="BB51" s="331"/>
      <c r="BC51" s="331"/>
      <c r="BD51" s="331"/>
      <c r="BE51" s="331"/>
      <c r="BF51" s="331"/>
      <c r="BG51" s="331"/>
      <c r="BH51" s="331"/>
      <c r="BI51" s="331"/>
      <c r="BJ51" s="1337"/>
      <c r="BK51" s="1338"/>
      <c r="BL51" s="1338"/>
      <c r="BM51" s="1338"/>
      <c r="BN51" s="1338"/>
      <c r="BO51" s="1339"/>
      <c r="BP51" s="255"/>
      <c r="BQ51" s="255"/>
      <c r="BR51" s="255"/>
    </row>
    <row r="52" spans="1:70" ht="15" customHeight="1">
      <c r="A52" s="1309"/>
      <c r="B52" s="1165"/>
      <c r="C52" s="1166"/>
      <c r="D52" s="1166"/>
      <c r="E52" s="1166"/>
      <c r="F52" s="1166"/>
      <c r="G52" s="1292"/>
      <c r="H52" s="1270"/>
      <c r="I52" s="1207"/>
      <c r="J52" s="1207"/>
      <c r="K52" s="1207"/>
      <c r="L52" s="1621"/>
      <c r="M52" s="1621"/>
      <c r="N52" s="1838"/>
      <c r="O52" s="1684"/>
      <c r="P52" s="1684"/>
      <c r="Q52" s="1684"/>
      <c r="R52" s="1684"/>
      <c r="S52" s="1684"/>
      <c r="T52" s="1684"/>
      <c r="U52" s="1342"/>
      <c r="V52" s="1258"/>
      <c r="W52" s="1684"/>
      <c r="X52" s="1684"/>
      <c r="Y52" s="1684"/>
      <c r="Z52" s="1684"/>
      <c r="AA52" s="1684"/>
      <c r="AB52" s="1684"/>
      <c r="AC52" s="1342"/>
      <c r="AD52" s="1258"/>
      <c r="AE52" s="1684"/>
      <c r="AF52" s="1684"/>
      <c r="AG52" s="1684"/>
      <c r="AH52" s="1684"/>
      <c r="AI52" s="1684"/>
      <c r="AJ52" s="1684"/>
      <c r="AK52" s="1342"/>
      <c r="AL52" s="1258"/>
      <c r="AM52" s="1684"/>
      <c r="AN52" s="1684"/>
      <c r="AO52" s="1684"/>
      <c r="AP52" s="1684"/>
      <c r="AQ52" s="1684"/>
      <c r="AR52" s="1684"/>
      <c r="AS52" s="1342"/>
      <c r="AT52" s="331"/>
      <c r="AU52" s="331"/>
      <c r="AV52" s="331"/>
      <c r="AW52" s="331"/>
      <c r="AX52" s="331"/>
      <c r="AY52" s="331"/>
      <c r="AZ52" s="331"/>
      <c r="BA52" s="331"/>
      <c r="BB52" s="331"/>
      <c r="BC52" s="331"/>
      <c r="BD52" s="331"/>
      <c r="BE52" s="331"/>
      <c r="BF52" s="331"/>
      <c r="BG52" s="331"/>
      <c r="BH52" s="331"/>
      <c r="BI52" s="331"/>
      <c r="BJ52" s="1337"/>
      <c r="BK52" s="1338"/>
      <c r="BL52" s="1338"/>
      <c r="BM52" s="1338"/>
      <c r="BN52" s="1338"/>
      <c r="BO52" s="1339"/>
      <c r="BP52" s="255"/>
      <c r="BQ52" s="255"/>
      <c r="BR52" s="255"/>
    </row>
    <row r="53" spans="1:70" ht="15" customHeight="1">
      <c r="A53" s="1304">
        <v>2.4</v>
      </c>
      <c r="B53" s="1161" t="s">
        <v>316</v>
      </c>
      <c r="C53" s="1162"/>
      <c r="D53" s="1162"/>
      <c r="E53" s="1162"/>
      <c r="F53" s="1162"/>
      <c r="G53" s="1199"/>
      <c r="H53" s="1268" t="str">
        <f t="shared" ref="H53" si="25">IF(ISBLANK(T$3),"",1)</f>
        <v/>
      </c>
      <c r="I53" s="1205" t="str">
        <f t="shared" ref="I53" si="26">IF(ISBLANK(X$3),"",1)</f>
        <v/>
      </c>
      <c r="J53" s="1205" t="str">
        <f t="shared" ref="J53" si="27">IF(ISBLANK(AB$3),"",1)</f>
        <v/>
      </c>
      <c r="K53" s="1205" t="str">
        <f t="shared" ref="K53" si="28">IF(ISBLANK(AF$3),"",1)</f>
        <v/>
      </c>
      <c r="L53" s="1621"/>
      <c r="M53" s="1621"/>
      <c r="N53" s="1745">
        <v>4.4000000000000004</v>
      </c>
      <c r="O53" s="1684" t="s">
        <v>876</v>
      </c>
      <c r="P53" s="1684"/>
      <c r="Q53" s="1684"/>
      <c r="R53" s="1684"/>
      <c r="S53" s="1684"/>
      <c r="T53" s="1684"/>
      <c r="U53" s="1342" t="str">
        <f>IF(ISBLANK(T$3),"",1)</f>
        <v/>
      </c>
      <c r="V53" s="1258">
        <v>4.3</v>
      </c>
      <c r="W53" s="1684" t="s">
        <v>319</v>
      </c>
      <c r="X53" s="1684"/>
      <c r="Y53" s="1684"/>
      <c r="Z53" s="1684"/>
      <c r="AA53" s="1684"/>
      <c r="AB53" s="1684"/>
      <c r="AC53" s="1342" t="str">
        <f>IF(ISBLANK(X$3),"",1)</f>
        <v/>
      </c>
      <c r="AD53" s="1258">
        <v>4.3</v>
      </c>
      <c r="AE53" s="1684" t="s">
        <v>319</v>
      </c>
      <c r="AF53" s="1684"/>
      <c r="AG53" s="1684"/>
      <c r="AH53" s="1684"/>
      <c r="AI53" s="1684"/>
      <c r="AJ53" s="1684"/>
      <c r="AK53" s="1342" t="str">
        <f t="shared" ref="AK53" si="29">IF(ISBLANK(AB$3),"",1)</f>
        <v/>
      </c>
      <c r="AL53" s="1258">
        <v>4.3</v>
      </c>
      <c r="AM53" s="1684" t="s">
        <v>319</v>
      </c>
      <c r="AN53" s="1684"/>
      <c r="AO53" s="1684"/>
      <c r="AP53" s="1684"/>
      <c r="AQ53" s="1684"/>
      <c r="AR53" s="1684"/>
      <c r="AS53" s="1342" t="str">
        <f t="shared" ref="AS53" si="30">IF(ISBLANK(AF$3),"",1)</f>
        <v/>
      </c>
      <c r="AT53" s="331"/>
      <c r="AU53" s="331"/>
      <c r="AV53" s="331"/>
      <c r="AW53" s="331"/>
      <c r="AX53" s="331"/>
      <c r="AY53" s="331"/>
      <c r="AZ53" s="331"/>
      <c r="BA53" s="331"/>
      <c r="BB53" s="331"/>
      <c r="BC53" s="331"/>
      <c r="BD53" s="331"/>
      <c r="BE53" s="331"/>
      <c r="BF53" s="331"/>
      <c r="BG53" s="331"/>
      <c r="BH53" s="331"/>
      <c r="BI53" s="331"/>
      <c r="BJ53" s="1337"/>
      <c r="BK53" s="1338"/>
      <c r="BL53" s="1338"/>
      <c r="BM53" s="1338"/>
      <c r="BN53" s="1338"/>
      <c r="BO53" s="1339"/>
      <c r="BP53" s="255"/>
      <c r="BQ53" s="255"/>
      <c r="BR53" s="255"/>
    </row>
    <row r="54" spans="1:70" ht="15" customHeight="1">
      <c r="A54" s="1290"/>
      <c r="B54" s="1163"/>
      <c r="C54" s="1164"/>
      <c r="D54" s="1164"/>
      <c r="E54" s="1164"/>
      <c r="F54" s="1164"/>
      <c r="G54" s="1201"/>
      <c r="H54" s="1269"/>
      <c r="I54" s="1206"/>
      <c r="J54" s="1206"/>
      <c r="K54" s="1206"/>
      <c r="L54" s="1621"/>
      <c r="M54" s="1621"/>
      <c r="N54" s="1838"/>
      <c r="O54" s="1684"/>
      <c r="P54" s="1684"/>
      <c r="Q54" s="1684"/>
      <c r="R54" s="1684"/>
      <c r="S54" s="1684"/>
      <c r="T54" s="1684"/>
      <c r="U54" s="1342"/>
      <c r="V54" s="1258"/>
      <c r="W54" s="1684"/>
      <c r="X54" s="1684"/>
      <c r="Y54" s="1684"/>
      <c r="Z54" s="1684"/>
      <c r="AA54" s="1684"/>
      <c r="AB54" s="1684"/>
      <c r="AC54" s="1342"/>
      <c r="AD54" s="1258"/>
      <c r="AE54" s="1684"/>
      <c r="AF54" s="1684"/>
      <c r="AG54" s="1684"/>
      <c r="AH54" s="1684"/>
      <c r="AI54" s="1684"/>
      <c r="AJ54" s="1684"/>
      <c r="AK54" s="1342"/>
      <c r="AL54" s="1258"/>
      <c r="AM54" s="1684"/>
      <c r="AN54" s="1684"/>
      <c r="AO54" s="1684"/>
      <c r="AP54" s="1684"/>
      <c r="AQ54" s="1684"/>
      <c r="AR54" s="1684"/>
      <c r="AS54" s="1342"/>
      <c r="AT54" s="331"/>
      <c r="AU54" s="331"/>
      <c r="AV54" s="331"/>
      <c r="AW54" s="331"/>
      <c r="AX54" s="331"/>
      <c r="AY54" s="331"/>
      <c r="AZ54" s="331"/>
      <c r="BA54" s="331"/>
      <c r="BB54" s="331"/>
      <c r="BC54" s="331"/>
      <c r="BD54" s="331"/>
      <c r="BE54" s="331"/>
      <c r="BF54" s="331"/>
      <c r="BG54" s="331"/>
      <c r="BH54" s="331"/>
      <c r="BI54" s="331"/>
      <c r="BJ54" s="1337"/>
      <c r="BK54" s="1338"/>
      <c r="BL54" s="1338"/>
      <c r="BM54" s="1338"/>
      <c r="BN54" s="1338"/>
      <c r="BO54" s="1339"/>
      <c r="BP54" s="255"/>
      <c r="BQ54" s="255"/>
      <c r="BR54" s="255"/>
    </row>
    <row r="55" spans="1:70" ht="15" customHeight="1">
      <c r="A55" s="1291"/>
      <c r="B55" s="1165"/>
      <c r="C55" s="1166"/>
      <c r="D55" s="1166"/>
      <c r="E55" s="1166"/>
      <c r="F55" s="1166"/>
      <c r="G55" s="1292"/>
      <c r="H55" s="1270"/>
      <c r="I55" s="1207"/>
      <c r="J55" s="1207"/>
      <c r="K55" s="1207"/>
      <c r="L55" s="1621"/>
      <c r="M55" s="1621"/>
      <c r="N55" s="1838"/>
      <c r="O55" s="1684"/>
      <c r="P55" s="1684"/>
      <c r="Q55" s="1684"/>
      <c r="R55" s="1684"/>
      <c r="S55" s="1684"/>
      <c r="T55" s="1684"/>
      <c r="U55" s="1342"/>
      <c r="V55" s="1258"/>
      <c r="W55" s="1684"/>
      <c r="X55" s="1684"/>
      <c r="Y55" s="1684"/>
      <c r="Z55" s="1684"/>
      <c r="AA55" s="1684"/>
      <c r="AB55" s="1684"/>
      <c r="AC55" s="1342"/>
      <c r="AD55" s="1258"/>
      <c r="AE55" s="1684"/>
      <c r="AF55" s="1684"/>
      <c r="AG55" s="1684"/>
      <c r="AH55" s="1684"/>
      <c r="AI55" s="1684"/>
      <c r="AJ55" s="1684"/>
      <c r="AK55" s="1342"/>
      <c r="AL55" s="1258"/>
      <c r="AM55" s="1684"/>
      <c r="AN55" s="1684"/>
      <c r="AO55" s="1684"/>
      <c r="AP55" s="1684"/>
      <c r="AQ55" s="1684"/>
      <c r="AR55" s="1684"/>
      <c r="AS55" s="1342"/>
      <c r="AT55" s="331"/>
      <c r="AU55" s="331"/>
      <c r="AV55" s="331"/>
      <c r="AW55" s="331"/>
      <c r="AX55" s="331"/>
      <c r="AY55" s="331"/>
      <c r="AZ55" s="331"/>
      <c r="BA55" s="331"/>
      <c r="BB55" s="331"/>
      <c r="BC55" s="331"/>
      <c r="BD55" s="331"/>
      <c r="BE55" s="331"/>
      <c r="BF55" s="331"/>
      <c r="BG55" s="331"/>
      <c r="BH55" s="331"/>
      <c r="BI55" s="331"/>
      <c r="BJ55" s="1337"/>
      <c r="BK55" s="1338"/>
      <c r="BL55" s="1338"/>
      <c r="BM55" s="1338"/>
      <c r="BN55" s="1338"/>
      <c r="BO55" s="1339"/>
      <c r="BP55" s="255"/>
      <c r="BQ55" s="255"/>
      <c r="BR55" s="255"/>
    </row>
    <row r="56" spans="1:70" ht="15" customHeight="1">
      <c r="A56" s="1307">
        <v>1.1000000000000001</v>
      </c>
      <c r="B56" s="1161" t="s">
        <v>320</v>
      </c>
      <c r="C56" s="1162"/>
      <c r="D56" s="1162"/>
      <c r="E56" s="1162"/>
      <c r="F56" s="1162"/>
      <c r="G56" s="1199"/>
      <c r="H56" s="1268" t="str">
        <f t="shared" ref="H56" si="31">IF(ISBLANK(T$3),"",1)</f>
        <v/>
      </c>
      <c r="I56" s="1205" t="str">
        <f t="shared" ref="I56" si="32">IF(ISBLANK(X$3),"",1)</f>
        <v/>
      </c>
      <c r="J56" s="1205" t="str">
        <f t="shared" ref="J56" si="33">IF(ISBLANK(AB$3),"",1)</f>
        <v/>
      </c>
      <c r="K56" s="1205" t="str">
        <f t="shared" ref="K56" si="34">IF(ISBLANK(AF$3),"",1)</f>
        <v/>
      </c>
      <c r="L56" s="1621"/>
      <c r="M56" s="1621"/>
      <c r="N56" s="1837">
        <v>1.5</v>
      </c>
      <c r="O56" s="1684" t="s">
        <v>345</v>
      </c>
      <c r="P56" s="1684"/>
      <c r="Q56" s="1684"/>
      <c r="R56" s="1684"/>
      <c r="S56" s="1684"/>
      <c r="T56" s="1684"/>
      <c r="U56" s="1342" t="str">
        <f>IF(ISBLANK(T$3),"",1)</f>
        <v/>
      </c>
      <c r="V56" s="1194">
        <v>2.4</v>
      </c>
      <c r="W56" s="1791" t="s">
        <v>346</v>
      </c>
      <c r="X56" s="1684"/>
      <c r="Y56" s="1684"/>
      <c r="Z56" s="1684"/>
      <c r="AA56" s="1684"/>
      <c r="AB56" s="1684"/>
      <c r="AC56" s="1342" t="str">
        <f>IF(ISBLANK(X$3),"",1)</f>
        <v/>
      </c>
      <c r="AD56" s="1194">
        <v>2.4</v>
      </c>
      <c r="AE56" s="1791" t="s">
        <v>346</v>
      </c>
      <c r="AF56" s="1684"/>
      <c r="AG56" s="1684"/>
      <c r="AH56" s="1684"/>
      <c r="AI56" s="1684"/>
      <c r="AJ56" s="1684"/>
      <c r="AK56" s="1342" t="str">
        <f t="shared" ref="AK56" si="35">IF(ISBLANK(AB$3),"",1)</f>
        <v/>
      </c>
      <c r="AL56" s="1258">
        <v>4.4000000000000004</v>
      </c>
      <c r="AM56" s="1684" t="s">
        <v>347</v>
      </c>
      <c r="AN56" s="1684"/>
      <c r="AO56" s="1684"/>
      <c r="AP56" s="1684"/>
      <c r="AQ56" s="1684"/>
      <c r="AR56" s="1684"/>
      <c r="AS56" s="1342" t="str">
        <f t="shared" ref="AS56" si="36">IF(ISBLANK(AF$3),"",1)</f>
        <v/>
      </c>
      <c r="AT56" s="342"/>
      <c r="AU56" s="342"/>
      <c r="AV56" s="342"/>
      <c r="AW56" s="342"/>
      <c r="AX56" s="342"/>
      <c r="AY56" s="342"/>
      <c r="AZ56" s="342"/>
      <c r="BA56" s="342"/>
      <c r="BB56" s="342"/>
      <c r="BC56" s="342"/>
      <c r="BD56" s="342"/>
      <c r="BE56" s="342"/>
      <c r="BF56" s="342"/>
      <c r="BG56" s="342"/>
      <c r="BH56" s="342"/>
      <c r="BI56" s="342"/>
      <c r="BJ56" s="1337"/>
      <c r="BK56" s="1338"/>
      <c r="BL56" s="1338"/>
      <c r="BM56" s="1338"/>
      <c r="BN56" s="1338"/>
      <c r="BO56" s="1339"/>
      <c r="BP56" s="255"/>
      <c r="BQ56" s="255"/>
      <c r="BR56" s="255"/>
    </row>
    <row r="57" spans="1:70" ht="15" customHeight="1">
      <c r="A57" s="1308"/>
      <c r="B57" s="1163"/>
      <c r="C57" s="1164"/>
      <c r="D57" s="1164"/>
      <c r="E57" s="1164"/>
      <c r="F57" s="1164"/>
      <c r="G57" s="1201"/>
      <c r="H57" s="1269"/>
      <c r="I57" s="1206"/>
      <c r="J57" s="1206"/>
      <c r="K57" s="1206"/>
      <c r="L57" s="1621"/>
      <c r="M57" s="1621"/>
      <c r="N57" s="1837"/>
      <c r="O57" s="1684"/>
      <c r="P57" s="1684"/>
      <c r="Q57" s="1684"/>
      <c r="R57" s="1684"/>
      <c r="S57" s="1684"/>
      <c r="T57" s="1684"/>
      <c r="U57" s="1342"/>
      <c r="V57" s="1194"/>
      <c r="W57" s="1684"/>
      <c r="X57" s="1684"/>
      <c r="Y57" s="1684"/>
      <c r="Z57" s="1684"/>
      <c r="AA57" s="1684"/>
      <c r="AB57" s="1684"/>
      <c r="AC57" s="1342"/>
      <c r="AD57" s="1194"/>
      <c r="AE57" s="1684"/>
      <c r="AF57" s="1684"/>
      <c r="AG57" s="1684"/>
      <c r="AH57" s="1684"/>
      <c r="AI57" s="1684"/>
      <c r="AJ57" s="1684"/>
      <c r="AK57" s="1342"/>
      <c r="AL57" s="1258"/>
      <c r="AM57" s="1684"/>
      <c r="AN57" s="1684"/>
      <c r="AO57" s="1684"/>
      <c r="AP57" s="1684"/>
      <c r="AQ57" s="1684"/>
      <c r="AR57" s="1684"/>
      <c r="AS57" s="1342"/>
      <c r="AT57" s="342"/>
      <c r="AU57" s="342"/>
      <c r="AV57" s="342"/>
      <c r="AW57" s="342"/>
      <c r="AX57" s="342"/>
      <c r="AY57" s="342"/>
      <c r="AZ57" s="342"/>
      <c r="BA57" s="342"/>
      <c r="BB57" s="342"/>
      <c r="BC57" s="342"/>
      <c r="BD57" s="342"/>
      <c r="BE57" s="342"/>
      <c r="BF57" s="342"/>
      <c r="BG57" s="342"/>
      <c r="BH57" s="342"/>
      <c r="BI57" s="342"/>
      <c r="BJ57" s="1337"/>
      <c r="BK57" s="1338"/>
      <c r="BL57" s="1338"/>
      <c r="BM57" s="1338"/>
      <c r="BN57" s="1338"/>
      <c r="BO57" s="1339"/>
      <c r="BP57" s="255"/>
      <c r="BQ57" s="255"/>
      <c r="BR57" s="255"/>
    </row>
    <row r="58" spans="1:70" ht="15" customHeight="1">
      <c r="A58" s="1309"/>
      <c r="B58" s="1165"/>
      <c r="C58" s="1166"/>
      <c r="D58" s="1166"/>
      <c r="E58" s="1166"/>
      <c r="F58" s="1166"/>
      <c r="G58" s="1292"/>
      <c r="H58" s="1270"/>
      <c r="I58" s="1207"/>
      <c r="J58" s="1207"/>
      <c r="K58" s="1207"/>
      <c r="L58" s="1621"/>
      <c r="M58" s="1621"/>
      <c r="N58" s="1837"/>
      <c r="O58" s="1684"/>
      <c r="P58" s="1684"/>
      <c r="Q58" s="1684"/>
      <c r="R58" s="1684"/>
      <c r="S58" s="1684"/>
      <c r="T58" s="1684"/>
      <c r="U58" s="1342"/>
      <c r="V58" s="1194"/>
      <c r="W58" s="1684"/>
      <c r="X58" s="1684"/>
      <c r="Y58" s="1684"/>
      <c r="Z58" s="1684"/>
      <c r="AA58" s="1684"/>
      <c r="AB58" s="1684"/>
      <c r="AC58" s="1342"/>
      <c r="AD58" s="1194"/>
      <c r="AE58" s="1684"/>
      <c r="AF58" s="1684"/>
      <c r="AG58" s="1684"/>
      <c r="AH58" s="1684"/>
      <c r="AI58" s="1684"/>
      <c r="AJ58" s="1684"/>
      <c r="AK58" s="1342"/>
      <c r="AL58" s="1258"/>
      <c r="AM58" s="1684"/>
      <c r="AN58" s="1684"/>
      <c r="AO58" s="1684"/>
      <c r="AP58" s="1684"/>
      <c r="AQ58" s="1684"/>
      <c r="AR58" s="1684"/>
      <c r="AS58" s="1342"/>
      <c r="AT58" s="342"/>
      <c r="AU58" s="342"/>
      <c r="AV58" s="342"/>
      <c r="AW58" s="342"/>
      <c r="AX58" s="342"/>
      <c r="AY58" s="342"/>
      <c r="AZ58" s="342"/>
      <c r="BA58" s="342"/>
      <c r="BB58" s="342"/>
      <c r="BC58" s="342"/>
      <c r="BD58" s="342"/>
      <c r="BE58" s="342"/>
      <c r="BF58" s="342"/>
      <c r="BG58" s="342"/>
      <c r="BH58" s="342"/>
      <c r="BI58" s="342"/>
      <c r="BJ58" s="1337"/>
      <c r="BK58" s="1338"/>
      <c r="BL58" s="1338"/>
      <c r="BM58" s="1338"/>
      <c r="BN58" s="1338"/>
      <c r="BO58" s="1339"/>
      <c r="BP58" s="255"/>
      <c r="BQ58" s="255"/>
      <c r="BR58" s="255"/>
    </row>
    <row r="59" spans="1:70" ht="15" customHeight="1">
      <c r="A59" s="1304">
        <v>2.1</v>
      </c>
      <c r="B59" s="1161" t="s">
        <v>322</v>
      </c>
      <c r="C59" s="1162"/>
      <c r="D59" s="1162"/>
      <c r="E59" s="1162"/>
      <c r="F59" s="1162"/>
      <c r="G59" s="1199"/>
      <c r="H59" s="1268" t="str">
        <f t="shared" ref="H59" si="37">IF(ISBLANK(T$3),"",1)</f>
        <v/>
      </c>
      <c r="I59" s="1205" t="str">
        <f t="shared" ref="I59" si="38">IF(ISBLANK(X$3),"",1)</f>
        <v/>
      </c>
      <c r="J59" s="1205" t="str">
        <f t="shared" ref="J59" si="39">IF(ISBLANK(AB$3),"",1)</f>
        <v/>
      </c>
      <c r="K59" s="1205" t="str">
        <f t="shared" ref="K59" si="40">IF(ISBLANK(AF$3),"",1)</f>
        <v/>
      </c>
      <c r="L59" s="1621"/>
      <c r="M59" s="1621"/>
      <c r="N59" s="1838">
        <v>4.3</v>
      </c>
      <c r="O59" s="1684" t="s">
        <v>348</v>
      </c>
      <c r="P59" s="1684"/>
      <c r="Q59" s="1684"/>
      <c r="R59" s="1684"/>
      <c r="S59" s="1684"/>
      <c r="T59" s="1684"/>
      <c r="U59" s="1342" t="str">
        <f>IF(ISBLANK(T$3),"",1)</f>
        <v/>
      </c>
      <c r="V59" s="1258">
        <v>4.3</v>
      </c>
      <c r="W59" s="1684" t="s">
        <v>321</v>
      </c>
      <c r="X59" s="1684"/>
      <c r="Y59" s="1684"/>
      <c r="Z59" s="1684"/>
      <c r="AA59" s="1684"/>
      <c r="AB59" s="1684"/>
      <c r="AC59" s="1342" t="str">
        <f>IF(ISBLANK(X$3),"",1)</f>
        <v/>
      </c>
      <c r="AD59" s="1258">
        <v>4.4000000000000004</v>
      </c>
      <c r="AE59" s="1684" t="s">
        <v>347</v>
      </c>
      <c r="AF59" s="1684"/>
      <c r="AG59" s="1684"/>
      <c r="AH59" s="1684"/>
      <c r="AI59" s="1684"/>
      <c r="AJ59" s="1684"/>
      <c r="AK59" s="1342" t="str">
        <f t="shared" ref="AK59" si="41">IF(ISBLANK(AB$3),"",1)</f>
        <v/>
      </c>
      <c r="AL59" s="1566">
        <v>4.4000000000000004</v>
      </c>
      <c r="AM59" s="1684" t="s">
        <v>349</v>
      </c>
      <c r="AN59" s="1684"/>
      <c r="AO59" s="1684"/>
      <c r="AP59" s="1684"/>
      <c r="AQ59" s="1684"/>
      <c r="AR59" s="1684"/>
      <c r="AS59" s="1342" t="str">
        <f t="shared" ref="AS59" si="42">IF(ISBLANK(AF$3),"",1)</f>
        <v/>
      </c>
      <c r="AT59" s="331"/>
      <c r="AU59" s="331"/>
      <c r="AV59" s="331"/>
      <c r="AW59" s="331"/>
      <c r="AX59" s="331"/>
      <c r="AY59" s="331"/>
      <c r="AZ59" s="331"/>
      <c r="BA59" s="331"/>
      <c r="BB59" s="331"/>
      <c r="BC59" s="331"/>
      <c r="BD59" s="331"/>
      <c r="BE59" s="331"/>
      <c r="BF59" s="331"/>
      <c r="BG59" s="331"/>
      <c r="BH59" s="331"/>
      <c r="BI59" s="331"/>
      <c r="BJ59" s="1337"/>
      <c r="BK59" s="1338"/>
      <c r="BL59" s="1338"/>
      <c r="BM59" s="1338"/>
      <c r="BN59" s="1338"/>
      <c r="BO59" s="1339"/>
      <c r="BP59" s="255"/>
      <c r="BQ59" s="255"/>
      <c r="BR59" s="255"/>
    </row>
    <row r="60" spans="1:70" ht="15" customHeight="1">
      <c r="A60" s="1290"/>
      <c r="B60" s="1163"/>
      <c r="C60" s="1164"/>
      <c r="D60" s="1164"/>
      <c r="E60" s="1164"/>
      <c r="F60" s="1164"/>
      <c r="G60" s="1201"/>
      <c r="H60" s="1269"/>
      <c r="I60" s="1206"/>
      <c r="J60" s="1206"/>
      <c r="K60" s="1206"/>
      <c r="L60" s="1621"/>
      <c r="M60" s="1621"/>
      <c r="N60" s="1838"/>
      <c r="O60" s="1684"/>
      <c r="P60" s="1684"/>
      <c r="Q60" s="1684"/>
      <c r="R60" s="1684"/>
      <c r="S60" s="1684"/>
      <c r="T60" s="1684"/>
      <c r="U60" s="1342"/>
      <c r="V60" s="1258"/>
      <c r="W60" s="1684"/>
      <c r="X60" s="1684"/>
      <c r="Y60" s="1684"/>
      <c r="Z60" s="1684"/>
      <c r="AA60" s="1684"/>
      <c r="AB60" s="1684"/>
      <c r="AC60" s="1342"/>
      <c r="AD60" s="1258"/>
      <c r="AE60" s="1684"/>
      <c r="AF60" s="1684"/>
      <c r="AG60" s="1684"/>
      <c r="AH60" s="1684"/>
      <c r="AI60" s="1684"/>
      <c r="AJ60" s="1684"/>
      <c r="AK60" s="1342"/>
      <c r="AL60" s="1566"/>
      <c r="AM60" s="1684"/>
      <c r="AN60" s="1684"/>
      <c r="AO60" s="1684"/>
      <c r="AP60" s="1684"/>
      <c r="AQ60" s="1684"/>
      <c r="AR60" s="1684"/>
      <c r="AS60" s="1342"/>
      <c r="AT60" s="331"/>
      <c r="AU60" s="331"/>
      <c r="AV60" s="331"/>
      <c r="AW60" s="331"/>
      <c r="AX60" s="331"/>
      <c r="AY60" s="331"/>
      <c r="AZ60" s="331"/>
      <c r="BA60" s="331"/>
      <c r="BB60" s="331"/>
      <c r="BC60" s="331"/>
      <c r="BD60" s="331"/>
      <c r="BE60" s="331"/>
      <c r="BF60" s="331"/>
      <c r="BG60" s="331"/>
      <c r="BH60" s="331"/>
      <c r="BI60" s="331"/>
      <c r="BJ60" s="1337"/>
      <c r="BK60" s="1338"/>
      <c r="BL60" s="1338"/>
      <c r="BM60" s="1338"/>
      <c r="BN60" s="1338"/>
      <c r="BO60" s="1339"/>
      <c r="BP60" s="255"/>
      <c r="BQ60" s="255"/>
      <c r="BR60" s="255"/>
    </row>
    <row r="61" spans="1:70" ht="15" customHeight="1">
      <c r="A61" s="1291"/>
      <c r="B61" s="1165"/>
      <c r="C61" s="1166"/>
      <c r="D61" s="1166"/>
      <c r="E61" s="1166"/>
      <c r="F61" s="1166"/>
      <c r="G61" s="1292"/>
      <c r="H61" s="1270"/>
      <c r="I61" s="1207"/>
      <c r="J61" s="1207"/>
      <c r="K61" s="1207"/>
      <c r="L61" s="1621"/>
      <c r="M61" s="1621"/>
      <c r="N61" s="1838"/>
      <c r="O61" s="1684"/>
      <c r="P61" s="1684"/>
      <c r="Q61" s="1684"/>
      <c r="R61" s="1684"/>
      <c r="S61" s="1684"/>
      <c r="T61" s="1684"/>
      <c r="U61" s="1342"/>
      <c r="V61" s="1258"/>
      <c r="W61" s="1684"/>
      <c r="X61" s="1684"/>
      <c r="Y61" s="1684"/>
      <c r="Z61" s="1684"/>
      <c r="AA61" s="1684"/>
      <c r="AB61" s="1684"/>
      <c r="AC61" s="1342"/>
      <c r="AD61" s="1258"/>
      <c r="AE61" s="1684"/>
      <c r="AF61" s="1684"/>
      <c r="AG61" s="1684"/>
      <c r="AH61" s="1684"/>
      <c r="AI61" s="1684"/>
      <c r="AJ61" s="1684"/>
      <c r="AK61" s="1342"/>
      <c r="AL61" s="1566"/>
      <c r="AM61" s="1684"/>
      <c r="AN61" s="1684"/>
      <c r="AO61" s="1684"/>
      <c r="AP61" s="1684"/>
      <c r="AQ61" s="1684"/>
      <c r="AR61" s="1684"/>
      <c r="AS61" s="1342"/>
      <c r="AT61" s="331"/>
      <c r="AU61" s="331"/>
      <c r="AV61" s="331"/>
      <c r="AW61" s="331"/>
      <c r="AX61" s="331"/>
      <c r="AY61" s="331"/>
      <c r="AZ61" s="331"/>
      <c r="BA61" s="331"/>
      <c r="BB61" s="331"/>
      <c r="BC61" s="331"/>
      <c r="BD61" s="331"/>
      <c r="BE61" s="331"/>
      <c r="BF61" s="331"/>
      <c r="BG61" s="331"/>
      <c r="BH61" s="331"/>
      <c r="BI61" s="331"/>
      <c r="BJ61" s="1337"/>
      <c r="BK61" s="1338"/>
      <c r="BL61" s="1338"/>
      <c r="BM61" s="1338"/>
      <c r="BN61" s="1338"/>
      <c r="BO61" s="1339"/>
      <c r="BP61" s="255"/>
      <c r="BQ61" s="255"/>
      <c r="BR61" s="255"/>
    </row>
    <row r="62" spans="1:70" ht="15" customHeight="1">
      <c r="A62" s="1307">
        <v>1.1000000000000001</v>
      </c>
      <c r="B62" s="1161" t="s">
        <v>940</v>
      </c>
      <c r="C62" s="1162"/>
      <c r="D62" s="1162"/>
      <c r="E62" s="1162"/>
      <c r="F62" s="1162"/>
      <c r="G62" s="1199"/>
      <c r="H62" s="1268" t="str">
        <f t="shared" ref="H62" si="43">IF(ISBLANK(T$3),"",1)</f>
        <v/>
      </c>
      <c r="I62" s="1205" t="str">
        <f t="shared" ref="I62" si="44">IF(ISBLANK(X$3),"",1)</f>
        <v/>
      </c>
      <c r="J62" s="1205" t="str">
        <f t="shared" ref="J62" si="45">IF(ISBLANK(AB$3),"",1)</f>
        <v/>
      </c>
      <c r="K62" s="1205" t="str">
        <f t="shared" ref="K62" si="46">IF(ISBLANK(AF$3),"",1)</f>
        <v/>
      </c>
      <c r="L62" s="1621"/>
      <c r="M62" s="1621"/>
      <c r="N62" s="1833">
        <v>2.1</v>
      </c>
      <c r="O62" s="1684" t="s">
        <v>350</v>
      </c>
      <c r="P62" s="1684"/>
      <c r="Q62" s="1684"/>
      <c r="R62" s="1684"/>
      <c r="S62" s="1684"/>
      <c r="T62" s="1684"/>
      <c r="U62" s="1342" t="str">
        <f>IF(ISBLANK(T$3),"",1)</f>
        <v/>
      </c>
      <c r="V62" s="1258">
        <v>4.4000000000000004</v>
      </c>
      <c r="W62" s="1684" t="s">
        <v>351</v>
      </c>
      <c r="X62" s="1684"/>
      <c r="Y62" s="1684"/>
      <c r="Z62" s="1684"/>
      <c r="AA62" s="1684"/>
      <c r="AB62" s="1684"/>
      <c r="AC62" s="1342" t="str">
        <f>IF(ISBLANK(X$3),"",1)</f>
        <v/>
      </c>
      <c r="AD62" s="1194">
        <v>2.4</v>
      </c>
      <c r="AE62" s="1684" t="s">
        <v>649</v>
      </c>
      <c r="AF62" s="1684"/>
      <c r="AG62" s="1684"/>
      <c r="AH62" s="1684"/>
      <c r="AI62" s="1684"/>
      <c r="AJ62" s="1684"/>
      <c r="AK62" s="1342" t="str">
        <f t="shared" ref="AK62" si="47">IF(ISBLANK(AB$3),"",1)</f>
        <v/>
      </c>
      <c r="AL62" s="1566">
        <v>4.4000000000000004</v>
      </c>
      <c r="AM62" s="1684" t="s">
        <v>354</v>
      </c>
      <c r="AN62" s="1684"/>
      <c r="AO62" s="1684"/>
      <c r="AP62" s="1684"/>
      <c r="AQ62" s="1684"/>
      <c r="AR62" s="1684"/>
      <c r="AS62" s="1342" t="str">
        <f t="shared" ref="AS62" si="48">IF(ISBLANK(AF$3),"",1)</f>
        <v/>
      </c>
      <c r="AT62" s="342"/>
      <c r="AU62" s="342"/>
      <c r="AV62" s="342"/>
      <c r="AW62" s="342"/>
      <c r="AX62" s="342"/>
      <c r="AY62" s="342"/>
      <c r="AZ62" s="342"/>
      <c r="BA62" s="342"/>
      <c r="BB62" s="342"/>
      <c r="BC62" s="342"/>
      <c r="BD62" s="342"/>
      <c r="BE62" s="342"/>
      <c r="BF62" s="342"/>
      <c r="BG62" s="342"/>
      <c r="BH62" s="342"/>
      <c r="BI62" s="342"/>
      <c r="BJ62" s="1337"/>
      <c r="BK62" s="1338"/>
      <c r="BL62" s="1338"/>
      <c r="BM62" s="1338"/>
      <c r="BN62" s="1338"/>
      <c r="BO62" s="1339"/>
      <c r="BP62" s="255"/>
      <c r="BQ62" s="255"/>
      <c r="BR62" s="255"/>
    </row>
    <row r="63" spans="1:70" ht="15" customHeight="1">
      <c r="A63" s="1308"/>
      <c r="B63" s="1163"/>
      <c r="C63" s="1164"/>
      <c r="D63" s="1164"/>
      <c r="E63" s="1164"/>
      <c r="F63" s="1164"/>
      <c r="G63" s="1201"/>
      <c r="H63" s="1269"/>
      <c r="I63" s="1206"/>
      <c r="J63" s="1206"/>
      <c r="K63" s="1206"/>
      <c r="L63" s="1621"/>
      <c r="M63" s="1621"/>
      <c r="N63" s="1833"/>
      <c r="O63" s="1684"/>
      <c r="P63" s="1684"/>
      <c r="Q63" s="1684"/>
      <c r="R63" s="1684"/>
      <c r="S63" s="1684"/>
      <c r="T63" s="1684"/>
      <c r="U63" s="1342"/>
      <c r="V63" s="1258"/>
      <c r="W63" s="1684"/>
      <c r="X63" s="1684"/>
      <c r="Y63" s="1684"/>
      <c r="Z63" s="1684"/>
      <c r="AA63" s="1684"/>
      <c r="AB63" s="1684"/>
      <c r="AC63" s="1342"/>
      <c r="AD63" s="1194"/>
      <c r="AE63" s="1684"/>
      <c r="AF63" s="1684"/>
      <c r="AG63" s="1684"/>
      <c r="AH63" s="1684"/>
      <c r="AI63" s="1684"/>
      <c r="AJ63" s="1684"/>
      <c r="AK63" s="1342"/>
      <c r="AL63" s="1566"/>
      <c r="AM63" s="1684"/>
      <c r="AN63" s="1684"/>
      <c r="AO63" s="1684"/>
      <c r="AP63" s="1684"/>
      <c r="AQ63" s="1684"/>
      <c r="AR63" s="1684"/>
      <c r="AS63" s="1342"/>
      <c r="AT63" s="342"/>
      <c r="AU63" s="342"/>
      <c r="AV63" s="342"/>
      <c r="AW63" s="342"/>
      <c r="AX63" s="342"/>
      <c r="AY63" s="342"/>
      <c r="AZ63" s="342"/>
      <c r="BA63" s="342"/>
      <c r="BB63" s="342"/>
      <c r="BC63" s="342"/>
      <c r="BD63" s="342"/>
      <c r="BE63" s="342"/>
      <c r="BF63" s="342"/>
      <c r="BG63" s="342"/>
      <c r="BH63" s="342"/>
      <c r="BI63" s="342"/>
      <c r="BJ63" s="1337"/>
      <c r="BK63" s="1338"/>
      <c r="BL63" s="1338"/>
      <c r="BM63" s="1338"/>
      <c r="BN63" s="1338"/>
      <c r="BO63" s="1339"/>
      <c r="BP63" s="255"/>
      <c r="BQ63" s="255"/>
      <c r="BR63" s="255"/>
    </row>
    <row r="64" spans="1:70" ht="15" customHeight="1" thickBot="1">
      <c r="A64" s="1309"/>
      <c r="B64" s="1165"/>
      <c r="C64" s="1166"/>
      <c r="D64" s="1166"/>
      <c r="E64" s="1166"/>
      <c r="F64" s="1166"/>
      <c r="G64" s="1292"/>
      <c r="H64" s="1270"/>
      <c r="I64" s="1207"/>
      <c r="J64" s="1207"/>
      <c r="K64" s="1207"/>
      <c r="L64" s="1621"/>
      <c r="M64" s="1621"/>
      <c r="N64" s="1833"/>
      <c r="O64" s="1684"/>
      <c r="P64" s="1684"/>
      <c r="Q64" s="1684"/>
      <c r="R64" s="1684"/>
      <c r="S64" s="1684"/>
      <c r="T64" s="1684"/>
      <c r="U64" s="1342"/>
      <c r="V64" s="1258"/>
      <c r="W64" s="1684"/>
      <c r="X64" s="1684"/>
      <c r="Y64" s="1684"/>
      <c r="Z64" s="1684"/>
      <c r="AA64" s="1684"/>
      <c r="AB64" s="1684"/>
      <c r="AC64" s="1342"/>
      <c r="AD64" s="1194"/>
      <c r="AE64" s="1684"/>
      <c r="AF64" s="1684"/>
      <c r="AG64" s="1684"/>
      <c r="AH64" s="1684"/>
      <c r="AI64" s="1684"/>
      <c r="AJ64" s="1684"/>
      <c r="AK64" s="1342"/>
      <c r="AL64" s="1566"/>
      <c r="AM64" s="1684"/>
      <c r="AN64" s="1684"/>
      <c r="AO64" s="1684"/>
      <c r="AP64" s="1684"/>
      <c r="AQ64" s="1684"/>
      <c r="AR64" s="1684"/>
      <c r="AS64" s="1342"/>
      <c r="AT64" s="342"/>
      <c r="AU64" s="342"/>
      <c r="AV64" s="342"/>
      <c r="AW64" s="342"/>
      <c r="AX64" s="342"/>
      <c r="AY64" s="342"/>
      <c r="AZ64" s="342"/>
      <c r="BA64" s="342"/>
      <c r="BB64" s="342"/>
      <c r="BC64" s="342"/>
      <c r="BD64" s="342"/>
      <c r="BE64" s="342"/>
      <c r="BF64" s="342"/>
      <c r="BG64" s="342"/>
      <c r="BH64" s="342"/>
      <c r="BI64" s="342"/>
      <c r="BJ64" s="1337"/>
      <c r="BK64" s="1338"/>
      <c r="BL64" s="1338"/>
      <c r="BM64" s="1338"/>
      <c r="BN64" s="1338"/>
      <c r="BO64" s="1339"/>
      <c r="BP64" s="255"/>
      <c r="BQ64" s="255"/>
      <c r="BR64" s="255"/>
    </row>
    <row r="65" spans="1:70" ht="15" customHeight="1">
      <c r="A65" s="1307">
        <v>1.1000000000000001</v>
      </c>
      <c r="B65" s="1161" t="s">
        <v>330</v>
      </c>
      <c r="C65" s="1162"/>
      <c r="D65" s="1162"/>
      <c r="E65" s="1162"/>
      <c r="F65" s="1162"/>
      <c r="G65" s="1199"/>
      <c r="H65" s="1268" t="str">
        <f t="shared" ref="H65" si="49">IF(ISBLANK(T$3),"",1)</f>
        <v/>
      </c>
      <c r="I65" s="1205" t="str">
        <f t="shared" ref="I65" si="50">IF(ISBLANK(X$3),"",1)</f>
        <v/>
      </c>
      <c r="J65" s="1205" t="str">
        <f t="shared" ref="J65" si="51">IF(ISBLANK(AB$3),"",1)</f>
        <v/>
      </c>
      <c r="K65" s="1205" t="str">
        <f t="shared" ref="K65" si="52">IF(ISBLANK(AF$3),"",1)</f>
        <v/>
      </c>
      <c r="L65" s="1621"/>
      <c r="M65" s="1621"/>
      <c r="N65" s="256"/>
      <c r="O65" s="256"/>
      <c r="P65" s="256"/>
      <c r="Q65" s="256"/>
      <c r="R65" s="256"/>
      <c r="S65" s="338">
        <v>1.5</v>
      </c>
      <c r="T65" s="312">
        <f>COUNTIF($N$50:$N$64,S65)</f>
        <v>1</v>
      </c>
      <c r="U65" s="341" t="str">
        <f>IF($T$3=1,SUMIF($N$50:$N$64,S65,$U$50:$U$64),"")</f>
        <v/>
      </c>
      <c r="V65" s="1258">
        <v>4.4000000000000004</v>
      </c>
      <c r="W65" s="1684" t="s">
        <v>383</v>
      </c>
      <c r="X65" s="1684"/>
      <c r="Y65" s="1684"/>
      <c r="Z65" s="1684"/>
      <c r="AA65" s="1684"/>
      <c r="AB65" s="1684"/>
      <c r="AC65" s="1342" t="str">
        <f>IF(ISBLANK(X$3),"",1)</f>
        <v/>
      </c>
      <c r="AD65" s="1258">
        <v>4.3</v>
      </c>
      <c r="AE65" s="1684" t="s">
        <v>650</v>
      </c>
      <c r="AF65" s="1684"/>
      <c r="AG65" s="1684"/>
      <c r="AH65" s="1684"/>
      <c r="AI65" s="1684"/>
      <c r="AJ65" s="1684"/>
      <c r="AK65" s="1342" t="str">
        <f t="shared" ref="AK65" si="53">IF(ISBLANK(AB$3),"",1)</f>
        <v/>
      </c>
      <c r="AL65" s="1194">
        <v>2.4</v>
      </c>
      <c r="AM65" s="1684" t="s">
        <v>335</v>
      </c>
      <c r="AN65" s="1684"/>
      <c r="AO65" s="1684"/>
      <c r="AP65" s="1684"/>
      <c r="AQ65" s="1684"/>
      <c r="AR65" s="1684"/>
      <c r="AS65" s="1342" t="str">
        <f t="shared" ref="AS65" si="54">IF(ISBLANK(AF$3),"",1)</f>
        <v/>
      </c>
      <c r="AT65" s="342"/>
      <c r="AU65" s="342"/>
      <c r="AV65" s="342"/>
      <c r="AW65" s="342"/>
      <c r="AX65" s="342"/>
      <c r="AY65" s="342"/>
      <c r="AZ65" s="342"/>
      <c r="BA65" s="342"/>
      <c r="BB65" s="342"/>
      <c r="BC65" s="342"/>
      <c r="BD65" s="342"/>
      <c r="BE65" s="342"/>
      <c r="BF65" s="342"/>
      <c r="BG65" s="342"/>
      <c r="BH65" s="342"/>
      <c r="BI65" s="342"/>
      <c r="BJ65" s="1337"/>
      <c r="BK65" s="1338"/>
      <c r="BL65" s="1338"/>
      <c r="BM65" s="1338"/>
      <c r="BN65" s="1338"/>
      <c r="BO65" s="1339"/>
      <c r="BP65" s="255"/>
      <c r="BQ65" s="255"/>
      <c r="BR65" s="255"/>
    </row>
    <row r="66" spans="1:70" ht="15" customHeight="1">
      <c r="A66" s="1308"/>
      <c r="B66" s="1163"/>
      <c r="C66" s="1164"/>
      <c r="D66" s="1164"/>
      <c r="E66" s="1164"/>
      <c r="F66" s="1164"/>
      <c r="G66" s="1201"/>
      <c r="H66" s="1269"/>
      <c r="I66" s="1206"/>
      <c r="J66" s="1206"/>
      <c r="K66" s="1206"/>
      <c r="L66" s="1621"/>
      <c r="M66" s="1621"/>
      <c r="N66" s="256"/>
      <c r="O66" s="256"/>
      <c r="P66" s="256"/>
      <c r="Q66" s="256"/>
      <c r="R66" s="256"/>
      <c r="S66" s="337">
        <v>2.1</v>
      </c>
      <c r="T66" s="312">
        <f t="shared" ref="T66:T68" si="55">COUNTIF($N$50:$N$64,S66)</f>
        <v>1</v>
      </c>
      <c r="U66" s="341" t="str">
        <f>IF($T$3=1,SUMIF($N$50:$N$64,S66,$U$50:$U$64),"")</f>
        <v/>
      </c>
      <c r="V66" s="1258"/>
      <c r="W66" s="1684"/>
      <c r="X66" s="1684"/>
      <c r="Y66" s="1684"/>
      <c r="Z66" s="1684"/>
      <c r="AA66" s="1684"/>
      <c r="AB66" s="1684"/>
      <c r="AC66" s="1342"/>
      <c r="AD66" s="1258"/>
      <c r="AE66" s="1684"/>
      <c r="AF66" s="1684"/>
      <c r="AG66" s="1684"/>
      <c r="AH66" s="1684"/>
      <c r="AI66" s="1684"/>
      <c r="AJ66" s="1684"/>
      <c r="AK66" s="1342"/>
      <c r="AL66" s="1194"/>
      <c r="AM66" s="1684"/>
      <c r="AN66" s="1684"/>
      <c r="AO66" s="1684"/>
      <c r="AP66" s="1684"/>
      <c r="AQ66" s="1684"/>
      <c r="AR66" s="1684"/>
      <c r="AS66" s="1342"/>
      <c r="AT66" s="342"/>
      <c r="AU66" s="342"/>
      <c r="AV66" s="342"/>
      <c r="AW66" s="342"/>
      <c r="AX66" s="342"/>
      <c r="AY66" s="342"/>
      <c r="AZ66" s="342"/>
      <c r="BA66" s="342"/>
      <c r="BB66" s="342"/>
      <c r="BC66" s="342"/>
      <c r="BD66" s="342"/>
      <c r="BE66" s="342"/>
      <c r="BF66" s="342"/>
      <c r="BG66" s="342"/>
      <c r="BH66" s="342"/>
      <c r="BI66" s="342"/>
      <c r="BJ66" s="1337"/>
      <c r="BK66" s="1338"/>
      <c r="BL66" s="1338"/>
      <c r="BM66" s="1338"/>
      <c r="BN66" s="1338"/>
      <c r="BO66" s="1339"/>
      <c r="BP66" s="255"/>
      <c r="BQ66" s="255"/>
      <c r="BR66" s="255"/>
    </row>
    <row r="67" spans="1:70" ht="15" customHeight="1">
      <c r="A67" s="1309"/>
      <c r="B67" s="1165"/>
      <c r="C67" s="1166"/>
      <c r="D67" s="1166"/>
      <c r="E67" s="1166"/>
      <c r="F67" s="1166"/>
      <c r="G67" s="1292"/>
      <c r="H67" s="1270"/>
      <c r="I67" s="1207"/>
      <c r="J67" s="1207"/>
      <c r="K67" s="1207"/>
      <c r="L67" s="1621"/>
      <c r="M67" s="1621"/>
      <c r="N67" s="256"/>
      <c r="O67" s="256"/>
      <c r="P67" s="256"/>
      <c r="Q67" s="256"/>
      <c r="R67" s="256"/>
      <c r="S67" s="335">
        <v>4.3</v>
      </c>
      <c r="T67" s="312">
        <f t="shared" si="55"/>
        <v>1</v>
      </c>
      <c r="U67" s="341" t="str">
        <f>IF($T$3=1,SUMIF($N$50:$N$64,S67,$U$50:$U$64),"")</f>
        <v/>
      </c>
      <c r="V67" s="1258"/>
      <c r="W67" s="1684"/>
      <c r="X67" s="1684"/>
      <c r="Y67" s="1684"/>
      <c r="Z67" s="1684"/>
      <c r="AA67" s="1684"/>
      <c r="AB67" s="1684"/>
      <c r="AC67" s="1342"/>
      <c r="AD67" s="1258"/>
      <c r="AE67" s="1684"/>
      <c r="AF67" s="1684"/>
      <c r="AG67" s="1684"/>
      <c r="AH67" s="1684"/>
      <c r="AI67" s="1684"/>
      <c r="AJ67" s="1684"/>
      <c r="AK67" s="1342"/>
      <c r="AL67" s="1304"/>
      <c r="AM67" s="1782"/>
      <c r="AN67" s="1782"/>
      <c r="AO67" s="1782"/>
      <c r="AP67" s="1782"/>
      <c r="AQ67" s="1782"/>
      <c r="AR67" s="1782"/>
      <c r="AS67" s="1342"/>
      <c r="AT67" s="342"/>
      <c r="AU67" s="342"/>
      <c r="AV67" s="342"/>
      <c r="AW67" s="342"/>
      <c r="AX67" s="342"/>
      <c r="AY67" s="342"/>
      <c r="AZ67" s="342"/>
      <c r="BA67" s="342"/>
      <c r="BB67" s="342"/>
      <c r="BC67" s="342"/>
      <c r="BD67" s="342"/>
      <c r="BE67" s="342"/>
      <c r="BF67" s="342"/>
      <c r="BG67" s="342"/>
      <c r="BH67" s="342"/>
      <c r="BI67" s="342"/>
      <c r="BJ67" s="1337"/>
      <c r="BK67" s="1338"/>
      <c r="BL67" s="1338"/>
      <c r="BM67" s="1338"/>
      <c r="BN67" s="1338"/>
      <c r="BO67" s="1339"/>
      <c r="BP67" s="255"/>
      <c r="BQ67" s="255"/>
      <c r="BR67" s="255"/>
    </row>
    <row r="68" spans="1:70" ht="15" customHeight="1">
      <c r="A68" s="1304">
        <v>1.5</v>
      </c>
      <c r="B68" s="1161" t="s">
        <v>336</v>
      </c>
      <c r="C68" s="1162"/>
      <c r="D68" s="1162"/>
      <c r="E68" s="1162"/>
      <c r="F68" s="1162"/>
      <c r="G68" s="1199"/>
      <c r="H68" s="1268" t="str">
        <f t="shared" ref="H68" si="56">IF(ISBLANK(T$3),"",1)</f>
        <v/>
      </c>
      <c r="I68" s="1205" t="str">
        <f t="shared" ref="I68" si="57">IF(ISBLANK(X$3),"",1)</f>
        <v/>
      </c>
      <c r="J68" s="1205" t="str">
        <f t="shared" ref="J68" si="58">IF(ISBLANK(AB$3),"",1)</f>
        <v/>
      </c>
      <c r="K68" s="1205" t="str">
        <f t="shared" ref="K68" si="59">IF(ISBLANK(AF$3),"",1)</f>
        <v/>
      </c>
      <c r="L68" s="1621"/>
      <c r="M68" s="1621"/>
      <c r="N68" s="256"/>
      <c r="O68" s="256"/>
      <c r="P68" s="256"/>
      <c r="Q68" s="256"/>
      <c r="R68" s="256"/>
      <c r="S68" s="336">
        <v>4.4000000000000004</v>
      </c>
      <c r="T68" s="312">
        <f t="shared" si="55"/>
        <v>2</v>
      </c>
      <c r="U68" s="341" t="str">
        <f>IF($T$3=1,SUMIF($N$50:$N$64,S68,$U$50:$U$64),"")</f>
        <v/>
      </c>
      <c r="V68" s="1194">
        <v>2.4</v>
      </c>
      <c r="W68" s="1684" t="s">
        <v>877</v>
      </c>
      <c r="X68" s="1684"/>
      <c r="Y68" s="1684"/>
      <c r="Z68" s="1684"/>
      <c r="AA68" s="1684"/>
      <c r="AB68" s="1684"/>
      <c r="AC68" s="1342" t="str">
        <f>IF(ISBLANK(X$3),"",1)</f>
        <v/>
      </c>
      <c r="AD68" s="1566">
        <v>4.4000000000000004</v>
      </c>
      <c r="AE68" s="1684" t="s">
        <v>651</v>
      </c>
      <c r="AF68" s="1684"/>
      <c r="AG68" s="1684"/>
      <c r="AH68" s="1684"/>
      <c r="AI68" s="1684"/>
      <c r="AJ68" s="1684"/>
      <c r="AK68" s="1342" t="str">
        <f t="shared" ref="AK68" si="60">IF(ISBLANK(AB$3),"",1)</f>
        <v/>
      </c>
      <c r="AL68" s="1576">
        <v>2.4</v>
      </c>
      <c r="AM68" s="1834" t="s">
        <v>337</v>
      </c>
      <c r="AN68" s="1834"/>
      <c r="AO68" s="1834"/>
      <c r="AP68" s="1834"/>
      <c r="AQ68" s="1834"/>
      <c r="AR68" s="1834"/>
      <c r="AS68" s="1342" t="str">
        <f t="shared" ref="AS68" si="61">IF(ISBLANK(AF$3),"",1)</f>
        <v/>
      </c>
      <c r="AT68" s="342"/>
      <c r="AU68" s="342"/>
      <c r="AV68" s="342"/>
      <c r="AW68" s="342"/>
      <c r="AX68" s="342"/>
      <c r="AY68" s="342"/>
      <c r="AZ68" s="342"/>
      <c r="BA68" s="342"/>
      <c r="BB68" s="342"/>
      <c r="BC68" s="342"/>
      <c r="BD68" s="342"/>
      <c r="BE68" s="342"/>
      <c r="BF68" s="342"/>
      <c r="BG68" s="342"/>
      <c r="BH68" s="342"/>
      <c r="BI68" s="342"/>
      <c r="BJ68" s="1337"/>
      <c r="BK68" s="1338"/>
      <c r="BL68" s="1338"/>
      <c r="BM68" s="1338"/>
      <c r="BN68" s="1338"/>
      <c r="BO68" s="1339"/>
      <c r="BP68" s="255"/>
      <c r="BQ68" s="255"/>
      <c r="BR68" s="255"/>
    </row>
    <row r="69" spans="1:70" ht="15" customHeight="1">
      <c r="A69" s="1290"/>
      <c r="B69" s="1163"/>
      <c r="C69" s="1164"/>
      <c r="D69" s="1164"/>
      <c r="E69" s="1164"/>
      <c r="F69" s="1164"/>
      <c r="G69" s="1201"/>
      <c r="H69" s="1269"/>
      <c r="I69" s="1206"/>
      <c r="J69" s="1206"/>
      <c r="K69" s="1206"/>
      <c r="L69" s="1621"/>
      <c r="M69" s="1621"/>
      <c r="N69" s="256"/>
      <c r="O69" s="256"/>
      <c r="P69" s="256"/>
      <c r="Q69" s="256"/>
      <c r="R69" s="256"/>
      <c r="S69" s="256"/>
      <c r="T69" s="256"/>
      <c r="U69" s="256"/>
      <c r="V69" s="1194"/>
      <c r="W69" s="1684"/>
      <c r="X69" s="1684"/>
      <c r="Y69" s="1684"/>
      <c r="Z69" s="1684"/>
      <c r="AA69" s="1684"/>
      <c r="AB69" s="1684"/>
      <c r="AC69" s="1342"/>
      <c r="AD69" s="1566"/>
      <c r="AE69" s="1684"/>
      <c r="AF69" s="1684"/>
      <c r="AG69" s="1684"/>
      <c r="AH69" s="1684"/>
      <c r="AI69" s="1684"/>
      <c r="AJ69" s="1684"/>
      <c r="AK69" s="1342"/>
      <c r="AL69" s="1576"/>
      <c r="AM69" s="1835"/>
      <c r="AN69" s="1835"/>
      <c r="AO69" s="1835"/>
      <c r="AP69" s="1835"/>
      <c r="AQ69" s="1835"/>
      <c r="AR69" s="1835"/>
      <c r="AS69" s="1342"/>
      <c r="AT69" s="342"/>
      <c r="AU69" s="342"/>
      <c r="AV69" s="342"/>
      <c r="AW69" s="342"/>
      <c r="AX69" s="342"/>
      <c r="AY69" s="342"/>
      <c r="AZ69" s="342"/>
      <c r="BA69" s="342"/>
      <c r="BB69" s="342"/>
      <c r="BC69" s="342"/>
      <c r="BD69" s="342"/>
      <c r="BE69" s="342"/>
      <c r="BF69" s="342"/>
      <c r="BG69" s="342"/>
      <c r="BH69" s="342"/>
      <c r="BI69" s="342"/>
      <c r="BJ69" s="1337"/>
      <c r="BK69" s="1338"/>
      <c r="BL69" s="1338"/>
      <c r="BM69" s="1338"/>
      <c r="BN69" s="1338"/>
      <c r="BO69" s="1339"/>
      <c r="BP69" s="255"/>
      <c r="BQ69" s="255"/>
      <c r="BR69" s="255"/>
    </row>
    <row r="70" spans="1:70" ht="15" customHeight="1">
      <c r="A70" s="1291"/>
      <c r="B70" s="1165"/>
      <c r="C70" s="1166"/>
      <c r="D70" s="1166"/>
      <c r="E70" s="1166"/>
      <c r="F70" s="1166"/>
      <c r="G70" s="1292"/>
      <c r="H70" s="1270"/>
      <c r="I70" s="1207"/>
      <c r="J70" s="1207"/>
      <c r="K70" s="1207"/>
      <c r="L70" s="1621"/>
      <c r="M70" s="1621"/>
      <c r="N70" s="256"/>
      <c r="O70" s="256"/>
      <c r="P70" s="256"/>
      <c r="Q70" s="256"/>
      <c r="R70" s="256"/>
      <c r="S70" s="256"/>
      <c r="T70" s="256"/>
      <c r="U70" s="256"/>
      <c r="V70" s="1194"/>
      <c r="W70" s="1684"/>
      <c r="X70" s="1684"/>
      <c r="Y70" s="1684"/>
      <c r="Z70" s="1684"/>
      <c r="AA70" s="1684"/>
      <c r="AB70" s="1684"/>
      <c r="AC70" s="1342"/>
      <c r="AD70" s="1566"/>
      <c r="AE70" s="1684"/>
      <c r="AF70" s="1684"/>
      <c r="AG70" s="1684"/>
      <c r="AH70" s="1684"/>
      <c r="AI70" s="1684"/>
      <c r="AJ70" s="1684"/>
      <c r="AK70" s="1342"/>
      <c r="AL70" s="1576"/>
      <c r="AM70" s="1836"/>
      <c r="AN70" s="1836"/>
      <c r="AO70" s="1836"/>
      <c r="AP70" s="1836"/>
      <c r="AQ70" s="1836"/>
      <c r="AR70" s="1836"/>
      <c r="AS70" s="1342"/>
      <c r="AT70" s="342"/>
      <c r="AU70" s="342"/>
      <c r="AV70" s="342"/>
      <c r="AW70" s="342"/>
      <c r="AX70" s="342"/>
      <c r="AY70" s="342"/>
      <c r="AZ70" s="342"/>
      <c r="BA70" s="342"/>
      <c r="BB70" s="342"/>
      <c r="BC70" s="342"/>
      <c r="BD70" s="342"/>
      <c r="BE70" s="342"/>
      <c r="BF70" s="342"/>
      <c r="BG70" s="342"/>
      <c r="BH70" s="342"/>
      <c r="BI70" s="342"/>
      <c r="BJ70" s="1337"/>
      <c r="BK70" s="1338"/>
      <c r="BL70" s="1338"/>
      <c r="BM70" s="1338"/>
      <c r="BN70" s="1338"/>
      <c r="BO70" s="1339"/>
      <c r="BP70" s="255"/>
      <c r="BQ70" s="255"/>
      <c r="BR70" s="255"/>
    </row>
    <row r="71" spans="1:70" ht="15" customHeight="1">
      <c r="A71" s="1304">
        <v>2.1</v>
      </c>
      <c r="B71" s="1161" t="s">
        <v>360</v>
      </c>
      <c r="C71" s="1162"/>
      <c r="D71" s="1162"/>
      <c r="E71" s="1162"/>
      <c r="F71" s="1162"/>
      <c r="G71" s="1199"/>
      <c r="H71" s="1268" t="str">
        <f t="shared" ref="H71" si="62">IF(ISBLANK(T$3),"",1)</f>
        <v/>
      </c>
      <c r="I71" s="1205" t="str">
        <f t="shared" ref="I71" si="63">IF(ISBLANK(X$3),"",1)</f>
        <v/>
      </c>
      <c r="J71" s="1205" t="str">
        <f t="shared" ref="J71" si="64">IF(ISBLANK(AB$3),"",1)</f>
        <v/>
      </c>
      <c r="K71" s="1205" t="str">
        <f t="shared" ref="K71" si="65">IF(ISBLANK(AF$3),"",1)</f>
        <v/>
      </c>
      <c r="L71" s="1621"/>
      <c r="M71" s="1621"/>
      <c r="N71" s="256"/>
      <c r="O71" s="256"/>
      <c r="P71" s="256"/>
      <c r="Q71" s="256"/>
      <c r="R71" s="256"/>
      <c r="S71" s="256"/>
      <c r="T71" s="256"/>
      <c r="U71" s="256"/>
      <c r="V71" s="1258">
        <v>4.3</v>
      </c>
      <c r="W71" s="1684" t="s">
        <v>364</v>
      </c>
      <c r="X71" s="1684"/>
      <c r="Y71" s="1684"/>
      <c r="Z71" s="1684"/>
      <c r="AA71" s="1684"/>
      <c r="AB71" s="1684"/>
      <c r="AC71" s="1342" t="str">
        <f>IF(ISBLANK(X$3),"",1)</f>
        <v/>
      </c>
      <c r="AD71" s="1194">
        <v>2.4</v>
      </c>
      <c r="AE71" s="1684" t="s">
        <v>359</v>
      </c>
      <c r="AF71" s="1684"/>
      <c r="AG71" s="1684"/>
      <c r="AH71" s="1684"/>
      <c r="AI71" s="1684"/>
      <c r="AJ71" s="1684"/>
      <c r="AK71" s="1342" t="str">
        <f t="shared" ref="AK71" si="66">IF(ISBLANK(AB$3),"",1)</f>
        <v/>
      </c>
      <c r="AL71" s="331"/>
      <c r="AM71" s="340"/>
      <c r="AN71" s="340"/>
      <c r="AO71" s="340"/>
      <c r="AP71" s="340"/>
      <c r="AQ71" s="298">
        <v>2.4</v>
      </c>
      <c r="AR71" s="347">
        <f>COUNTIF($AL$50:$AL$76,AQ71)</f>
        <v>2</v>
      </c>
      <c r="AS71" s="240" t="str">
        <f>IF($AF$3=1,SUMIF($AL$50:$AL$70,AQ71,$AS$50:$AS$70),"")</f>
        <v/>
      </c>
      <c r="AT71" s="342"/>
      <c r="AU71" s="342"/>
      <c r="AV71" s="342"/>
      <c r="AW71" s="342"/>
      <c r="AX71" s="342"/>
      <c r="AY71" s="342"/>
      <c r="AZ71" s="342"/>
      <c r="BA71" s="342"/>
      <c r="BB71" s="342"/>
      <c r="BC71" s="342"/>
      <c r="BD71" s="342"/>
      <c r="BE71" s="342"/>
      <c r="BF71" s="342"/>
      <c r="BG71" s="342"/>
      <c r="BH71" s="342"/>
      <c r="BI71" s="342"/>
      <c r="BJ71" s="1337"/>
      <c r="BK71" s="1338"/>
      <c r="BL71" s="1338"/>
      <c r="BM71" s="1338"/>
      <c r="BN71" s="1338"/>
      <c r="BO71" s="1339"/>
      <c r="BP71" s="255"/>
      <c r="BQ71" s="255"/>
      <c r="BR71" s="255"/>
    </row>
    <row r="72" spans="1:70" ht="15" customHeight="1">
      <c r="A72" s="1290"/>
      <c r="B72" s="1163"/>
      <c r="C72" s="1164"/>
      <c r="D72" s="1164"/>
      <c r="E72" s="1164"/>
      <c r="F72" s="1164"/>
      <c r="G72" s="1201"/>
      <c r="H72" s="1269"/>
      <c r="I72" s="1206"/>
      <c r="J72" s="1206"/>
      <c r="K72" s="1206"/>
      <c r="L72" s="1621"/>
      <c r="M72" s="1621"/>
      <c r="N72" s="256"/>
      <c r="O72" s="256"/>
      <c r="P72" s="256"/>
      <c r="Q72" s="256"/>
      <c r="R72" s="256"/>
      <c r="S72" s="256"/>
      <c r="T72" s="256"/>
      <c r="U72" s="256"/>
      <c r="V72" s="1258"/>
      <c r="W72" s="1684"/>
      <c r="X72" s="1684"/>
      <c r="Y72" s="1684"/>
      <c r="Z72" s="1684"/>
      <c r="AA72" s="1684"/>
      <c r="AB72" s="1684"/>
      <c r="AC72" s="1342"/>
      <c r="AD72" s="1194"/>
      <c r="AE72" s="1684" t="s">
        <v>370</v>
      </c>
      <c r="AF72" s="1684"/>
      <c r="AG72" s="1684"/>
      <c r="AH72" s="1684"/>
      <c r="AI72" s="1684"/>
      <c r="AJ72" s="1684"/>
      <c r="AK72" s="1342"/>
      <c r="AL72" s="331"/>
      <c r="AM72" s="340"/>
      <c r="AN72" s="340"/>
      <c r="AO72" s="340"/>
      <c r="AP72" s="340"/>
      <c r="AQ72" s="297">
        <v>4.3</v>
      </c>
      <c r="AR72" s="347">
        <f>COUNTIF($AL$50:$AL$76,AQ72)</f>
        <v>1</v>
      </c>
      <c r="AS72" s="240" t="str">
        <f>IF($AF$3=1,SUMIF($AL$50:$AL$76,AQ72,$AS$50:$AS$76),"")</f>
        <v/>
      </c>
      <c r="AT72" s="342"/>
      <c r="AU72" s="342"/>
      <c r="AV72" s="342"/>
      <c r="AW72" s="342"/>
      <c r="AX72" s="342"/>
      <c r="AY72" s="342"/>
      <c r="AZ72" s="342"/>
      <c r="BA72" s="342"/>
      <c r="BB72" s="342"/>
      <c r="BC72" s="342"/>
      <c r="BD72" s="342"/>
      <c r="BE72" s="342"/>
      <c r="BF72" s="342"/>
      <c r="BG72" s="342"/>
      <c r="BH72" s="342"/>
      <c r="BI72" s="342"/>
      <c r="BJ72" s="1337"/>
      <c r="BK72" s="1338"/>
      <c r="BL72" s="1338"/>
      <c r="BM72" s="1338"/>
      <c r="BN72" s="1338"/>
      <c r="BO72" s="1339"/>
      <c r="BP72" s="255"/>
      <c r="BQ72" s="255"/>
      <c r="BR72" s="255"/>
    </row>
    <row r="73" spans="1:70" ht="15" customHeight="1">
      <c r="A73" s="1291"/>
      <c r="B73" s="1165"/>
      <c r="C73" s="1166"/>
      <c r="D73" s="1166"/>
      <c r="E73" s="1166"/>
      <c r="F73" s="1166"/>
      <c r="G73" s="1292"/>
      <c r="H73" s="1270"/>
      <c r="I73" s="1207"/>
      <c r="J73" s="1207"/>
      <c r="K73" s="1207"/>
      <c r="L73" s="1621"/>
      <c r="M73" s="1621"/>
      <c r="N73" s="256"/>
      <c r="O73" s="256"/>
      <c r="P73" s="256"/>
      <c r="Q73" s="256"/>
      <c r="R73" s="256"/>
      <c r="S73" s="256"/>
      <c r="T73" s="256"/>
      <c r="U73" s="256"/>
      <c r="V73" s="1258"/>
      <c r="W73" s="1684"/>
      <c r="X73" s="1684"/>
      <c r="Y73" s="1684"/>
      <c r="Z73" s="1684"/>
      <c r="AA73" s="1684"/>
      <c r="AB73" s="1684"/>
      <c r="AC73" s="1342"/>
      <c r="AD73" s="1194"/>
      <c r="AE73" s="1684" t="s">
        <v>384</v>
      </c>
      <c r="AF73" s="1684"/>
      <c r="AG73" s="1684"/>
      <c r="AH73" s="1684"/>
      <c r="AI73" s="1684"/>
      <c r="AJ73" s="1684"/>
      <c r="AK73" s="1342"/>
      <c r="AL73" s="331"/>
      <c r="AM73" s="340"/>
      <c r="AN73" s="340"/>
      <c r="AO73" s="340"/>
      <c r="AP73" s="340"/>
      <c r="AQ73" s="297">
        <v>4.4000000000000004</v>
      </c>
      <c r="AR73" s="347">
        <f>COUNTIF($AL$50:$AL$76,AQ73)</f>
        <v>4</v>
      </c>
      <c r="AS73" s="240" t="str">
        <f>IF($AF$3=1,SUMIF($AL$50:$AL$76,AQ73,$AS$50:$AS$76),"")</f>
        <v/>
      </c>
      <c r="AT73" s="342"/>
      <c r="AU73" s="342"/>
      <c r="AV73" s="342"/>
      <c r="AW73" s="342"/>
      <c r="AX73" s="342"/>
      <c r="AY73" s="342"/>
      <c r="AZ73" s="342"/>
      <c r="BA73" s="342"/>
      <c r="BB73" s="342"/>
      <c r="BC73" s="342"/>
      <c r="BD73" s="342"/>
      <c r="BE73" s="342"/>
      <c r="BF73" s="342"/>
      <c r="BG73" s="342"/>
      <c r="BH73" s="342"/>
      <c r="BI73" s="342"/>
      <c r="BJ73" s="1337"/>
      <c r="BK73" s="1338"/>
      <c r="BL73" s="1338"/>
      <c r="BM73" s="1338"/>
      <c r="BN73" s="1338"/>
      <c r="BO73" s="1339"/>
      <c r="BP73" s="255"/>
      <c r="BQ73" s="255"/>
      <c r="BR73" s="255"/>
    </row>
    <row r="74" spans="1:70" ht="15" customHeight="1">
      <c r="A74" s="1304">
        <v>2.4</v>
      </c>
      <c r="B74" s="1161" t="s">
        <v>942</v>
      </c>
      <c r="C74" s="1162"/>
      <c r="D74" s="1162"/>
      <c r="E74" s="1162"/>
      <c r="F74" s="1162"/>
      <c r="G74" s="1199"/>
      <c r="H74" s="1268" t="str">
        <f t="shared" ref="H74" si="67">IF(ISBLANK(T$3),"",1)</f>
        <v/>
      </c>
      <c r="I74" s="1205" t="str">
        <f t="shared" ref="I74" si="68">IF(ISBLANK(X$3),"",1)</f>
        <v/>
      </c>
      <c r="J74" s="1205" t="str">
        <f t="shared" ref="J74" si="69">IF(ISBLANK(AB$3),"",1)</f>
        <v/>
      </c>
      <c r="K74" s="1205" t="str">
        <f t="shared" ref="K74" si="70">IF(ISBLANK(AF$3),"",1)</f>
        <v/>
      </c>
      <c r="L74" s="1621"/>
      <c r="M74" s="1621"/>
      <c r="N74" s="255"/>
      <c r="O74" s="255"/>
      <c r="P74" s="256"/>
      <c r="Q74" s="256"/>
      <c r="R74" s="256"/>
      <c r="S74" s="256"/>
      <c r="T74" s="256"/>
      <c r="U74" s="256"/>
      <c r="V74" s="1258">
        <v>4.3</v>
      </c>
      <c r="W74" s="1684" t="s">
        <v>380</v>
      </c>
      <c r="X74" s="1684"/>
      <c r="Y74" s="1684"/>
      <c r="Z74" s="1684"/>
      <c r="AA74" s="1684"/>
      <c r="AB74" s="1684"/>
      <c r="AC74" s="1342" t="str">
        <f>IF(ISBLANK(X$3),"",1)</f>
        <v/>
      </c>
      <c r="AD74" s="1194">
        <v>2.4</v>
      </c>
      <c r="AE74" s="1684" t="s">
        <v>363</v>
      </c>
      <c r="AF74" s="1684"/>
      <c r="AG74" s="1684"/>
      <c r="AH74" s="1684"/>
      <c r="AI74" s="1684"/>
      <c r="AJ74" s="1684"/>
      <c r="AK74" s="1342" t="str">
        <f t="shared" ref="AK74" si="71">IF(ISBLANK(AB$3),"",1)</f>
        <v/>
      </c>
      <c r="AL74" s="331"/>
      <c r="AM74" s="340"/>
      <c r="AN74" s="340"/>
      <c r="AO74" s="340"/>
      <c r="AP74" s="340"/>
      <c r="AQ74" s="340"/>
      <c r="AR74" s="340"/>
      <c r="AS74" s="340"/>
      <c r="AT74" s="340"/>
      <c r="AU74" s="340"/>
      <c r="AV74" s="340"/>
      <c r="AW74" s="340"/>
      <c r="AX74" s="345"/>
      <c r="AY74" s="345"/>
      <c r="AZ74" s="345"/>
      <c r="BA74" s="345"/>
      <c r="BB74" s="345"/>
      <c r="BC74" s="345"/>
      <c r="BD74" s="345"/>
      <c r="BE74" s="345"/>
      <c r="BF74" s="345"/>
      <c r="BG74" s="345"/>
      <c r="BH74" s="345"/>
      <c r="BI74" s="345"/>
      <c r="BJ74" s="1337"/>
      <c r="BK74" s="1338"/>
      <c r="BL74" s="1338"/>
      <c r="BM74" s="1338"/>
      <c r="BN74" s="1338"/>
      <c r="BO74" s="1339"/>
      <c r="BP74" s="255"/>
      <c r="BQ74" s="255"/>
      <c r="BR74" s="255"/>
    </row>
    <row r="75" spans="1:70" ht="15" customHeight="1">
      <c r="A75" s="1290"/>
      <c r="B75" s="1163"/>
      <c r="C75" s="1164"/>
      <c r="D75" s="1164"/>
      <c r="E75" s="1164"/>
      <c r="F75" s="1164"/>
      <c r="G75" s="1201"/>
      <c r="H75" s="1269"/>
      <c r="I75" s="1206"/>
      <c r="J75" s="1206"/>
      <c r="K75" s="1206"/>
      <c r="L75" s="1621"/>
      <c r="M75" s="1621"/>
      <c r="N75" s="255"/>
      <c r="O75" s="255"/>
      <c r="P75" s="256"/>
      <c r="Q75" s="256"/>
      <c r="R75" s="256"/>
      <c r="S75" s="256"/>
      <c r="T75" s="256"/>
      <c r="U75" s="256"/>
      <c r="V75" s="1258"/>
      <c r="W75" s="1684"/>
      <c r="X75" s="1684"/>
      <c r="Y75" s="1684"/>
      <c r="Z75" s="1684"/>
      <c r="AA75" s="1684"/>
      <c r="AB75" s="1684"/>
      <c r="AC75" s="1342"/>
      <c r="AD75" s="1194"/>
      <c r="AE75" s="1684"/>
      <c r="AF75" s="1684"/>
      <c r="AG75" s="1684"/>
      <c r="AH75" s="1684"/>
      <c r="AI75" s="1684"/>
      <c r="AJ75" s="1684"/>
      <c r="AK75" s="1342"/>
      <c r="AL75" s="331"/>
      <c r="AM75" s="340"/>
      <c r="AN75" s="340"/>
      <c r="AO75" s="340"/>
      <c r="AP75" s="340"/>
      <c r="AQ75" s="340"/>
      <c r="AR75" s="340"/>
      <c r="AS75" s="340"/>
      <c r="AT75" s="340"/>
      <c r="AU75" s="340"/>
      <c r="AV75" s="340"/>
      <c r="AW75" s="340"/>
      <c r="AX75" s="345"/>
      <c r="AY75" s="345"/>
      <c r="AZ75" s="345"/>
      <c r="BA75" s="345"/>
      <c r="BB75" s="345"/>
      <c r="BC75" s="345"/>
      <c r="BD75" s="345"/>
      <c r="BE75" s="345"/>
      <c r="BF75" s="345"/>
      <c r="BG75" s="345"/>
      <c r="BH75" s="345"/>
      <c r="BI75" s="345"/>
      <c r="BJ75" s="1337"/>
      <c r="BK75" s="1338"/>
      <c r="BL75" s="1338"/>
      <c r="BM75" s="1338"/>
      <c r="BN75" s="1338"/>
      <c r="BO75" s="1339"/>
      <c r="BP75" s="255"/>
      <c r="BQ75" s="255"/>
      <c r="BR75" s="255"/>
    </row>
    <row r="76" spans="1:70" ht="15" customHeight="1">
      <c r="A76" s="1291"/>
      <c r="B76" s="1165"/>
      <c r="C76" s="1166"/>
      <c r="D76" s="1166"/>
      <c r="E76" s="1166"/>
      <c r="F76" s="1166"/>
      <c r="G76" s="1292"/>
      <c r="H76" s="1270"/>
      <c r="I76" s="1207"/>
      <c r="J76" s="1207"/>
      <c r="K76" s="1207"/>
      <c r="L76" s="1621"/>
      <c r="M76" s="1621"/>
      <c r="N76" s="256"/>
      <c r="O76" s="256"/>
      <c r="P76" s="256"/>
      <c r="Q76" s="256"/>
      <c r="R76" s="256"/>
      <c r="S76" s="256"/>
      <c r="T76" s="256"/>
      <c r="U76" s="256"/>
      <c r="V76" s="1258"/>
      <c r="W76" s="1684"/>
      <c r="X76" s="1684"/>
      <c r="Y76" s="1684"/>
      <c r="Z76" s="1684"/>
      <c r="AA76" s="1684"/>
      <c r="AB76" s="1684"/>
      <c r="AC76" s="1342"/>
      <c r="AD76" s="1194"/>
      <c r="AE76" s="1684"/>
      <c r="AF76" s="1684"/>
      <c r="AG76" s="1684"/>
      <c r="AH76" s="1684"/>
      <c r="AI76" s="1684"/>
      <c r="AJ76" s="1684"/>
      <c r="AK76" s="1342"/>
      <c r="AL76" s="331"/>
      <c r="AM76" s="340"/>
      <c r="AN76" s="340"/>
      <c r="AO76" s="340"/>
      <c r="AP76" s="340"/>
      <c r="AQ76" s="340"/>
      <c r="AR76" s="340"/>
      <c r="AS76" s="340"/>
      <c r="AT76" s="340"/>
      <c r="AU76" s="340"/>
      <c r="AV76" s="340"/>
      <c r="AW76" s="340"/>
      <c r="AX76" s="345"/>
      <c r="AY76" s="345"/>
      <c r="AZ76" s="345"/>
      <c r="BA76" s="345"/>
      <c r="BB76" s="345"/>
      <c r="BC76" s="345"/>
      <c r="BD76" s="345"/>
      <c r="BE76" s="345"/>
      <c r="BF76" s="345"/>
      <c r="BG76" s="345"/>
      <c r="BH76" s="345"/>
      <c r="BI76" s="345"/>
      <c r="BJ76" s="1337"/>
      <c r="BK76" s="1338"/>
      <c r="BL76" s="1338"/>
      <c r="BM76" s="1338"/>
      <c r="BN76" s="1338"/>
      <c r="BO76" s="1339"/>
      <c r="BP76" s="255"/>
      <c r="BQ76" s="255"/>
      <c r="BR76" s="255"/>
    </row>
    <row r="77" spans="1:70" ht="15" customHeight="1">
      <c r="A77" s="252"/>
      <c r="B77" s="243"/>
      <c r="C77" s="242"/>
      <c r="D77" s="242"/>
      <c r="F77" s="278">
        <v>1.1000000000000001</v>
      </c>
      <c r="G77" s="311">
        <f>COUNTIF($A$50:$A$76,F77)</f>
        <v>4</v>
      </c>
      <c r="H77" s="240" t="str">
        <f>IF($T$3=1,SUMIF($A$50:$A$76,$F77,$H$50:$H$76),"")</f>
        <v/>
      </c>
      <c r="I77" s="240" t="str">
        <f>IF($X$3=1,SUMIF($A$50:$A$76,$F77,$I$50:$I$76),"")</f>
        <v/>
      </c>
      <c r="J77" s="240" t="str">
        <f>IF($AB$3=1,SUMIF($A$50:$A$76,$F77,$J$50:$J$76),"")</f>
        <v/>
      </c>
      <c r="K77" s="240" t="str">
        <f>IF($AF$3=1,SUMIF($A$50:$A$76,$F77,$K$50:$K$76),"")</f>
        <v/>
      </c>
      <c r="L77" s="1621"/>
      <c r="M77" s="1621"/>
      <c r="N77" s="256"/>
      <c r="O77" s="256"/>
      <c r="P77" s="256"/>
      <c r="Q77" s="256"/>
      <c r="R77" s="256"/>
      <c r="S77" s="256"/>
      <c r="T77" s="256"/>
      <c r="U77" s="256"/>
      <c r="V77" s="1258">
        <v>4.3</v>
      </c>
      <c r="W77" s="1684" t="s">
        <v>385</v>
      </c>
      <c r="X77" s="1684"/>
      <c r="Y77" s="1684"/>
      <c r="Z77" s="1684"/>
      <c r="AA77" s="1684"/>
      <c r="AB77" s="1684"/>
      <c r="AC77" s="1342" t="str">
        <f>IF(ISBLANK(X$3),"",1)</f>
        <v/>
      </c>
      <c r="AD77" s="255"/>
      <c r="AE77" s="255"/>
      <c r="AF77" s="255"/>
      <c r="AG77" s="255"/>
      <c r="AH77" s="255"/>
      <c r="AI77" s="298">
        <v>2.4</v>
      </c>
      <c r="AJ77" s="312">
        <f>COUNTIF($AD$50:$AD$76,AI77)</f>
        <v>4</v>
      </c>
      <c r="AK77" s="240" t="str">
        <f>IF($AB$3=1,SUMIF($AD$50:$AD$76,AI77,$AK$50:$AK$76),"")</f>
        <v/>
      </c>
      <c r="AL77" s="255"/>
      <c r="AM77" s="255"/>
      <c r="AN77" s="255"/>
      <c r="AO77" s="255"/>
      <c r="AP77" s="255"/>
      <c r="AQ77" s="255"/>
      <c r="AR77" s="255"/>
      <c r="AS77" s="255"/>
      <c r="AT77" s="255"/>
      <c r="AU77" s="255"/>
      <c r="AV77" s="255"/>
      <c r="AW77" s="255"/>
      <c r="AX77" s="345"/>
      <c r="AY77" s="345"/>
      <c r="AZ77" s="345"/>
      <c r="BA77" s="345"/>
      <c r="BB77" s="345"/>
      <c r="BC77" s="345"/>
      <c r="BD77" s="345"/>
      <c r="BE77" s="345"/>
      <c r="BF77" s="345"/>
      <c r="BG77" s="345"/>
      <c r="BH77" s="345"/>
      <c r="BI77" s="345"/>
      <c r="BJ77" s="1337"/>
      <c r="BK77" s="1338"/>
      <c r="BL77" s="1338"/>
      <c r="BM77" s="1338"/>
      <c r="BN77" s="1338"/>
      <c r="BO77" s="1339"/>
      <c r="BP77" s="255"/>
      <c r="BQ77" s="255"/>
      <c r="BR77" s="255"/>
    </row>
    <row r="78" spans="1:70" ht="15" customHeight="1">
      <c r="A78" s="252"/>
      <c r="B78" s="243"/>
      <c r="C78" s="242"/>
      <c r="D78" s="242"/>
      <c r="F78" s="278">
        <v>1.5</v>
      </c>
      <c r="G78" s="311">
        <f t="shared" ref="G78:G79" si="72">COUNTIF($A$50:$A$76,F78)</f>
        <v>1</v>
      </c>
      <c r="H78" s="240" t="str">
        <f t="shared" ref="H78:H80" si="73">IF($T$3=1,SUMIF($A$50:$A$76,$F78,$H$50:$H$76),"")</f>
        <v/>
      </c>
      <c r="I78" s="240" t="str">
        <f t="shared" ref="I78:I80" si="74">IF($X$3=1,SUMIF($A$50:$A$76,$F78,$I$50:$I$76),"")</f>
        <v/>
      </c>
      <c r="J78" s="240" t="str">
        <f t="shared" ref="J78:J80" si="75">IF($AB$3=1,SUMIF($A$50:$A$76,$F78,$J$50:$J$76),"")</f>
        <v/>
      </c>
      <c r="K78" s="240" t="str">
        <f t="shared" ref="K78:K80" si="76">IF($AF$3=1,SUMIF($A$50:$A$76,$F78,$K$50:$K$76),"")</f>
        <v/>
      </c>
      <c r="L78" s="1621"/>
      <c r="M78" s="1621"/>
      <c r="N78" s="256"/>
      <c r="O78" s="256"/>
      <c r="P78" s="256"/>
      <c r="Q78" s="256"/>
      <c r="R78" s="256"/>
      <c r="S78" s="256"/>
      <c r="T78" s="256"/>
      <c r="U78" s="256"/>
      <c r="V78" s="1258"/>
      <c r="W78" s="1684"/>
      <c r="X78" s="1684"/>
      <c r="Y78" s="1684"/>
      <c r="Z78" s="1684"/>
      <c r="AA78" s="1684"/>
      <c r="AB78" s="1684"/>
      <c r="AC78" s="1342"/>
      <c r="AD78" s="255"/>
      <c r="AE78" s="255"/>
      <c r="AF78" s="255"/>
      <c r="AG78" s="255"/>
      <c r="AH78" s="255"/>
      <c r="AI78" s="297">
        <v>4.3</v>
      </c>
      <c r="AJ78" s="312">
        <f t="shared" ref="AJ78:AJ79" si="77">COUNTIF($AD$50:$AD$76,AI78)</f>
        <v>2</v>
      </c>
      <c r="AK78" s="240" t="str">
        <f>IF($AB$3=1,SUMIF($AD$50:$AD$76,AI78,$AK$50:$AK$76),"")</f>
        <v/>
      </c>
      <c r="AL78" s="255"/>
      <c r="AM78" s="255"/>
      <c r="AN78" s="255"/>
      <c r="AO78" s="255"/>
      <c r="AP78" s="255"/>
      <c r="AT78" s="345"/>
      <c r="AU78" s="345"/>
      <c r="AV78" s="345"/>
      <c r="AW78" s="345"/>
      <c r="AX78" s="345"/>
      <c r="AY78" s="345"/>
      <c r="AZ78" s="345"/>
      <c r="BA78" s="345"/>
      <c r="BB78" s="345"/>
      <c r="BC78" s="345"/>
      <c r="BD78" s="345"/>
      <c r="BE78" s="345"/>
      <c r="BF78" s="345"/>
      <c r="BG78" s="345"/>
      <c r="BH78" s="345"/>
      <c r="BI78" s="345"/>
      <c r="BJ78" s="1222"/>
      <c r="BK78" s="1223"/>
      <c r="BL78" s="1223"/>
      <c r="BM78" s="1223"/>
      <c r="BN78" s="1223"/>
      <c r="BO78" s="1224"/>
      <c r="BP78" s="255"/>
      <c r="BQ78" s="255"/>
      <c r="BR78" s="255"/>
    </row>
    <row r="79" spans="1:70" ht="15" customHeight="1">
      <c r="A79" s="249"/>
      <c r="B79" s="249"/>
      <c r="C79" s="249"/>
      <c r="D79" s="249"/>
      <c r="F79" s="277">
        <v>2.1</v>
      </c>
      <c r="G79" s="311">
        <f t="shared" si="72"/>
        <v>2</v>
      </c>
      <c r="H79" s="240" t="str">
        <f t="shared" si="73"/>
        <v/>
      </c>
      <c r="I79" s="240" t="str">
        <f t="shared" si="74"/>
        <v/>
      </c>
      <c r="J79" s="240" t="str">
        <f t="shared" si="75"/>
        <v/>
      </c>
      <c r="K79" s="240" t="str">
        <f t="shared" si="76"/>
        <v/>
      </c>
      <c r="L79" s="1621"/>
      <c r="M79" s="1621"/>
      <c r="N79" s="256"/>
      <c r="O79" s="256"/>
      <c r="P79" s="256"/>
      <c r="Q79" s="256"/>
      <c r="R79" s="256"/>
      <c r="S79" s="256"/>
      <c r="T79" s="256"/>
      <c r="U79" s="256"/>
      <c r="V79" s="1258"/>
      <c r="W79" s="1684"/>
      <c r="X79" s="1684"/>
      <c r="Y79" s="1684"/>
      <c r="Z79" s="1684"/>
      <c r="AA79" s="1684"/>
      <c r="AB79" s="1684"/>
      <c r="AC79" s="1342"/>
      <c r="AD79" s="255"/>
      <c r="AE79" s="255"/>
      <c r="AF79" s="255"/>
      <c r="AG79" s="255"/>
      <c r="AH79" s="255"/>
      <c r="AI79" s="297">
        <v>4.4000000000000004</v>
      </c>
      <c r="AJ79" s="312">
        <f t="shared" si="77"/>
        <v>3</v>
      </c>
      <c r="AK79" s="240" t="str">
        <f>IF($AB$3=1,SUMIF($AD$50:$AD$76,AI79,$AK$50:$AK$76),"")</f>
        <v/>
      </c>
      <c r="AL79" s="255"/>
      <c r="AM79" s="255"/>
      <c r="AN79" s="255"/>
      <c r="AO79" s="255"/>
      <c r="AP79" s="255"/>
      <c r="AT79" s="255"/>
      <c r="AU79" s="255"/>
      <c r="AV79" s="255"/>
      <c r="AW79" s="255"/>
      <c r="AX79" s="255"/>
      <c r="AY79" s="255"/>
      <c r="AZ79" s="255"/>
      <c r="BA79" s="255"/>
      <c r="BB79" s="255"/>
      <c r="BC79" s="255"/>
      <c r="BD79" s="255"/>
      <c r="BE79" s="255"/>
      <c r="BF79" s="255"/>
      <c r="BG79" s="255"/>
      <c r="BH79" s="255"/>
      <c r="BI79" s="255"/>
      <c r="BJ79" s="255"/>
      <c r="BK79" s="255"/>
      <c r="BL79" s="255"/>
      <c r="BM79" s="255"/>
      <c r="BN79" s="255"/>
      <c r="BO79" s="255"/>
      <c r="BP79" s="255"/>
      <c r="BQ79" s="255"/>
      <c r="BR79" s="255"/>
    </row>
    <row r="80" spans="1:70" ht="15" customHeight="1">
      <c r="F80" s="277">
        <v>2.4</v>
      </c>
      <c r="G80" s="311">
        <f>COUNTIF($A$50:$A$76,F80)</f>
        <v>2</v>
      </c>
      <c r="H80" s="240" t="str">
        <f t="shared" si="73"/>
        <v/>
      </c>
      <c r="I80" s="240" t="str">
        <f t="shared" si="74"/>
        <v/>
      </c>
      <c r="J80" s="240" t="str">
        <f t="shared" si="75"/>
        <v/>
      </c>
      <c r="K80" s="240" t="str">
        <f t="shared" si="76"/>
        <v/>
      </c>
      <c r="L80" s="1621"/>
      <c r="M80" s="1621"/>
      <c r="N80" s="256"/>
      <c r="O80" s="256"/>
      <c r="P80" s="256"/>
      <c r="Q80" s="256"/>
      <c r="R80" s="256"/>
      <c r="S80" s="256"/>
      <c r="T80" s="256"/>
      <c r="U80" s="256"/>
      <c r="V80" s="1258">
        <v>4.3</v>
      </c>
      <c r="W80" s="1684" t="s">
        <v>381</v>
      </c>
      <c r="X80" s="1684"/>
      <c r="Y80" s="1684"/>
      <c r="Z80" s="1684"/>
      <c r="AA80" s="1684"/>
      <c r="AB80" s="1684"/>
      <c r="AC80" s="1342" t="str">
        <f>IF(ISBLANK(X$3),"",1)</f>
        <v/>
      </c>
      <c r="AD80" s="255"/>
      <c r="AE80" s="255"/>
      <c r="AF80" s="255"/>
      <c r="AG80" s="255"/>
      <c r="AH80" s="255"/>
      <c r="AI80" s="255"/>
      <c r="AJ80" s="255"/>
      <c r="AK80" s="255"/>
      <c r="AL80" s="255"/>
      <c r="AM80" s="255"/>
      <c r="AN80" s="255"/>
      <c r="AO80" s="255"/>
      <c r="AP80" s="255"/>
      <c r="AQ80" s="255"/>
      <c r="AR80" s="255"/>
      <c r="AS80" s="255"/>
      <c r="AT80" s="255"/>
      <c r="AU80" s="255"/>
      <c r="AV80" s="255"/>
      <c r="AW80" s="255"/>
      <c r="AX80" s="255"/>
      <c r="AY80" s="255"/>
      <c r="AZ80" s="255"/>
      <c r="BA80" s="255"/>
      <c r="BB80" s="255"/>
      <c r="BC80" s="255"/>
      <c r="BD80" s="255"/>
      <c r="BE80" s="255"/>
      <c r="BF80" s="255"/>
      <c r="BJ80" s="255"/>
      <c r="BK80" s="255"/>
      <c r="BL80" s="255"/>
      <c r="BM80" s="255"/>
      <c r="BN80" s="255"/>
      <c r="BO80" s="255"/>
      <c r="BP80" s="255"/>
      <c r="BQ80" s="255"/>
      <c r="BR80" s="255"/>
    </row>
    <row r="81" spans="1:145" ht="15" customHeight="1">
      <c r="L81" s="1621"/>
      <c r="M81" s="1621"/>
      <c r="N81" s="339"/>
      <c r="O81" s="339"/>
      <c r="P81" s="255"/>
      <c r="Q81" s="256"/>
      <c r="R81" s="256"/>
      <c r="S81" s="256"/>
      <c r="T81" s="256"/>
      <c r="U81" s="256"/>
      <c r="V81" s="1258"/>
      <c r="W81" s="1684"/>
      <c r="X81" s="1684"/>
      <c r="Y81" s="1684"/>
      <c r="Z81" s="1684"/>
      <c r="AA81" s="1684"/>
      <c r="AB81" s="1684"/>
      <c r="AC81" s="1342"/>
      <c r="AD81" s="255"/>
      <c r="AE81" s="255"/>
      <c r="AF81" s="255"/>
      <c r="AG81" s="255"/>
      <c r="AH81" s="255"/>
      <c r="AI81" s="255"/>
      <c r="AJ81" s="255"/>
      <c r="AK81" s="255"/>
      <c r="AL81" s="255"/>
      <c r="AM81" s="255"/>
      <c r="AN81" s="255"/>
      <c r="AO81" s="255"/>
      <c r="AP81" s="255"/>
      <c r="AQ81" s="255"/>
      <c r="AR81" s="255"/>
      <c r="AS81" s="255"/>
      <c r="AT81" s="255"/>
      <c r="AU81" s="255"/>
      <c r="AV81" s="255"/>
      <c r="AW81" s="255"/>
      <c r="AX81" s="255"/>
      <c r="AY81" s="255"/>
      <c r="AZ81" s="255"/>
      <c r="BA81" s="255"/>
      <c r="BB81" s="255"/>
      <c r="BC81" s="255"/>
      <c r="BD81" s="255"/>
      <c r="BE81" s="255"/>
      <c r="BF81" s="255"/>
      <c r="BJ81" s="332"/>
      <c r="BK81" s="332"/>
      <c r="BL81" s="332"/>
      <c r="BM81" s="332"/>
      <c r="BN81" s="255"/>
      <c r="BO81" s="255"/>
      <c r="BP81" s="255"/>
      <c r="BQ81" s="255"/>
      <c r="BR81" s="255"/>
    </row>
    <row r="82" spans="1:145" ht="15" customHeight="1">
      <c r="A82" s="1209"/>
      <c r="B82" s="1210" t="s">
        <v>609</v>
      </c>
      <c r="C82" s="1211"/>
      <c r="D82" s="1211"/>
      <c r="E82" s="1211"/>
      <c r="F82" s="1211"/>
      <c r="G82" s="1211"/>
      <c r="H82" s="1174">
        <v>1</v>
      </c>
      <c r="I82" s="1174">
        <v>2</v>
      </c>
      <c r="J82" s="1174">
        <v>3</v>
      </c>
      <c r="K82" s="1174">
        <v>4</v>
      </c>
      <c r="L82" s="1621"/>
      <c r="M82" s="1621"/>
      <c r="N82" s="339"/>
      <c r="O82" s="339"/>
      <c r="P82" s="255"/>
      <c r="Q82" s="256"/>
      <c r="R82" s="256"/>
      <c r="S82" s="256"/>
      <c r="T82" s="256"/>
      <c r="U82" s="256"/>
      <c r="V82" s="1258"/>
      <c r="W82" s="1684"/>
      <c r="X82" s="1684"/>
      <c r="Y82" s="1684"/>
      <c r="Z82" s="1684"/>
      <c r="AA82" s="1684"/>
      <c r="AB82" s="1684"/>
      <c r="AC82" s="1342"/>
      <c r="AD82" s="255"/>
      <c r="AH82" s="255"/>
      <c r="AI82" s="255"/>
      <c r="AJ82" s="255"/>
      <c r="AK82" s="255"/>
      <c r="AL82" s="255"/>
      <c r="AM82" s="255"/>
      <c r="AN82" s="255"/>
      <c r="AO82" s="255"/>
      <c r="AP82" s="255"/>
      <c r="AQ82" s="255"/>
      <c r="AR82" s="255"/>
      <c r="AS82" s="255"/>
      <c r="AT82" s="255"/>
      <c r="AU82" s="255"/>
      <c r="AV82" s="255"/>
      <c r="AW82" s="255"/>
      <c r="AX82" s="255"/>
      <c r="AY82" s="255"/>
      <c r="AZ82" s="255"/>
      <c r="BA82" s="255"/>
      <c r="BB82" s="255"/>
      <c r="BC82" s="255"/>
      <c r="BD82" s="255"/>
      <c r="BE82" s="255"/>
      <c r="BF82" s="255"/>
      <c r="BJ82" s="332"/>
      <c r="BK82" s="332"/>
      <c r="BL82" s="332"/>
      <c r="BM82" s="332"/>
      <c r="BN82" s="255"/>
      <c r="BO82" s="255"/>
      <c r="BP82" s="255"/>
    </row>
    <row r="83" spans="1:145" ht="15" customHeight="1">
      <c r="A83" s="1209"/>
      <c r="B83" s="1212"/>
      <c r="C83" s="1213"/>
      <c r="D83" s="1213"/>
      <c r="E83" s="1213"/>
      <c r="F83" s="1213"/>
      <c r="G83" s="1213"/>
      <c r="H83" s="1174"/>
      <c r="I83" s="1174"/>
      <c r="J83" s="1174"/>
      <c r="K83" s="1174"/>
      <c r="N83" s="339"/>
      <c r="O83" s="339"/>
      <c r="P83" s="255"/>
      <c r="Q83" s="255"/>
      <c r="R83" s="255"/>
      <c r="S83" s="255"/>
      <c r="T83" s="255"/>
      <c r="U83" s="256"/>
      <c r="V83" s="1194">
        <v>2.4</v>
      </c>
      <c r="W83" s="1684" t="s">
        <v>363</v>
      </c>
      <c r="X83" s="1684"/>
      <c r="Y83" s="1684"/>
      <c r="Z83" s="1684"/>
      <c r="AA83" s="1684"/>
      <c r="AB83" s="1684"/>
      <c r="AC83" s="1342" t="str">
        <f>IF(ISBLANK(X$3),"",1)</f>
        <v/>
      </c>
      <c r="AD83" s="255"/>
      <c r="AH83" s="255"/>
      <c r="AI83" s="255"/>
      <c r="AJ83" s="255"/>
      <c r="AK83" s="255"/>
      <c r="AL83" s="255"/>
      <c r="AM83" s="255"/>
      <c r="AN83" s="255"/>
      <c r="AO83" s="255"/>
      <c r="AP83" s="255"/>
      <c r="AQ83" s="255"/>
      <c r="AR83" s="255"/>
      <c r="AS83" s="255"/>
      <c r="AT83" s="255"/>
      <c r="AU83" s="255"/>
      <c r="AV83" s="255"/>
      <c r="AW83" s="255"/>
      <c r="AX83" s="255"/>
      <c r="AY83" s="255"/>
      <c r="AZ83" s="255"/>
      <c r="BA83" s="255"/>
      <c r="BB83" s="255"/>
      <c r="BC83" s="255"/>
      <c r="BD83" s="255"/>
      <c r="BE83" s="255"/>
      <c r="BF83" s="255"/>
      <c r="BG83" s="255"/>
      <c r="BH83" s="255"/>
      <c r="BI83" s="255"/>
      <c r="BP83" s="255"/>
    </row>
    <row r="84" spans="1:145" ht="15" customHeight="1">
      <c r="A84" s="1336">
        <v>3.1</v>
      </c>
      <c r="B84" s="1198" t="s">
        <v>366</v>
      </c>
      <c r="C84" s="1162"/>
      <c r="D84" s="1162"/>
      <c r="E84" s="1162"/>
      <c r="F84" s="1162"/>
      <c r="G84" s="1265"/>
      <c r="H84" s="1268" t="str">
        <f t="shared" ref="H84" si="78">IF(ISBLANK(T$3),"",1)</f>
        <v/>
      </c>
      <c r="I84" s="1205" t="str">
        <f t="shared" ref="I84" si="79">IF(ISBLANK(X$3),"",1)</f>
        <v/>
      </c>
      <c r="J84" s="1205" t="str">
        <f t="shared" ref="J84" si="80">IF(ISBLANK(AB$3),"",1)</f>
        <v/>
      </c>
      <c r="K84" s="1205" t="str">
        <f t="shared" ref="K84" si="81">IF(ISBLANK(AF$3),"",1)</f>
        <v/>
      </c>
      <c r="N84" s="339"/>
      <c r="O84" s="339"/>
      <c r="P84" s="256"/>
      <c r="Q84" s="256"/>
      <c r="R84" s="256"/>
      <c r="S84" s="256"/>
      <c r="T84" s="256"/>
      <c r="U84" s="256"/>
      <c r="V84" s="1194"/>
      <c r="W84" s="1684"/>
      <c r="X84" s="1684"/>
      <c r="Y84" s="1684"/>
      <c r="Z84" s="1684"/>
      <c r="AA84" s="1684"/>
      <c r="AB84" s="1684"/>
      <c r="AC84" s="1342"/>
      <c r="AD84" s="255"/>
      <c r="AH84" s="255"/>
      <c r="AL84" s="255"/>
      <c r="AM84" s="255"/>
      <c r="AN84" s="255"/>
      <c r="AO84" s="255"/>
      <c r="AP84" s="255"/>
      <c r="AQ84" s="255"/>
      <c r="AR84" s="255"/>
      <c r="AS84" s="255"/>
      <c r="AT84" s="255"/>
      <c r="AU84" s="255"/>
      <c r="AV84" s="255"/>
      <c r="AW84" s="255"/>
      <c r="AX84" s="255"/>
      <c r="AY84" s="255"/>
      <c r="AZ84" s="255"/>
      <c r="BA84" s="255"/>
      <c r="BB84" s="255"/>
      <c r="BC84" s="255"/>
      <c r="BD84" s="255"/>
      <c r="BE84" s="255"/>
      <c r="BF84" s="255"/>
      <c r="BG84" s="255"/>
      <c r="BH84" s="255"/>
      <c r="BI84" s="255"/>
      <c r="BP84" s="255"/>
    </row>
    <row r="85" spans="1:145" ht="15" customHeight="1">
      <c r="A85" s="1159"/>
      <c r="B85" s="1200"/>
      <c r="C85" s="1164"/>
      <c r="D85" s="1164"/>
      <c r="E85" s="1164"/>
      <c r="F85" s="1164"/>
      <c r="G85" s="1266"/>
      <c r="H85" s="1269"/>
      <c r="I85" s="1206"/>
      <c r="J85" s="1206"/>
      <c r="K85" s="1206"/>
      <c r="N85" s="339"/>
      <c r="O85" s="339"/>
      <c r="P85" s="256"/>
      <c r="Q85" s="256"/>
      <c r="R85" s="256"/>
      <c r="S85" s="256"/>
      <c r="T85" s="256"/>
      <c r="U85" s="256"/>
      <c r="V85" s="1194"/>
      <c r="W85" s="1684"/>
      <c r="X85" s="1684"/>
      <c r="Y85" s="1684"/>
      <c r="Z85" s="1684"/>
      <c r="AA85" s="1684"/>
      <c r="AB85" s="1684"/>
      <c r="AC85" s="1342"/>
      <c r="AD85" s="255"/>
      <c r="AH85" s="255"/>
      <c r="AL85" s="255"/>
      <c r="AM85" s="255"/>
      <c r="AN85" s="255"/>
      <c r="AO85" s="255"/>
      <c r="AP85" s="255"/>
      <c r="AQ85" s="255"/>
      <c r="AR85" s="255"/>
      <c r="AS85" s="255"/>
      <c r="AT85" s="255"/>
      <c r="AU85" s="255"/>
      <c r="AV85" s="255"/>
      <c r="AW85" s="255"/>
      <c r="AX85" s="255"/>
      <c r="AY85" s="255"/>
      <c r="AZ85" s="255"/>
      <c r="BA85" s="255"/>
      <c r="BB85" s="255"/>
      <c r="BC85" s="255"/>
      <c r="BD85" s="255"/>
      <c r="BE85" s="255"/>
      <c r="BF85" s="255"/>
      <c r="BG85" s="255"/>
      <c r="BH85" s="255"/>
      <c r="BI85" s="255"/>
      <c r="BP85" s="255"/>
    </row>
    <row r="86" spans="1:145" ht="15" customHeight="1">
      <c r="A86" s="1160"/>
      <c r="B86" s="1200"/>
      <c r="C86" s="1164"/>
      <c r="D86" s="1164"/>
      <c r="E86" s="1164"/>
      <c r="F86" s="1164"/>
      <c r="G86" s="1266"/>
      <c r="H86" s="1270"/>
      <c r="I86" s="1207"/>
      <c r="J86" s="1207"/>
      <c r="K86" s="1207"/>
      <c r="N86" s="339"/>
      <c r="O86" s="339"/>
      <c r="P86" s="325"/>
      <c r="Q86" s="325"/>
      <c r="R86" s="325"/>
      <c r="S86" s="325"/>
      <c r="T86" s="325"/>
      <c r="U86" s="325"/>
      <c r="V86" s="1307">
        <v>1.5</v>
      </c>
      <c r="W86" s="1684" t="s">
        <v>373</v>
      </c>
      <c r="X86" s="1684"/>
      <c r="Y86" s="1684"/>
      <c r="Z86" s="1684"/>
      <c r="AA86" s="1684"/>
      <c r="AB86" s="1684"/>
      <c r="AC86" s="1342" t="str">
        <f>IF(ISBLANK(X$3),"",1)</f>
        <v/>
      </c>
      <c r="AD86" s="325"/>
      <c r="AE86" s="325"/>
      <c r="AF86" s="325"/>
      <c r="AG86" s="325"/>
      <c r="AH86" s="325"/>
      <c r="AO86" s="52"/>
      <c r="AT86" s="325"/>
      <c r="AU86" s="325"/>
      <c r="AV86" s="325"/>
      <c r="AW86" s="325"/>
      <c r="AX86" s="325"/>
      <c r="AY86" s="325"/>
      <c r="AZ86" s="325"/>
      <c r="BA86" s="325"/>
      <c r="BB86" s="325"/>
      <c r="BC86" s="325"/>
      <c r="BD86" s="325"/>
      <c r="BE86" s="325"/>
      <c r="BF86" s="325"/>
      <c r="BG86" s="325"/>
      <c r="BH86" s="325"/>
      <c r="BI86" s="325"/>
      <c r="BP86" s="255"/>
    </row>
    <row r="87" spans="1:145" ht="15" customHeight="1">
      <c r="A87" s="1336">
        <v>1.4</v>
      </c>
      <c r="B87" s="1198" t="s">
        <v>943</v>
      </c>
      <c r="C87" s="1162"/>
      <c r="D87" s="1162"/>
      <c r="E87" s="1162"/>
      <c r="F87" s="1162"/>
      <c r="G87" s="1265"/>
      <c r="H87" s="1268" t="str">
        <f t="shared" ref="H87" si="82">IF(ISBLANK(T$3),"",1)</f>
        <v/>
      </c>
      <c r="I87" s="1205" t="str">
        <f t="shared" ref="I87" si="83">IF(ISBLANK(X$3),"",1)</f>
        <v/>
      </c>
      <c r="J87" s="1205" t="str">
        <f t="shared" ref="J87" si="84">IF(ISBLANK(AB$3),"",1)</f>
        <v/>
      </c>
      <c r="K87" s="1205" t="str">
        <f t="shared" ref="K87" si="85">IF(ISBLANK(AF$3),"",1)</f>
        <v/>
      </c>
      <c r="N87" s="339"/>
      <c r="O87" s="339"/>
      <c r="P87" s="325"/>
      <c r="Q87" s="325"/>
      <c r="R87" s="325"/>
      <c r="S87" s="325"/>
      <c r="T87" s="325"/>
      <c r="U87" s="325"/>
      <c r="V87" s="1308"/>
      <c r="W87" s="1684"/>
      <c r="X87" s="1684"/>
      <c r="Y87" s="1684"/>
      <c r="Z87" s="1684"/>
      <c r="AA87" s="1684"/>
      <c r="AB87" s="1684"/>
      <c r="AC87" s="1342"/>
      <c r="AD87" s="325"/>
      <c r="AE87" s="325"/>
      <c r="AF87" s="325"/>
      <c r="AG87" s="325"/>
      <c r="AH87" s="325"/>
      <c r="AI87" s="325"/>
      <c r="AJ87" s="325"/>
      <c r="AK87" s="325"/>
      <c r="AO87" s="52"/>
      <c r="AT87" s="325"/>
      <c r="AU87" s="325"/>
      <c r="AV87" s="325"/>
      <c r="AW87" s="325"/>
      <c r="AX87" s="325"/>
      <c r="AY87" s="325"/>
      <c r="AZ87" s="325"/>
      <c r="BA87" s="325"/>
      <c r="BB87" s="325"/>
      <c r="BC87" s="325"/>
      <c r="BD87" s="325"/>
      <c r="BE87" s="325"/>
      <c r="BF87" s="325"/>
      <c r="BG87" s="325"/>
      <c r="BH87" s="325"/>
      <c r="BI87" s="325"/>
      <c r="BP87" s="255"/>
    </row>
    <row r="88" spans="1:145" ht="15" customHeight="1">
      <c r="A88" s="1159"/>
      <c r="B88" s="1200"/>
      <c r="C88" s="1164"/>
      <c r="D88" s="1164"/>
      <c r="E88" s="1164"/>
      <c r="F88" s="1164"/>
      <c r="G88" s="1266"/>
      <c r="H88" s="1269"/>
      <c r="I88" s="1206"/>
      <c r="J88" s="1206"/>
      <c r="K88" s="1206"/>
      <c r="N88" s="325"/>
      <c r="O88" s="325"/>
      <c r="P88" s="325"/>
      <c r="Q88" s="325"/>
      <c r="R88" s="325"/>
      <c r="S88" s="325"/>
      <c r="T88" s="325"/>
      <c r="U88" s="325"/>
      <c r="V88" s="1309"/>
      <c r="W88" s="1684"/>
      <c r="X88" s="1684"/>
      <c r="Y88" s="1684"/>
      <c r="Z88" s="1684"/>
      <c r="AA88" s="1684"/>
      <c r="AB88" s="1684"/>
      <c r="AC88" s="1342"/>
      <c r="AD88" s="325"/>
      <c r="AE88" s="325"/>
      <c r="AF88" s="325"/>
      <c r="AG88" s="325"/>
      <c r="AH88" s="325"/>
      <c r="AI88" s="325"/>
      <c r="AJ88" s="325"/>
      <c r="AK88" s="325"/>
      <c r="AO88" s="52"/>
      <c r="AT88" s="325"/>
      <c r="AU88" s="325"/>
      <c r="AV88" s="325"/>
      <c r="AW88" s="325"/>
      <c r="AX88" s="325"/>
      <c r="AY88" s="325"/>
      <c r="AZ88" s="325"/>
      <c r="BA88" s="325"/>
      <c r="BB88" s="325"/>
      <c r="BC88" s="325"/>
      <c r="BD88" s="325"/>
      <c r="BE88" s="325"/>
      <c r="BF88" s="325"/>
      <c r="BG88" s="325"/>
      <c r="BH88" s="325"/>
      <c r="BI88" s="325"/>
      <c r="BP88" s="255"/>
    </row>
    <row r="89" spans="1:145" ht="15" customHeight="1">
      <c r="A89" s="1160"/>
      <c r="B89" s="1200"/>
      <c r="C89" s="1164"/>
      <c r="D89" s="1164"/>
      <c r="E89" s="1164"/>
      <c r="F89" s="1164"/>
      <c r="G89" s="1266"/>
      <c r="H89" s="1270"/>
      <c r="I89" s="1207"/>
      <c r="J89" s="1207"/>
      <c r="K89" s="1207"/>
      <c r="N89" s="325"/>
      <c r="O89" s="325"/>
      <c r="P89" s="325"/>
      <c r="Q89" s="325"/>
      <c r="R89" s="325"/>
      <c r="S89" s="325"/>
      <c r="T89" s="325"/>
      <c r="U89" s="325"/>
      <c r="V89" s="325"/>
      <c r="W89" s="325"/>
      <c r="X89" s="325"/>
      <c r="Y89" s="325"/>
      <c r="AA89" s="278">
        <v>1.5</v>
      </c>
      <c r="AB89" s="311">
        <f>COUNTIF($V$50:$V$88,AA89)</f>
        <v>1</v>
      </c>
      <c r="AC89" s="245" t="str">
        <f>IF($X$3=1,SUMIF($V$50:$V$88,AA89,$AC$50:$AC$88),"")</f>
        <v/>
      </c>
      <c r="AD89" s="325"/>
      <c r="AE89" s="325"/>
      <c r="AF89" s="325"/>
      <c r="AG89" s="325"/>
      <c r="AH89" s="325"/>
      <c r="AI89" s="325"/>
      <c r="AJ89" s="325"/>
      <c r="AK89" s="325"/>
      <c r="AO89" s="52"/>
      <c r="AT89" s="325"/>
      <c r="AU89" s="325"/>
      <c r="AV89" s="325"/>
      <c r="AW89" s="325"/>
      <c r="AX89" s="325"/>
      <c r="AY89" s="325"/>
      <c r="AZ89" s="325"/>
      <c r="BA89" s="325"/>
      <c r="BB89" s="325"/>
      <c r="BC89" s="325"/>
      <c r="BD89" s="325"/>
      <c r="BE89" s="325"/>
      <c r="BF89" s="325"/>
      <c r="BG89" s="325"/>
      <c r="BH89" s="325"/>
      <c r="BI89" s="325"/>
      <c r="BP89" s="255"/>
    </row>
    <row r="90" spans="1:145" ht="15" customHeight="1">
      <c r="A90" s="1168" t="s">
        <v>637</v>
      </c>
      <c r="B90" s="1168"/>
      <c r="C90" s="1168"/>
      <c r="D90" s="1168"/>
      <c r="E90" s="1169"/>
      <c r="F90" s="617">
        <v>3.1</v>
      </c>
      <c r="G90" s="620">
        <f>COUNTIF($A$84:$A$89,F90)</f>
        <v>1</v>
      </c>
      <c r="H90" s="240" t="str">
        <f>IF($T$3=1,SUMIF($A$84:$A$89,$F90,$H$84:$H$89),"")</f>
        <v/>
      </c>
      <c r="I90" s="240" t="str">
        <f>IF($X$3=1,SUMIF($A$84:$A$89,$F90,$I$84:$I$89),"")</f>
        <v/>
      </c>
      <c r="J90" s="240" t="str">
        <f>IF($AB$3=1,SUMIF($A$84:$A$89,$F90,$J$84:$J$89),"")</f>
        <v/>
      </c>
      <c r="K90" s="240" t="str">
        <f>IF($AF$3=1,SUMIF($A$84:$A$89,$F90,$K$84:$K$89),"")</f>
        <v/>
      </c>
      <c r="N90" s="325"/>
      <c r="O90" s="325"/>
      <c r="P90" s="325"/>
      <c r="Q90" s="325"/>
      <c r="R90" s="325"/>
      <c r="S90" s="325"/>
      <c r="T90" s="325"/>
      <c r="U90" s="325"/>
      <c r="V90" s="325"/>
      <c r="W90" s="325"/>
      <c r="X90" s="325"/>
      <c r="Y90" s="325"/>
      <c r="AA90" s="316">
        <v>2.4</v>
      </c>
      <c r="AB90" s="311">
        <f t="shared" ref="AB90:AB92" si="86">COUNTIF($V$50:$V$88,AA90)</f>
        <v>3</v>
      </c>
      <c r="AC90" s="245" t="str">
        <f>IF($X$3=1,SUMIF($V$50:$V$88,AA90,$AC$50:$AC$88),"")</f>
        <v/>
      </c>
      <c r="AD90" s="325"/>
      <c r="AE90" s="325"/>
      <c r="AF90" s="325"/>
      <c r="AG90" s="325"/>
      <c r="AH90" s="325"/>
      <c r="AI90" s="325"/>
      <c r="AJ90" s="325"/>
      <c r="AK90" s="325"/>
      <c r="AO90" s="52"/>
      <c r="AT90" s="325"/>
      <c r="AU90" s="325"/>
      <c r="AV90" s="325"/>
      <c r="AW90" s="325"/>
      <c r="AX90" s="325"/>
      <c r="AY90" s="325"/>
      <c r="AZ90" s="325"/>
      <c r="BA90" s="325"/>
      <c r="BB90" s="325"/>
      <c r="BC90" s="325"/>
      <c r="BD90" s="325"/>
      <c r="BE90" s="325"/>
      <c r="BF90" s="325"/>
      <c r="BG90" s="325"/>
      <c r="BH90" s="325"/>
      <c r="BI90" s="325"/>
      <c r="BP90" s="255"/>
    </row>
    <row r="91" spans="1:145" ht="15" customHeight="1">
      <c r="F91" s="617">
        <v>1.4</v>
      </c>
      <c r="G91" s="620">
        <f>COUNTIF($A$84:$A$89,F91)</f>
        <v>1</v>
      </c>
      <c r="H91" s="240" t="str">
        <f>IF($T$3=1,SUMIF($A$84:$A$89,$F91,$H$84:$H$89),"")</f>
        <v/>
      </c>
      <c r="I91" s="240" t="str">
        <f>IF($X$3=1,SUMIF($A$84:$A$89,$F91,$I$84:$I$89),"")</f>
        <v/>
      </c>
      <c r="J91" s="240" t="str">
        <f>IF($AB$3=1,SUMIF($A$84:$A$89,$F91,$J$84:$J$89),"")</f>
        <v/>
      </c>
      <c r="K91" s="240" t="str">
        <f>IF($AF$3=1,SUMIF($A$84:$A$89,$F91,$K$84:$K$89),"")</f>
        <v/>
      </c>
      <c r="L91" s="321"/>
      <c r="M91" s="321"/>
      <c r="N91" s="325"/>
      <c r="O91" s="325"/>
      <c r="P91" s="325"/>
      <c r="Q91" s="325"/>
      <c r="R91" s="325"/>
      <c r="S91" s="325"/>
      <c r="T91" s="325"/>
      <c r="U91" s="325"/>
      <c r="V91" s="325"/>
      <c r="W91" s="325"/>
      <c r="X91" s="325"/>
      <c r="Y91" s="325"/>
      <c r="AA91" s="330">
        <v>4.3</v>
      </c>
      <c r="AB91" s="311">
        <f t="shared" si="86"/>
        <v>6</v>
      </c>
      <c r="AC91" s="245" t="str">
        <f>IF($X$3=1,SUMIF($V$50:$V$88,AA91,$AC$50:$AC$88),"")</f>
        <v/>
      </c>
      <c r="AD91" s="325"/>
      <c r="AE91" s="325"/>
      <c r="AF91" s="325"/>
      <c r="AG91" s="325"/>
      <c r="AH91" s="325"/>
      <c r="AI91" s="325"/>
      <c r="AJ91" s="325"/>
      <c r="AK91" s="325"/>
      <c r="AO91" s="52"/>
      <c r="AT91" s="325"/>
      <c r="AU91" s="325"/>
      <c r="AV91" s="325"/>
      <c r="AW91" s="325"/>
      <c r="AX91" s="325"/>
      <c r="AY91" s="325"/>
      <c r="AZ91" s="325"/>
      <c r="BA91" s="325"/>
      <c r="BB91" s="325"/>
      <c r="BC91" s="325"/>
      <c r="BD91" s="325"/>
      <c r="BE91" s="325"/>
      <c r="BF91" s="325"/>
      <c r="BG91" s="325"/>
      <c r="BH91" s="325"/>
      <c r="BI91" s="325"/>
      <c r="BP91" s="255"/>
    </row>
    <row r="92" spans="1:145" ht="15" customHeight="1">
      <c r="I92" s="333"/>
      <c r="J92" s="333"/>
      <c r="K92" s="321"/>
      <c r="L92" s="321"/>
      <c r="M92" s="321"/>
      <c r="N92" s="325"/>
      <c r="O92" s="325"/>
      <c r="P92" s="325"/>
      <c r="Q92" s="325"/>
      <c r="R92" s="325"/>
      <c r="S92" s="325"/>
      <c r="T92" s="325"/>
      <c r="U92" s="325"/>
      <c r="V92" s="325"/>
      <c r="W92" s="325"/>
      <c r="X92" s="325"/>
      <c r="Y92" s="325"/>
      <c r="Z92" s="325"/>
      <c r="AA92" s="334">
        <v>4.4000000000000004</v>
      </c>
      <c r="AB92" s="311">
        <f t="shared" si="86"/>
        <v>3</v>
      </c>
      <c r="AC92" s="245" t="str">
        <f>IF($X$3=1,SUMIF($V$50:$V$88,AA92,$AC$50:$AC$88),"")</f>
        <v/>
      </c>
      <c r="AD92" s="325"/>
      <c r="AE92" s="325"/>
      <c r="AF92" s="325"/>
      <c r="AG92" s="325"/>
      <c r="AH92" s="325"/>
      <c r="AI92" s="325"/>
      <c r="AJ92" s="325"/>
      <c r="AK92" s="325"/>
      <c r="AO92" s="52"/>
      <c r="AT92" s="325"/>
      <c r="AU92" s="325"/>
      <c r="AV92" s="325"/>
      <c r="AW92" s="325"/>
      <c r="AX92" s="325"/>
      <c r="AY92" s="325"/>
      <c r="AZ92" s="325"/>
      <c r="BA92" s="325"/>
      <c r="BB92" s="325"/>
      <c r="BC92" s="325"/>
      <c r="BD92" s="325"/>
      <c r="BE92" s="325"/>
      <c r="BF92" s="325"/>
      <c r="BG92" s="325"/>
      <c r="BH92" s="325"/>
      <c r="BI92" s="325"/>
      <c r="BP92" s="255"/>
    </row>
    <row r="93" spans="1:145" ht="15" customHeight="1">
      <c r="A93" s="1171" t="s">
        <v>653</v>
      </c>
      <c r="B93" s="1171"/>
      <c r="C93" s="1171"/>
      <c r="D93" s="1171"/>
      <c r="E93" s="1171"/>
      <c r="F93" s="1171"/>
      <c r="G93" s="1171"/>
      <c r="H93" s="1171"/>
      <c r="I93" s="1171"/>
      <c r="J93" s="1171"/>
      <c r="K93" s="1171"/>
      <c r="L93" s="1171"/>
      <c r="M93" s="1171"/>
      <c r="N93" s="1171"/>
      <c r="O93" s="1171"/>
      <c r="P93" s="1171"/>
      <c r="Q93" s="1171"/>
      <c r="R93" s="1171"/>
      <c r="S93" s="1171"/>
      <c r="T93" s="1171"/>
      <c r="U93" s="1171"/>
      <c r="V93" s="1171"/>
      <c r="W93" s="1171"/>
      <c r="X93" s="1171"/>
      <c r="Y93" s="1171"/>
      <c r="Z93" s="1171"/>
      <c r="AA93" s="1171"/>
      <c r="AB93" s="1171"/>
      <c r="AC93" s="1171"/>
      <c r="AD93" s="1171"/>
      <c r="AE93" s="1171"/>
      <c r="AF93" s="1171"/>
      <c r="AG93" s="1171"/>
      <c r="AH93" s="1171"/>
      <c r="AI93" s="117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255"/>
      <c r="BO93" s="255"/>
      <c r="BQ93" s="255"/>
      <c r="BR93" s="305"/>
      <c r="EO93" s="255"/>
    </row>
    <row r="94" spans="1:145" ht="15" customHeight="1" thickBot="1">
      <c r="A94" s="1171"/>
      <c r="B94" s="1171"/>
      <c r="C94" s="1171"/>
      <c r="D94" s="1171"/>
      <c r="E94" s="1171"/>
      <c r="F94" s="1171"/>
      <c r="G94" s="1171"/>
      <c r="H94" s="1171"/>
      <c r="I94" s="1171"/>
      <c r="J94" s="1171"/>
      <c r="K94" s="1171"/>
      <c r="L94" s="1171"/>
      <c r="M94" s="1171"/>
      <c r="N94" s="1171"/>
      <c r="O94" s="1171"/>
      <c r="P94" s="1171"/>
      <c r="Q94" s="1171"/>
      <c r="R94" s="1171"/>
      <c r="S94" s="1171"/>
      <c r="T94" s="1171"/>
      <c r="U94" s="1171"/>
      <c r="V94" s="1171"/>
      <c r="W94" s="1171"/>
      <c r="X94" s="1171"/>
      <c r="Y94" s="1171"/>
      <c r="Z94" s="1171"/>
      <c r="AA94" s="1171"/>
      <c r="AB94" s="1171"/>
      <c r="AC94" s="1171"/>
      <c r="AD94" s="1171"/>
      <c r="AE94" s="1171"/>
      <c r="AF94" s="1171"/>
      <c r="AG94" s="1171"/>
      <c r="AH94" s="1171"/>
      <c r="AI94" s="117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255"/>
      <c r="BO94" s="255"/>
      <c r="BQ94" s="255"/>
      <c r="BR94" s="255"/>
      <c r="EJ94" s="255"/>
      <c r="EO94" s="255"/>
    </row>
    <row r="95" spans="1:145" ht="15" customHeight="1">
      <c r="A95" s="1172"/>
      <c r="B95" s="1173" t="s">
        <v>608</v>
      </c>
      <c r="C95" s="1173"/>
      <c r="D95" s="1173"/>
      <c r="E95" s="1173"/>
      <c r="F95" s="1173"/>
      <c r="G95" s="1173"/>
      <c r="H95" s="1343">
        <v>1</v>
      </c>
      <c r="I95" s="1174">
        <v>2</v>
      </c>
      <c r="J95" s="1174">
        <v>3</v>
      </c>
      <c r="K95" s="1174">
        <v>4</v>
      </c>
      <c r="L95" s="1174">
        <v>5</v>
      </c>
      <c r="M95" s="1343">
        <v>6</v>
      </c>
      <c r="N95" s="1829"/>
      <c r="O95" s="1567" t="s">
        <v>654</v>
      </c>
      <c r="P95" s="1568"/>
      <c r="Q95" s="1568"/>
      <c r="R95" s="1568"/>
      <c r="S95" s="1568"/>
      <c r="T95" s="1568"/>
      <c r="U95" s="1731"/>
      <c r="V95" s="1645"/>
      <c r="W95" s="1648" t="s">
        <v>655</v>
      </c>
      <c r="X95" s="1648">
        <v>1</v>
      </c>
      <c r="Y95" s="1648" t="s">
        <v>16</v>
      </c>
      <c r="Z95" s="1648"/>
      <c r="AA95" s="1648"/>
      <c r="AB95" s="1648"/>
      <c r="AC95" s="1832"/>
      <c r="AD95" s="1537"/>
      <c r="AE95" s="1821" t="s">
        <v>656</v>
      </c>
      <c r="AF95" s="1822"/>
      <c r="AG95" s="1822"/>
      <c r="AH95" s="1822"/>
      <c r="AI95" s="1822"/>
      <c r="AJ95" s="1822"/>
      <c r="AK95" s="1760"/>
      <c r="AL95" s="1653"/>
      <c r="AM95" s="1656" t="s">
        <v>657</v>
      </c>
      <c r="AN95" s="1657"/>
      <c r="AO95" s="1657"/>
      <c r="AP95" s="1657"/>
      <c r="AQ95" s="1657"/>
      <c r="AR95" s="1657"/>
      <c r="AS95" s="1826"/>
      <c r="AT95" s="1628"/>
      <c r="AU95" s="1849" t="s">
        <v>832</v>
      </c>
      <c r="AV95" s="1850"/>
      <c r="AW95" s="1850"/>
      <c r="AX95" s="1850"/>
      <c r="AY95" s="1850"/>
      <c r="AZ95" s="1850"/>
      <c r="BA95" s="1256"/>
      <c r="BB95" s="1708"/>
      <c r="BC95" s="1809" t="s">
        <v>660</v>
      </c>
      <c r="BD95" s="1712"/>
      <c r="BE95" s="1712"/>
      <c r="BF95" s="1712"/>
      <c r="BG95" s="1712"/>
      <c r="BH95" s="1712"/>
      <c r="BI95" s="1811"/>
      <c r="BJ95" s="1182" t="s">
        <v>263</v>
      </c>
      <c r="BK95" s="1183"/>
      <c r="BL95" s="1183"/>
      <c r="BM95" s="1183"/>
      <c r="BN95" s="1183"/>
      <c r="BO95" s="1184"/>
      <c r="BQ95" s="255"/>
      <c r="BR95" s="255"/>
      <c r="EO95" s="255"/>
    </row>
    <row r="96" spans="1:145" ht="15" customHeight="1">
      <c r="A96" s="1172"/>
      <c r="B96" s="1173"/>
      <c r="C96" s="1173"/>
      <c r="D96" s="1173"/>
      <c r="E96" s="1173"/>
      <c r="F96" s="1173"/>
      <c r="G96" s="1173"/>
      <c r="H96" s="1344"/>
      <c r="I96" s="1174"/>
      <c r="J96" s="1174"/>
      <c r="K96" s="1174"/>
      <c r="L96" s="1174"/>
      <c r="M96" s="1344"/>
      <c r="N96" s="1829"/>
      <c r="O96" s="1570"/>
      <c r="P96" s="1571"/>
      <c r="Q96" s="1571"/>
      <c r="R96" s="1571"/>
      <c r="S96" s="1571"/>
      <c r="T96" s="1571"/>
      <c r="U96" s="1732"/>
      <c r="V96" s="1646"/>
      <c r="W96" s="1386"/>
      <c r="X96" s="1386"/>
      <c r="Y96" s="1386"/>
      <c r="Z96" s="1386"/>
      <c r="AA96" s="1386"/>
      <c r="AB96" s="1386"/>
      <c r="AC96" s="1832"/>
      <c r="AD96" s="1538"/>
      <c r="AE96" s="1823"/>
      <c r="AF96" s="1353"/>
      <c r="AG96" s="1353"/>
      <c r="AH96" s="1353"/>
      <c r="AI96" s="1353"/>
      <c r="AJ96" s="1353"/>
      <c r="AK96" s="1761"/>
      <c r="AL96" s="1654"/>
      <c r="AM96" s="1659"/>
      <c r="AN96" s="1660"/>
      <c r="AO96" s="1660"/>
      <c r="AP96" s="1660"/>
      <c r="AQ96" s="1660"/>
      <c r="AR96" s="1660"/>
      <c r="AS96" s="1827"/>
      <c r="AT96" s="1629"/>
      <c r="AU96" s="1851"/>
      <c r="AV96" s="1852"/>
      <c r="AW96" s="1852"/>
      <c r="AX96" s="1852"/>
      <c r="AY96" s="1852"/>
      <c r="AZ96" s="1852"/>
      <c r="BA96" s="1532"/>
      <c r="BB96" s="1709"/>
      <c r="BC96" s="1810"/>
      <c r="BD96" s="1715"/>
      <c r="BE96" s="1715"/>
      <c r="BF96" s="1715"/>
      <c r="BG96" s="1715"/>
      <c r="BH96" s="1715"/>
      <c r="BI96" s="1811"/>
      <c r="BJ96" s="1219"/>
      <c r="BK96" s="1220"/>
      <c r="BL96" s="1220"/>
      <c r="BM96" s="1220"/>
      <c r="BN96" s="1220"/>
      <c r="BO96" s="1221"/>
      <c r="BQ96" s="255"/>
      <c r="BR96" s="255"/>
      <c r="EO96" s="255"/>
    </row>
    <row r="97" spans="1:145" ht="15" customHeight="1" thickBot="1">
      <c r="A97" s="1172"/>
      <c r="B97" s="1173"/>
      <c r="C97" s="1173"/>
      <c r="D97" s="1173"/>
      <c r="E97" s="1173"/>
      <c r="F97" s="1173"/>
      <c r="G97" s="1173"/>
      <c r="H97" s="1345"/>
      <c r="I97" s="1174"/>
      <c r="J97" s="1174"/>
      <c r="K97" s="1174"/>
      <c r="L97" s="1174"/>
      <c r="M97" s="1486"/>
      <c r="N97" s="1829"/>
      <c r="O97" s="1830"/>
      <c r="P97" s="1831"/>
      <c r="Q97" s="1831"/>
      <c r="R97" s="1831"/>
      <c r="S97" s="1831"/>
      <c r="T97" s="1831"/>
      <c r="U97" s="1733"/>
      <c r="V97" s="1647"/>
      <c r="W97" s="1651"/>
      <c r="X97" s="1651"/>
      <c r="Y97" s="1651"/>
      <c r="Z97" s="1651"/>
      <c r="AA97" s="1651"/>
      <c r="AB97" s="1651"/>
      <c r="AC97" s="1832"/>
      <c r="AD97" s="1539"/>
      <c r="AE97" s="1824"/>
      <c r="AF97" s="1825"/>
      <c r="AG97" s="1825"/>
      <c r="AH97" s="1825"/>
      <c r="AI97" s="1825"/>
      <c r="AJ97" s="1825"/>
      <c r="AK97" s="1762"/>
      <c r="AL97" s="1655"/>
      <c r="AM97" s="1662"/>
      <c r="AN97" s="1663"/>
      <c r="AO97" s="1663"/>
      <c r="AP97" s="1663"/>
      <c r="AQ97" s="1663"/>
      <c r="AR97" s="1663"/>
      <c r="AS97" s="1828"/>
      <c r="AT97" s="1630"/>
      <c r="AU97" s="1853"/>
      <c r="AV97" s="1854"/>
      <c r="AW97" s="1854"/>
      <c r="AX97" s="1854"/>
      <c r="AY97" s="1854"/>
      <c r="AZ97" s="1854"/>
      <c r="BA97" s="1257"/>
      <c r="BB97" s="1710"/>
      <c r="BC97" s="1717"/>
      <c r="BD97" s="1718"/>
      <c r="BE97" s="1718"/>
      <c r="BF97" s="1718"/>
      <c r="BG97" s="1718"/>
      <c r="BH97" s="1718"/>
      <c r="BI97" s="1811"/>
      <c r="BJ97" s="1337"/>
      <c r="BK97" s="1338"/>
      <c r="BL97" s="1338"/>
      <c r="BM97" s="1338"/>
      <c r="BN97" s="1338"/>
      <c r="BO97" s="1339"/>
      <c r="BQ97" s="255"/>
      <c r="BR97" s="255"/>
      <c r="EO97" s="255"/>
    </row>
    <row r="98" spans="1:145" ht="15" customHeight="1">
      <c r="A98" s="1307">
        <v>1.1000000000000001</v>
      </c>
      <c r="B98" s="1161" t="s">
        <v>941</v>
      </c>
      <c r="C98" s="1162"/>
      <c r="D98" s="1162"/>
      <c r="E98" s="1162"/>
      <c r="F98" s="1162"/>
      <c r="G98" s="1199"/>
      <c r="H98" s="1268" t="str">
        <f>IF(ISBLANK(AN$3),"",1)</f>
        <v/>
      </c>
      <c r="I98" s="1205" t="str">
        <f>IF(ISBLANK(AR$3),"",1)</f>
        <v/>
      </c>
      <c r="J98" s="1205" t="str">
        <f>IF(ISBLANK(AV$3),"",1)</f>
        <v/>
      </c>
      <c r="K98" s="1205" t="str">
        <f>IF(ISBLANK(AZ$3),"",1)</f>
        <v/>
      </c>
      <c r="L98" s="1205" t="str">
        <f>IF(ISBLANK(BD$3),"",1)</f>
        <v/>
      </c>
      <c r="M98" s="1248" t="str">
        <f>IF(ISBLANK(BH$3),"",1)</f>
        <v/>
      </c>
      <c r="N98" s="1258">
        <v>4.4000000000000004</v>
      </c>
      <c r="O98" s="1756" t="s">
        <v>374</v>
      </c>
      <c r="P98" s="1527"/>
      <c r="Q98" s="1527"/>
      <c r="R98" s="1527"/>
      <c r="S98" s="1527"/>
      <c r="T98" s="1527"/>
      <c r="U98" s="1342" t="str">
        <f>IF(ISBLANK(AN$3),"",1)</f>
        <v/>
      </c>
      <c r="V98" s="1303">
        <v>4.4000000000000004</v>
      </c>
      <c r="W98" s="1790" t="s">
        <v>642</v>
      </c>
      <c r="X98" s="1790"/>
      <c r="Y98" s="1790"/>
      <c r="Z98" s="1790"/>
      <c r="AA98" s="1790"/>
      <c r="AB98" s="1790"/>
      <c r="AC98" s="1342" t="str">
        <f>IF(ISBLANK(AR$3),"",1)</f>
        <v/>
      </c>
      <c r="AD98" s="1303">
        <v>4.4000000000000004</v>
      </c>
      <c r="AE98" s="1684" t="s">
        <v>340</v>
      </c>
      <c r="AF98" s="1684"/>
      <c r="AG98" s="1684"/>
      <c r="AH98" s="1684"/>
      <c r="AI98" s="1684"/>
      <c r="AJ98" s="1684"/>
      <c r="AK98" s="1342" t="str">
        <f>IF(ISBLANK(AV$3),"",1)</f>
        <v/>
      </c>
      <c r="AL98" s="1303">
        <v>4.4000000000000004</v>
      </c>
      <c r="AM98" s="1684" t="s">
        <v>340</v>
      </c>
      <c r="AN98" s="1684"/>
      <c r="AO98" s="1684"/>
      <c r="AP98" s="1684"/>
      <c r="AQ98" s="1684"/>
      <c r="AR98" s="1684"/>
      <c r="AS98" s="1342" t="str">
        <f>IF(ISBLANK(AZ$3),"",1)</f>
        <v/>
      </c>
      <c r="AT98" s="1303">
        <v>4.4000000000000004</v>
      </c>
      <c r="AU98" s="1684" t="s">
        <v>341</v>
      </c>
      <c r="AV98" s="1684"/>
      <c r="AW98" s="1684"/>
      <c r="AX98" s="1684"/>
      <c r="AY98" s="1684"/>
      <c r="AZ98" s="1684"/>
      <c r="BA98" s="1342" t="str">
        <f>IF(ISBLANK(BD$3),"",1)</f>
        <v/>
      </c>
      <c r="BB98" s="1303">
        <v>4.4000000000000004</v>
      </c>
      <c r="BC98" s="1684" t="s">
        <v>340</v>
      </c>
      <c r="BD98" s="1684"/>
      <c r="BE98" s="1684"/>
      <c r="BF98" s="1684"/>
      <c r="BG98" s="1684"/>
      <c r="BH98" s="1684"/>
      <c r="BI98" s="1342" t="str">
        <f>IF(ISBLANK(BH$3),"",1)</f>
        <v/>
      </c>
      <c r="BJ98" s="1337"/>
      <c r="BK98" s="1338"/>
      <c r="BL98" s="1338"/>
      <c r="BM98" s="1338"/>
      <c r="BN98" s="1338"/>
      <c r="BO98" s="1339"/>
      <c r="BQ98" s="255"/>
      <c r="BR98" s="255"/>
      <c r="EO98" s="255"/>
    </row>
    <row r="99" spans="1:145" ht="15" customHeight="1">
      <c r="A99" s="1308"/>
      <c r="B99" s="1163"/>
      <c r="C99" s="1164"/>
      <c r="D99" s="1164"/>
      <c r="E99" s="1164"/>
      <c r="F99" s="1164"/>
      <c r="G99" s="1201"/>
      <c r="H99" s="1269"/>
      <c r="I99" s="1206"/>
      <c r="J99" s="1206"/>
      <c r="K99" s="1206"/>
      <c r="L99" s="1206"/>
      <c r="M99" s="1206"/>
      <c r="N99" s="1258"/>
      <c r="O99" s="1295"/>
      <c r="P99" s="1296"/>
      <c r="Q99" s="1296"/>
      <c r="R99" s="1296"/>
      <c r="S99" s="1296"/>
      <c r="T99" s="1296"/>
      <c r="U99" s="1342"/>
      <c r="V99" s="1258"/>
      <c r="W99" s="1684"/>
      <c r="X99" s="1684"/>
      <c r="Y99" s="1684"/>
      <c r="Z99" s="1684"/>
      <c r="AA99" s="1684"/>
      <c r="AB99" s="1684"/>
      <c r="AC99" s="1342"/>
      <c r="AD99" s="1258"/>
      <c r="AE99" s="1684"/>
      <c r="AF99" s="1684"/>
      <c r="AG99" s="1684"/>
      <c r="AH99" s="1684"/>
      <c r="AI99" s="1684"/>
      <c r="AJ99" s="1684"/>
      <c r="AK99" s="1342"/>
      <c r="AL99" s="1258"/>
      <c r="AM99" s="1684"/>
      <c r="AN99" s="1684"/>
      <c r="AO99" s="1684"/>
      <c r="AP99" s="1684"/>
      <c r="AQ99" s="1684"/>
      <c r="AR99" s="1684"/>
      <c r="AS99" s="1342"/>
      <c r="AT99" s="1258"/>
      <c r="AU99" s="1684"/>
      <c r="AV99" s="1684"/>
      <c r="AW99" s="1684"/>
      <c r="AX99" s="1684"/>
      <c r="AY99" s="1684"/>
      <c r="AZ99" s="1684"/>
      <c r="BA99" s="1342"/>
      <c r="BB99" s="1258"/>
      <c r="BC99" s="1684"/>
      <c r="BD99" s="1684"/>
      <c r="BE99" s="1684"/>
      <c r="BF99" s="1684"/>
      <c r="BG99" s="1684"/>
      <c r="BH99" s="1684"/>
      <c r="BI99" s="1342"/>
      <c r="BJ99" s="1337"/>
      <c r="BK99" s="1338"/>
      <c r="BL99" s="1338"/>
      <c r="BM99" s="1338"/>
      <c r="BN99" s="1338"/>
      <c r="BO99" s="1339"/>
      <c r="BQ99" s="255"/>
      <c r="BR99" s="255"/>
      <c r="EO99" s="255"/>
    </row>
    <row r="100" spans="1:145" ht="15" customHeight="1">
      <c r="A100" s="1309"/>
      <c r="B100" s="1165"/>
      <c r="C100" s="1166"/>
      <c r="D100" s="1166"/>
      <c r="E100" s="1166"/>
      <c r="F100" s="1166"/>
      <c r="G100" s="1292"/>
      <c r="H100" s="1270"/>
      <c r="I100" s="1207"/>
      <c r="J100" s="1207"/>
      <c r="K100" s="1207"/>
      <c r="L100" s="1207"/>
      <c r="M100" s="1207"/>
      <c r="N100" s="1258"/>
      <c r="O100" s="1298"/>
      <c r="P100" s="1299"/>
      <c r="Q100" s="1299"/>
      <c r="R100" s="1299"/>
      <c r="S100" s="1299"/>
      <c r="T100" s="1299"/>
      <c r="U100" s="1342"/>
      <c r="V100" s="1258"/>
      <c r="W100" s="1684"/>
      <c r="X100" s="1684"/>
      <c r="Y100" s="1684"/>
      <c r="Z100" s="1684"/>
      <c r="AA100" s="1684"/>
      <c r="AB100" s="1684"/>
      <c r="AC100" s="1342"/>
      <c r="AD100" s="1258"/>
      <c r="AE100" s="1684"/>
      <c r="AF100" s="1684"/>
      <c r="AG100" s="1684"/>
      <c r="AH100" s="1684"/>
      <c r="AI100" s="1684"/>
      <c r="AJ100" s="1684"/>
      <c r="AK100" s="1342"/>
      <c r="AL100" s="1258"/>
      <c r="AM100" s="1684"/>
      <c r="AN100" s="1684"/>
      <c r="AO100" s="1684"/>
      <c r="AP100" s="1684"/>
      <c r="AQ100" s="1684"/>
      <c r="AR100" s="1684"/>
      <c r="AS100" s="1342"/>
      <c r="AT100" s="1258"/>
      <c r="AU100" s="1684"/>
      <c r="AV100" s="1684"/>
      <c r="AW100" s="1684"/>
      <c r="AX100" s="1684"/>
      <c r="AY100" s="1684"/>
      <c r="AZ100" s="1684"/>
      <c r="BA100" s="1342"/>
      <c r="BB100" s="1258"/>
      <c r="BC100" s="1684"/>
      <c r="BD100" s="1684"/>
      <c r="BE100" s="1684"/>
      <c r="BF100" s="1684"/>
      <c r="BG100" s="1684"/>
      <c r="BH100" s="1684"/>
      <c r="BI100" s="1342"/>
      <c r="BJ100" s="1337"/>
      <c r="BK100" s="1338"/>
      <c r="BL100" s="1338"/>
      <c r="BM100" s="1338"/>
      <c r="BN100" s="1338"/>
      <c r="BO100" s="1339"/>
      <c r="BQ100" s="255"/>
      <c r="BR100" s="255"/>
      <c r="EO100" s="255"/>
    </row>
    <row r="101" spans="1:145" ht="15" customHeight="1">
      <c r="A101" s="1304">
        <v>2.4</v>
      </c>
      <c r="B101" s="1161" t="s">
        <v>316</v>
      </c>
      <c r="C101" s="1162"/>
      <c r="D101" s="1162"/>
      <c r="E101" s="1162"/>
      <c r="F101" s="1162"/>
      <c r="G101" s="1199"/>
      <c r="H101" s="1268" t="str">
        <f t="shared" ref="H101" si="87">IF(ISBLANK(AN$3),"",1)</f>
        <v/>
      </c>
      <c r="I101" s="1205" t="str">
        <f t="shared" ref="I101" si="88">IF(ISBLANK(AR$3),"",1)</f>
        <v/>
      </c>
      <c r="J101" s="1205" t="str">
        <f t="shared" ref="J101" si="89">IF(ISBLANK(AV$3),"",1)</f>
        <v/>
      </c>
      <c r="K101" s="1205" t="str">
        <f t="shared" ref="K101" si="90">IF(ISBLANK(AZ$3),"",1)</f>
        <v/>
      </c>
      <c r="L101" s="1205" t="str">
        <f t="shared" ref="L101" si="91">IF(ISBLANK(BD$3),"",1)</f>
        <v/>
      </c>
      <c r="M101" s="1248" t="str">
        <f t="shared" ref="M101" si="92">IF(ISBLANK(BH$3),"",1)</f>
        <v/>
      </c>
      <c r="N101" s="1258">
        <v>4.4000000000000004</v>
      </c>
      <c r="O101" s="1756" t="s">
        <v>375</v>
      </c>
      <c r="P101" s="1527"/>
      <c r="Q101" s="1527"/>
      <c r="R101" s="1527"/>
      <c r="S101" s="1527"/>
      <c r="T101" s="1527"/>
      <c r="U101" s="1342" t="str">
        <f>IF(ISBLANK(AN$3),"",1)</f>
        <v/>
      </c>
      <c r="V101" s="1303">
        <v>4.4000000000000004</v>
      </c>
      <c r="W101" s="1684" t="s">
        <v>343</v>
      </c>
      <c r="X101" s="1684"/>
      <c r="Y101" s="1684"/>
      <c r="Z101" s="1684"/>
      <c r="AA101" s="1684"/>
      <c r="AB101" s="1684"/>
      <c r="AC101" s="1342" t="str">
        <f>IF(ISBLANK(AR$3),"",1)</f>
        <v/>
      </c>
      <c r="AD101" s="1303">
        <v>4.3</v>
      </c>
      <c r="AE101" s="1684" t="s">
        <v>319</v>
      </c>
      <c r="AF101" s="1684"/>
      <c r="AG101" s="1684"/>
      <c r="AH101" s="1684"/>
      <c r="AI101" s="1684"/>
      <c r="AJ101" s="1684"/>
      <c r="AK101" s="1342" t="str">
        <f>IF(ISBLANK(AV$3),"",1)</f>
        <v/>
      </c>
      <c r="AL101" s="1258">
        <v>4.3</v>
      </c>
      <c r="AM101" s="1684" t="s">
        <v>319</v>
      </c>
      <c r="AN101" s="1684"/>
      <c r="AO101" s="1684"/>
      <c r="AP101" s="1684"/>
      <c r="AQ101" s="1684"/>
      <c r="AR101" s="1684"/>
      <c r="AS101" s="1342" t="str">
        <f>IF(ISBLANK(AZ$3),"",1)</f>
        <v/>
      </c>
      <c r="AT101" s="1258">
        <v>4.4000000000000004</v>
      </c>
      <c r="AU101" s="1684" t="s">
        <v>344</v>
      </c>
      <c r="AV101" s="1684"/>
      <c r="AW101" s="1684"/>
      <c r="AX101" s="1684"/>
      <c r="AY101" s="1684"/>
      <c r="AZ101" s="1684"/>
      <c r="BA101" s="1342" t="str">
        <f>IF(ISBLANK(BD$3),"",1)</f>
        <v/>
      </c>
      <c r="BB101" s="1258">
        <v>4.3</v>
      </c>
      <c r="BC101" s="1684" t="s">
        <v>319</v>
      </c>
      <c r="BD101" s="1684"/>
      <c r="BE101" s="1684"/>
      <c r="BF101" s="1684"/>
      <c r="BG101" s="1684"/>
      <c r="BH101" s="1684"/>
      <c r="BI101" s="1342" t="str">
        <f>IF(ISBLANK(BH$3),"",1)</f>
        <v/>
      </c>
      <c r="BJ101" s="1337"/>
      <c r="BK101" s="1338"/>
      <c r="BL101" s="1338"/>
      <c r="BM101" s="1338"/>
      <c r="BN101" s="1338"/>
      <c r="BO101" s="1339"/>
      <c r="BQ101" s="255"/>
      <c r="BR101" s="255"/>
      <c r="EO101" s="255"/>
    </row>
    <row r="102" spans="1:145" ht="15" customHeight="1">
      <c r="A102" s="1290"/>
      <c r="B102" s="1163"/>
      <c r="C102" s="1164"/>
      <c r="D102" s="1164"/>
      <c r="E102" s="1164"/>
      <c r="F102" s="1164"/>
      <c r="G102" s="1201"/>
      <c r="H102" s="1269"/>
      <c r="I102" s="1206"/>
      <c r="J102" s="1206"/>
      <c r="K102" s="1206"/>
      <c r="L102" s="1206"/>
      <c r="M102" s="1206"/>
      <c r="N102" s="1258"/>
      <c r="O102" s="1295"/>
      <c r="P102" s="1296"/>
      <c r="Q102" s="1296"/>
      <c r="R102" s="1296"/>
      <c r="S102" s="1296"/>
      <c r="T102" s="1296"/>
      <c r="U102" s="1342"/>
      <c r="V102" s="1258"/>
      <c r="W102" s="1684"/>
      <c r="X102" s="1684"/>
      <c r="Y102" s="1684"/>
      <c r="Z102" s="1684"/>
      <c r="AA102" s="1684"/>
      <c r="AB102" s="1684"/>
      <c r="AC102" s="1342"/>
      <c r="AD102" s="1258"/>
      <c r="AE102" s="1684" t="s">
        <v>644</v>
      </c>
      <c r="AF102" s="1684"/>
      <c r="AG102" s="1684"/>
      <c r="AH102" s="1684"/>
      <c r="AI102" s="1684"/>
      <c r="AJ102" s="1684"/>
      <c r="AK102" s="1342"/>
      <c r="AL102" s="1258"/>
      <c r="AM102" s="1684"/>
      <c r="AN102" s="1684"/>
      <c r="AO102" s="1684"/>
      <c r="AP102" s="1684"/>
      <c r="AQ102" s="1684"/>
      <c r="AR102" s="1684"/>
      <c r="AS102" s="1342"/>
      <c r="AT102" s="1258"/>
      <c r="AU102" s="1684"/>
      <c r="AV102" s="1684"/>
      <c r="AW102" s="1684"/>
      <c r="AX102" s="1684"/>
      <c r="AY102" s="1684"/>
      <c r="AZ102" s="1684"/>
      <c r="BA102" s="1342"/>
      <c r="BB102" s="1258"/>
      <c r="BC102" s="1684"/>
      <c r="BD102" s="1684"/>
      <c r="BE102" s="1684"/>
      <c r="BF102" s="1684"/>
      <c r="BG102" s="1684"/>
      <c r="BH102" s="1684"/>
      <c r="BI102" s="1342"/>
      <c r="BJ102" s="1337"/>
      <c r="BK102" s="1338"/>
      <c r="BL102" s="1338"/>
      <c r="BM102" s="1338"/>
      <c r="BN102" s="1338"/>
      <c r="BO102" s="1339"/>
      <c r="BQ102" s="255"/>
      <c r="BR102" s="255"/>
      <c r="EO102" s="255"/>
    </row>
    <row r="103" spans="1:145" ht="15" customHeight="1">
      <c r="A103" s="1291"/>
      <c r="B103" s="1165"/>
      <c r="C103" s="1166"/>
      <c r="D103" s="1166"/>
      <c r="E103" s="1166"/>
      <c r="F103" s="1166"/>
      <c r="G103" s="1292"/>
      <c r="H103" s="1270"/>
      <c r="I103" s="1207"/>
      <c r="J103" s="1207"/>
      <c r="K103" s="1207"/>
      <c r="L103" s="1207"/>
      <c r="M103" s="1207"/>
      <c r="N103" s="1258"/>
      <c r="O103" s="1298"/>
      <c r="P103" s="1299"/>
      <c r="Q103" s="1299"/>
      <c r="R103" s="1299"/>
      <c r="S103" s="1299"/>
      <c r="T103" s="1299"/>
      <c r="U103" s="1342"/>
      <c r="V103" s="1258"/>
      <c r="W103" s="1684"/>
      <c r="X103" s="1684"/>
      <c r="Y103" s="1684"/>
      <c r="Z103" s="1684"/>
      <c r="AA103" s="1684"/>
      <c r="AB103" s="1684"/>
      <c r="AC103" s="1342"/>
      <c r="AD103" s="1258"/>
      <c r="AE103" s="1684"/>
      <c r="AF103" s="1684"/>
      <c r="AG103" s="1684"/>
      <c r="AH103" s="1684"/>
      <c r="AI103" s="1684"/>
      <c r="AJ103" s="1684"/>
      <c r="AK103" s="1342"/>
      <c r="AL103" s="1258"/>
      <c r="AM103" s="1684"/>
      <c r="AN103" s="1684"/>
      <c r="AO103" s="1684"/>
      <c r="AP103" s="1684"/>
      <c r="AQ103" s="1684"/>
      <c r="AR103" s="1684"/>
      <c r="AS103" s="1342"/>
      <c r="AT103" s="1258"/>
      <c r="AU103" s="1684"/>
      <c r="AV103" s="1684"/>
      <c r="AW103" s="1684"/>
      <c r="AX103" s="1684"/>
      <c r="AY103" s="1684"/>
      <c r="AZ103" s="1684"/>
      <c r="BA103" s="1342"/>
      <c r="BB103" s="1258"/>
      <c r="BC103" s="1684"/>
      <c r="BD103" s="1684"/>
      <c r="BE103" s="1684"/>
      <c r="BF103" s="1684"/>
      <c r="BG103" s="1684"/>
      <c r="BH103" s="1684"/>
      <c r="BI103" s="1342"/>
      <c r="BJ103" s="1337"/>
      <c r="BK103" s="1338"/>
      <c r="BL103" s="1338"/>
      <c r="BM103" s="1338"/>
      <c r="BN103" s="1338"/>
      <c r="BO103" s="1339"/>
      <c r="BQ103" s="255"/>
      <c r="BR103" s="255"/>
      <c r="EO103" s="255"/>
    </row>
    <row r="104" spans="1:145" ht="15" customHeight="1">
      <c r="A104" s="1307">
        <v>1.1000000000000001</v>
      </c>
      <c r="B104" s="1161" t="s">
        <v>320</v>
      </c>
      <c r="C104" s="1162"/>
      <c r="D104" s="1162"/>
      <c r="E104" s="1162"/>
      <c r="F104" s="1162"/>
      <c r="G104" s="1199"/>
      <c r="H104" s="1268" t="str">
        <f t="shared" ref="H104" si="93">IF(ISBLANK(AN$3),"",1)</f>
        <v/>
      </c>
      <c r="I104" s="1205" t="str">
        <f t="shared" ref="I104" si="94">IF(ISBLANK(AR$3),"",1)</f>
        <v/>
      </c>
      <c r="J104" s="1205" t="str">
        <f t="shared" ref="J104" si="95">IF(ISBLANK(AV$3),"",1)</f>
        <v/>
      </c>
      <c r="K104" s="1205" t="str">
        <f t="shared" ref="K104" si="96">IF(ISBLANK(AZ$3),"",1)</f>
        <v/>
      </c>
      <c r="L104" s="1205" t="str">
        <f t="shared" ref="L104" si="97">IF(ISBLANK(BD$3),"",1)</f>
        <v/>
      </c>
      <c r="M104" s="1248" t="str">
        <f t="shared" ref="M104" si="98">IF(ISBLANK(BH$3),"",1)</f>
        <v/>
      </c>
      <c r="N104" s="1258">
        <v>4.4000000000000004</v>
      </c>
      <c r="O104" s="1756" t="s">
        <v>376</v>
      </c>
      <c r="P104" s="1527"/>
      <c r="Q104" s="1527"/>
      <c r="R104" s="1527"/>
      <c r="S104" s="1527"/>
      <c r="T104" s="1527"/>
      <c r="U104" s="1342" t="str">
        <f>IF(ISBLANK(AN$3),"",1)</f>
        <v/>
      </c>
      <c r="V104" s="1236">
        <v>1.5</v>
      </c>
      <c r="W104" s="1684" t="s">
        <v>345</v>
      </c>
      <c r="X104" s="1684"/>
      <c r="Y104" s="1684"/>
      <c r="Z104" s="1684"/>
      <c r="AA104" s="1684"/>
      <c r="AB104" s="1684"/>
      <c r="AC104" s="1342" t="str">
        <f>IF(ISBLANK(AR$3),"",1)</f>
        <v/>
      </c>
      <c r="AD104" s="1194">
        <v>2.4</v>
      </c>
      <c r="AE104" s="1791" t="s">
        <v>367</v>
      </c>
      <c r="AF104" s="1684"/>
      <c r="AG104" s="1684"/>
      <c r="AH104" s="1684"/>
      <c r="AI104" s="1684"/>
      <c r="AJ104" s="1684"/>
      <c r="AK104" s="1342" t="str">
        <f>IF(ISBLANK(AV$3),"",1)</f>
        <v/>
      </c>
      <c r="AL104" s="1194">
        <v>2.4</v>
      </c>
      <c r="AM104" s="1791" t="s">
        <v>346</v>
      </c>
      <c r="AN104" s="1684"/>
      <c r="AO104" s="1684"/>
      <c r="AP104" s="1684"/>
      <c r="AQ104" s="1684"/>
      <c r="AR104" s="1684"/>
      <c r="AS104" s="1342" t="str">
        <f>IF(ISBLANK(AZ$3),"",1)</f>
        <v/>
      </c>
      <c r="AT104" s="1258">
        <v>4.3</v>
      </c>
      <c r="AU104" s="1749" t="s">
        <v>319</v>
      </c>
      <c r="AV104" s="1396"/>
      <c r="AW104" s="1396"/>
      <c r="AX104" s="1396"/>
      <c r="AY104" s="1396"/>
      <c r="AZ104" s="1396"/>
      <c r="BA104" s="1342" t="str">
        <f>IF(ISBLANK(BD$3),"",1)</f>
        <v/>
      </c>
      <c r="BB104" s="1194">
        <v>2.4</v>
      </c>
      <c r="BC104" s="1791" t="s">
        <v>346</v>
      </c>
      <c r="BD104" s="1684"/>
      <c r="BE104" s="1684"/>
      <c r="BF104" s="1684"/>
      <c r="BG104" s="1684"/>
      <c r="BH104" s="1684"/>
      <c r="BI104" s="1342" t="str">
        <f>IF(ISBLANK(BH$3),"",1)</f>
        <v/>
      </c>
      <c r="BJ104" s="1337"/>
      <c r="BK104" s="1338"/>
      <c r="BL104" s="1338"/>
      <c r="BM104" s="1338"/>
      <c r="BN104" s="1338"/>
      <c r="BO104" s="1339"/>
      <c r="BQ104" s="255"/>
      <c r="BR104" s="255"/>
      <c r="EO104" s="255"/>
    </row>
    <row r="105" spans="1:145" ht="15" customHeight="1">
      <c r="A105" s="1308"/>
      <c r="B105" s="1163"/>
      <c r="C105" s="1164"/>
      <c r="D105" s="1164"/>
      <c r="E105" s="1164"/>
      <c r="F105" s="1164"/>
      <c r="G105" s="1201"/>
      <c r="H105" s="1269"/>
      <c r="I105" s="1206"/>
      <c r="J105" s="1206"/>
      <c r="K105" s="1206"/>
      <c r="L105" s="1206"/>
      <c r="M105" s="1206"/>
      <c r="N105" s="1258"/>
      <c r="O105" s="1295"/>
      <c r="P105" s="1296"/>
      <c r="Q105" s="1296"/>
      <c r="R105" s="1296"/>
      <c r="S105" s="1296"/>
      <c r="T105" s="1296"/>
      <c r="U105" s="1342"/>
      <c r="V105" s="1236"/>
      <c r="W105" s="1684"/>
      <c r="X105" s="1684"/>
      <c r="Y105" s="1684"/>
      <c r="Z105" s="1684"/>
      <c r="AA105" s="1684"/>
      <c r="AB105" s="1684"/>
      <c r="AC105" s="1342"/>
      <c r="AD105" s="1194"/>
      <c r="AE105" s="1684" t="s">
        <v>368</v>
      </c>
      <c r="AF105" s="1684"/>
      <c r="AG105" s="1684"/>
      <c r="AH105" s="1684"/>
      <c r="AI105" s="1684"/>
      <c r="AJ105" s="1684"/>
      <c r="AK105" s="1342"/>
      <c r="AL105" s="1194"/>
      <c r="AM105" s="1684"/>
      <c r="AN105" s="1684"/>
      <c r="AO105" s="1684"/>
      <c r="AP105" s="1684"/>
      <c r="AQ105" s="1684"/>
      <c r="AR105" s="1684"/>
      <c r="AS105" s="1342"/>
      <c r="AT105" s="1258"/>
      <c r="AU105" s="1200"/>
      <c r="AV105" s="1164"/>
      <c r="AW105" s="1164"/>
      <c r="AX105" s="1164"/>
      <c r="AY105" s="1164"/>
      <c r="AZ105" s="1164"/>
      <c r="BA105" s="1342"/>
      <c r="BB105" s="1194"/>
      <c r="BC105" s="1684"/>
      <c r="BD105" s="1684"/>
      <c r="BE105" s="1684"/>
      <c r="BF105" s="1684"/>
      <c r="BG105" s="1684"/>
      <c r="BH105" s="1684"/>
      <c r="BI105" s="1342"/>
      <c r="BJ105" s="1337"/>
      <c r="BK105" s="1338"/>
      <c r="BL105" s="1338"/>
      <c r="BM105" s="1338"/>
      <c r="BN105" s="1338"/>
      <c r="BO105" s="1339"/>
      <c r="BQ105" s="255"/>
      <c r="BR105" s="255"/>
      <c r="EO105" s="255"/>
    </row>
    <row r="106" spans="1:145" ht="15" customHeight="1">
      <c r="A106" s="1309"/>
      <c r="B106" s="1165"/>
      <c r="C106" s="1166"/>
      <c r="D106" s="1166"/>
      <c r="E106" s="1166"/>
      <c r="F106" s="1166"/>
      <c r="G106" s="1292"/>
      <c r="H106" s="1270"/>
      <c r="I106" s="1207"/>
      <c r="J106" s="1207"/>
      <c r="K106" s="1207"/>
      <c r="L106" s="1207"/>
      <c r="M106" s="1207"/>
      <c r="N106" s="1258"/>
      <c r="O106" s="1298"/>
      <c r="P106" s="1299"/>
      <c r="Q106" s="1299"/>
      <c r="R106" s="1299"/>
      <c r="S106" s="1299"/>
      <c r="T106" s="1299"/>
      <c r="U106" s="1342"/>
      <c r="V106" s="1236"/>
      <c r="W106" s="1684"/>
      <c r="X106" s="1684"/>
      <c r="Y106" s="1684"/>
      <c r="Z106" s="1684"/>
      <c r="AA106" s="1684"/>
      <c r="AB106" s="1684"/>
      <c r="AC106" s="1342"/>
      <c r="AD106" s="1194"/>
      <c r="AE106" s="1684" t="s">
        <v>369</v>
      </c>
      <c r="AF106" s="1684"/>
      <c r="AG106" s="1684"/>
      <c r="AH106" s="1684"/>
      <c r="AI106" s="1684"/>
      <c r="AJ106" s="1684"/>
      <c r="AK106" s="1342"/>
      <c r="AL106" s="1194"/>
      <c r="AM106" s="1684"/>
      <c r="AN106" s="1684"/>
      <c r="AO106" s="1684"/>
      <c r="AP106" s="1684"/>
      <c r="AQ106" s="1684"/>
      <c r="AR106" s="1684"/>
      <c r="AS106" s="1342"/>
      <c r="AT106" s="1258"/>
      <c r="AU106" s="1202"/>
      <c r="AV106" s="1203"/>
      <c r="AW106" s="1203"/>
      <c r="AX106" s="1203"/>
      <c r="AY106" s="1203"/>
      <c r="AZ106" s="1203"/>
      <c r="BA106" s="1342"/>
      <c r="BB106" s="1194"/>
      <c r="BC106" s="1684"/>
      <c r="BD106" s="1684"/>
      <c r="BE106" s="1684"/>
      <c r="BF106" s="1684"/>
      <c r="BG106" s="1684"/>
      <c r="BH106" s="1684"/>
      <c r="BI106" s="1342"/>
      <c r="BJ106" s="1337"/>
      <c r="BK106" s="1338"/>
      <c r="BL106" s="1338"/>
      <c r="BM106" s="1338"/>
      <c r="BN106" s="1338"/>
      <c r="BO106" s="1339"/>
      <c r="BQ106" s="255"/>
      <c r="BR106" s="255"/>
      <c r="EO106" s="255"/>
    </row>
    <row r="107" spans="1:145" ht="15" customHeight="1">
      <c r="A107" s="1304">
        <v>2.1</v>
      </c>
      <c r="B107" s="1161" t="s">
        <v>322</v>
      </c>
      <c r="C107" s="1162"/>
      <c r="D107" s="1162"/>
      <c r="E107" s="1162"/>
      <c r="F107" s="1162"/>
      <c r="G107" s="1199"/>
      <c r="H107" s="1268" t="str">
        <f t="shared" ref="H107" si="99">IF(ISBLANK(AN$3),"",1)</f>
        <v/>
      </c>
      <c r="I107" s="1205" t="str">
        <f t="shared" ref="I107" si="100">IF(ISBLANK(AR$3),"",1)</f>
        <v/>
      </c>
      <c r="J107" s="1205" t="str">
        <f t="shared" ref="J107" si="101">IF(ISBLANK(AV$3),"",1)</f>
        <v/>
      </c>
      <c r="K107" s="1205" t="str">
        <f t="shared" ref="K107" si="102">IF(ISBLANK(AZ$3),"",1)</f>
        <v/>
      </c>
      <c r="L107" s="1205" t="str">
        <f t="shared" ref="L107" si="103">IF(ISBLANK(BD$3),"",1)</f>
        <v/>
      </c>
      <c r="M107" s="1248" t="str">
        <f t="shared" ref="M107" si="104">IF(ISBLANK(BH$3),"",1)</f>
        <v/>
      </c>
      <c r="N107" s="1258">
        <v>4.3</v>
      </c>
      <c r="O107" s="1749" t="s">
        <v>319</v>
      </c>
      <c r="P107" s="1396"/>
      <c r="Q107" s="1396"/>
      <c r="R107" s="1396"/>
      <c r="S107" s="1396"/>
      <c r="T107" s="1396"/>
      <c r="U107" s="1342" t="str">
        <f>IF(ISBLANK(AN$3),"",1)</f>
        <v/>
      </c>
      <c r="V107" s="1258">
        <v>4.3</v>
      </c>
      <c r="W107" s="1684" t="s">
        <v>348</v>
      </c>
      <c r="X107" s="1684"/>
      <c r="Y107" s="1684"/>
      <c r="Z107" s="1684"/>
      <c r="AA107" s="1684"/>
      <c r="AB107" s="1684"/>
      <c r="AC107" s="1342" t="str">
        <f>IF(ISBLANK(AR$3),"",1)</f>
        <v/>
      </c>
      <c r="AD107" s="1303">
        <v>4.3</v>
      </c>
      <c r="AE107" s="1684" t="s">
        <v>321</v>
      </c>
      <c r="AF107" s="1684"/>
      <c r="AG107" s="1684"/>
      <c r="AH107" s="1684"/>
      <c r="AI107" s="1684"/>
      <c r="AJ107" s="1684"/>
      <c r="AK107" s="1342" t="str">
        <f>IF(ISBLANK(AV$3),"",1)</f>
        <v/>
      </c>
      <c r="AL107" s="1258">
        <v>4.3</v>
      </c>
      <c r="AM107" s="1684" t="s">
        <v>321</v>
      </c>
      <c r="AN107" s="1684"/>
      <c r="AO107" s="1684"/>
      <c r="AP107" s="1684"/>
      <c r="AQ107" s="1684"/>
      <c r="AR107" s="1684"/>
      <c r="AS107" s="1342" t="str">
        <f>IF(ISBLANK(AZ$3),"",1)</f>
        <v/>
      </c>
      <c r="AT107" s="1258">
        <v>4.3</v>
      </c>
      <c r="AU107" s="1684" t="s">
        <v>321</v>
      </c>
      <c r="AV107" s="1684"/>
      <c r="AW107" s="1684"/>
      <c r="AX107" s="1684"/>
      <c r="AY107" s="1684"/>
      <c r="AZ107" s="1684"/>
      <c r="BA107" s="1342" t="str">
        <f>IF(ISBLANK(BD$3),"",1)</f>
        <v/>
      </c>
      <c r="BB107" s="1258">
        <v>4.4000000000000004</v>
      </c>
      <c r="BC107" s="1684" t="s">
        <v>347</v>
      </c>
      <c r="BD107" s="1684"/>
      <c r="BE107" s="1684"/>
      <c r="BF107" s="1684"/>
      <c r="BG107" s="1684"/>
      <c r="BH107" s="1684"/>
      <c r="BI107" s="1342" t="str">
        <f>IF(ISBLANK(BH$3),"",1)</f>
        <v/>
      </c>
      <c r="BJ107" s="1337"/>
      <c r="BK107" s="1338"/>
      <c r="BL107" s="1338"/>
      <c r="BM107" s="1338"/>
      <c r="BN107" s="1338"/>
      <c r="BO107" s="1339"/>
      <c r="BQ107" s="255"/>
      <c r="BR107" s="255"/>
      <c r="EO107" s="255"/>
    </row>
    <row r="108" spans="1:145" ht="15" customHeight="1">
      <c r="A108" s="1290"/>
      <c r="B108" s="1163"/>
      <c r="C108" s="1164"/>
      <c r="D108" s="1164"/>
      <c r="E108" s="1164"/>
      <c r="F108" s="1164"/>
      <c r="G108" s="1201"/>
      <c r="H108" s="1269"/>
      <c r="I108" s="1206"/>
      <c r="J108" s="1206"/>
      <c r="K108" s="1206"/>
      <c r="L108" s="1206"/>
      <c r="M108" s="1206"/>
      <c r="N108" s="1258"/>
      <c r="O108" s="1200"/>
      <c r="P108" s="1164"/>
      <c r="Q108" s="1164"/>
      <c r="R108" s="1164"/>
      <c r="S108" s="1164"/>
      <c r="T108" s="1164"/>
      <c r="U108" s="1342"/>
      <c r="V108" s="1258"/>
      <c r="W108" s="1684"/>
      <c r="X108" s="1684"/>
      <c r="Y108" s="1684"/>
      <c r="Z108" s="1684"/>
      <c r="AA108" s="1684"/>
      <c r="AB108" s="1684"/>
      <c r="AC108" s="1342"/>
      <c r="AD108" s="1258"/>
      <c r="AE108" s="1684"/>
      <c r="AF108" s="1684"/>
      <c r="AG108" s="1684"/>
      <c r="AH108" s="1684"/>
      <c r="AI108" s="1684"/>
      <c r="AJ108" s="1684"/>
      <c r="AK108" s="1342"/>
      <c r="AL108" s="1258"/>
      <c r="AM108" s="1684"/>
      <c r="AN108" s="1684"/>
      <c r="AO108" s="1684"/>
      <c r="AP108" s="1684"/>
      <c r="AQ108" s="1684"/>
      <c r="AR108" s="1684"/>
      <c r="AS108" s="1342"/>
      <c r="AT108" s="1258"/>
      <c r="AU108" s="1684"/>
      <c r="AV108" s="1684"/>
      <c r="AW108" s="1684"/>
      <c r="AX108" s="1684"/>
      <c r="AY108" s="1684"/>
      <c r="AZ108" s="1684"/>
      <c r="BA108" s="1342"/>
      <c r="BB108" s="1258"/>
      <c r="BC108" s="1684"/>
      <c r="BD108" s="1684"/>
      <c r="BE108" s="1684"/>
      <c r="BF108" s="1684"/>
      <c r="BG108" s="1684"/>
      <c r="BH108" s="1684"/>
      <c r="BI108" s="1342"/>
      <c r="BJ108" s="1337"/>
      <c r="BK108" s="1338"/>
      <c r="BL108" s="1338"/>
      <c r="BM108" s="1338"/>
      <c r="BN108" s="1338"/>
      <c r="BO108" s="1339"/>
      <c r="BQ108" s="255"/>
      <c r="BR108" s="255"/>
      <c r="EO108" s="255"/>
    </row>
    <row r="109" spans="1:145" ht="15" customHeight="1">
      <c r="A109" s="1291"/>
      <c r="B109" s="1165"/>
      <c r="C109" s="1166"/>
      <c r="D109" s="1166"/>
      <c r="E109" s="1166"/>
      <c r="F109" s="1166"/>
      <c r="G109" s="1292"/>
      <c r="H109" s="1270"/>
      <c r="I109" s="1207"/>
      <c r="J109" s="1207"/>
      <c r="K109" s="1207"/>
      <c r="L109" s="1207"/>
      <c r="M109" s="1207"/>
      <c r="N109" s="1258"/>
      <c r="O109" s="1202"/>
      <c r="P109" s="1203"/>
      <c r="Q109" s="1203"/>
      <c r="R109" s="1203"/>
      <c r="S109" s="1203"/>
      <c r="T109" s="1203"/>
      <c r="U109" s="1342"/>
      <c r="V109" s="1258"/>
      <c r="W109" s="1684"/>
      <c r="X109" s="1684"/>
      <c r="Y109" s="1684"/>
      <c r="Z109" s="1684"/>
      <c r="AA109" s="1684"/>
      <c r="AB109" s="1684"/>
      <c r="AC109" s="1342"/>
      <c r="AD109" s="1258"/>
      <c r="AE109" s="1684"/>
      <c r="AF109" s="1684"/>
      <c r="AG109" s="1684"/>
      <c r="AH109" s="1684"/>
      <c r="AI109" s="1684"/>
      <c r="AJ109" s="1684"/>
      <c r="AK109" s="1342"/>
      <c r="AL109" s="1258"/>
      <c r="AM109" s="1684"/>
      <c r="AN109" s="1684"/>
      <c r="AO109" s="1684"/>
      <c r="AP109" s="1684"/>
      <c r="AQ109" s="1684"/>
      <c r="AR109" s="1684"/>
      <c r="AS109" s="1342"/>
      <c r="AT109" s="1258"/>
      <c r="AU109" s="1684"/>
      <c r="AV109" s="1684"/>
      <c r="AW109" s="1684"/>
      <c r="AX109" s="1684"/>
      <c r="AY109" s="1684"/>
      <c r="AZ109" s="1684"/>
      <c r="BA109" s="1342"/>
      <c r="BB109" s="1258"/>
      <c r="BC109" s="1684"/>
      <c r="BD109" s="1684"/>
      <c r="BE109" s="1684"/>
      <c r="BF109" s="1684"/>
      <c r="BG109" s="1684"/>
      <c r="BH109" s="1684"/>
      <c r="BI109" s="1342"/>
      <c r="BJ109" s="1337"/>
      <c r="BK109" s="1338"/>
      <c r="BL109" s="1338"/>
      <c r="BM109" s="1338"/>
      <c r="BN109" s="1338"/>
      <c r="BO109" s="1339"/>
      <c r="BQ109" s="255"/>
      <c r="BR109" s="255"/>
      <c r="EO109" s="255"/>
    </row>
    <row r="110" spans="1:145" ht="15" customHeight="1">
      <c r="A110" s="1307">
        <v>1.1000000000000001</v>
      </c>
      <c r="B110" s="1161" t="s">
        <v>940</v>
      </c>
      <c r="C110" s="1162"/>
      <c r="D110" s="1162"/>
      <c r="E110" s="1162"/>
      <c r="F110" s="1162"/>
      <c r="G110" s="1199"/>
      <c r="H110" s="1268" t="str">
        <f t="shared" ref="H110" si="105">IF(ISBLANK(AN$3),"",1)</f>
        <v/>
      </c>
      <c r="I110" s="1205" t="str">
        <f t="shared" ref="I110" si="106">IF(ISBLANK(AR$3),"",1)</f>
        <v/>
      </c>
      <c r="J110" s="1205" t="str">
        <f t="shared" ref="J110" si="107">IF(ISBLANK(AV$3),"",1)</f>
        <v/>
      </c>
      <c r="K110" s="1205" t="str">
        <f t="shared" ref="K110" si="108">IF(ISBLANK(AZ$3),"",1)</f>
        <v/>
      </c>
      <c r="L110" s="1205" t="str">
        <f t="shared" ref="L110" si="109">IF(ISBLANK(BD$3),"",1)</f>
        <v/>
      </c>
      <c r="M110" s="1248" t="str">
        <f t="shared" ref="M110" si="110">IF(ISBLANK(BH$3),"",1)</f>
        <v/>
      </c>
      <c r="N110" s="1258">
        <v>4.3</v>
      </c>
      <c r="O110" s="1749" t="s">
        <v>321</v>
      </c>
      <c r="P110" s="1396"/>
      <c r="Q110" s="1396"/>
      <c r="R110" s="1396"/>
      <c r="S110" s="1396"/>
      <c r="T110" s="1396"/>
      <c r="U110" s="1342" t="str">
        <f>IF(ISBLANK(AN$3),"",1)</f>
        <v/>
      </c>
      <c r="V110" s="1576">
        <v>2.1</v>
      </c>
      <c r="W110" s="1684" t="s">
        <v>350</v>
      </c>
      <c r="X110" s="1684"/>
      <c r="Y110" s="1684"/>
      <c r="Z110" s="1684"/>
      <c r="AA110" s="1684"/>
      <c r="AB110" s="1684"/>
      <c r="AC110" s="1342" t="str">
        <f>IF(ISBLANK(AR$3),"",1)</f>
        <v/>
      </c>
      <c r="AD110" s="1303">
        <v>4.3</v>
      </c>
      <c r="AE110" s="1684" t="s">
        <v>364</v>
      </c>
      <c r="AF110" s="1684"/>
      <c r="AG110" s="1684"/>
      <c r="AH110" s="1684"/>
      <c r="AI110" s="1684"/>
      <c r="AJ110" s="1684"/>
      <c r="AK110" s="1342" t="str">
        <f>IF(ISBLANK(AV$3),"",1)</f>
        <v/>
      </c>
      <c r="AL110" s="1258">
        <v>4.4000000000000004</v>
      </c>
      <c r="AM110" s="1684" t="s">
        <v>351</v>
      </c>
      <c r="AN110" s="1684"/>
      <c r="AO110" s="1684"/>
      <c r="AP110" s="1684"/>
      <c r="AQ110" s="1684"/>
      <c r="AR110" s="1684"/>
      <c r="AS110" s="1342" t="str">
        <f>IF(ISBLANK(AZ$3),"",1)</f>
        <v/>
      </c>
      <c r="AT110" s="1258">
        <v>4.3</v>
      </c>
      <c r="AU110" s="1684" t="s">
        <v>352</v>
      </c>
      <c r="AV110" s="1684"/>
      <c r="AW110" s="1684"/>
      <c r="AX110" s="1684"/>
      <c r="AY110" s="1684"/>
      <c r="AZ110" s="1684"/>
      <c r="BA110" s="1342" t="str">
        <f>IF(ISBLANK(BD$3),"",1)</f>
        <v/>
      </c>
      <c r="BB110" s="1194">
        <v>2.4</v>
      </c>
      <c r="BC110" s="1684" t="s">
        <v>353</v>
      </c>
      <c r="BD110" s="1684"/>
      <c r="BE110" s="1684"/>
      <c r="BF110" s="1684"/>
      <c r="BG110" s="1684"/>
      <c r="BH110" s="1684"/>
      <c r="BI110" s="1342" t="str">
        <f>IF(ISBLANK(BH$3),"",1)</f>
        <v/>
      </c>
      <c r="BJ110" s="1337"/>
      <c r="BK110" s="1338"/>
      <c r="BL110" s="1338"/>
      <c r="BM110" s="1338"/>
      <c r="BN110" s="1338"/>
      <c r="BO110" s="1339"/>
      <c r="BQ110" s="255"/>
      <c r="BR110" s="255"/>
      <c r="EO110" s="255"/>
    </row>
    <row r="111" spans="1:145" ht="15" customHeight="1">
      <c r="A111" s="1308"/>
      <c r="B111" s="1163"/>
      <c r="C111" s="1164"/>
      <c r="D111" s="1164"/>
      <c r="E111" s="1164"/>
      <c r="F111" s="1164"/>
      <c r="G111" s="1201"/>
      <c r="H111" s="1269"/>
      <c r="I111" s="1206"/>
      <c r="J111" s="1206"/>
      <c r="K111" s="1206"/>
      <c r="L111" s="1206"/>
      <c r="M111" s="1206"/>
      <c r="N111" s="1258"/>
      <c r="O111" s="1200"/>
      <c r="P111" s="1164"/>
      <c r="Q111" s="1164"/>
      <c r="R111" s="1164"/>
      <c r="S111" s="1164"/>
      <c r="T111" s="1164"/>
      <c r="U111" s="1342"/>
      <c r="V111" s="1576"/>
      <c r="W111" s="1684"/>
      <c r="X111" s="1684"/>
      <c r="Y111" s="1684"/>
      <c r="Z111" s="1684"/>
      <c r="AA111" s="1684"/>
      <c r="AB111" s="1684"/>
      <c r="AC111" s="1342"/>
      <c r="AD111" s="1258"/>
      <c r="AE111" s="1684" t="s">
        <v>370</v>
      </c>
      <c r="AF111" s="1684"/>
      <c r="AG111" s="1684"/>
      <c r="AH111" s="1684"/>
      <c r="AI111" s="1684"/>
      <c r="AJ111" s="1684"/>
      <c r="AK111" s="1342"/>
      <c r="AL111" s="1258"/>
      <c r="AM111" s="1684"/>
      <c r="AN111" s="1684"/>
      <c r="AO111" s="1684"/>
      <c r="AP111" s="1684"/>
      <c r="AQ111" s="1684"/>
      <c r="AR111" s="1684"/>
      <c r="AS111" s="1342"/>
      <c r="AT111" s="1258"/>
      <c r="AU111" s="1684"/>
      <c r="AV111" s="1684"/>
      <c r="AW111" s="1684"/>
      <c r="AX111" s="1684"/>
      <c r="AY111" s="1684"/>
      <c r="AZ111" s="1684"/>
      <c r="BA111" s="1342"/>
      <c r="BB111" s="1194"/>
      <c r="BC111" s="1684"/>
      <c r="BD111" s="1684"/>
      <c r="BE111" s="1684"/>
      <c r="BF111" s="1684"/>
      <c r="BG111" s="1684"/>
      <c r="BH111" s="1684"/>
      <c r="BI111" s="1342"/>
      <c r="BJ111" s="1337"/>
      <c r="BK111" s="1338"/>
      <c r="BL111" s="1338"/>
      <c r="BM111" s="1338"/>
      <c r="BN111" s="1338"/>
      <c r="BO111" s="1339"/>
      <c r="BQ111" s="255"/>
      <c r="BR111" s="255"/>
      <c r="EO111" s="255"/>
    </row>
    <row r="112" spans="1:145" ht="15" customHeight="1">
      <c r="A112" s="1309"/>
      <c r="B112" s="1165"/>
      <c r="C112" s="1166"/>
      <c r="D112" s="1166"/>
      <c r="E112" s="1166"/>
      <c r="F112" s="1166"/>
      <c r="G112" s="1292"/>
      <c r="H112" s="1270"/>
      <c r="I112" s="1207"/>
      <c r="J112" s="1207"/>
      <c r="K112" s="1207"/>
      <c r="L112" s="1207"/>
      <c r="M112" s="1207"/>
      <c r="N112" s="1258"/>
      <c r="O112" s="1202"/>
      <c r="P112" s="1203"/>
      <c r="Q112" s="1203"/>
      <c r="R112" s="1203"/>
      <c r="S112" s="1203"/>
      <c r="T112" s="1203"/>
      <c r="U112" s="1342"/>
      <c r="V112" s="1576"/>
      <c r="W112" s="1684"/>
      <c r="X112" s="1684"/>
      <c r="Y112" s="1684"/>
      <c r="Z112" s="1684"/>
      <c r="AA112" s="1684"/>
      <c r="AB112" s="1684"/>
      <c r="AC112" s="1342"/>
      <c r="AD112" s="1258"/>
      <c r="AE112" s="1684" t="s">
        <v>371</v>
      </c>
      <c r="AF112" s="1684"/>
      <c r="AG112" s="1684"/>
      <c r="AH112" s="1684"/>
      <c r="AI112" s="1684"/>
      <c r="AJ112" s="1684"/>
      <c r="AK112" s="1342"/>
      <c r="AL112" s="1258"/>
      <c r="AM112" s="1684"/>
      <c r="AN112" s="1684"/>
      <c r="AO112" s="1684"/>
      <c r="AP112" s="1684"/>
      <c r="AQ112" s="1684"/>
      <c r="AR112" s="1684"/>
      <c r="AS112" s="1342"/>
      <c r="AT112" s="1258"/>
      <c r="AU112" s="1684"/>
      <c r="AV112" s="1684"/>
      <c r="AW112" s="1684"/>
      <c r="AX112" s="1684"/>
      <c r="AY112" s="1684"/>
      <c r="AZ112" s="1684"/>
      <c r="BA112" s="1342"/>
      <c r="BB112" s="1194"/>
      <c r="BC112" s="1684"/>
      <c r="BD112" s="1684"/>
      <c r="BE112" s="1684"/>
      <c r="BF112" s="1684"/>
      <c r="BG112" s="1684"/>
      <c r="BH112" s="1684"/>
      <c r="BI112" s="1342"/>
      <c r="BJ112" s="1337"/>
      <c r="BK112" s="1338"/>
      <c r="BL112" s="1338"/>
      <c r="BM112" s="1338"/>
      <c r="BN112" s="1338"/>
      <c r="BO112" s="1339"/>
      <c r="BQ112" s="255"/>
      <c r="BR112" s="255"/>
      <c r="EO112" s="255"/>
    </row>
    <row r="113" spans="1:145" ht="15" customHeight="1">
      <c r="A113" s="1307">
        <v>1.1000000000000001</v>
      </c>
      <c r="B113" s="1161" t="s">
        <v>330</v>
      </c>
      <c r="C113" s="1162"/>
      <c r="D113" s="1162"/>
      <c r="E113" s="1162"/>
      <c r="F113" s="1162"/>
      <c r="G113" s="1199"/>
      <c r="H113" s="1268" t="str">
        <f t="shared" ref="H113" si="111">IF(ISBLANK(AN$3),"",1)</f>
        <v/>
      </c>
      <c r="I113" s="1205" t="str">
        <f t="shared" ref="I113" si="112">IF(ISBLANK(AR$3),"",1)</f>
        <v/>
      </c>
      <c r="J113" s="1205" t="str">
        <f t="shared" ref="J113" si="113">IF(ISBLANK(AV$3),"",1)</f>
        <v/>
      </c>
      <c r="K113" s="1205" t="str">
        <f t="shared" ref="K113" si="114">IF(ISBLANK(AZ$3),"",1)</f>
        <v/>
      </c>
      <c r="L113" s="1205" t="str">
        <f t="shared" ref="L113" si="115">IF(ISBLANK(BD$3),"",1)</f>
        <v/>
      </c>
      <c r="M113" s="1248" t="str">
        <f t="shared" ref="M113" si="116">IF(ISBLANK(BH$3),"",1)</f>
        <v/>
      </c>
      <c r="N113" s="1258">
        <v>4.3</v>
      </c>
      <c r="O113" s="1756" t="s">
        <v>377</v>
      </c>
      <c r="P113" s="1527"/>
      <c r="Q113" s="1527"/>
      <c r="R113" s="1527"/>
      <c r="S113" s="1527"/>
      <c r="T113" s="1527"/>
      <c r="U113" s="1342" t="str">
        <f>IF(ISBLANK(AN$3),"",1)</f>
        <v/>
      </c>
      <c r="V113" s="350"/>
      <c r="W113" s="331"/>
      <c r="X113" s="331"/>
      <c r="Y113" s="331"/>
      <c r="Z113" s="331"/>
      <c r="AA113" s="278">
        <v>1.5</v>
      </c>
      <c r="AB113" s="312">
        <f>COUNTIF($V$98:$V$112,AA113)</f>
        <v>1</v>
      </c>
      <c r="AC113" s="245" t="str">
        <f>IF($AR$3=1,SUMIF($V$98:$V$112,AA113,$AC$98:$AC$112),"")</f>
        <v/>
      </c>
      <c r="AD113" s="1194">
        <v>2.4</v>
      </c>
      <c r="AE113" s="1684" t="s">
        <v>355</v>
      </c>
      <c r="AF113" s="1684"/>
      <c r="AG113" s="1684"/>
      <c r="AH113" s="1684"/>
      <c r="AI113" s="1684"/>
      <c r="AJ113" s="1684"/>
      <c r="AK113" s="1342" t="str">
        <f>IF(ISBLANK(AV$3),"",1)</f>
        <v/>
      </c>
      <c r="AL113" s="1194">
        <v>2.4</v>
      </c>
      <c r="AM113" s="1684" t="s">
        <v>357</v>
      </c>
      <c r="AN113" s="1684"/>
      <c r="AO113" s="1684"/>
      <c r="AP113" s="1684"/>
      <c r="AQ113" s="1684"/>
      <c r="AR113" s="1684"/>
      <c r="AS113" s="1342" t="str">
        <f>IF(ISBLANK(AZ$3),"",1)</f>
        <v/>
      </c>
      <c r="AT113" s="1576">
        <v>2.4</v>
      </c>
      <c r="AU113" s="1684" t="s">
        <v>355</v>
      </c>
      <c r="AV113" s="1684"/>
      <c r="AW113" s="1684"/>
      <c r="AX113" s="1684"/>
      <c r="AY113" s="1684"/>
      <c r="AZ113" s="1684"/>
      <c r="BA113" s="1342" t="str">
        <f>IF(ISBLANK(BD$3),"",1)</f>
        <v/>
      </c>
      <c r="BB113" s="1566">
        <v>4.4000000000000004</v>
      </c>
      <c r="BC113" s="1684" t="s">
        <v>356</v>
      </c>
      <c r="BD113" s="1684"/>
      <c r="BE113" s="1684"/>
      <c r="BF113" s="1684"/>
      <c r="BG113" s="1684"/>
      <c r="BH113" s="1684"/>
      <c r="BI113" s="1342" t="str">
        <f>IF(ISBLANK(BH$3),"",1)</f>
        <v/>
      </c>
      <c r="BJ113" s="1337"/>
      <c r="BK113" s="1338"/>
      <c r="BL113" s="1338"/>
      <c r="BM113" s="1338"/>
      <c r="BN113" s="1338"/>
      <c r="BO113" s="1339"/>
      <c r="BQ113" s="255"/>
      <c r="BR113" s="255"/>
      <c r="EO113" s="255"/>
    </row>
    <row r="114" spans="1:145" ht="15" customHeight="1">
      <c r="A114" s="1308"/>
      <c r="B114" s="1163"/>
      <c r="C114" s="1164"/>
      <c r="D114" s="1164"/>
      <c r="E114" s="1164"/>
      <c r="F114" s="1164"/>
      <c r="G114" s="1201"/>
      <c r="H114" s="1269"/>
      <c r="I114" s="1206"/>
      <c r="J114" s="1206"/>
      <c r="K114" s="1206"/>
      <c r="L114" s="1206"/>
      <c r="M114" s="1206"/>
      <c r="N114" s="1258"/>
      <c r="O114" s="1295"/>
      <c r="P114" s="1296"/>
      <c r="Q114" s="1296"/>
      <c r="R114" s="1296"/>
      <c r="S114" s="1296"/>
      <c r="T114" s="1296"/>
      <c r="U114" s="1342"/>
      <c r="V114" s="350"/>
      <c r="W114" s="331"/>
      <c r="X114" s="331"/>
      <c r="Y114" s="331"/>
      <c r="Z114" s="331"/>
      <c r="AA114" s="316">
        <v>2.1</v>
      </c>
      <c r="AB114" s="312">
        <f>COUNTIF($V$98:$V$112,AA114)</f>
        <v>1</v>
      </c>
      <c r="AC114" s="245" t="str">
        <f>IF($AR$3=1,SUMIF($V$98:$V$112,AA114,$AC$98:$AC$112),"")</f>
        <v/>
      </c>
      <c r="AD114" s="1194"/>
      <c r="AE114" s="1684"/>
      <c r="AF114" s="1684"/>
      <c r="AG114" s="1684"/>
      <c r="AH114" s="1684"/>
      <c r="AI114" s="1684"/>
      <c r="AJ114" s="1684"/>
      <c r="AK114" s="1342"/>
      <c r="AL114" s="1194"/>
      <c r="AM114" s="1684"/>
      <c r="AN114" s="1684"/>
      <c r="AO114" s="1684"/>
      <c r="AP114" s="1684"/>
      <c r="AQ114" s="1684"/>
      <c r="AR114" s="1684"/>
      <c r="AS114" s="1342"/>
      <c r="AT114" s="1576"/>
      <c r="AU114" s="1684"/>
      <c r="AV114" s="1684"/>
      <c r="AW114" s="1684"/>
      <c r="AX114" s="1684"/>
      <c r="AY114" s="1684"/>
      <c r="AZ114" s="1684"/>
      <c r="BA114" s="1342"/>
      <c r="BB114" s="1566"/>
      <c r="BC114" s="1684"/>
      <c r="BD114" s="1684"/>
      <c r="BE114" s="1684"/>
      <c r="BF114" s="1684"/>
      <c r="BG114" s="1684"/>
      <c r="BH114" s="1684"/>
      <c r="BI114" s="1342"/>
      <c r="BJ114" s="1337"/>
      <c r="BK114" s="1338"/>
      <c r="BL114" s="1338"/>
      <c r="BM114" s="1338"/>
      <c r="BN114" s="1338"/>
      <c r="BO114" s="1339"/>
      <c r="BQ114" s="255"/>
      <c r="BR114" s="255"/>
      <c r="EO114" s="255"/>
    </row>
    <row r="115" spans="1:145" ht="15" customHeight="1">
      <c r="A115" s="1309"/>
      <c r="B115" s="1165"/>
      <c r="C115" s="1166"/>
      <c r="D115" s="1166"/>
      <c r="E115" s="1166"/>
      <c r="F115" s="1166"/>
      <c r="G115" s="1292"/>
      <c r="H115" s="1270"/>
      <c r="I115" s="1207"/>
      <c r="J115" s="1207"/>
      <c r="K115" s="1207"/>
      <c r="L115" s="1207"/>
      <c r="M115" s="1207"/>
      <c r="N115" s="1258"/>
      <c r="O115" s="1298"/>
      <c r="P115" s="1299"/>
      <c r="Q115" s="1299"/>
      <c r="R115" s="1299"/>
      <c r="S115" s="1299"/>
      <c r="T115" s="1299"/>
      <c r="U115" s="1342"/>
      <c r="V115" s="350"/>
      <c r="W115" s="331"/>
      <c r="X115" s="331"/>
      <c r="Y115" s="331"/>
      <c r="Z115" s="331"/>
      <c r="AA115" s="330">
        <v>4.3</v>
      </c>
      <c r="AB115" s="312">
        <f>COUNTIF($V$98:$V$112,AA115)</f>
        <v>1</v>
      </c>
      <c r="AC115" s="245" t="str">
        <f>IF($AR$3=1,SUMIF($V$98:$V$112,AA115,$AC$98:$AC$112),"")</f>
        <v/>
      </c>
      <c r="AD115" s="1194"/>
      <c r="AE115" s="1684"/>
      <c r="AF115" s="1684"/>
      <c r="AG115" s="1684"/>
      <c r="AH115" s="1684"/>
      <c r="AI115" s="1684"/>
      <c r="AJ115" s="1684"/>
      <c r="AK115" s="1342"/>
      <c r="AL115" s="1194"/>
      <c r="AM115" s="1684"/>
      <c r="AN115" s="1684"/>
      <c r="AO115" s="1684"/>
      <c r="AP115" s="1684"/>
      <c r="AQ115" s="1684"/>
      <c r="AR115" s="1684"/>
      <c r="AS115" s="1342"/>
      <c r="AT115" s="1576"/>
      <c r="AU115" s="1684"/>
      <c r="AV115" s="1684"/>
      <c r="AW115" s="1684"/>
      <c r="AX115" s="1684"/>
      <c r="AY115" s="1684"/>
      <c r="AZ115" s="1684"/>
      <c r="BA115" s="1342"/>
      <c r="BB115" s="1566"/>
      <c r="BC115" s="1684"/>
      <c r="BD115" s="1684"/>
      <c r="BE115" s="1684"/>
      <c r="BF115" s="1684"/>
      <c r="BG115" s="1684"/>
      <c r="BH115" s="1684"/>
      <c r="BI115" s="1342"/>
      <c r="BJ115" s="1337"/>
      <c r="BK115" s="1338"/>
      <c r="BL115" s="1338"/>
      <c r="BM115" s="1338"/>
      <c r="BN115" s="1338"/>
      <c r="BO115" s="1339"/>
      <c r="BQ115" s="255"/>
      <c r="BR115" s="255"/>
      <c r="EO115" s="255"/>
    </row>
    <row r="116" spans="1:145" ht="15" customHeight="1">
      <c r="A116" s="1304">
        <v>1.5</v>
      </c>
      <c r="B116" s="1161" t="s">
        <v>336</v>
      </c>
      <c r="C116" s="1162"/>
      <c r="D116" s="1162"/>
      <c r="E116" s="1162"/>
      <c r="F116" s="1162"/>
      <c r="G116" s="1199"/>
      <c r="H116" s="1268" t="str">
        <f t="shared" ref="H116" si="117">IF(ISBLANK(AN$3),"",1)</f>
        <v/>
      </c>
      <c r="I116" s="1205" t="str">
        <f t="shared" ref="I116" si="118">IF(ISBLANK(AR$3),"",1)</f>
        <v/>
      </c>
      <c r="J116" s="1205" t="str">
        <f t="shared" ref="J116" si="119">IF(ISBLANK(AV$3),"",1)</f>
        <v/>
      </c>
      <c r="K116" s="1205" t="str">
        <f t="shared" ref="K116" si="120">IF(ISBLANK(AZ$3),"",1)</f>
        <v/>
      </c>
      <c r="L116" s="1205" t="str">
        <f t="shared" ref="L116" si="121">IF(ISBLANK(BD$3),"",1)</f>
        <v/>
      </c>
      <c r="M116" s="1248" t="str">
        <f t="shared" ref="M116" si="122">IF(ISBLANK(BH$3),"",1)</f>
        <v/>
      </c>
      <c r="N116" s="1576">
        <v>2.4</v>
      </c>
      <c r="O116" s="1756" t="s">
        <v>378</v>
      </c>
      <c r="P116" s="1527"/>
      <c r="Q116" s="1527"/>
      <c r="R116" s="1527"/>
      <c r="S116" s="1527"/>
      <c r="T116" s="1527"/>
      <c r="U116" s="1342" t="str">
        <f>IF(ISBLANK(AN$3),"",1)</f>
        <v/>
      </c>
      <c r="V116" s="350"/>
      <c r="W116" s="331"/>
      <c r="X116" s="331"/>
      <c r="Y116" s="331"/>
      <c r="Z116" s="331"/>
      <c r="AA116" s="334">
        <v>4.4000000000000004</v>
      </c>
      <c r="AB116" s="312">
        <f>COUNTIF($V$98:$V$112,AA116)</f>
        <v>2</v>
      </c>
      <c r="AC116" s="245" t="str">
        <f>IF($AR$3=1,SUMIF($V$98:$V$112,AA116,$AC$98:$AC$112),"")</f>
        <v/>
      </c>
      <c r="AD116" s="1303">
        <v>4.3</v>
      </c>
      <c r="AE116" s="1684" t="s">
        <v>380</v>
      </c>
      <c r="AF116" s="1684"/>
      <c r="AG116" s="1684"/>
      <c r="AH116" s="1684"/>
      <c r="AI116" s="1684"/>
      <c r="AJ116" s="1684"/>
      <c r="AK116" s="1342" t="str">
        <f>IF(ISBLANK(AV$3),"",1)</f>
        <v/>
      </c>
      <c r="AL116" s="1258">
        <v>4.4000000000000004</v>
      </c>
      <c r="AM116" s="1684" t="s">
        <v>361</v>
      </c>
      <c r="AN116" s="1684"/>
      <c r="AO116" s="1684"/>
      <c r="AP116" s="1684"/>
      <c r="AQ116" s="1684"/>
      <c r="AR116" s="1684"/>
      <c r="AS116" s="1342" t="str">
        <f>IF(ISBLANK(AZ$3),"",1)</f>
        <v/>
      </c>
      <c r="AT116" s="1576">
        <v>2.4</v>
      </c>
      <c r="AU116" s="1684" t="s">
        <v>358</v>
      </c>
      <c r="AV116" s="1684"/>
      <c r="AW116" s="1684"/>
      <c r="AX116" s="1684"/>
      <c r="AY116" s="1684"/>
      <c r="AZ116" s="1684"/>
      <c r="BA116" s="1342" t="str">
        <f>IF(ISBLANK(BD$3),"",1)</f>
        <v/>
      </c>
      <c r="BB116" s="1194">
        <v>2.4</v>
      </c>
      <c r="BC116" s="1749" t="s">
        <v>359</v>
      </c>
      <c r="BD116" s="1396"/>
      <c r="BE116" s="1396"/>
      <c r="BF116" s="1396"/>
      <c r="BG116" s="1396"/>
      <c r="BH116" s="1396"/>
      <c r="BI116" s="1342" t="str">
        <f>IF(ISBLANK(BH$3),"",1)</f>
        <v/>
      </c>
      <c r="BJ116" s="1337"/>
      <c r="BK116" s="1338"/>
      <c r="BL116" s="1338"/>
      <c r="BM116" s="1338"/>
      <c r="BN116" s="1338"/>
      <c r="BO116" s="1339"/>
      <c r="BQ116" s="255"/>
      <c r="BR116" s="255"/>
      <c r="EO116" s="255"/>
    </row>
    <row r="117" spans="1:145" ht="15" customHeight="1">
      <c r="A117" s="1290"/>
      <c r="B117" s="1163"/>
      <c r="C117" s="1164"/>
      <c r="D117" s="1164"/>
      <c r="E117" s="1164"/>
      <c r="F117" s="1164"/>
      <c r="G117" s="1201"/>
      <c r="H117" s="1269"/>
      <c r="I117" s="1206"/>
      <c r="J117" s="1206"/>
      <c r="K117" s="1206"/>
      <c r="L117" s="1206"/>
      <c r="M117" s="1206"/>
      <c r="N117" s="1576"/>
      <c r="O117" s="1295"/>
      <c r="P117" s="1296"/>
      <c r="Q117" s="1296"/>
      <c r="R117" s="1296"/>
      <c r="S117" s="1296"/>
      <c r="T117" s="1296"/>
      <c r="U117" s="1342"/>
      <c r="V117" s="350"/>
      <c r="W117" s="331"/>
      <c r="X117" s="331"/>
      <c r="Y117" s="331"/>
      <c r="Z117" s="331"/>
      <c r="AA117" s="331"/>
      <c r="AB117" s="331"/>
      <c r="AC117" s="351"/>
      <c r="AD117" s="1258"/>
      <c r="AE117" s="1684"/>
      <c r="AF117" s="1684"/>
      <c r="AG117" s="1684"/>
      <c r="AH117" s="1684"/>
      <c r="AI117" s="1684"/>
      <c r="AJ117" s="1684"/>
      <c r="AK117" s="1342"/>
      <c r="AL117" s="1258"/>
      <c r="AM117" s="1684"/>
      <c r="AN117" s="1684"/>
      <c r="AO117" s="1684"/>
      <c r="AP117" s="1684"/>
      <c r="AQ117" s="1684"/>
      <c r="AR117" s="1684"/>
      <c r="AS117" s="1342"/>
      <c r="AT117" s="1576"/>
      <c r="AU117" s="1684"/>
      <c r="AV117" s="1684"/>
      <c r="AW117" s="1684"/>
      <c r="AX117" s="1684"/>
      <c r="AY117" s="1684"/>
      <c r="AZ117" s="1684"/>
      <c r="BA117" s="1342"/>
      <c r="BB117" s="1194"/>
      <c r="BC117" s="1200"/>
      <c r="BD117" s="1164"/>
      <c r="BE117" s="1164"/>
      <c r="BF117" s="1164"/>
      <c r="BG117" s="1164"/>
      <c r="BH117" s="1164"/>
      <c r="BI117" s="1342"/>
      <c r="BJ117" s="1337"/>
      <c r="BK117" s="1338"/>
      <c r="BL117" s="1338"/>
      <c r="BM117" s="1338"/>
      <c r="BN117" s="1338"/>
      <c r="BO117" s="1339"/>
      <c r="BQ117" s="255"/>
      <c r="BR117" s="255"/>
      <c r="EO117" s="255"/>
    </row>
    <row r="118" spans="1:145" ht="15" customHeight="1">
      <c r="A118" s="1291"/>
      <c r="B118" s="1165"/>
      <c r="C118" s="1166"/>
      <c r="D118" s="1166"/>
      <c r="E118" s="1166"/>
      <c r="F118" s="1166"/>
      <c r="G118" s="1292"/>
      <c r="H118" s="1270"/>
      <c r="I118" s="1207"/>
      <c r="J118" s="1207"/>
      <c r="K118" s="1207"/>
      <c r="L118" s="1207"/>
      <c r="M118" s="1207"/>
      <c r="N118" s="1576"/>
      <c r="O118" s="1298"/>
      <c r="P118" s="1299"/>
      <c r="Q118" s="1299"/>
      <c r="R118" s="1299"/>
      <c r="S118" s="1299"/>
      <c r="T118" s="1299"/>
      <c r="U118" s="1342"/>
      <c r="V118" s="350"/>
      <c r="W118" s="331"/>
      <c r="X118" s="331"/>
      <c r="Y118" s="331"/>
      <c r="Z118" s="331"/>
      <c r="AA118" s="331"/>
      <c r="AB118" s="331"/>
      <c r="AC118" s="351"/>
      <c r="AD118" s="1258"/>
      <c r="AE118" s="1684"/>
      <c r="AF118" s="1684"/>
      <c r="AG118" s="1684"/>
      <c r="AH118" s="1684"/>
      <c r="AI118" s="1684"/>
      <c r="AJ118" s="1684"/>
      <c r="AK118" s="1342"/>
      <c r="AL118" s="1258"/>
      <c r="AM118" s="1684"/>
      <c r="AN118" s="1684"/>
      <c r="AO118" s="1684"/>
      <c r="AP118" s="1684"/>
      <c r="AQ118" s="1684"/>
      <c r="AR118" s="1684"/>
      <c r="AS118" s="1342"/>
      <c r="AT118" s="1576"/>
      <c r="AU118" s="1684"/>
      <c r="AV118" s="1684"/>
      <c r="AW118" s="1684"/>
      <c r="AX118" s="1684"/>
      <c r="AY118" s="1684"/>
      <c r="AZ118" s="1684"/>
      <c r="BA118" s="1342"/>
      <c r="BB118" s="1194"/>
      <c r="BC118" s="1202"/>
      <c r="BD118" s="1203"/>
      <c r="BE118" s="1203"/>
      <c r="BF118" s="1203"/>
      <c r="BG118" s="1203"/>
      <c r="BH118" s="1203"/>
      <c r="BI118" s="1342"/>
      <c r="BJ118" s="1337"/>
      <c r="BK118" s="1338"/>
      <c r="BL118" s="1338"/>
      <c r="BM118" s="1338"/>
      <c r="BN118" s="1338"/>
      <c r="BO118" s="1339"/>
      <c r="BQ118" s="255"/>
      <c r="BR118" s="255"/>
      <c r="EO118" s="255"/>
    </row>
    <row r="119" spans="1:145" ht="15" customHeight="1">
      <c r="A119" s="1304">
        <v>2.1</v>
      </c>
      <c r="B119" s="1161" t="s">
        <v>360</v>
      </c>
      <c r="C119" s="1162"/>
      <c r="D119" s="1162"/>
      <c r="E119" s="1162"/>
      <c r="F119" s="1162"/>
      <c r="G119" s="1199"/>
      <c r="H119" s="1268" t="str">
        <f t="shared" ref="H119" si="123">IF(ISBLANK(AN$3),"",1)</f>
        <v/>
      </c>
      <c r="I119" s="1205" t="str">
        <f t="shared" ref="I119" si="124">IF(ISBLANK(AR$3),"",1)</f>
        <v/>
      </c>
      <c r="J119" s="1205" t="str">
        <f t="shared" ref="J119" si="125">IF(ISBLANK(AV$3),"",1)</f>
        <v/>
      </c>
      <c r="K119" s="1205" t="str">
        <f t="shared" ref="K119" si="126">IF(ISBLANK(AZ$3),"",1)</f>
        <v/>
      </c>
      <c r="L119" s="1205" t="str">
        <f t="shared" ref="L119" si="127">IF(ISBLANK(BD$3),"",1)</f>
        <v/>
      </c>
      <c r="M119" s="1248" t="str">
        <f t="shared" ref="M119" si="128">IF(ISBLANK(BH$3),"",1)</f>
        <v/>
      </c>
      <c r="N119" s="1576">
        <v>2.4</v>
      </c>
      <c r="O119" s="1749" t="s">
        <v>334</v>
      </c>
      <c r="P119" s="1396"/>
      <c r="Q119" s="1396"/>
      <c r="R119" s="1396"/>
      <c r="S119" s="1396"/>
      <c r="T119" s="1396"/>
      <c r="U119" s="1342" t="str">
        <f>IF(ISBLANK(AN$3),"",1)</f>
        <v/>
      </c>
      <c r="V119" s="350"/>
      <c r="W119" s="331"/>
      <c r="X119" s="331"/>
      <c r="Y119" s="331"/>
      <c r="Z119" s="331"/>
      <c r="AA119" s="331"/>
      <c r="AB119" s="331"/>
      <c r="AC119" s="351"/>
      <c r="AD119" s="1303">
        <v>4.3</v>
      </c>
      <c r="AE119" s="1684" t="s">
        <v>381</v>
      </c>
      <c r="AF119" s="1684"/>
      <c r="AG119" s="1684"/>
      <c r="AH119" s="1684"/>
      <c r="AI119" s="1684"/>
      <c r="AJ119" s="1684"/>
      <c r="AK119" s="1342" t="str">
        <f>IF(ISBLANK(AV$3),"",1)</f>
        <v/>
      </c>
      <c r="AL119" s="1258">
        <v>4.3</v>
      </c>
      <c r="AM119" s="1684" t="s">
        <v>364</v>
      </c>
      <c r="AN119" s="1684"/>
      <c r="AO119" s="1684"/>
      <c r="AP119" s="1684"/>
      <c r="AQ119" s="1684"/>
      <c r="AR119" s="1684"/>
      <c r="AS119" s="1342" t="str">
        <f>IF(ISBLANK(AZ$3),"",1)</f>
        <v/>
      </c>
      <c r="AT119" s="1258">
        <v>4.3</v>
      </c>
      <c r="AU119" s="1684" t="s">
        <v>362</v>
      </c>
      <c r="AV119" s="1684"/>
      <c r="AW119" s="1684"/>
      <c r="AX119" s="1684"/>
      <c r="AY119" s="1684"/>
      <c r="AZ119" s="1684"/>
      <c r="BA119" s="1342" t="str">
        <f>IF(ISBLANK(BD$3),"",1)</f>
        <v/>
      </c>
      <c r="BB119" s="1194">
        <v>2.4</v>
      </c>
      <c r="BC119" s="1684" t="s">
        <v>363</v>
      </c>
      <c r="BD119" s="1684"/>
      <c r="BE119" s="1684"/>
      <c r="BF119" s="1684"/>
      <c r="BG119" s="1684"/>
      <c r="BH119" s="1684"/>
      <c r="BI119" s="1342" t="str">
        <f>IF(ISBLANK(BH$3),"",1)</f>
        <v/>
      </c>
      <c r="BJ119" s="1337"/>
      <c r="BK119" s="1338"/>
      <c r="BL119" s="1338"/>
      <c r="BM119" s="1338"/>
      <c r="BN119" s="1338"/>
      <c r="BO119" s="1339"/>
      <c r="BQ119" s="255"/>
      <c r="BR119" s="255"/>
      <c r="EO119" s="255"/>
    </row>
    <row r="120" spans="1:145" ht="15" customHeight="1">
      <c r="A120" s="1290"/>
      <c r="B120" s="1163"/>
      <c r="C120" s="1164"/>
      <c r="D120" s="1164"/>
      <c r="E120" s="1164"/>
      <c r="F120" s="1164"/>
      <c r="G120" s="1201"/>
      <c r="H120" s="1269"/>
      <c r="I120" s="1206"/>
      <c r="J120" s="1206"/>
      <c r="K120" s="1206"/>
      <c r="L120" s="1206"/>
      <c r="M120" s="1206"/>
      <c r="N120" s="1576"/>
      <c r="O120" s="1200"/>
      <c r="P120" s="1164"/>
      <c r="Q120" s="1164"/>
      <c r="R120" s="1164"/>
      <c r="S120" s="1164"/>
      <c r="T120" s="1164"/>
      <c r="U120" s="1342"/>
      <c r="V120" s="350"/>
      <c r="W120" s="331"/>
      <c r="X120" s="331"/>
      <c r="Y120" s="331"/>
      <c r="Z120" s="331"/>
      <c r="AA120" s="331"/>
      <c r="AB120" s="331"/>
      <c r="AC120" s="351"/>
      <c r="AD120" s="1258"/>
      <c r="AE120" s="1684"/>
      <c r="AF120" s="1684"/>
      <c r="AG120" s="1684"/>
      <c r="AH120" s="1684"/>
      <c r="AI120" s="1684"/>
      <c r="AJ120" s="1684"/>
      <c r="AK120" s="1342"/>
      <c r="AL120" s="1258"/>
      <c r="AM120" s="1684"/>
      <c r="AN120" s="1684"/>
      <c r="AO120" s="1684"/>
      <c r="AP120" s="1684"/>
      <c r="AQ120" s="1684"/>
      <c r="AR120" s="1684"/>
      <c r="AS120" s="1342"/>
      <c r="AT120" s="1258"/>
      <c r="AU120" s="1684"/>
      <c r="AV120" s="1684"/>
      <c r="AW120" s="1684"/>
      <c r="AX120" s="1684"/>
      <c r="AY120" s="1684"/>
      <c r="AZ120" s="1684"/>
      <c r="BA120" s="1342"/>
      <c r="BB120" s="1194"/>
      <c r="BC120" s="1684"/>
      <c r="BD120" s="1684"/>
      <c r="BE120" s="1684"/>
      <c r="BF120" s="1684"/>
      <c r="BG120" s="1684"/>
      <c r="BH120" s="1684"/>
      <c r="BI120" s="1342"/>
      <c r="BJ120" s="1337"/>
      <c r="BK120" s="1338"/>
      <c r="BL120" s="1338"/>
      <c r="BM120" s="1338"/>
      <c r="BN120" s="1338"/>
      <c r="BO120" s="1339"/>
      <c r="BQ120" s="255"/>
      <c r="BR120" s="255"/>
      <c r="EO120" s="255"/>
    </row>
    <row r="121" spans="1:145" ht="15" customHeight="1">
      <c r="A121" s="1291"/>
      <c r="B121" s="1165"/>
      <c r="C121" s="1166"/>
      <c r="D121" s="1166"/>
      <c r="E121" s="1166"/>
      <c r="F121" s="1166"/>
      <c r="G121" s="1292"/>
      <c r="H121" s="1270"/>
      <c r="I121" s="1207"/>
      <c r="J121" s="1207"/>
      <c r="K121" s="1207"/>
      <c r="L121" s="1207"/>
      <c r="M121" s="1207"/>
      <c r="N121" s="1576"/>
      <c r="O121" s="1202"/>
      <c r="P121" s="1203"/>
      <c r="Q121" s="1203"/>
      <c r="R121" s="1203"/>
      <c r="S121" s="1203"/>
      <c r="T121" s="1203"/>
      <c r="U121" s="1342"/>
      <c r="V121" s="350"/>
      <c r="W121" s="331"/>
      <c r="X121" s="331"/>
      <c r="Y121" s="331"/>
      <c r="Z121" s="331"/>
      <c r="AA121" s="331"/>
      <c r="AB121" s="331"/>
      <c r="AC121" s="351"/>
      <c r="AD121" s="1258"/>
      <c r="AE121" s="1684"/>
      <c r="AF121" s="1684"/>
      <c r="AG121" s="1684"/>
      <c r="AH121" s="1684"/>
      <c r="AI121" s="1684"/>
      <c r="AJ121" s="1684"/>
      <c r="AK121" s="1342"/>
      <c r="AL121" s="1258"/>
      <c r="AM121" s="1684"/>
      <c r="AN121" s="1684"/>
      <c r="AO121" s="1684"/>
      <c r="AP121" s="1684"/>
      <c r="AQ121" s="1684"/>
      <c r="AR121" s="1684"/>
      <c r="AS121" s="1342"/>
      <c r="AT121" s="1258"/>
      <c r="AU121" s="1684"/>
      <c r="AV121" s="1684"/>
      <c r="AW121" s="1684"/>
      <c r="AX121" s="1684"/>
      <c r="AY121" s="1684"/>
      <c r="AZ121" s="1684"/>
      <c r="BA121" s="1342"/>
      <c r="BB121" s="1194"/>
      <c r="BC121" s="1684"/>
      <c r="BD121" s="1684"/>
      <c r="BE121" s="1684"/>
      <c r="BF121" s="1684"/>
      <c r="BG121" s="1684"/>
      <c r="BH121" s="1684"/>
      <c r="BI121" s="1342"/>
      <c r="BJ121" s="1337"/>
      <c r="BK121" s="1338"/>
      <c r="BL121" s="1338"/>
      <c r="BM121" s="1338"/>
      <c r="BN121" s="1338"/>
      <c r="BO121" s="1339"/>
      <c r="BQ121" s="255"/>
      <c r="BR121" s="255"/>
      <c r="EO121" s="255"/>
    </row>
    <row r="122" spans="1:145" ht="15" customHeight="1">
      <c r="A122" s="1304">
        <v>2.4</v>
      </c>
      <c r="B122" s="1161" t="s">
        <v>942</v>
      </c>
      <c r="C122" s="1162"/>
      <c r="D122" s="1162"/>
      <c r="E122" s="1162"/>
      <c r="F122" s="1162"/>
      <c r="G122" s="1199"/>
      <c r="H122" s="1268" t="str">
        <f t="shared" ref="H122" si="129">IF(ISBLANK(AN$3),"",1)</f>
        <v/>
      </c>
      <c r="I122" s="1205" t="str">
        <f t="shared" ref="I122" si="130">IF(ISBLANK(AR$3),"",1)</f>
        <v/>
      </c>
      <c r="J122" s="1205" t="str">
        <f t="shared" ref="J122" si="131">IF(ISBLANK(AV$3),"",1)</f>
        <v/>
      </c>
      <c r="K122" s="1205" t="str">
        <f t="shared" ref="K122" si="132">IF(ISBLANK(AZ$3),"",1)</f>
        <v/>
      </c>
      <c r="L122" s="1205" t="str">
        <f t="shared" ref="L122" si="133">IF(ISBLANK(BD$3),"",1)</f>
        <v/>
      </c>
      <c r="M122" s="1248" t="str">
        <f t="shared" ref="M122" si="134">IF(ISBLANK(BH$3),"",1)</f>
        <v/>
      </c>
      <c r="N122" s="1576">
        <v>2.4</v>
      </c>
      <c r="O122" s="1749" t="s">
        <v>337</v>
      </c>
      <c r="P122" s="1396"/>
      <c r="Q122" s="1396"/>
      <c r="R122" s="1396"/>
      <c r="S122" s="1396"/>
      <c r="T122" s="1396"/>
      <c r="U122" s="1342" t="str">
        <f>IF(ISBLANK(AN$3),"",1)</f>
        <v/>
      </c>
      <c r="V122" s="350"/>
      <c r="W122" s="331"/>
      <c r="X122" s="331"/>
      <c r="Y122" s="331"/>
      <c r="Z122" s="331"/>
      <c r="AA122" s="331"/>
      <c r="AB122" s="331"/>
      <c r="AC122" s="351"/>
      <c r="AD122" s="1194">
        <v>2.4</v>
      </c>
      <c r="AE122" s="1684" t="s">
        <v>363</v>
      </c>
      <c r="AF122" s="1684"/>
      <c r="AG122" s="1684"/>
      <c r="AH122" s="1684"/>
      <c r="AI122" s="1684"/>
      <c r="AJ122" s="1684"/>
      <c r="AK122" s="1342" t="str">
        <f>IF(ISBLANK(AV$3),"",1)</f>
        <v/>
      </c>
      <c r="AL122" s="1303">
        <v>4.3</v>
      </c>
      <c r="AM122" s="1684" t="s">
        <v>382</v>
      </c>
      <c r="AN122" s="1684"/>
      <c r="AO122" s="1684"/>
      <c r="AP122" s="1684"/>
      <c r="AQ122" s="1684"/>
      <c r="AR122" s="1684"/>
      <c r="AS122" s="1342" t="str">
        <f>IF(ISBLANK(AZ$3),"",1)</f>
        <v/>
      </c>
      <c r="AT122" s="1576">
        <v>2.4</v>
      </c>
      <c r="AU122" s="1749" t="s">
        <v>365</v>
      </c>
      <c r="AV122" s="1396"/>
      <c r="AW122" s="1396"/>
      <c r="AX122" s="1396"/>
      <c r="AY122" s="1396"/>
      <c r="AZ122" s="1396"/>
      <c r="BA122" s="1342" t="str">
        <f>IF(ISBLANK(BD$3),"",1)</f>
        <v/>
      </c>
      <c r="BB122" s="255"/>
      <c r="BC122" s="255"/>
      <c r="BD122" s="255"/>
      <c r="BE122" s="255"/>
      <c r="BF122" s="255"/>
      <c r="BG122" s="298">
        <v>2.4</v>
      </c>
      <c r="BH122" s="347">
        <f>COUNTIF($BB$98:$BB$121,BG122)</f>
        <v>4</v>
      </c>
      <c r="BI122" s="240" t="str">
        <f>IF($BH$3=1,SUMIF($BB$98:$BB$121,BG122,$BI$98:$BI$121),"")</f>
        <v/>
      </c>
      <c r="BJ122" s="1337"/>
      <c r="BK122" s="1338"/>
      <c r="BL122" s="1338"/>
      <c r="BM122" s="1338"/>
      <c r="BN122" s="1338"/>
      <c r="BO122" s="1339"/>
      <c r="BQ122" s="255"/>
      <c r="BR122" s="255"/>
      <c r="EO122" s="255"/>
    </row>
    <row r="123" spans="1:145" ht="15" customHeight="1">
      <c r="A123" s="1290"/>
      <c r="B123" s="1163"/>
      <c r="C123" s="1164"/>
      <c r="D123" s="1164"/>
      <c r="E123" s="1164"/>
      <c r="F123" s="1164"/>
      <c r="G123" s="1201"/>
      <c r="H123" s="1269"/>
      <c r="I123" s="1206"/>
      <c r="J123" s="1206"/>
      <c r="K123" s="1206"/>
      <c r="L123" s="1206"/>
      <c r="M123" s="1206"/>
      <c r="N123" s="1576"/>
      <c r="O123" s="1200"/>
      <c r="P123" s="1164"/>
      <c r="Q123" s="1164"/>
      <c r="R123" s="1164"/>
      <c r="S123" s="1164"/>
      <c r="T123" s="1164"/>
      <c r="U123" s="1342"/>
      <c r="V123" s="350"/>
      <c r="W123" s="331"/>
      <c r="X123" s="331"/>
      <c r="Y123" s="331"/>
      <c r="Z123" s="331"/>
      <c r="AA123" s="331"/>
      <c r="AB123" s="331"/>
      <c r="AC123" s="351"/>
      <c r="AD123" s="1194"/>
      <c r="AE123" s="1684"/>
      <c r="AF123" s="1684"/>
      <c r="AG123" s="1684"/>
      <c r="AH123" s="1684"/>
      <c r="AI123" s="1684"/>
      <c r="AJ123" s="1684"/>
      <c r="AK123" s="1342"/>
      <c r="AL123" s="1258"/>
      <c r="AM123" s="1684"/>
      <c r="AN123" s="1684"/>
      <c r="AO123" s="1684"/>
      <c r="AP123" s="1684"/>
      <c r="AQ123" s="1684"/>
      <c r="AR123" s="1684"/>
      <c r="AS123" s="1342"/>
      <c r="AT123" s="1576"/>
      <c r="AU123" s="1200"/>
      <c r="AV123" s="1164"/>
      <c r="AW123" s="1164"/>
      <c r="AX123" s="1164"/>
      <c r="AY123" s="1164"/>
      <c r="AZ123" s="1164"/>
      <c r="BA123" s="1342"/>
      <c r="BB123" s="255"/>
      <c r="BC123" s="255"/>
      <c r="BD123" s="255"/>
      <c r="BE123" s="255"/>
      <c r="BF123" s="255"/>
      <c r="BG123" s="297">
        <v>4.3</v>
      </c>
      <c r="BH123" s="347">
        <f>COUNTIF($BB$98:$BB$121,BG123)</f>
        <v>1</v>
      </c>
      <c r="BI123" s="240" t="str">
        <f>IF($BH$3=1,SUMIF($BB$98:$BB$121,BG123,$BI$98:$BI$121),"")</f>
        <v/>
      </c>
      <c r="BJ123" s="1337"/>
      <c r="BK123" s="1338"/>
      <c r="BL123" s="1338"/>
      <c r="BM123" s="1338"/>
      <c r="BN123" s="1338"/>
      <c r="BO123" s="1339"/>
      <c r="BQ123" s="255"/>
      <c r="BR123" s="255"/>
      <c r="EO123" s="255"/>
    </row>
    <row r="124" spans="1:145" ht="15" customHeight="1">
      <c r="A124" s="1291"/>
      <c r="B124" s="1165"/>
      <c r="C124" s="1166"/>
      <c r="D124" s="1166"/>
      <c r="E124" s="1166"/>
      <c r="F124" s="1166"/>
      <c r="G124" s="1292"/>
      <c r="H124" s="1270"/>
      <c r="I124" s="1207"/>
      <c r="J124" s="1207"/>
      <c r="K124" s="1207"/>
      <c r="L124" s="1207"/>
      <c r="M124" s="1207"/>
      <c r="N124" s="1576"/>
      <c r="O124" s="1202"/>
      <c r="P124" s="1203"/>
      <c r="Q124" s="1203"/>
      <c r="R124" s="1203"/>
      <c r="S124" s="1203"/>
      <c r="T124" s="1203"/>
      <c r="U124" s="1342"/>
      <c r="V124" s="350"/>
      <c r="W124" s="331"/>
      <c r="X124" s="331"/>
      <c r="Y124" s="331"/>
      <c r="Z124" s="331"/>
      <c r="AA124" s="331"/>
      <c r="AB124" s="331"/>
      <c r="AC124" s="351"/>
      <c r="AD124" s="1194"/>
      <c r="AE124" s="1684"/>
      <c r="AF124" s="1684"/>
      <c r="AG124" s="1684"/>
      <c r="AH124" s="1684"/>
      <c r="AI124" s="1684"/>
      <c r="AJ124" s="1684"/>
      <c r="AK124" s="1342"/>
      <c r="AL124" s="1258"/>
      <c r="AM124" s="1684"/>
      <c r="AN124" s="1684"/>
      <c r="AO124" s="1684"/>
      <c r="AP124" s="1684"/>
      <c r="AQ124" s="1684"/>
      <c r="AR124" s="1684"/>
      <c r="AS124" s="1342"/>
      <c r="AT124" s="1576"/>
      <c r="AU124" s="1202"/>
      <c r="AV124" s="1203"/>
      <c r="AW124" s="1203"/>
      <c r="AX124" s="1203"/>
      <c r="AY124" s="1203"/>
      <c r="AZ124" s="1203"/>
      <c r="BA124" s="1342"/>
      <c r="BB124" s="255"/>
      <c r="BC124" s="255"/>
      <c r="BD124" s="255"/>
      <c r="BE124" s="255"/>
      <c r="BF124" s="255"/>
      <c r="BG124" s="297">
        <v>4.4000000000000004</v>
      </c>
      <c r="BH124" s="347">
        <f>COUNTIF($BB$98:$BB$121,BG124)</f>
        <v>3</v>
      </c>
      <c r="BI124" s="240" t="str">
        <f>IF($BH$3=1,SUMIF($BB$98:$BB$121,BG124,$BI$98:$BI$121),"")</f>
        <v/>
      </c>
      <c r="BJ124" s="1337"/>
      <c r="BK124" s="1338"/>
      <c r="BL124" s="1338"/>
      <c r="BM124" s="1338"/>
      <c r="BN124" s="1338"/>
      <c r="BO124" s="1339"/>
      <c r="BQ124" s="255"/>
      <c r="BR124" s="255"/>
      <c r="EO124" s="255"/>
    </row>
    <row r="125" spans="1:145" ht="15" customHeight="1">
      <c r="A125" s="252"/>
      <c r="B125" s="243"/>
      <c r="C125" s="242"/>
      <c r="D125" s="242"/>
      <c r="F125" s="278">
        <v>1.1000000000000001</v>
      </c>
      <c r="G125" s="311">
        <f>COUNTIF($A$98:$A$124,F125)</f>
        <v>4</v>
      </c>
      <c r="H125" s="240" t="str">
        <f>IF($AN$3=1,SUMIF($A$98:$A$124,$F125,$H$98:$H$124),"")</f>
        <v/>
      </c>
      <c r="I125" s="240" t="str">
        <f>IF($AR$3=1,SUMIF($A$98:$A$124,$F125,$I$98:$I$124),"")</f>
        <v/>
      </c>
      <c r="J125" s="240" t="str">
        <f>IF($AV$3=1,SUMIF($A$98:$A$124,$F125,$J$98:$J$124),"")</f>
        <v/>
      </c>
      <c r="K125" s="240" t="str">
        <f>IF($AZ$3=1,SUMIF($A$98:$A$124,$F125,$K$98:$K$124),"")</f>
        <v/>
      </c>
      <c r="L125" s="240" t="str">
        <f>IF($BD$3=1,SUMIF($A$98:$A$124,$F125,$L$98:$L$124),"")</f>
        <v/>
      </c>
      <c r="M125" s="240" t="str">
        <f>IF($BH$3=1,SUMIF($A$98:$A$124,$F125,$M$98:$M$124),"")</f>
        <v/>
      </c>
      <c r="N125" s="1258">
        <v>4.4000000000000004</v>
      </c>
      <c r="O125" s="1749" t="s">
        <v>379</v>
      </c>
      <c r="P125" s="1396"/>
      <c r="Q125" s="1396"/>
      <c r="R125" s="1396"/>
      <c r="S125" s="1396"/>
      <c r="T125" s="1396"/>
      <c r="U125" s="1342" t="str">
        <f>IF(ISBLANK(AN$3),"",1)</f>
        <v/>
      </c>
      <c r="V125" s="350"/>
      <c r="W125" s="331"/>
      <c r="X125" s="331"/>
      <c r="Y125" s="331"/>
      <c r="Z125" s="331"/>
      <c r="AA125" s="331"/>
      <c r="AB125" s="331"/>
      <c r="AC125" s="331"/>
      <c r="AD125" s="408"/>
      <c r="AE125" s="408"/>
      <c r="AF125" s="408"/>
      <c r="AG125" s="408"/>
      <c r="AH125" s="408"/>
      <c r="AI125" s="407">
        <v>2.4</v>
      </c>
      <c r="AJ125" s="312">
        <f>COUNTIF($AD$98:$AD$127,AI125)</f>
        <v>3</v>
      </c>
      <c r="AK125" s="245" t="str">
        <f>IF($AV$3=1,SUMIF($AD$98:$AD$124,AI125,$AK$98:$AK$124),"")</f>
        <v/>
      </c>
      <c r="AL125" s="255"/>
      <c r="AM125" s="255"/>
      <c r="AN125" s="255"/>
      <c r="AO125" s="255"/>
      <c r="AP125" s="255"/>
      <c r="AQ125" s="298">
        <v>2.4</v>
      </c>
      <c r="AR125" s="347">
        <f>COUNTIF($AL$98:$AL$124,AQ125)</f>
        <v>2</v>
      </c>
      <c r="AS125" s="240" t="str">
        <f>IF($AZ$3=1,SUMIF($AL$98:$AL$124,AQ125,$AS$98:$AS$124),"")</f>
        <v/>
      </c>
      <c r="AT125" s="255"/>
      <c r="AU125" s="255"/>
      <c r="AV125" s="255"/>
      <c r="AW125" s="255"/>
      <c r="AX125" s="255"/>
      <c r="AY125" s="298">
        <v>2.4</v>
      </c>
      <c r="AZ125" s="347">
        <f>COUNTIF($AT$98:$AT$124,AY125)</f>
        <v>3</v>
      </c>
      <c r="BA125" s="240" t="str">
        <f>IF($BD$3=1,SUMIF($AT$98:$AT$124,AY125,$BA$98:$BA$124),"")</f>
        <v/>
      </c>
      <c r="BJ125" s="1337"/>
      <c r="BK125" s="1338"/>
      <c r="BL125" s="1338"/>
      <c r="BM125" s="1338"/>
      <c r="BN125" s="1338"/>
      <c r="BO125" s="1339"/>
      <c r="BQ125" s="255"/>
      <c r="BR125" s="255"/>
      <c r="EO125" s="255"/>
    </row>
    <row r="126" spans="1:145" ht="15" customHeight="1">
      <c r="A126" s="252"/>
      <c r="B126" s="243"/>
      <c r="C126" s="242"/>
      <c r="D126" s="242"/>
      <c r="F126" s="278">
        <v>1.5</v>
      </c>
      <c r="G126" s="311">
        <f t="shared" ref="G126:G128" si="135">COUNTIF($A$98:$A$124,F126)</f>
        <v>1</v>
      </c>
      <c r="H126" s="240" t="str">
        <f t="shared" ref="H126:H128" si="136">IF($AN$3=1,SUMIF($A$98:$A$124,$F126,$H$98:$H$124),"")</f>
        <v/>
      </c>
      <c r="I126" s="240" t="str">
        <f t="shared" ref="I126:I128" si="137">IF($AR$3=1,SUMIF($A$98:$A$124,$F126,$I$98:$I$124),"")</f>
        <v/>
      </c>
      <c r="J126" s="240" t="str">
        <f t="shared" ref="J126:J128" si="138">IF($AV$3=1,SUMIF($A$98:$A$124,$F126,$J$98:$J$124),"")</f>
        <v/>
      </c>
      <c r="K126" s="240" t="str">
        <f t="shared" ref="K126:K128" si="139">IF($AZ$3=1,SUMIF($A$98:$A$124,$F126,$K$98:$K$124),"")</f>
        <v/>
      </c>
      <c r="L126" s="240" t="str">
        <f t="shared" ref="L126:L128" si="140">IF($BD$3=1,SUMIF($A$98:$A$124,$F126,$L$98:$L$124),"")</f>
        <v/>
      </c>
      <c r="M126" s="240" t="str">
        <f t="shared" ref="M126:M128" si="141">IF($BH$3=1,SUMIF($A$98:$A$124,$F126,$M$98:$M$124),"")</f>
        <v/>
      </c>
      <c r="N126" s="1258"/>
      <c r="O126" s="1200"/>
      <c r="P126" s="1164"/>
      <c r="Q126" s="1164"/>
      <c r="R126" s="1164"/>
      <c r="S126" s="1164"/>
      <c r="T126" s="1164"/>
      <c r="U126" s="1342"/>
      <c r="V126" s="350"/>
      <c r="W126" s="331"/>
      <c r="X126" s="331"/>
      <c r="Y126" s="331"/>
      <c r="Z126" s="331"/>
      <c r="AA126" s="331"/>
      <c r="AB126" s="331"/>
      <c r="AC126" s="331"/>
      <c r="AD126" s="342"/>
      <c r="AE126" s="342"/>
      <c r="AF126" s="342"/>
      <c r="AG126" s="342"/>
      <c r="AH126" s="342"/>
      <c r="AI126" s="406">
        <v>4.3</v>
      </c>
      <c r="AJ126" s="312">
        <f>COUNTIF($AD$98:$AD$127,AI126)</f>
        <v>5</v>
      </c>
      <c r="AK126" s="245" t="str">
        <f>IF($AV$3=1,SUMIF($AD$98:$AD$124,AI126,$AK$98:$AK$124),"")</f>
        <v/>
      </c>
      <c r="AL126" s="255"/>
      <c r="AM126" s="255"/>
      <c r="AN126" s="255"/>
      <c r="AO126" s="255"/>
      <c r="AP126" s="255"/>
      <c r="AQ126" s="297">
        <v>4.3</v>
      </c>
      <c r="AR126" s="347">
        <f>COUNTIF($AL$98:$AL$124,AQ126)</f>
        <v>4</v>
      </c>
      <c r="AS126" s="240" t="str">
        <f>IF($AZ$3=1,SUMIF($AL$98:$AL$124,AQ126,$AS$98:$AS$124),"")</f>
        <v/>
      </c>
      <c r="AT126" s="255"/>
      <c r="AU126" s="255"/>
      <c r="AV126" s="255"/>
      <c r="AW126" s="255"/>
      <c r="AX126" s="255"/>
      <c r="AY126" s="297">
        <v>4.3</v>
      </c>
      <c r="AZ126" s="347">
        <f>COUNTIF($AT$98:$AT$124,AY126)</f>
        <v>4</v>
      </c>
      <c r="BA126" s="240" t="str">
        <f>IF($BD$3=1,SUMIF($AT$98:$AT$124,AY126,$BA$98:$BA$124),"")</f>
        <v/>
      </c>
      <c r="BJ126" s="1222"/>
      <c r="BK126" s="1223"/>
      <c r="BL126" s="1223"/>
      <c r="BM126" s="1223"/>
      <c r="BN126" s="1223"/>
      <c r="BO126" s="1224"/>
      <c r="BQ126" s="255"/>
      <c r="BR126" s="255"/>
      <c r="EO126" s="255"/>
    </row>
    <row r="127" spans="1:145" ht="15" customHeight="1">
      <c r="A127" s="249"/>
      <c r="B127" s="249"/>
      <c r="C127" s="249"/>
      <c r="D127" s="249"/>
      <c r="F127" s="277">
        <v>2.1</v>
      </c>
      <c r="G127" s="311">
        <f t="shared" si="135"/>
        <v>2</v>
      </c>
      <c r="H127" s="240" t="str">
        <f t="shared" si="136"/>
        <v/>
      </c>
      <c r="I127" s="240" t="str">
        <f t="shared" si="137"/>
        <v/>
      </c>
      <c r="J127" s="240" t="str">
        <f t="shared" si="138"/>
        <v/>
      </c>
      <c r="K127" s="240" t="str">
        <f t="shared" si="139"/>
        <v/>
      </c>
      <c r="L127" s="240" t="str">
        <f t="shared" si="140"/>
        <v/>
      </c>
      <c r="M127" s="240" t="str">
        <f t="shared" si="141"/>
        <v/>
      </c>
      <c r="N127" s="1258"/>
      <c r="O127" s="1202"/>
      <c r="P127" s="1203"/>
      <c r="Q127" s="1203"/>
      <c r="R127" s="1203"/>
      <c r="S127" s="1203"/>
      <c r="T127" s="1203"/>
      <c r="U127" s="1342"/>
      <c r="V127" s="350"/>
      <c r="W127" s="331"/>
      <c r="X127" s="331"/>
      <c r="Y127" s="331"/>
      <c r="Z127" s="331"/>
      <c r="AA127" s="331"/>
      <c r="AB127" s="331"/>
      <c r="AC127" s="331"/>
      <c r="AD127" s="342"/>
      <c r="AE127" s="342"/>
      <c r="AF127" s="342"/>
      <c r="AG127" s="342"/>
      <c r="AH127" s="342"/>
      <c r="AI127" s="406">
        <v>4.4000000000000004</v>
      </c>
      <c r="AJ127" s="312">
        <f>COUNTIF($AD$98:$AD$127,AI127)</f>
        <v>1</v>
      </c>
      <c r="AK127" s="245" t="str">
        <f>IF($AV$3=1,SUMIF($AD$98:$AD$124,AI127,$AK$98:$AK$124),"")</f>
        <v/>
      </c>
      <c r="AL127" s="255"/>
      <c r="AM127" s="255"/>
      <c r="AN127" s="255"/>
      <c r="AO127" s="255"/>
      <c r="AP127" s="255"/>
      <c r="AQ127" s="297">
        <v>4.4000000000000004</v>
      </c>
      <c r="AR127" s="347">
        <f>COUNTIF($AL$98:$AL$124,AQ127)</f>
        <v>3</v>
      </c>
      <c r="AS127" s="240" t="str">
        <f>IF($AZ$3=1,SUMIF($AL$98:$AL$124,AQ127,$AS$98:$AS$124),"")</f>
        <v/>
      </c>
      <c r="AT127" s="255"/>
      <c r="AU127" s="255"/>
      <c r="AV127" s="255"/>
      <c r="AW127" s="255"/>
      <c r="AX127" s="255"/>
      <c r="AY127" s="297">
        <v>4.4000000000000004</v>
      </c>
      <c r="AZ127" s="347">
        <f>COUNTIF($AT$98:$AT$124,AY127)</f>
        <v>2</v>
      </c>
      <c r="BA127" s="240" t="str">
        <f>IF($BD$3=1,SUMIF($AT$98:$AT$124,AY127,$BA$98:$BA$124),"")</f>
        <v/>
      </c>
      <c r="BJ127" s="255"/>
      <c r="BK127" s="255"/>
      <c r="BL127" s="255"/>
      <c r="BM127" s="255"/>
      <c r="BN127" s="255"/>
      <c r="BO127" s="255"/>
      <c r="BQ127" s="255"/>
      <c r="BR127" s="255"/>
      <c r="EO127" s="255"/>
    </row>
    <row r="128" spans="1:145" ht="15" customHeight="1">
      <c r="F128" s="277">
        <v>2.4</v>
      </c>
      <c r="G128" s="311">
        <f t="shared" si="135"/>
        <v>2</v>
      </c>
      <c r="H128" s="240" t="str">
        <f t="shared" si="136"/>
        <v/>
      </c>
      <c r="I128" s="240" t="str">
        <f t="shared" si="137"/>
        <v/>
      </c>
      <c r="J128" s="240" t="str">
        <f t="shared" si="138"/>
        <v/>
      </c>
      <c r="K128" s="240" t="str">
        <f t="shared" si="139"/>
        <v/>
      </c>
      <c r="L128" s="240" t="str">
        <f t="shared" si="140"/>
        <v/>
      </c>
      <c r="M128" s="240" t="str">
        <f t="shared" si="141"/>
        <v/>
      </c>
      <c r="N128" s="256"/>
      <c r="O128" s="256"/>
      <c r="P128" s="256"/>
      <c r="Q128" s="256"/>
      <c r="R128" s="256"/>
      <c r="S128" s="277">
        <v>2.4</v>
      </c>
      <c r="T128" s="312">
        <f>COUNTIF($N$98:$N$127,S128)</f>
        <v>3</v>
      </c>
      <c r="U128" s="352" t="str">
        <f>IF($AN$3=1,SUMIF($N$98:$N$127,S128,$U$98:$U$127),"")</f>
        <v/>
      </c>
      <c r="V128" s="325"/>
      <c r="W128" s="325"/>
      <c r="X128" s="325"/>
      <c r="Y128" s="325"/>
      <c r="AD128" s="255"/>
      <c r="AE128" s="255"/>
      <c r="AF128" s="255"/>
      <c r="AG128" s="255"/>
      <c r="AH128" s="255"/>
      <c r="AL128" s="255"/>
      <c r="AM128" s="255"/>
      <c r="AN128" s="255"/>
      <c r="AO128" s="255"/>
      <c r="AP128" s="255"/>
      <c r="AQ128" s="255"/>
      <c r="AR128" s="255"/>
      <c r="AS128" s="255"/>
      <c r="AT128" s="255"/>
      <c r="AU128" s="255"/>
      <c r="AV128" s="255"/>
      <c r="AW128" s="255"/>
      <c r="AX128" s="255"/>
      <c r="AY128" s="255"/>
      <c r="AZ128" s="255"/>
      <c r="BA128" s="255"/>
      <c r="BB128" s="255"/>
      <c r="BC128" s="255"/>
      <c r="BD128" s="255"/>
      <c r="BE128" s="255"/>
      <c r="BF128" s="255"/>
      <c r="BJ128" s="255"/>
      <c r="BK128" s="255"/>
      <c r="BL128" s="255"/>
      <c r="BM128" s="255"/>
      <c r="BN128" s="255"/>
      <c r="BO128" s="255"/>
      <c r="BQ128" s="255"/>
      <c r="BR128" s="255"/>
      <c r="EO128" s="255"/>
    </row>
    <row r="129" spans="1:145" ht="15" customHeight="1">
      <c r="N129" s="339"/>
      <c r="O129" s="339"/>
      <c r="P129" s="255"/>
      <c r="Q129" s="256"/>
      <c r="R129" s="256"/>
      <c r="S129" s="335">
        <v>4.3</v>
      </c>
      <c r="T129" s="312">
        <f>COUNTIF($N$98:$N$127,S129)</f>
        <v>3</v>
      </c>
      <c r="U129" s="352" t="str">
        <f>IF($AN$3=1,SUMIF($N$98:$N$127,S129,$U$98:$U$127),"")</f>
        <v/>
      </c>
      <c r="V129" s="325"/>
      <c r="W129" s="325"/>
      <c r="X129" s="325"/>
      <c r="Y129" s="325"/>
      <c r="AD129" s="255"/>
      <c r="AE129" s="255"/>
      <c r="AF129" s="255"/>
      <c r="AG129" s="255"/>
      <c r="AH129" s="255"/>
      <c r="AL129" s="255"/>
      <c r="AM129" s="255"/>
      <c r="AN129" s="255"/>
      <c r="AO129" s="255"/>
      <c r="AP129" s="255"/>
      <c r="AQ129" s="255"/>
      <c r="AR129" s="255"/>
      <c r="AS129" s="255"/>
      <c r="AT129" s="255"/>
      <c r="AU129" s="255"/>
      <c r="AV129" s="255"/>
      <c r="AW129" s="255"/>
      <c r="AX129" s="255"/>
      <c r="AY129" s="255"/>
      <c r="AZ129" s="255"/>
      <c r="BA129" s="255"/>
      <c r="BB129" s="255"/>
      <c r="BC129" s="255"/>
      <c r="BD129" s="255"/>
      <c r="BE129" s="255"/>
      <c r="BF129" s="255"/>
      <c r="BJ129" s="332"/>
      <c r="BK129" s="332"/>
      <c r="BL129" s="332"/>
      <c r="BM129" s="332"/>
      <c r="BN129" s="255"/>
      <c r="BO129" s="255"/>
      <c r="EO129" s="255"/>
    </row>
    <row r="130" spans="1:145" ht="15" customHeight="1">
      <c r="A130" s="1209"/>
      <c r="B130" s="1210" t="s">
        <v>609</v>
      </c>
      <c r="C130" s="1211"/>
      <c r="D130" s="1211"/>
      <c r="E130" s="1211"/>
      <c r="F130" s="1211"/>
      <c r="G130" s="1211"/>
      <c r="H130" s="1174">
        <v>1</v>
      </c>
      <c r="I130" s="1174">
        <v>2</v>
      </c>
      <c r="J130" s="1174">
        <v>3</v>
      </c>
      <c r="K130" s="1174">
        <v>4</v>
      </c>
      <c r="L130" s="1174">
        <v>5</v>
      </c>
      <c r="M130" s="1174">
        <v>6</v>
      </c>
      <c r="N130" s="339"/>
      <c r="O130" s="339"/>
      <c r="P130" s="255"/>
      <c r="Q130" s="256"/>
      <c r="R130" s="256"/>
      <c r="S130" s="336">
        <v>4.4000000000000004</v>
      </c>
      <c r="T130" s="312">
        <f>COUNTIF($N$98:$N$127,S130)</f>
        <v>4</v>
      </c>
      <c r="U130" s="352" t="str">
        <f>IF($AN$3=1,SUMIF($N$98:$N$127,S130,$U$98:$U$127),"")</f>
        <v/>
      </c>
      <c r="V130" s="325"/>
      <c r="W130" s="325"/>
      <c r="X130" s="325"/>
      <c r="Y130" s="325"/>
      <c r="AD130" s="255"/>
      <c r="AH130" s="255"/>
      <c r="AL130" s="255"/>
      <c r="AM130" s="255"/>
      <c r="AN130" s="255"/>
      <c r="AO130" s="255"/>
      <c r="AP130" s="255"/>
      <c r="AQ130" s="255"/>
      <c r="AR130" s="255"/>
      <c r="AS130" s="255"/>
      <c r="AT130" s="255"/>
      <c r="AU130" s="255"/>
      <c r="AV130" s="255"/>
      <c r="AW130" s="255"/>
      <c r="AX130" s="255"/>
      <c r="AY130" s="255"/>
      <c r="AZ130" s="255"/>
      <c r="BA130" s="255"/>
      <c r="BB130" s="255"/>
      <c r="BC130" s="255"/>
      <c r="BD130" s="255"/>
      <c r="BE130" s="255"/>
      <c r="BF130" s="255"/>
      <c r="BJ130" s="332"/>
      <c r="BK130" s="332"/>
      <c r="BL130" s="332"/>
      <c r="BM130" s="332"/>
      <c r="BN130" s="255"/>
      <c r="BO130" s="255"/>
      <c r="EO130" s="255"/>
    </row>
    <row r="131" spans="1:145" ht="15" customHeight="1">
      <c r="A131" s="1209"/>
      <c r="B131" s="1212"/>
      <c r="C131" s="1213"/>
      <c r="D131" s="1213"/>
      <c r="E131" s="1213"/>
      <c r="F131" s="1213"/>
      <c r="G131" s="1213"/>
      <c r="H131" s="1174"/>
      <c r="I131" s="1174"/>
      <c r="J131" s="1174"/>
      <c r="K131" s="1174"/>
      <c r="L131" s="1174"/>
      <c r="M131" s="1174"/>
      <c r="N131" s="339"/>
      <c r="O131" s="339"/>
      <c r="P131" s="255"/>
      <c r="Q131" s="255"/>
      <c r="R131" s="255"/>
      <c r="V131" s="325"/>
      <c r="W131" s="325"/>
      <c r="X131" s="325"/>
      <c r="Y131" s="325"/>
      <c r="AD131" s="255"/>
      <c r="AH131" s="255"/>
      <c r="AL131" s="255"/>
      <c r="AM131" s="255"/>
      <c r="AN131" s="255"/>
      <c r="AO131" s="255"/>
      <c r="AP131" s="255"/>
      <c r="AT131" s="255"/>
      <c r="AU131" s="255"/>
      <c r="AV131" s="255"/>
      <c r="AW131" s="255"/>
      <c r="AX131" s="255"/>
      <c r="AY131" s="255"/>
      <c r="AZ131" s="255"/>
      <c r="BA131" s="255"/>
      <c r="BB131" s="255"/>
      <c r="BC131" s="255"/>
      <c r="BD131" s="255"/>
      <c r="BE131" s="255"/>
      <c r="BF131" s="255"/>
      <c r="BG131" s="255"/>
      <c r="BH131" s="255"/>
      <c r="BI131" s="255"/>
      <c r="EO131" s="255"/>
    </row>
    <row r="132" spans="1:145" ht="15" customHeight="1">
      <c r="A132" s="1336">
        <v>3.1</v>
      </c>
      <c r="B132" s="1198" t="s">
        <v>366</v>
      </c>
      <c r="C132" s="1162"/>
      <c r="D132" s="1162"/>
      <c r="E132" s="1162"/>
      <c r="F132" s="1162"/>
      <c r="G132" s="1265"/>
      <c r="H132" s="1268" t="str">
        <f t="shared" ref="H132" si="142">IF(ISBLANK(AN$3),"",1)</f>
        <v/>
      </c>
      <c r="I132" s="1205" t="str">
        <f t="shared" ref="I132" si="143">IF(ISBLANK(AR$3),"",1)</f>
        <v/>
      </c>
      <c r="J132" s="1205" t="str">
        <f t="shared" ref="J132" si="144">IF(ISBLANK(AV$3),"",1)</f>
        <v/>
      </c>
      <c r="K132" s="1205" t="str">
        <f t="shared" ref="K132" si="145">IF(ISBLANK(AZ$3),"",1)</f>
        <v/>
      </c>
      <c r="L132" s="1205" t="str">
        <f t="shared" ref="L132" si="146">IF(ISBLANK(BD$3),"",1)</f>
        <v/>
      </c>
      <c r="M132" s="1248" t="str">
        <f t="shared" ref="M132" si="147">IF(ISBLANK(BH$3),"",1)</f>
        <v/>
      </c>
      <c r="N132" s="339"/>
      <c r="O132" s="339"/>
      <c r="P132" s="255"/>
      <c r="Q132" s="255"/>
      <c r="R132" s="255"/>
      <c r="V132" s="325"/>
      <c r="W132" s="325"/>
      <c r="X132" s="325"/>
      <c r="Y132" s="325"/>
      <c r="AD132" s="255"/>
      <c r="AH132" s="255"/>
      <c r="AL132" s="255"/>
      <c r="AM132" s="255"/>
      <c r="AN132" s="255"/>
      <c r="AO132" s="255"/>
      <c r="AP132" s="255"/>
      <c r="AT132" s="255"/>
      <c r="AU132" s="255"/>
      <c r="AV132" s="255"/>
      <c r="AW132" s="255"/>
      <c r="AX132" s="255"/>
      <c r="AY132" s="255"/>
      <c r="AZ132" s="255"/>
      <c r="BA132" s="255"/>
      <c r="BB132" s="255"/>
      <c r="BC132" s="255"/>
      <c r="BD132" s="255"/>
      <c r="BE132" s="255"/>
      <c r="BF132" s="255"/>
      <c r="BG132" s="255"/>
      <c r="BH132" s="255"/>
      <c r="BI132" s="255"/>
      <c r="EO132" s="255"/>
    </row>
    <row r="133" spans="1:145" ht="15" customHeight="1">
      <c r="A133" s="1159"/>
      <c r="B133" s="1200"/>
      <c r="C133" s="1164"/>
      <c r="D133" s="1164"/>
      <c r="E133" s="1164"/>
      <c r="F133" s="1164"/>
      <c r="G133" s="1266"/>
      <c r="H133" s="1269"/>
      <c r="I133" s="1206"/>
      <c r="J133" s="1206"/>
      <c r="K133" s="1206"/>
      <c r="L133" s="1206"/>
      <c r="M133" s="1206"/>
      <c r="N133" s="339"/>
      <c r="O133" s="339"/>
      <c r="P133" s="255"/>
      <c r="Q133" s="255"/>
      <c r="R133" s="255"/>
      <c r="V133" s="325"/>
      <c r="W133" s="325"/>
      <c r="X133" s="325"/>
      <c r="Y133" s="325"/>
      <c r="AD133" s="255"/>
      <c r="AH133" s="255"/>
      <c r="AL133" s="255"/>
      <c r="AM133" s="255"/>
      <c r="AN133" s="255"/>
      <c r="AO133" s="255"/>
      <c r="AP133" s="255"/>
      <c r="AT133" s="255"/>
      <c r="AU133" s="255"/>
      <c r="AV133" s="255"/>
      <c r="AW133" s="255"/>
      <c r="AX133" s="255"/>
      <c r="AY133" s="255"/>
      <c r="AZ133" s="255"/>
      <c r="BA133" s="255"/>
      <c r="BB133" s="255"/>
      <c r="BC133" s="255"/>
      <c r="BD133" s="255"/>
      <c r="BE133" s="255"/>
      <c r="BF133" s="255"/>
      <c r="BG133" s="255"/>
      <c r="BH133" s="255"/>
      <c r="BI133" s="255"/>
      <c r="EO133" s="255"/>
    </row>
    <row r="134" spans="1:145" ht="15" customHeight="1">
      <c r="A134" s="1160"/>
      <c r="B134" s="1200"/>
      <c r="C134" s="1164"/>
      <c r="D134" s="1164"/>
      <c r="E134" s="1164"/>
      <c r="F134" s="1164"/>
      <c r="G134" s="1266"/>
      <c r="H134" s="1270"/>
      <c r="I134" s="1207"/>
      <c r="J134" s="1207"/>
      <c r="K134" s="1207"/>
      <c r="L134" s="1207"/>
      <c r="M134" s="1207"/>
      <c r="N134" s="339"/>
      <c r="O134" s="339"/>
      <c r="P134" s="255"/>
      <c r="Q134" s="255"/>
      <c r="R134" s="255"/>
      <c r="V134" s="325"/>
      <c r="W134" s="325"/>
      <c r="X134" s="325"/>
      <c r="Y134" s="325"/>
      <c r="AD134" s="255"/>
      <c r="AH134" s="255"/>
      <c r="AL134" s="255"/>
      <c r="AM134" s="255"/>
      <c r="AN134" s="255"/>
      <c r="AO134" s="255"/>
      <c r="AP134" s="255"/>
      <c r="AT134" s="255"/>
      <c r="AU134" s="255"/>
      <c r="AV134" s="255"/>
      <c r="AW134" s="255"/>
      <c r="AX134" s="255"/>
      <c r="AY134" s="255"/>
      <c r="AZ134" s="255"/>
      <c r="BA134" s="255"/>
      <c r="BB134" s="255"/>
      <c r="BC134" s="255"/>
      <c r="BD134" s="255"/>
      <c r="BE134" s="255"/>
      <c r="BF134" s="255"/>
      <c r="BG134" s="255"/>
      <c r="BH134" s="255"/>
      <c r="BI134" s="255"/>
      <c r="EO134" s="255"/>
    </row>
    <row r="135" spans="1:145" ht="15" customHeight="1">
      <c r="A135" s="1336">
        <v>1.4</v>
      </c>
      <c r="B135" s="1198" t="s">
        <v>943</v>
      </c>
      <c r="C135" s="1162"/>
      <c r="D135" s="1162"/>
      <c r="E135" s="1162"/>
      <c r="F135" s="1162"/>
      <c r="G135" s="1265"/>
      <c r="H135" s="1268" t="str">
        <f t="shared" ref="H135" si="148">IF(ISBLANK(AN$3),"",1)</f>
        <v/>
      </c>
      <c r="I135" s="1205" t="str">
        <f t="shared" ref="I135" si="149">IF(ISBLANK(AR$3),"",1)</f>
        <v/>
      </c>
      <c r="J135" s="1205" t="str">
        <f t="shared" ref="J135" si="150">IF(ISBLANK(AV$3),"",1)</f>
        <v/>
      </c>
      <c r="K135" s="1205" t="str">
        <f t="shared" ref="K135" si="151">IF(ISBLANK(AZ$3),"",1)</f>
        <v/>
      </c>
      <c r="L135" s="1205" t="str">
        <f t="shared" ref="L135" si="152">IF(ISBLANK(BD$3),"",1)</f>
        <v/>
      </c>
      <c r="M135" s="1248" t="str">
        <f t="shared" ref="M135" si="153">IF(ISBLANK(BH$3),"",1)</f>
        <v/>
      </c>
      <c r="N135" s="339"/>
      <c r="O135" s="339"/>
      <c r="P135" s="255"/>
      <c r="Q135" s="255"/>
      <c r="R135" s="255"/>
      <c r="V135" s="325"/>
      <c r="W135" s="325"/>
      <c r="X135" s="325"/>
      <c r="Y135" s="325"/>
      <c r="AD135" s="255"/>
      <c r="AH135" s="255"/>
      <c r="AL135" s="255"/>
      <c r="AM135" s="255"/>
      <c r="AN135" s="255"/>
      <c r="AO135" s="255"/>
      <c r="AP135" s="255"/>
      <c r="AT135" s="255"/>
      <c r="AU135" s="255"/>
      <c r="AV135" s="255"/>
      <c r="AW135" s="255"/>
      <c r="AX135" s="255"/>
      <c r="AY135" s="255"/>
      <c r="AZ135" s="255"/>
      <c r="BA135" s="255"/>
      <c r="BB135" s="255"/>
      <c r="BC135" s="255"/>
      <c r="BD135" s="255"/>
      <c r="BE135" s="255"/>
      <c r="BF135" s="255"/>
      <c r="BG135" s="255"/>
      <c r="BH135" s="255"/>
      <c r="BI135" s="255"/>
      <c r="EO135" s="255"/>
    </row>
    <row r="136" spans="1:145" ht="15" customHeight="1">
      <c r="A136" s="1159"/>
      <c r="B136" s="1200"/>
      <c r="C136" s="1164"/>
      <c r="D136" s="1164"/>
      <c r="E136" s="1164"/>
      <c r="F136" s="1164"/>
      <c r="G136" s="1266"/>
      <c r="H136" s="1269"/>
      <c r="I136" s="1206"/>
      <c r="J136" s="1206"/>
      <c r="K136" s="1206"/>
      <c r="L136" s="1206"/>
      <c r="M136" s="1206"/>
      <c r="N136" s="339"/>
      <c r="O136" s="339"/>
      <c r="P136" s="255"/>
      <c r="Q136" s="255"/>
      <c r="R136" s="255"/>
      <c r="V136" s="325"/>
      <c r="W136" s="325"/>
      <c r="X136" s="325"/>
      <c r="Y136" s="325"/>
      <c r="AD136" s="255"/>
      <c r="AH136" s="255"/>
      <c r="AL136" s="255"/>
      <c r="AM136" s="255"/>
      <c r="AN136" s="255"/>
      <c r="AO136" s="255"/>
      <c r="AP136" s="255"/>
      <c r="AT136" s="255"/>
      <c r="AU136" s="255"/>
      <c r="AV136" s="255"/>
      <c r="AW136" s="255"/>
      <c r="AX136" s="255"/>
      <c r="AY136" s="255"/>
      <c r="AZ136" s="255"/>
      <c r="BA136" s="255"/>
      <c r="BB136" s="255"/>
      <c r="BC136" s="255"/>
      <c r="BD136" s="255"/>
      <c r="BE136" s="255"/>
      <c r="BF136" s="255"/>
      <c r="BG136" s="255"/>
      <c r="BH136" s="255"/>
      <c r="BI136" s="255"/>
      <c r="EO136" s="255"/>
    </row>
    <row r="137" spans="1:145" ht="15" customHeight="1">
      <c r="A137" s="1160"/>
      <c r="B137" s="1200"/>
      <c r="C137" s="1164"/>
      <c r="D137" s="1164"/>
      <c r="E137" s="1164"/>
      <c r="F137" s="1164"/>
      <c r="G137" s="1266"/>
      <c r="H137" s="1270"/>
      <c r="I137" s="1207"/>
      <c r="J137" s="1207"/>
      <c r="K137" s="1207"/>
      <c r="L137" s="1207"/>
      <c r="M137" s="1207"/>
      <c r="N137" s="339"/>
      <c r="O137" s="339"/>
      <c r="P137" s="255"/>
      <c r="Q137" s="255"/>
      <c r="R137" s="255"/>
      <c r="V137" s="325"/>
      <c r="W137" s="325"/>
      <c r="X137" s="325"/>
      <c r="Y137" s="325"/>
      <c r="AD137" s="255"/>
      <c r="AH137" s="255"/>
      <c r="AL137" s="255"/>
      <c r="AM137" s="255"/>
      <c r="AN137" s="255"/>
      <c r="AO137" s="255"/>
      <c r="AP137" s="255"/>
      <c r="AT137" s="255"/>
      <c r="AU137" s="255"/>
      <c r="AV137" s="255"/>
      <c r="AW137" s="255"/>
      <c r="AX137" s="255"/>
      <c r="AY137" s="255"/>
      <c r="AZ137" s="255"/>
      <c r="BA137" s="255"/>
      <c r="BB137" s="255"/>
      <c r="BC137" s="255"/>
      <c r="BD137" s="255"/>
      <c r="BE137" s="255"/>
      <c r="BF137" s="255"/>
      <c r="BG137" s="255"/>
      <c r="BH137" s="255"/>
      <c r="BI137" s="255"/>
      <c r="EO137" s="255"/>
    </row>
    <row r="138" spans="1:145" ht="15" customHeight="1">
      <c r="A138" s="1168" t="s">
        <v>637</v>
      </c>
      <c r="B138" s="1168"/>
      <c r="C138" s="1168"/>
      <c r="D138" s="1168"/>
      <c r="E138" s="1169"/>
      <c r="F138" s="617">
        <v>3.1</v>
      </c>
      <c r="G138" s="620">
        <f>COUNTIF($A$132:$A$137,F138)</f>
        <v>1</v>
      </c>
      <c r="H138" s="240" t="str">
        <f>IF($AN$3=1,SUMIF($A$132:$A$137,$F138,$H$132:$H$137),"")</f>
        <v/>
      </c>
      <c r="I138" s="240" t="str">
        <f>IF($AR$3=1,SUMIF($A$132:$A$137,$F138,$I$132:$I$137),"")</f>
        <v/>
      </c>
      <c r="J138" s="240" t="str">
        <f>IF($AV$3=1,SUMIF($A$132:$A$137,$F138,$J$132:$J$137),"")</f>
        <v/>
      </c>
      <c r="K138" s="240" t="str">
        <f>IF($AZ$3=1,SUMIF($A$132:$A$137,$F138,$K$132:$K$137),"")</f>
        <v/>
      </c>
      <c r="L138" s="240" t="str">
        <f>IF($BD$3=1,SUMIF($A$132:$A$137,$F138,$L$132:$L$137),"")</f>
        <v/>
      </c>
      <c r="M138" s="240" t="str">
        <f>IF($BH$3=1,SUMIF($A$132:$A$137,$F138,$M$132:$M$137),"")</f>
        <v/>
      </c>
      <c r="N138" s="339"/>
      <c r="O138" s="339"/>
      <c r="P138" s="255"/>
      <c r="Q138" s="255"/>
      <c r="R138" s="255"/>
      <c r="V138" s="325"/>
      <c r="W138" s="325"/>
      <c r="X138" s="325"/>
      <c r="Y138" s="325"/>
      <c r="AD138" s="255"/>
      <c r="AH138" s="255"/>
      <c r="AL138" s="255"/>
      <c r="AM138" s="255"/>
      <c r="AN138" s="255"/>
      <c r="AO138" s="255"/>
      <c r="AP138" s="255"/>
      <c r="AT138" s="255"/>
      <c r="AU138" s="255"/>
      <c r="AV138" s="255"/>
      <c r="AW138" s="255"/>
      <c r="AX138" s="255"/>
      <c r="AY138" s="255"/>
      <c r="AZ138" s="255"/>
      <c r="BA138" s="255"/>
      <c r="BB138" s="255"/>
      <c r="BC138" s="255"/>
      <c r="BD138" s="255"/>
      <c r="BE138" s="255"/>
      <c r="BF138" s="255"/>
      <c r="BG138" s="255"/>
      <c r="BH138" s="255"/>
      <c r="BI138" s="255"/>
      <c r="EO138" s="255"/>
    </row>
    <row r="139" spans="1:145" ht="15" customHeight="1">
      <c r="F139" s="617">
        <v>1.4</v>
      </c>
      <c r="G139" s="620">
        <f>COUNTIF($A$132:$A$137,F139)</f>
        <v>1</v>
      </c>
      <c r="H139" s="240" t="str">
        <f>IF($AN$3=1,SUMIF($A$132:$A$137,$F139,$H$132:$H$137),"")</f>
        <v/>
      </c>
      <c r="I139" s="240" t="str">
        <f>IF($AR$3=1,SUMIF($A$132:$A$137,$F139,$I$132:$I$137),"")</f>
        <v/>
      </c>
      <c r="J139" s="240" t="str">
        <f>IF($AV$3=1,SUMIF($A$132:$A$137,$F139,$J$132:$J$137),"")</f>
        <v/>
      </c>
      <c r="K139" s="240" t="str">
        <f>IF($AZ$3=1,SUMIF($A$132:$A$137,$F139,$K$132:$K$137),"")</f>
        <v/>
      </c>
      <c r="L139" s="240" t="str">
        <f>IF($BD$3=1,SUMIF($A$132:$A$137,$F139,$L$132:$L$137),"")</f>
        <v/>
      </c>
      <c r="M139" s="240" t="str">
        <f>IF($BH$3=1,SUMIF($A$132:$A$137,$F139,$M$132:$M$137),"")</f>
        <v/>
      </c>
      <c r="N139" s="339"/>
      <c r="O139" s="339"/>
      <c r="P139" s="255"/>
      <c r="Q139" s="255"/>
      <c r="R139" s="255"/>
      <c r="V139" s="325"/>
      <c r="W139" s="325"/>
      <c r="X139" s="325"/>
      <c r="Y139" s="325"/>
      <c r="AD139" s="255"/>
      <c r="AH139" s="255"/>
      <c r="AL139" s="255"/>
      <c r="AM139" s="255"/>
      <c r="AN139" s="255"/>
      <c r="AO139" s="255"/>
      <c r="AP139" s="255"/>
      <c r="AT139" s="255"/>
      <c r="AU139" s="255"/>
      <c r="AV139" s="255"/>
      <c r="AW139" s="255"/>
      <c r="AX139" s="255"/>
      <c r="AY139" s="255"/>
      <c r="AZ139" s="255"/>
      <c r="BA139" s="255"/>
      <c r="BB139" s="255"/>
      <c r="BC139" s="255"/>
      <c r="BD139" s="255"/>
      <c r="BE139" s="255"/>
      <c r="BF139" s="255"/>
      <c r="BG139" s="255"/>
      <c r="BH139" s="255"/>
      <c r="BI139" s="255"/>
      <c r="EO139" s="255"/>
    </row>
    <row r="140" spans="1:145" ht="15" customHeight="1">
      <c r="A140" s="1171" t="s">
        <v>653</v>
      </c>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255"/>
      <c r="BO140" s="255"/>
      <c r="BQ140" s="255"/>
      <c r="BR140" s="305"/>
      <c r="EO140" s="255"/>
    </row>
    <row r="141" spans="1:145" ht="15" customHeight="1" thickBot="1">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255"/>
      <c r="BO141" s="255"/>
      <c r="BQ141" s="255"/>
      <c r="BR141" s="255"/>
      <c r="EO141" s="255"/>
    </row>
    <row r="142" spans="1:145" ht="15" customHeight="1">
      <c r="A142" s="1172"/>
      <c r="B142" s="1173" t="s">
        <v>608</v>
      </c>
      <c r="C142" s="1173"/>
      <c r="D142" s="1173"/>
      <c r="E142" s="1173"/>
      <c r="F142" s="1173"/>
      <c r="G142" s="1173"/>
      <c r="H142" s="1343">
        <v>7</v>
      </c>
      <c r="I142" s="1174">
        <v>8</v>
      </c>
      <c r="J142" s="1621"/>
      <c r="K142" s="1621"/>
      <c r="L142" s="1621"/>
      <c r="M142" s="1621"/>
      <c r="N142" s="1725"/>
      <c r="O142" s="1816" t="s">
        <v>661</v>
      </c>
      <c r="P142" s="1692"/>
      <c r="Q142" s="1692"/>
      <c r="R142" s="1692"/>
      <c r="S142" s="1692"/>
      <c r="T142" s="1692"/>
      <c r="U142" s="1731"/>
      <c r="V142" s="1645"/>
      <c r="W142" s="1768" t="s">
        <v>658</v>
      </c>
      <c r="X142" s="1818"/>
      <c r="Y142" s="1818"/>
      <c r="Z142" s="1818"/>
      <c r="AA142" s="1818"/>
      <c r="AB142" s="1818"/>
      <c r="AC142" s="1813"/>
      <c r="AD142" s="346"/>
      <c r="AE142" s="346"/>
      <c r="AF142" s="346"/>
      <c r="AG142" s="346"/>
      <c r="AH142" s="346"/>
      <c r="AI142" s="346"/>
      <c r="AJ142" s="346"/>
      <c r="AK142" s="346"/>
      <c r="AL142" s="346"/>
      <c r="AM142" s="346"/>
      <c r="AN142" s="346"/>
      <c r="AO142" s="346"/>
      <c r="AP142" s="346"/>
      <c r="AQ142" s="346"/>
      <c r="AR142" s="346"/>
      <c r="AS142" s="346"/>
      <c r="AT142" s="346"/>
      <c r="AU142" s="346"/>
      <c r="AV142" s="346"/>
      <c r="AW142" s="346"/>
      <c r="AX142" s="346"/>
      <c r="AY142" s="346"/>
      <c r="AZ142" s="346"/>
      <c r="BA142" s="346"/>
      <c r="BB142" s="346"/>
      <c r="BC142" s="346"/>
      <c r="BD142" s="346"/>
      <c r="BE142" s="346"/>
      <c r="BF142" s="346"/>
      <c r="BG142" s="346"/>
      <c r="BH142" s="346"/>
      <c r="BI142" s="346"/>
      <c r="BJ142" s="1182" t="s">
        <v>263</v>
      </c>
      <c r="BK142" s="1183"/>
      <c r="BL142" s="1183"/>
      <c r="BM142" s="1183"/>
      <c r="BN142" s="1183"/>
      <c r="BO142" s="1184"/>
      <c r="BQ142" s="255"/>
      <c r="BR142" s="255"/>
      <c r="EO142" s="255"/>
    </row>
    <row r="143" spans="1:145" ht="15" customHeight="1">
      <c r="A143" s="1172"/>
      <c r="B143" s="1173"/>
      <c r="C143" s="1173"/>
      <c r="D143" s="1173"/>
      <c r="E143" s="1173"/>
      <c r="F143" s="1173"/>
      <c r="G143" s="1173"/>
      <c r="H143" s="1344"/>
      <c r="I143" s="1174"/>
      <c r="J143" s="1621"/>
      <c r="K143" s="1621"/>
      <c r="L143" s="1621"/>
      <c r="M143" s="1621"/>
      <c r="N143" s="1726"/>
      <c r="O143" s="1817"/>
      <c r="P143" s="1695"/>
      <c r="Q143" s="1695"/>
      <c r="R143" s="1695"/>
      <c r="S143" s="1695"/>
      <c r="T143" s="1695"/>
      <c r="U143" s="1732"/>
      <c r="V143" s="1646"/>
      <c r="W143" s="1770"/>
      <c r="X143" s="1819"/>
      <c r="Y143" s="1819"/>
      <c r="Z143" s="1819"/>
      <c r="AA143" s="1819"/>
      <c r="AB143" s="1819"/>
      <c r="AC143" s="1814"/>
      <c r="AD143" s="346"/>
      <c r="AE143" s="346"/>
      <c r="AF143" s="346"/>
      <c r="AG143" s="346"/>
      <c r="AH143" s="346"/>
      <c r="AI143" s="346"/>
      <c r="AJ143" s="346"/>
      <c r="AK143" s="346"/>
      <c r="AL143" s="346"/>
      <c r="AM143" s="346"/>
      <c r="AN143" s="346"/>
      <c r="AO143" s="346"/>
      <c r="AP143" s="346"/>
      <c r="AQ143" s="346"/>
      <c r="AR143" s="346"/>
      <c r="AS143" s="346"/>
      <c r="AT143" s="346"/>
      <c r="AU143" s="346"/>
      <c r="AV143" s="346"/>
      <c r="AW143" s="346"/>
      <c r="AX143" s="346"/>
      <c r="AY143" s="346"/>
      <c r="AZ143" s="346"/>
      <c r="BA143" s="346"/>
      <c r="BB143" s="346"/>
      <c r="BC143" s="346"/>
      <c r="BD143" s="346"/>
      <c r="BE143" s="346"/>
      <c r="BF143" s="346"/>
      <c r="BG143" s="346"/>
      <c r="BH143" s="346"/>
      <c r="BI143" s="346"/>
      <c r="BJ143" s="1219"/>
      <c r="BK143" s="1220"/>
      <c r="BL143" s="1220"/>
      <c r="BM143" s="1220"/>
      <c r="BN143" s="1220"/>
      <c r="BO143" s="1221"/>
      <c r="BQ143" s="255"/>
      <c r="BR143" s="255"/>
      <c r="EO143" s="255"/>
    </row>
    <row r="144" spans="1:145" ht="15" customHeight="1" thickBot="1">
      <c r="A144" s="1172"/>
      <c r="B144" s="1173"/>
      <c r="C144" s="1173"/>
      <c r="D144" s="1173"/>
      <c r="E144" s="1173"/>
      <c r="F144" s="1173"/>
      <c r="G144" s="1173"/>
      <c r="H144" s="1345"/>
      <c r="I144" s="1174"/>
      <c r="J144" s="1621"/>
      <c r="K144" s="1621"/>
      <c r="L144" s="1621"/>
      <c r="M144" s="1621"/>
      <c r="N144" s="1727"/>
      <c r="O144" s="1697"/>
      <c r="P144" s="1698"/>
      <c r="Q144" s="1698"/>
      <c r="R144" s="1698"/>
      <c r="S144" s="1698"/>
      <c r="T144" s="1698"/>
      <c r="U144" s="1733"/>
      <c r="V144" s="1647"/>
      <c r="W144" s="1820"/>
      <c r="X144" s="1820"/>
      <c r="Y144" s="1820"/>
      <c r="Z144" s="1820"/>
      <c r="AA144" s="1820"/>
      <c r="AB144" s="1820"/>
      <c r="AC144" s="1815"/>
      <c r="AD144" s="346"/>
      <c r="AE144" s="346"/>
      <c r="AF144" s="346"/>
      <c r="AG144" s="346"/>
      <c r="AH144" s="346"/>
      <c r="AI144" s="346"/>
      <c r="AJ144" s="346"/>
      <c r="AK144" s="346"/>
      <c r="AL144" s="346"/>
      <c r="AM144" s="346"/>
      <c r="AN144" s="346"/>
      <c r="AO144" s="346"/>
      <c r="AP144" s="346"/>
      <c r="AQ144" s="346"/>
      <c r="AR144" s="346"/>
      <c r="AS144" s="346"/>
      <c r="AT144" s="346"/>
      <c r="AU144" s="346"/>
      <c r="AV144" s="346"/>
      <c r="AW144" s="346"/>
      <c r="AX144" s="346"/>
      <c r="AY144" s="346"/>
      <c r="AZ144" s="346"/>
      <c r="BA144" s="346"/>
      <c r="BB144" s="346"/>
      <c r="BC144" s="346"/>
      <c r="BD144" s="346"/>
      <c r="BE144" s="346"/>
      <c r="BF144" s="346"/>
      <c r="BG144" s="346"/>
      <c r="BH144" s="346"/>
      <c r="BI144" s="346"/>
      <c r="BJ144" s="1337"/>
      <c r="BK144" s="1338"/>
      <c r="BL144" s="1338"/>
      <c r="BM144" s="1338"/>
      <c r="BN144" s="1338"/>
      <c r="BO144" s="1339"/>
      <c r="BQ144" s="255"/>
      <c r="BR144" s="255"/>
      <c r="EO144" s="255"/>
    </row>
    <row r="145" spans="1:145" ht="15" customHeight="1">
      <c r="A145" s="1307">
        <v>1.1000000000000001</v>
      </c>
      <c r="B145" s="1161" t="s">
        <v>941</v>
      </c>
      <c r="C145" s="1162"/>
      <c r="D145" s="1162"/>
      <c r="E145" s="1162"/>
      <c r="F145" s="1162"/>
      <c r="G145" s="1199"/>
      <c r="H145" s="1205" t="str">
        <f>IF(ISBLANK(BL$3),"",1)</f>
        <v/>
      </c>
      <c r="I145" s="1205" t="str">
        <f>IF(ISBLANK(BP$3),"",1)</f>
        <v/>
      </c>
      <c r="J145" s="1812"/>
      <c r="K145" s="1812"/>
      <c r="L145" s="1812"/>
      <c r="M145" s="1812"/>
      <c r="N145" s="1258">
        <v>4.4000000000000004</v>
      </c>
      <c r="O145" s="1795" t="s">
        <v>342</v>
      </c>
      <c r="P145" s="1795"/>
      <c r="Q145" s="1795"/>
      <c r="R145" s="1795"/>
      <c r="S145" s="1795"/>
      <c r="T145" s="1795"/>
      <c r="U145" s="1342" t="str">
        <f>IF(ISBLANK(BL$3),"",1)</f>
        <v/>
      </c>
      <c r="V145" s="1258">
        <v>4.4000000000000004</v>
      </c>
      <c r="W145" s="1756" t="s">
        <v>374</v>
      </c>
      <c r="X145" s="1527"/>
      <c r="Y145" s="1527"/>
      <c r="Z145" s="1527"/>
      <c r="AA145" s="1527"/>
      <c r="AB145" s="1527"/>
      <c r="AC145" s="1226" t="str">
        <f>IF(ISBLANK(BP$3),"",1)</f>
        <v/>
      </c>
      <c r="AD145" s="346"/>
      <c r="AE145" s="346"/>
      <c r="AF145" s="346"/>
      <c r="AG145" s="346"/>
      <c r="AH145" s="346"/>
      <c r="AI145" s="346"/>
      <c r="AJ145" s="346"/>
      <c r="AK145" s="346"/>
      <c r="AL145" s="346"/>
      <c r="AM145" s="346"/>
      <c r="AN145" s="346"/>
      <c r="AO145" s="346"/>
      <c r="AP145" s="346"/>
      <c r="AQ145" s="346"/>
      <c r="AR145" s="346"/>
      <c r="AS145" s="346"/>
      <c r="AT145" s="331"/>
      <c r="AU145" s="331"/>
      <c r="AV145" s="331"/>
      <c r="AW145" s="331"/>
      <c r="AX145" s="331"/>
      <c r="AY145" s="331"/>
      <c r="AZ145" s="331"/>
      <c r="BA145" s="331"/>
      <c r="BB145" s="331"/>
      <c r="BC145" s="331"/>
      <c r="BD145" s="331"/>
      <c r="BE145" s="331"/>
      <c r="BF145" s="331"/>
      <c r="BG145" s="331"/>
      <c r="BH145" s="331"/>
      <c r="BI145" s="331"/>
      <c r="BJ145" s="1337"/>
      <c r="BK145" s="1338"/>
      <c r="BL145" s="1338"/>
      <c r="BM145" s="1338"/>
      <c r="BN145" s="1338"/>
      <c r="BO145" s="1339"/>
      <c r="BQ145" s="255"/>
      <c r="BR145" s="255"/>
      <c r="EO145" s="255"/>
    </row>
    <row r="146" spans="1:145" ht="15" customHeight="1">
      <c r="A146" s="1308"/>
      <c r="B146" s="1163"/>
      <c r="C146" s="1164"/>
      <c r="D146" s="1164"/>
      <c r="E146" s="1164"/>
      <c r="F146" s="1164"/>
      <c r="G146" s="1201"/>
      <c r="H146" s="1206"/>
      <c r="I146" s="1206"/>
      <c r="J146" s="1812"/>
      <c r="K146" s="1812"/>
      <c r="L146" s="1812"/>
      <c r="M146" s="1812"/>
      <c r="N146" s="1258"/>
      <c r="O146" s="1795"/>
      <c r="P146" s="1795"/>
      <c r="Q146" s="1795"/>
      <c r="R146" s="1795"/>
      <c r="S146" s="1795"/>
      <c r="T146" s="1795"/>
      <c r="U146" s="1342"/>
      <c r="V146" s="1258"/>
      <c r="W146" s="1295"/>
      <c r="X146" s="1296"/>
      <c r="Y146" s="1296"/>
      <c r="Z146" s="1296"/>
      <c r="AA146" s="1296"/>
      <c r="AB146" s="1296"/>
      <c r="AC146" s="1342"/>
      <c r="AD146" s="346"/>
      <c r="AE146" s="346"/>
      <c r="AF146" s="346"/>
      <c r="AG146" s="346"/>
      <c r="AH146" s="346"/>
      <c r="AI146" s="346"/>
      <c r="AJ146" s="346"/>
      <c r="AK146" s="346"/>
      <c r="AL146" s="346"/>
      <c r="AM146" s="346"/>
      <c r="AN146" s="346"/>
      <c r="AO146" s="346"/>
      <c r="AP146" s="346"/>
      <c r="AQ146" s="346"/>
      <c r="AR146" s="346"/>
      <c r="AS146" s="346"/>
      <c r="AT146" s="331"/>
      <c r="AU146" s="331"/>
      <c r="AV146" s="331"/>
      <c r="AW146" s="331"/>
      <c r="AX146" s="331"/>
      <c r="AY146" s="331"/>
      <c r="AZ146" s="331"/>
      <c r="BA146" s="331"/>
      <c r="BB146" s="331"/>
      <c r="BC146" s="331"/>
      <c r="BD146" s="331"/>
      <c r="BE146" s="331"/>
      <c r="BF146" s="331"/>
      <c r="BG146" s="331"/>
      <c r="BH146" s="331"/>
      <c r="BI146" s="331"/>
      <c r="BJ146" s="1337"/>
      <c r="BK146" s="1338"/>
      <c r="BL146" s="1338"/>
      <c r="BM146" s="1338"/>
      <c r="BN146" s="1338"/>
      <c r="BO146" s="1339"/>
      <c r="BQ146" s="255"/>
      <c r="BR146" s="255"/>
      <c r="EO146" s="255"/>
    </row>
    <row r="147" spans="1:145" ht="15" customHeight="1">
      <c r="A147" s="1309"/>
      <c r="B147" s="1165"/>
      <c r="C147" s="1166"/>
      <c r="D147" s="1166"/>
      <c r="E147" s="1166"/>
      <c r="F147" s="1166"/>
      <c r="G147" s="1292"/>
      <c r="H147" s="1207"/>
      <c r="I147" s="1207"/>
      <c r="J147" s="1812"/>
      <c r="K147" s="1812"/>
      <c r="L147" s="1812"/>
      <c r="M147" s="1812"/>
      <c r="N147" s="1258"/>
      <c r="O147" s="1795"/>
      <c r="P147" s="1795"/>
      <c r="Q147" s="1795"/>
      <c r="R147" s="1795"/>
      <c r="S147" s="1795"/>
      <c r="T147" s="1795"/>
      <c r="U147" s="1342"/>
      <c r="V147" s="1258"/>
      <c r="W147" s="1298"/>
      <c r="X147" s="1299"/>
      <c r="Y147" s="1299"/>
      <c r="Z147" s="1299"/>
      <c r="AA147" s="1299"/>
      <c r="AB147" s="1299"/>
      <c r="AC147" s="1342"/>
      <c r="AD147" s="346"/>
      <c r="AE147" s="346"/>
      <c r="AF147" s="346"/>
      <c r="AG147" s="346"/>
      <c r="AH147" s="346"/>
      <c r="AI147" s="346"/>
      <c r="AJ147" s="346"/>
      <c r="AK147" s="346"/>
      <c r="AL147" s="346"/>
      <c r="AM147" s="346"/>
      <c r="AN147" s="346"/>
      <c r="AO147" s="346"/>
      <c r="AP147" s="346"/>
      <c r="AQ147" s="346"/>
      <c r="AR147" s="346"/>
      <c r="AS147" s="346"/>
      <c r="AT147" s="331"/>
      <c r="AU147" s="331"/>
      <c r="AV147" s="331"/>
      <c r="AW147" s="331"/>
      <c r="AX147" s="331"/>
      <c r="AY147" s="331"/>
      <c r="AZ147" s="331"/>
      <c r="BA147" s="331"/>
      <c r="BB147" s="331"/>
      <c r="BC147" s="331"/>
      <c r="BD147" s="331"/>
      <c r="BE147" s="331"/>
      <c r="BF147" s="331"/>
      <c r="BG147" s="331"/>
      <c r="BH147" s="331"/>
      <c r="BI147" s="331"/>
      <c r="BJ147" s="1337"/>
      <c r="BK147" s="1338"/>
      <c r="BL147" s="1338"/>
      <c r="BM147" s="1338"/>
      <c r="BN147" s="1338"/>
      <c r="BO147" s="1339"/>
      <c r="BQ147" s="255"/>
      <c r="BR147" s="255"/>
      <c r="EO147" s="255"/>
    </row>
    <row r="148" spans="1:145" ht="15" customHeight="1">
      <c r="A148" s="1304">
        <v>2.4</v>
      </c>
      <c r="B148" s="1161" t="s">
        <v>316</v>
      </c>
      <c r="C148" s="1162"/>
      <c r="D148" s="1162"/>
      <c r="E148" s="1162"/>
      <c r="F148" s="1162"/>
      <c r="G148" s="1199"/>
      <c r="H148" s="1205" t="str">
        <f t="shared" ref="H148" si="154">IF(ISBLANK(BL$3),"",1)</f>
        <v/>
      </c>
      <c r="I148" s="1205" t="str">
        <f t="shared" ref="I148" si="155">IF(ISBLANK(BP$3),"",1)</f>
        <v/>
      </c>
      <c r="J148" s="1812"/>
      <c r="K148" s="1812"/>
      <c r="L148" s="1812"/>
      <c r="M148" s="1812"/>
      <c r="N148" s="1258">
        <v>4.3</v>
      </c>
      <c r="O148" s="1684" t="s">
        <v>319</v>
      </c>
      <c r="P148" s="1684"/>
      <c r="Q148" s="1684"/>
      <c r="R148" s="1684"/>
      <c r="S148" s="1684"/>
      <c r="T148" s="1684"/>
      <c r="U148" s="1342" t="str">
        <f>IF(ISBLANK(BL$3),"",1)</f>
        <v/>
      </c>
      <c r="V148" s="1258">
        <v>4.4000000000000004</v>
      </c>
      <c r="W148" s="1756" t="s">
        <v>375</v>
      </c>
      <c r="X148" s="1527"/>
      <c r="Y148" s="1527"/>
      <c r="Z148" s="1527"/>
      <c r="AA148" s="1527"/>
      <c r="AB148" s="1527"/>
      <c r="AC148" s="1226" t="str">
        <f>IF(ISBLANK(BP$3),"",1)</f>
        <v/>
      </c>
      <c r="AD148" s="346"/>
      <c r="AE148" s="346"/>
      <c r="AF148" s="346"/>
      <c r="AG148" s="346"/>
      <c r="AH148" s="346"/>
      <c r="AI148" s="346"/>
      <c r="AJ148" s="346"/>
      <c r="AK148" s="346"/>
      <c r="AL148" s="346"/>
      <c r="AM148" s="346"/>
      <c r="AN148" s="346"/>
      <c r="AO148" s="346"/>
      <c r="AP148" s="346"/>
      <c r="AQ148" s="346"/>
      <c r="AR148" s="346"/>
      <c r="AS148" s="346"/>
      <c r="AT148" s="331"/>
      <c r="AU148" s="331"/>
      <c r="AV148" s="331"/>
      <c r="AW148" s="331"/>
      <c r="AX148" s="331"/>
      <c r="AY148" s="331"/>
      <c r="AZ148" s="331"/>
      <c r="BA148" s="331"/>
      <c r="BB148" s="331"/>
      <c r="BC148" s="331"/>
      <c r="BD148" s="331"/>
      <c r="BE148" s="331"/>
      <c r="BF148" s="331"/>
      <c r="BG148" s="331"/>
      <c r="BH148" s="331"/>
      <c r="BI148" s="331"/>
      <c r="BJ148" s="1337"/>
      <c r="BK148" s="1338"/>
      <c r="BL148" s="1338"/>
      <c r="BM148" s="1338"/>
      <c r="BN148" s="1338"/>
      <c r="BO148" s="1339"/>
      <c r="BQ148" s="255"/>
      <c r="BR148" s="255"/>
      <c r="EO148" s="255"/>
    </row>
    <row r="149" spans="1:145" ht="15" customHeight="1">
      <c r="A149" s="1290"/>
      <c r="B149" s="1163"/>
      <c r="C149" s="1164"/>
      <c r="D149" s="1164"/>
      <c r="E149" s="1164"/>
      <c r="F149" s="1164"/>
      <c r="G149" s="1201"/>
      <c r="H149" s="1206"/>
      <c r="I149" s="1206"/>
      <c r="J149" s="1812"/>
      <c r="K149" s="1812"/>
      <c r="L149" s="1812"/>
      <c r="M149" s="1812"/>
      <c r="N149" s="1258"/>
      <c r="O149" s="1684"/>
      <c r="P149" s="1684"/>
      <c r="Q149" s="1684"/>
      <c r="R149" s="1684"/>
      <c r="S149" s="1684"/>
      <c r="T149" s="1684"/>
      <c r="U149" s="1342"/>
      <c r="V149" s="1258"/>
      <c r="W149" s="1295"/>
      <c r="X149" s="1296"/>
      <c r="Y149" s="1296"/>
      <c r="Z149" s="1296"/>
      <c r="AA149" s="1296"/>
      <c r="AB149" s="1296"/>
      <c r="AC149" s="1342"/>
      <c r="AD149" s="346"/>
      <c r="AE149" s="346"/>
      <c r="AF149" s="346"/>
      <c r="AG149" s="346"/>
      <c r="AH149" s="346"/>
      <c r="AI149" s="346"/>
      <c r="AJ149" s="346"/>
      <c r="AK149" s="346"/>
      <c r="AL149" s="346"/>
      <c r="AM149" s="346"/>
      <c r="AN149" s="346"/>
      <c r="AO149" s="346"/>
      <c r="AP149" s="346"/>
      <c r="AQ149" s="346"/>
      <c r="AR149" s="346"/>
      <c r="AS149" s="346"/>
      <c r="AT149" s="331"/>
      <c r="AU149" s="331"/>
      <c r="AV149" s="331"/>
      <c r="AW149" s="331"/>
      <c r="AX149" s="331"/>
      <c r="AY149" s="331"/>
      <c r="AZ149" s="331"/>
      <c r="BA149" s="331"/>
      <c r="BB149" s="331"/>
      <c r="BC149" s="331"/>
      <c r="BD149" s="331"/>
      <c r="BE149" s="331"/>
      <c r="BF149" s="331"/>
      <c r="BG149" s="331"/>
      <c r="BH149" s="331"/>
      <c r="BI149" s="331"/>
      <c r="BJ149" s="1337"/>
      <c r="BK149" s="1338"/>
      <c r="BL149" s="1338"/>
      <c r="BM149" s="1338"/>
      <c r="BN149" s="1338"/>
      <c r="BO149" s="1339"/>
      <c r="BQ149" s="255"/>
      <c r="BR149" s="255"/>
      <c r="EO149" s="255"/>
    </row>
    <row r="150" spans="1:145" ht="15" customHeight="1">
      <c r="A150" s="1291"/>
      <c r="B150" s="1165"/>
      <c r="C150" s="1166"/>
      <c r="D150" s="1166"/>
      <c r="E150" s="1166"/>
      <c r="F150" s="1166"/>
      <c r="G150" s="1292"/>
      <c r="H150" s="1207"/>
      <c r="I150" s="1207"/>
      <c r="J150" s="1812"/>
      <c r="K150" s="1812"/>
      <c r="L150" s="1812"/>
      <c r="M150" s="1812"/>
      <c r="N150" s="1258"/>
      <c r="O150" s="1684"/>
      <c r="P150" s="1684"/>
      <c r="Q150" s="1684"/>
      <c r="R150" s="1684"/>
      <c r="S150" s="1684"/>
      <c r="T150" s="1684"/>
      <c r="U150" s="1342"/>
      <c r="V150" s="1258"/>
      <c r="W150" s="1298"/>
      <c r="X150" s="1299"/>
      <c r="Y150" s="1299"/>
      <c r="Z150" s="1299"/>
      <c r="AA150" s="1299"/>
      <c r="AB150" s="1299"/>
      <c r="AC150" s="1342"/>
      <c r="AD150" s="346"/>
      <c r="AE150" s="346"/>
      <c r="AF150" s="346"/>
      <c r="AG150" s="346"/>
      <c r="AH150" s="346"/>
      <c r="AI150" s="346"/>
      <c r="AJ150" s="346"/>
      <c r="AK150" s="346"/>
      <c r="AL150" s="346"/>
      <c r="AM150" s="346"/>
      <c r="AN150" s="346"/>
      <c r="AO150" s="346"/>
      <c r="AP150" s="346"/>
      <c r="AQ150" s="346"/>
      <c r="AR150" s="346"/>
      <c r="AS150" s="346"/>
      <c r="AT150" s="331"/>
      <c r="AU150" s="331"/>
      <c r="AV150" s="331"/>
      <c r="AW150" s="331"/>
      <c r="AX150" s="331"/>
      <c r="AY150" s="331"/>
      <c r="AZ150" s="331"/>
      <c r="BA150" s="331"/>
      <c r="BB150" s="331"/>
      <c r="BC150" s="331"/>
      <c r="BD150" s="331"/>
      <c r="BE150" s="331"/>
      <c r="BF150" s="331"/>
      <c r="BG150" s="331"/>
      <c r="BH150" s="331"/>
      <c r="BI150" s="331"/>
      <c r="BJ150" s="1337"/>
      <c r="BK150" s="1338"/>
      <c r="BL150" s="1338"/>
      <c r="BM150" s="1338"/>
      <c r="BN150" s="1338"/>
      <c r="BO150" s="1339"/>
      <c r="BQ150" s="255"/>
      <c r="BR150" s="255"/>
      <c r="EO150" s="255"/>
    </row>
    <row r="151" spans="1:145" ht="15" customHeight="1">
      <c r="A151" s="1307">
        <v>1.1000000000000001</v>
      </c>
      <c r="B151" s="1161" t="s">
        <v>320</v>
      </c>
      <c r="C151" s="1162"/>
      <c r="D151" s="1162"/>
      <c r="E151" s="1162"/>
      <c r="F151" s="1162"/>
      <c r="G151" s="1199"/>
      <c r="H151" s="1205" t="str">
        <f t="shared" ref="H151" si="156">IF(ISBLANK(BL$3),"",1)</f>
        <v/>
      </c>
      <c r="I151" s="1205" t="str">
        <f t="shared" ref="I151" si="157">IF(ISBLANK(BP$3),"",1)</f>
        <v/>
      </c>
      <c r="J151" s="1812"/>
      <c r="K151" s="1812"/>
      <c r="L151" s="1812"/>
      <c r="M151" s="1812"/>
      <c r="N151" s="1258">
        <v>4.3</v>
      </c>
      <c r="O151" s="1684" t="s">
        <v>347</v>
      </c>
      <c r="P151" s="1684"/>
      <c r="Q151" s="1684"/>
      <c r="R151" s="1684"/>
      <c r="S151" s="1684"/>
      <c r="T151" s="1684"/>
      <c r="U151" s="1342" t="str">
        <f>IF(ISBLANK(BL$3),"",1)</f>
        <v/>
      </c>
      <c r="V151" s="1258">
        <v>4.4000000000000004</v>
      </c>
      <c r="W151" s="1756" t="s">
        <v>376</v>
      </c>
      <c r="X151" s="1527"/>
      <c r="Y151" s="1527"/>
      <c r="Z151" s="1527"/>
      <c r="AA151" s="1527"/>
      <c r="AB151" s="1527"/>
      <c r="AC151" s="1226" t="str">
        <f>IF(ISBLANK(BP$3),"",1)</f>
        <v/>
      </c>
      <c r="AD151" s="346"/>
      <c r="AE151" s="346"/>
      <c r="AF151" s="346"/>
      <c r="AG151" s="346"/>
      <c r="AH151" s="346"/>
      <c r="AI151" s="346"/>
      <c r="AJ151" s="346"/>
      <c r="AK151" s="346"/>
      <c r="AL151" s="346"/>
      <c r="AM151" s="346"/>
      <c r="AN151" s="346"/>
      <c r="AO151" s="346"/>
      <c r="AP151" s="346"/>
      <c r="AQ151" s="346"/>
      <c r="AR151" s="346"/>
      <c r="AS151" s="346"/>
      <c r="AT151" s="342"/>
      <c r="AU151" s="342"/>
      <c r="AV151" s="342"/>
      <c r="AW151" s="342"/>
      <c r="AX151" s="342"/>
      <c r="AY151" s="342"/>
      <c r="AZ151" s="342"/>
      <c r="BA151" s="342"/>
      <c r="BB151" s="342"/>
      <c r="BC151" s="342"/>
      <c r="BD151" s="342"/>
      <c r="BE151" s="342"/>
      <c r="BF151" s="342"/>
      <c r="BG151" s="342"/>
      <c r="BH151" s="342"/>
      <c r="BI151" s="342"/>
      <c r="BJ151" s="1337"/>
      <c r="BK151" s="1338"/>
      <c r="BL151" s="1338"/>
      <c r="BM151" s="1338"/>
      <c r="BN151" s="1338"/>
      <c r="BO151" s="1339"/>
      <c r="BQ151" s="255"/>
      <c r="BR151" s="255"/>
      <c r="EO151" s="255"/>
    </row>
    <row r="152" spans="1:145" ht="15" customHeight="1">
      <c r="A152" s="1308"/>
      <c r="B152" s="1163"/>
      <c r="C152" s="1164"/>
      <c r="D152" s="1164"/>
      <c r="E152" s="1164"/>
      <c r="F152" s="1164"/>
      <c r="G152" s="1201"/>
      <c r="H152" s="1206"/>
      <c r="I152" s="1206"/>
      <c r="J152" s="1812"/>
      <c r="K152" s="1812"/>
      <c r="L152" s="1812"/>
      <c r="M152" s="1812"/>
      <c r="N152" s="1258"/>
      <c r="O152" s="1684"/>
      <c r="P152" s="1684"/>
      <c r="Q152" s="1684"/>
      <c r="R152" s="1684"/>
      <c r="S152" s="1684"/>
      <c r="T152" s="1684"/>
      <c r="U152" s="1342"/>
      <c r="V152" s="1258"/>
      <c r="W152" s="1295"/>
      <c r="X152" s="1296"/>
      <c r="Y152" s="1296"/>
      <c r="Z152" s="1296"/>
      <c r="AA152" s="1296"/>
      <c r="AB152" s="1296"/>
      <c r="AC152" s="1342"/>
      <c r="AD152" s="346"/>
      <c r="AE152" s="346"/>
      <c r="AF152" s="346"/>
      <c r="AG152" s="346"/>
      <c r="AH152" s="346"/>
      <c r="AI152" s="346"/>
      <c r="AJ152" s="346"/>
      <c r="AK152" s="346"/>
      <c r="AL152" s="346"/>
      <c r="AM152" s="346"/>
      <c r="AN152" s="346"/>
      <c r="AO152" s="346"/>
      <c r="AP152" s="346"/>
      <c r="AQ152" s="346"/>
      <c r="AR152" s="346"/>
      <c r="AS152" s="346"/>
      <c r="AT152" s="342"/>
      <c r="AU152" s="342"/>
      <c r="AV152" s="342"/>
      <c r="AW152" s="342"/>
      <c r="AX152" s="342"/>
      <c r="AY152" s="342"/>
      <c r="AZ152" s="342"/>
      <c r="BA152" s="342"/>
      <c r="BB152" s="342"/>
      <c r="BC152" s="342"/>
      <c r="BD152" s="342"/>
      <c r="BE152" s="342"/>
      <c r="BF152" s="342"/>
      <c r="BG152" s="342"/>
      <c r="BH152" s="342"/>
      <c r="BI152" s="342"/>
      <c r="BJ152" s="1337"/>
      <c r="BK152" s="1338"/>
      <c r="BL152" s="1338"/>
      <c r="BM152" s="1338"/>
      <c r="BN152" s="1338"/>
      <c r="BO152" s="1339"/>
      <c r="BQ152" s="255"/>
      <c r="BR152" s="255"/>
      <c r="EO152" s="255"/>
    </row>
    <row r="153" spans="1:145" ht="15" customHeight="1">
      <c r="A153" s="1309"/>
      <c r="B153" s="1165"/>
      <c r="C153" s="1166"/>
      <c r="D153" s="1166"/>
      <c r="E153" s="1166"/>
      <c r="F153" s="1166"/>
      <c r="G153" s="1292"/>
      <c r="H153" s="1207"/>
      <c r="I153" s="1207"/>
      <c r="J153" s="1812"/>
      <c r="K153" s="1812"/>
      <c r="L153" s="1812"/>
      <c r="M153" s="1812"/>
      <c r="N153" s="1258"/>
      <c r="O153" s="1684"/>
      <c r="P153" s="1684"/>
      <c r="Q153" s="1684"/>
      <c r="R153" s="1684"/>
      <c r="S153" s="1684"/>
      <c r="T153" s="1684"/>
      <c r="U153" s="1342"/>
      <c r="V153" s="1258"/>
      <c r="W153" s="1298"/>
      <c r="X153" s="1299"/>
      <c r="Y153" s="1299"/>
      <c r="Z153" s="1299"/>
      <c r="AA153" s="1299"/>
      <c r="AB153" s="1299"/>
      <c r="AC153" s="1342"/>
      <c r="AD153" s="346"/>
      <c r="AE153" s="346"/>
      <c r="AF153" s="346"/>
      <c r="AG153" s="346"/>
      <c r="AH153" s="346"/>
      <c r="AI153" s="346"/>
      <c r="AJ153" s="346"/>
      <c r="AK153" s="346"/>
      <c r="AL153" s="346"/>
      <c r="AM153" s="346"/>
      <c r="AN153" s="346"/>
      <c r="AO153" s="346"/>
      <c r="AP153" s="346"/>
      <c r="AQ153" s="346"/>
      <c r="AR153" s="346"/>
      <c r="AS153" s="346"/>
      <c r="AT153" s="342"/>
      <c r="AU153" s="342"/>
      <c r="AV153" s="342"/>
      <c r="AW153" s="342"/>
      <c r="AX153" s="342"/>
      <c r="AY153" s="342"/>
      <c r="AZ153" s="342"/>
      <c r="BA153" s="342"/>
      <c r="BB153" s="342"/>
      <c r="BC153" s="342"/>
      <c r="BD153" s="342"/>
      <c r="BE153" s="342"/>
      <c r="BF153" s="342"/>
      <c r="BG153" s="342"/>
      <c r="BH153" s="342"/>
      <c r="BI153" s="342"/>
      <c r="BJ153" s="1337"/>
      <c r="BK153" s="1338"/>
      <c r="BL153" s="1338"/>
      <c r="BM153" s="1338"/>
      <c r="BN153" s="1338"/>
      <c r="BO153" s="1339"/>
      <c r="BQ153" s="255"/>
      <c r="BR153" s="255"/>
      <c r="EO153" s="255"/>
    </row>
    <row r="154" spans="1:145" ht="15" customHeight="1">
      <c r="A154" s="1304">
        <v>2.1</v>
      </c>
      <c r="B154" s="1161" t="s">
        <v>322</v>
      </c>
      <c r="C154" s="1162"/>
      <c r="D154" s="1162"/>
      <c r="E154" s="1162"/>
      <c r="F154" s="1162"/>
      <c r="G154" s="1199"/>
      <c r="H154" s="1205" t="str">
        <f t="shared" ref="H154" si="158">IF(ISBLANK(BL$3),"",1)</f>
        <v/>
      </c>
      <c r="I154" s="1205" t="str">
        <f t="shared" ref="I154" si="159">IF(ISBLANK(BP$3),"",1)</f>
        <v/>
      </c>
      <c r="J154" s="1812"/>
      <c r="K154" s="1812"/>
      <c r="L154" s="1812"/>
      <c r="M154" s="1812"/>
      <c r="N154" s="1576">
        <v>2.4</v>
      </c>
      <c r="O154" s="1684" t="s">
        <v>349</v>
      </c>
      <c r="P154" s="1684"/>
      <c r="Q154" s="1684"/>
      <c r="R154" s="1684"/>
      <c r="S154" s="1684"/>
      <c r="T154" s="1684"/>
      <c r="U154" s="1342" t="str">
        <f>IF(ISBLANK(BL$3),"",1)</f>
        <v/>
      </c>
      <c r="V154" s="1258">
        <v>4.3</v>
      </c>
      <c r="W154" s="1756" t="s">
        <v>319</v>
      </c>
      <c r="X154" s="1527"/>
      <c r="Y154" s="1527"/>
      <c r="Z154" s="1527"/>
      <c r="AA154" s="1527"/>
      <c r="AB154" s="1527"/>
      <c r="AC154" s="1226" t="str">
        <f>IF(ISBLANK(BP$3),"",1)</f>
        <v/>
      </c>
      <c r="AD154" s="346"/>
      <c r="AE154" s="346"/>
      <c r="AF154" s="346"/>
      <c r="AG154" s="346"/>
      <c r="AH154" s="346"/>
      <c r="AI154" s="346"/>
      <c r="AJ154" s="346"/>
      <c r="AK154" s="346"/>
      <c r="AL154" s="346"/>
      <c r="AM154" s="346"/>
      <c r="AN154" s="346"/>
      <c r="AO154" s="346"/>
      <c r="AP154" s="346"/>
      <c r="AQ154" s="346"/>
      <c r="AR154" s="346"/>
      <c r="AS154" s="346"/>
      <c r="AT154" s="331"/>
      <c r="AU154" s="331"/>
      <c r="AV154" s="331"/>
      <c r="AW154" s="331"/>
      <c r="AX154" s="331"/>
      <c r="AY154" s="331"/>
      <c r="AZ154" s="331"/>
      <c r="BA154" s="331"/>
      <c r="BB154" s="331"/>
      <c r="BC154" s="331"/>
      <c r="BD154" s="331"/>
      <c r="BE154" s="331"/>
      <c r="BF154" s="331"/>
      <c r="BG154" s="331"/>
      <c r="BH154" s="331"/>
      <c r="BI154" s="331"/>
      <c r="BJ154" s="1337"/>
      <c r="BK154" s="1338"/>
      <c r="BL154" s="1338"/>
      <c r="BM154" s="1338"/>
      <c r="BN154" s="1338"/>
      <c r="BO154" s="1339"/>
      <c r="BQ154" s="255"/>
      <c r="BR154" s="255"/>
      <c r="EO154" s="255"/>
    </row>
    <row r="155" spans="1:145" ht="15" customHeight="1">
      <c r="A155" s="1290"/>
      <c r="B155" s="1163"/>
      <c r="C155" s="1164"/>
      <c r="D155" s="1164"/>
      <c r="E155" s="1164"/>
      <c r="F155" s="1164"/>
      <c r="G155" s="1201"/>
      <c r="H155" s="1206"/>
      <c r="I155" s="1206"/>
      <c r="J155" s="1812"/>
      <c r="K155" s="1812"/>
      <c r="L155" s="1812"/>
      <c r="M155" s="1812"/>
      <c r="N155" s="1576"/>
      <c r="O155" s="1684"/>
      <c r="P155" s="1684"/>
      <c r="Q155" s="1684"/>
      <c r="R155" s="1684"/>
      <c r="S155" s="1684"/>
      <c r="T155" s="1684"/>
      <c r="U155" s="1342"/>
      <c r="V155" s="1258"/>
      <c r="W155" s="1295"/>
      <c r="X155" s="1296"/>
      <c r="Y155" s="1296"/>
      <c r="Z155" s="1296"/>
      <c r="AA155" s="1296"/>
      <c r="AB155" s="1296"/>
      <c r="AC155" s="1342"/>
      <c r="AD155" s="346"/>
      <c r="AE155" s="346"/>
      <c r="AF155" s="346"/>
      <c r="AG155" s="346"/>
      <c r="AH155" s="346"/>
      <c r="AI155" s="346"/>
      <c r="AJ155" s="346"/>
      <c r="AK155" s="346"/>
      <c r="AL155" s="346"/>
      <c r="AM155" s="346"/>
      <c r="AN155" s="346"/>
      <c r="AO155" s="346"/>
      <c r="AP155" s="346"/>
      <c r="AQ155" s="346"/>
      <c r="AR155" s="346"/>
      <c r="AS155" s="346"/>
      <c r="AT155" s="331"/>
      <c r="AU155" s="331"/>
      <c r="AV155" s="331"/>
      <c r="AW155" s="331"/>
      <c r="AX155" s="331"/>
      <c r="AY155" s="331"/>
      <c r="AZ155" s="331"/>
      <c r="BA155" s="331"/>
      <c r="BB155" s="331"/>
      <c r="BC155" s="331"/>
      <c r="BD155" s="331"/>
      <c r="BE155" s="331"/>
      <c r="BF155" s="331"/>
      <c r="BG155" s="331"/>
      <c r="BH155" s="331"/>
      <c r="BI155" s="331"/>
      <c r="BJ155" s="1337"/>
      <c r="BK155" s="1338"/>
      <c r="BL155" s="1338"/>
      <c r="BM155" s="1338"/>
      <c r="BN155" s="1338"/>
      <c r="BO155" s="1339"/>
      <c r="BQ155" s="255"/>
      <c r="BR155" s="255"/>
      <c r="EO155" s="255"/>
    </row>
    <row r="156" spans="1:145" ht="15" customHeight="1">
      <c r="A156" s="1291"/>
      <c r="B156" s="1165"/>
      <c r="C156" s="1166"/>
      <c r="D156" s="1166"/>
      <c r="E156" s="1166"/>
      <c r="F156" s="1166"/>
      <c r="G156" s="1292"/>
      <c r="H156" s="1207"/>
      <c r="I156" s="1207"/>
      <c r="J156" s="1812"/>
      <c r="K156" s="1812"/>
      <c r="L156" s="1812"/>
      <c r="M156" s="1812"/>
      <c r="N156" s="1576"/>
      <c r="O156" s="1684"/>
      <c r="P156" s="1684"/>
      <c r="Q156" s="1684"/>
      <c r="R156" s="1684"/>
      <c r="S156" s="1684"/>
      <c r="T156" s="1684"/>
      <c r="U156" s="1342"/>
      <c r="V156" s="1258"/>
      <c r="W156" s="1298"/>
      <c r="X156" s="1299"/>
      <c r="Y156" s="1299"/>
      <c r="Z156" s="1299"/>
      <c r="AA156" s="1299"/>
      <c r="AB156" s="1299"/>
      <c r="AC156" s="1342"/>
      <c r="AD156" s="346"/>
      <c r="AE156" s="346"/>
      <c r="AF156" s="346"/>
      <c r="AG156" s="346"/>
      <c r="AH156" s="346"/>
      <c r="AI156" s="346"/>
      <c r="AJ156" s="346"/>
      <c r="AK156" s="346"/>
      <c r="AL156" s="346"/>
      <c r="AM156" s="346"/>
      <c r="AN156" s="346"/>
      <c r="AO156" s="346"/>
      <c r="AP156" s="346"/>
      <c r="AQ156" s="346"/>
      <c r="AR156" s="346"/>
      <c r="AS156" s="346"/>
      <c r="AT156" s="331"/>
      <c r="AU156" s="331"/>
      <c r="AV156" s="331"/>
      <c r="AW156" s="331"/>
      <c r="AX156" s="331"/>
      <c r="AY156" s="331"/>
      <c r="AZ156" s="331"/>
      <c r="BA156" s="331"/>
      <c r="BB156" s="331"/>
      <c r="BC156" s="331"/>
      <c r="BD156" s="331"/>
      <c r="BE156" s="331"/>
      <c r="BF156" s="331"/>
      <c r="BG156" s="331"/>
      <c r="BH156" s="331"/>
      <c r="BI156" s="331"/>
      <c r="BJ156" s="1337"/>
      <c r="BK156" s="1338"/>
      <c r="BL156" s="1338"/>
      <c r="BM156" s="1338"/>
      <c r="BN156" s="1338"/>
      <c r="BO156" s="1339"/>
      <c r="BQ156" s="255"/>
      <c r="BR156" s="255"/>
      <c r="EO156" s="255"/>
    </row>
    <row r="157" spans="1:145" ht="15" customHeight="1">
      <c r="A157" s="1307">
        <v>1.1000000000000001</v>
      </c>
      <c r="B157" s="1161" t="s">
        <v>940</v>
      </c>
      <c r="C157" s="1162"/>
      <c r="D157" s="1162"/>
      <c r="E157" s="1162"/>
      <c r="F157" s="1162"/>
      <c r="G157" s="1199"/>
      <c r="H157" s="1205" t="str">
        <f t="shared" ref="H157" si="160">IF(ISBLANK(BL$3),"",1)</f>
        <v/>
      </c>
      <c r="I157" s="1205" t="str">
        <f t="shared" ref="I157" si="161">IF(ISBLANK(BP$3),"",1)</f>
        <v/>
      </c>
      <c r="J157" s="1812"/>
      <c r="K157" s="1812"/>
      <c r="L157" s="1812"/>
      <c r="M157" s="1812"/>
      <c r="N157" s="1576">
        <v>2.4</v>
      </c>
      <c r="O157" s="1684" t="s">
        <v>354</v>
      </c>
      <c r="P157" s="1684"/>
      <c r="Q157" s="1684"/>
      <c r="R157" s="1684"/>
      <c r="S157" s="1684"/>
      <c r="T157" s="1684"/>
      <c r="U157" s="1342" t="str">
        <f>IF(ISBLANK(BL$3),"",1)</f>
        <v/>
      </c>
      <c r="V157" s="1258">
        <v>4.3</v>
      </c>
      <c r="W157" s="1756" t="s">
        <v>321</v>
      </c>
      <c r="X157" s="1527"/>
      <c r="Y157" s="1527"/>
      <c r="Z157" s="1527"/>
      <c r="AA157" s="1527"/>
      <c r="AB157" s="1527"/>
      <c r="AC157" s="1226" t="str">
        <f>IF(ISBLANK(BP$3),"",1)</f>
        <v/>
      </c>
      <c r="AD157" s="346"/>
      <c r="AE157" s="346"/>
      <c r="AF157" s="346"/>
      <c r="AG157" s="346"/>
      <c r="AH157" s="346"/>
      <c r="AI157" s="346"/>
      <c r="AJ157" s="346"/>
      <c r="AK157" s="346"/>
      <c r="AL157" s="346"/>
      <c r="AM157" s="346"/>
      <c r="AN157" s="346"/>
      <c r="AO157" s="346"/>
      <c r="AP157" s="346"/>
      <c r="AQ157" s="346"/>
      <c r="AR157" s="346"/>
      <c r="AS157" s="346"/>
      <c r="AT157" s="342"/>
      <c r="AU157" s="342"/>
      <c r="AV157" s="342"/>
      <c r="AW157" s="342"/>
      <c r="AX157" s="342"/>
      <c r="AY157" s="342"/>
      <c r="AZ157" s="342"/>
      <c r="BA157" s="342"/>
      <c r="BB157" s="342"/>
      <c r="BC157" s="342"/>
      <c r="BD157" s="342"/>
      <c r="BE157" s="342"/>
      <c r="BF157" s="342"/>
      <c r="BG157" s="342"/>
      <c r="BH157" s="342"/>
      <c r="BI157" s="342"/>
      <c r="BJ157" s="1337"/>
      <c r="BK157" s="1338"/>
      <c r="BL157" s="1338"/>
      <c r="BM157" s="1338"/>
      <c r="BN157" s="1338"/>
      <c r="BO157" s="1339"/>
      <c r="BQ157" s="255"/>
      <c r="BR157" s="255"/>
      <c r="EO157" s="255"/>
    </row>
    <row r="158" spans="1:145" ht="15" customHeight="1">
      <c r="A158" s="1308"/>
      <c r="B158" s="1163"/>
      <c r="C158" s="1164"/>
      <c r="D158" s="1164"/>
      <c r="E158" s="1164"/>
      <c r="F158" s="1164"/>
      <c r="G158" s="1201"/>
      <c r="H158" s="1206"/>
      <c r="I158" s="1206"/>
      <c r="J158" s="1812"/>
      <c r="K158" s="1812"/>
      <c r="L158" s="1812"/>
      <c r="M158" s="1812"/>
      <c r="N158" s="1576"/>
      <c r="O158" s="1684"/>
      <c r="P158" s="1684"/>
      <c r="Q158" s="1684"/>
      <c r="R158" s="1684"/>
      <c r="S158" s="1684"/>
      <c r="T158" s="1684"/>
      <c r="U158" s="1342"/>
      <c r="V158" s="1258"/>
      <c r="W158" s="1295"/>
      <c r="X158" s="1296"/>
      <c r="Y158" s="1296"/>
      <c r="Z158" s="1296"/>
      <c r="AA158" s="1296"/>
      <c r="AB158" s="1296"/>
      <c r="AC158" s="1342"/>
      <c r="AD158" s="346"/>
      <c r="AE158" s="346"/>
      <c r="AF158" s="346"/>
      <c r="AG158" s="346"/>
      <c r="AH158" s="346"/>
      <c r="AI158" s="346"/>
      <c r="AJ158" s="346"/>
      <c r="AK158" s="346"/>
      <c r="AL158" s="346"/>
      <c r="AM158" s="346"/>
      <c r="AN158" s="346"/>
      <c r="AO158" s="346"/>
      <c r="AP158" s="346"/>
      <c r="AQ158" s="346"/>
      <c r="AR158" s="346"/>
      <c r="AS158" s="346"/>
      <c r="AT158" s="342"/>
      <c r="AU158" s="342"/>
      <c r="AV158" s="342"/>
      <c r="AW158" s="342"/>
      <c r="AX158" s="342"/>
      <c r="AY158" s="342"/>
      <c r="AZ158" s="342"/>
      <c r="BA158" s="342"/>
      <c r="BB158" s="342"/>
      <c r="BC158" s="342"/>
      <c r="BD158" s="342"/>
      <c r="BE158" s="342"/>
      <c r="BF158" s="342"/>
      <c r="BG158" s="342"/>
      <c r="BH158" s="342"/>
      <c r="BI158" s="342"/>
      <c r="BJ158" s="1337"/>
      <c r="BK158" s="1338"/>
      <c r="BL158" s="1338"/>
      <c r="BM158" s="1338"/>
      <c r="BN158" s="1338"/>
      <c r="BO158" s="1339"/>
      <c r="BQ158" s="255"/>
      <c r="BR158" s="255"/>
      <c r="EO158" s="255"/>
    </row>
    <row r="159" spans="1:145" ht="15" customHeight="1">
      <c r="A159" s="1309"/>
      <c r="B159" s="1165"/>
      <c r="C159" s="1166"/>
      <c r="D159" s="1166"/>
      <c r="E159" s="1166"/>
      <c r="F159" s="1166"/>
      <c r="G159" s="1292"/>
      <c r="H159" s="1207"/>
      <c r="I159" s="1207"/>
      <c r="J159" s="1812"/>
      <c r="K159" s="1812"/>
      <c r="L159" s="1812"/>
      <c r="M159" s="1812"/>
      <c r="N159" s="1576"/>
      <c r="O159" s="1684"/>
      <c r="P159" s="1684"/>
      <c r="Q159" s="1684"/>
      <c r="R159" s="1684"/>
      <c r="S159" s="1684"/>
      <c r="T159" s="1684"/>
      <c r="U159" s="1342"/>
      <c r="V159" s="1258"/>
      <c r="W159" s="1298"/>
      <c r="X159" s="1299"/>
      <c r="Y159" s="1299"/>
      <c r="Z159" s="1299"/>
      <c r="AA159" s="1299"/>
      <c r="AB159" s="1299"/>
      <c r="AC159" s="1342"/>
      <c r="AD159" s="346"/>
      <c r="AE159" s="346"/>
      <c r="AF159" s="346"/>
      <c r="AG159" s="346"/>
      <c r="AH159" s="346"/>
      <c r="AI159" s="346"/>
      <c r="AJ159" s="346"/>
      <c r="AK159" s="346"/>
      <c r="AL159" s="346"/>
      <c r="AM159" s="346"/>
      <c r="AN159" s="346"/>
      <c r="AO159" s="346"/>
      <c r="AP159" s="346"/>
      <c r="AQ159" s="346"/>
      <c r="AR159" s="346"/>
      <c r="AS159" s="346"/>
      <c r="AT159" s="342"/>
      <c r="AU159" s="342"/>
      <c r="AV159" s="342"/>
      <c r="AW159" s="342"/>
      <c r="AX159" s="342"/>
      <c r="AY159" s="342"/>
      <c r="AZ159" s="342"/>
      <c r="BA159" s="342"/>
      <c r="BB159" s="342"/>
      <c r="BC159" s="342"/>
      <c r="BD159" s="342"/>
      <c r="BE159" s="342"/>
      <c r="BF159" s="342"/>
      <c r="BG159" s="342"/>
      <c r="BH159" s="342"/>
      <c r="BI159" s="342"/>
      <c r="BJ159" s="1337"/>
      <c r="BK159" s="1338"/>
      <c r="BL159" s="1338"/>
      <c r="BM159" s="1338"/>
      <c r="BN159" s="1338"/>
      <c r="BO159" s="1339"/>
      <c r="BQ159" s="255"/>
      <c r="BR159" s="255"/>
      <c r="EO159" s="255"/>
    </row>
    <row r="160" spans="1:145" ht="15" customHeight="1">
      <c r="A160" s="1307">
        <v>1.1000000000000001</v>
      </c>
      <c r="B160" s="1161" t="s">
        <v>330</v>
      </c>
      <c r="C160" s="1162"/>
      <c r="D160" s="1162"/>
      <c r="E160" s="1162"/>
      <c r="F160" s="1162"/>
      <c r="G160" s="1199"/>
      <c r="H160" s="1205" t="str">
        <f t="shared" ref="H160" si="162">IF(ISBLANK(BL$3),"",1)</f>
        <v/>
      </c>
      <c r="I160" s="1205" t="str">
        <f t="shared" ref="I160" si="163">IF(ISBLANK(BP$3),"",1)</f>
        <v/>
      </c>
      <c r="J160" s="1812"/>
      <c r="K160" s="1812"/>
      <c r="L160" s="1812"/>
      <c r="M160" s="1812"/>
      <c r="N160" s="1576">
        <v>2.4</v>
      </c>
      <c r="O160" s="1684" t="s">
        <v>335</v>
      </c>
      <c r="P160" s="1684"/>
      <c r="Q160" s="1684"/>
      <c r="R160" s="1684"/>
      <c r="S160" s="1684"/>
      <c r="T160" s="1684"/>
      <c r="U160" s="1342" t="str">
        <f>IF(ISBLANK(BL$3),"",1)</f>
        <v/>
      </c>
      <c r="V160" s="1258">
        <v>4.3</v>
      </c>
      <c r="W160" s="1756" t="s">
        <v>377</v>
      </c>
      <c r="X160" s="1527"/>
      <c r="Y160" s="1527"/>
      <c r="Z160" s="1527"/>
      <c r="AA160" s="1527"/>
      <c r="AB160" s="1527"/>
      <c r="AC160" s="1226" t="str">
        <f>IF(ISBLANK(BP$3),"",1)</f>
        <v/>
      </c>
      <c r="AD160" s="346"/>
      <c r="AE160" s="346"/>
      <c r="AF160" s="346"/>
      <c r="AG160" s="346"/>
      <c r="AH160" s="346"/>
      <c r="AI160" s="346"/>
      <c r="AJ160" s="346"/>
      <c r="AK160" s="346"/>
      <c r="AL160" s="346"/>
      <c r="AM160" s="346"/>
      <c r="AN160" s="346"/>
      <c r="AO160" s="346"/>
      <c r="AP160" s="346"/>
      <c r="AQ160" s="346"/>
      <c r="AR160" s="346"/>
      <c r="AS160" s="346"/>
      <c r="AT160" s="342"/>
      <c r="AU160" s="342"/>
      <c r="AV160" s="342"/>
      <c r="AW160" s="342"/>
      <c r="AX160" s="342"/>
      <c r="AY160" s="342"/>
      <c r="AZ160" s="342"/>
      <c r="BA160" s="342"/>
      <c r="BB160" s="342"/>
      <c r="BC160" s="342"/>
      <c r="BD160" s="342"/>
      <c r="BE160" s="342"/>
      <c r="BF160" s="342"/>
      <c r="BG160" s="342"/>
      <c r="BH160" s="342"/>
      <c r="BI160" s="342"/>
      <c r="BJ160" s="1337"/>
      <c r="BK160" s="1338"/>
      <c r="BL160" s="1338"/>
      <c r="BM160" s="1338"/>
      <c r="BN160" s="1338"/>
      <c r="BO160" s="1339"/>
      <c r="BQ160" s="255"/>
      <c r="BR160" s="255"/>
      <c r="EO160" s="255"/>
    </row>
    <row r="161" spans="1:145" ht="15" customHeight="1">
      <c r="A161" s="1308"/>
      <c r="B161" s="1163"/>
      <c r="C161" s="1164"/>
      <c r="D161" s="1164"/>
      <c r="E161" s="1164"/>
      <c r="F161" s="1164"/>
      <c r="G161" s="1201"/>
      <c r="H161" s="1206"/>
      <c r="I161" s="1206"/>
      <c r="J161" s="1812"/>
      <c r="K161" s="1812"/>
      <c r="L161" s="1812"/>
      <c r="M161" s="1812"/>
      <c r="N161" s="1576"/>
      <c r="O161" s="1684"/>
      <c r="P161" s="1684"/>
      <c r="Q161" s="1684"/>
      <c r="R161" s="1684"/>
      <c r="S161" s="1684"/>
      <c r="T161" s="1684"/>
      <c r="U161" s="1342"/>
      <c r="V161" s="1258"/>
      <c r="W161" s="1295"/>
      <c r="X161" s="1296"/>
      <c r="Y161" s="1296"/>
      <c r="Z161" s="1296"/>
      <c r="AA161" s="1296"/>
      <c r="AB161" s="1296"/>
      <c r="AC161" s="1342"/>
      <c r="AD161" s="346"/>
      <c r="AE161" s="346"/>
      <c r="AF161" s="346"/>
      <c r="AG161" s="346"/>
      <c r="AH161" s="346"/>
      <c r="AI161" s="346"/>
      <c r="AJ161" s="346"/>
      <c r="AK161" s="346"/>
      <c r="AL161" s="346"/>
      <c r="AM161" s="346"/>
      <c r="AN161" s="346"/>
      <c r="AO161" s="346"/>
      <c r="AP161" s="346"/>
      <c r="AQ161" s="346"/>
      <c r="AR161" s="346"/>
      <c r="AS161" s="346"/>
      <c r="AT161" s="342"/>
      <c r="AU161" s="342"/>
      <c r="AV161" s="342"/>
      <c r="AW161" s="342"/>
      <c r="AX161" s="342"/>
      <c r="AY161" s="342"/>
      <c r="AZ161" s="342"/>
      <c r="BA161" s="342"/>
      <c r="BB161" s="342"/>
      <c r="BC161" s="342"/>
      <c r="BD161" s="342"/>
      <c r="BE161" s="342"/>
      <c r="BF161" s="342"/>
      <c r="BG161" s="342"/>
      <c r="BH161" s="342"/>
      <c r="BI161" s="342"/>
      <c r="BJ161" s="1337"/>
      <c r="BK161" s="1338"/>
      <c r="BL161" s="1338"/>
      <c r="BM161" s="1338"/>
      <c r="BN161" s="1338"/>
      <c r="BO161" s="1339"/>
      <c r="BQ161" s="255"/>
      <c r="BR161" s="255"/>
      <c r="EO161" s="255"/>
    </row>
    <row r="162" spans="1:145" ht="15" customHeight="1">
      <c r="A162" s="1309"/>
      <c r="B162" s="1165"/>
      <c r="C162" s="1166"/>
      <c r="D162" s="1166"/>
      <c r="E162" s="1166"/>
      <c r="F162" s="1166"/>
      <c r="G162" s="1292"/>
      <c r="H162" s="1207"/>
      <c r="I162" s="1207"/>
      <c r="J162" s="1812"/>
      <c r="K162" s="1812"/>
      <c r="L162" s="1812"/>
      <c r="M162" s="1812"/>
      <c r="N162" s="1576"/>
      <c r="O162" s="1684"/>
      <c r="P162" s="1684"/>
      <c r="Q162" s="1684"/>
      <c r="R162" s="1684"/>
      <c r="S162" s="1684"/>
      <c r="T162" s="1684"/>
      <c r="U162" s="1342"/>
      <c r="V162" s="1258"/>
      <c r="W162" s="1298"/>
      <c r="X162" s="1299"/>
      <c r="Y162" s="1299"/>
      <c r="Z162" s="1299"/>
      <c r="AA162" s="1299"/>
      <c r="AB162" s="1299"/>
      <c r="AC162" s="1342"/>
      <c r="AD162" s="346"/>
      <c r="AE162" s="346"/>
      <c r="AF162" s="346"/>
      <c r="AG162" s="346"/>
      <c r="AH162" s="346"/>
      <c r="AI162" s="346"/>
      <c r="AJ162" s="346"/>
      <c r="AK162" s="346"/>
      <c r="AL162" s="346"/>
      <c r="AM162" s="346"/>
      <c r="AN162" s="346"/>
      <c r="AO162" s="346"/>
      <c r="AP162" s="346"/>
      <c r="AQ162" s="346"/>
      <c r="AR162" s="346"/>
      <c r="AS162" s="346"/>
      <c r="AT162" s="342"/>
      <c r="AU162" s="342"/>
      <c r="AV162" s="342"/>
      <c r="AW162" s="342"/>
      <c r="AX162" s="342"/>
      <c r="AY162" s="342"/>
      <c r="AZ162" s="342"/>
      <c r="BA162" s="342"/>
      <c r="BB162" s="342"/>
      <c r="BC162" s="342"/>
      <c r="BD162" s="342"/>
      <c r="BE162" s="342"/>
      <c r="BF162" s="342"/>
      <c r="BG162" s="342"/>
      <c r="BH162" s="342"/>
      <c r="BI162" s="342"/>
      <c r="BJ162" s="1337"/>
      <c r="BK162" s="1338"/>
      <c r="BL162" s="1338"/>
      <c r="BM162" s="1338"/>
      <c r="BN162" s="1338"/>
      <c r="BO162" s="1339"/>
      <c r="BQ162" s="255"/>
      <c r="BR162" s="255"/>
      <c r="EO162" s="255"/>
    </row>
    <row r="163" spans="1:145" ht="15" customHeight="1">
      <c r="A163" s="1304">
        <v>1.5</v>
      </c>
      <c r="B163" s="1161" t="s">
        <v>336</v>
      </c>
      <c r="C163" s="1162"/>
      <c r="D163" s="1162"/>
      <c r="E163" s="1162"/>
      <c r="F163" s="1162"/>
      <c r="G163" s="1199"/>
      <c r="H163" s="1205" t="str">
        <f t="shared" ref="H163" si="164">IF(ISBLANK(BL$3),"",1)</f>
        <v/>
      </c>
      <c r="I163" s="1205" t="str">
        <f t="shared" ref="I163" si="165">IF(ISBLANK(BP$3),"",1)</f>
        <v/>
      </c>
      <c r="J163" s="1812"/>
      <c r="K163" s="1812"/>
      <c r="L163" s="1812"/>
      <c r="M163" s="1812"/>
      <c r="N163" s="1576">
        <v>2.4</v>
      </c>
      <c r="O163" s="1684" t="s">
        <v>337</v>
      </c>
      <c r="P163" s="1684"/>
      <c r="Q163" s="1684"/>
      <c r="R163" s="1684"/>
      <c r="S163" s="1684"/>
      <c r="T163" s="1684"/>
      <c r="U163" s="1342" t="str">
        <f>IF(ISBLANK(BL$3),"",1)</f>
        <v/>
      </c>
      <c r="V163" s="1576">
        <v>2.4</v>
      </c>
      <c r="W163" s="1756" t="s">
        <v>378</v>
      </c>
      <c r="X163" s="1527"/>
      <c r="Y163" s="1527"/>
      <c r="Z163" s="1527"/>
      <c r="AA163" s="1527"/>
      <c r="AB163" s="1527"/>
      <c r="AC163" s="1226" t="str">
        <f>IF(ISBLANK(BP$3),"",1)</f>
        <v/>
      </c>
      <c r="AD163" s="346"/>
      <c r="AE163" s="346"/>
      <c r="AF163" s="346"/>
      <c r="AG163" s="346"/>
      <c r="AH163" s="346"/>
      <c r="AI163" s="346"/>
      <c r="AJ163" s="346"/>
      <c r="AK163" s="346"/>
      <c r="AL163" s="346"/>
      <c r="AM163" s="346"/>
      <c r="AN163" s="346"/>
      <c r="AO163" s="346"/>
      <c r="AP163" s="346"/>
      <c r="AQ163" s="346"/>
      <c r="AR163" s="346"/>
      <c r="AS163" s="346"/>
      <c r="AT163" s="342"/>
      <c r="AU163" s="342"/>
      <c r="AV163" s="342"/>
      <c r="AW163" s="342"/>
      <c r="AX163" s="342"/>
      <c r="AY163" s="342"/>
      <c r="AZ163" s="342"/>
      <c r="BA163" s="342"/>
      <c r="BB163" s="342"/>
      <c r="BC163" s="342"/>
      <c r="BD163" s="342"/>
      <c r="BE163" s="342"/>
      <c r="BF163" s="342"/>
      <c r="BG163" s="342"/>
      <c r="BH163" s="342"/>
      <c r="BI163" s="342"/>
      <c r="BJ163" s="1337"/>
      <c r="BK163" s="1338"/>
      <c r="BL163" s="1338"/>
      <c r="BM163" s="1338"/>
      <c r="BN163" s="1338"/>
      <c r="BO163" s="1339"/>
      <c r="BQ163" s="255"/>
      <c r="BR163" s="255"/>
      <c r="EO163" s="255"/>
    </row>
    <row r="164" spans="1:145" ht="15" customHeight="1">
      <c r="A164" s="1290"/>
      <c r="B164" s="1163"/>
      <c r="C164" s="1164"/>
      <c r="D164" s="1164"/>
      <c r="E164" s="1164"/>
      <c r="F164" s="1164"/>
      <c r="G164" s="1201"/>
      <c r="H164" s="1206"/>
      <c r="I164" s="1206"/>
      <c r="J164" s="1812"/>
      <c r="K164" s="1812"/>
      <c r="L164" s="1812"/>
      <c r="M164" s="1812"/>
      <c r="N164" s="1576"/>
      <c r="O164" s="1684"/>
      <c r="P164" s="1684"/>
      <c r="Q164" s="1684"/>
      <c r="R164" s="1684"/>
      <c r="S164" s="1684"/>
      <c r="T164" s="1684"/>
      <c r="U164" s="1342"/>
      <c r="V164" s="1576"/>
      <c r="W164" s="1295"/>
      <c r="X164" s="1296"/>
      <c r="Y164" s="1296"/>
      <c r="Z164" s="1296"/>
      <c r="AA164" s="1296"/>
      <c r="AB164" s="1296"/>
      <c r="AC164" s="1342"/>
      <c r="AD164" s="346"/>
      <c r="AE164" s="346"/>
      <c r="AF164" s="346"/>
      <c r="AG164" s="346"/>
      <c r="AH164" s="346"/>
      <c r="AI164" s="346"/>
      <c r="AJ164" s="346"/>
      <c r="AK164" s="346"/>
      <c r="AL164" s="346"/>
      <c r="AM164" s="346"/>
      <c r="AN164" s="346"/>
      <c r="AO164" s="346"/>
      <c r="AP164" s="346"/>
      <c r="AQ164" s="346"/>
      <c r="AR164" s="346"/>
      <c r="AS164" s="346"/>
      <c r="AT164" s="342"/>
      <c r="AU164" s="342"/>
      <c r="AV164" s="342"/>
      <c r="AW164" s="342"/>
      <c r="AX164" s="342"/>
      <c r="AY164" s="342"/>
      <c r="AZ164" s="342"/>
      <c r="BA164" s="342"/>
      <c r="BB164" s="342"/>
      <c r="BC164" s="342"/>
      <c r="BD164" s="342"/>
      <c r="BE164" s="342"/>
      <c r="BF164" s="342"/>
      <c r="BG164" s="342"/>
      <c r="BH164" s="342"/>
      <c r="BI164" s="342"/>
      <c r="BJ164" s="1337"/>
      <c r="BK164" s="1338"/>
      <c r="BL164" s="1338"/>
      <c r="BM164" s="1338"/>
      <c r="BN164" s="1338"/>
      <c r="BO164" s="1339"/>
      <c r="BQ164" s="255"/>
      <c r="BR164" s="255"/>
      <c r="EO164" s="255"/>
    </row>
    <row r="165" spans="1:145" ht="15" customHeight="1">
      <c r="A165" s="1291"/>
      <c r="B165" s="1165"/>
      <c r="C165" s="1166"/>
      <c r="D165" s="1166"/>
      <c r="E165" s="1166"/>
      <c r="F165" s="1166"/>
      <c r="G165" s="1292"/>
      <c r="H165" s="1207"/>
      <c r="I165" s="1207"/>
      <c r="J165" s="1812"/>
      <c r="K165" s="1812"/>
      <c r="L165" s="1812"/>
      <c r="M165" s="1812"/>
      <c r="N165" s="1576"/>
      <c r="O165" s="1684"/>
      <c r="P165" s="1684"/>
      <c r="Q165" s="1684"/>
      <c r="R165" s="1684"/>
      <c r="S165" s="1684"/>
      <c r="T165" s="1684"/>
      <c r="U165" s="1342"/>
      <c r="V165" s="1576"/>
      <c r="W165" s="1298"/>
      <c r="X165" s="1299"/>
      <c r="Y165" s="1299"/>
      <c r="Z165" s="1299"/>
      <c r="AA165" s="1299"/>
      <c r="AB165" s="1299"/>
      <c r="AC165" s="1342"/>
      <c r="AD165" s="346"/>
      <c r="AE165" s="346"/>
      <c r="AF165" s="346"/>
      <c r="AG165" s="346"/>
      <c r="AH165" s="346"/>
      <c r="AI165" s="346"/>
      <c r="AJ165" s="346"/>
      <c r="AK165" s="346"/>
      <c r="AL165" s="346"/>
      <c r="AM165" s="346"/>
      <c r="AN165" s="346"/>
      <c r="AO165" s="346"/>
      <c r="AP165" s="346"/>
      <c r="AQ165" s="346"/>
      <c r="AR165" s="346"/>
      <c r="AS165" s="346"/>
      <c r="AT165" s="342"/>
      <c r="AU165" s="342"/>
      <c r="AV165" s="342"/>
      <c r="AW165" s="342"/>
      <c r="AX165" s="342"/>
      <c r="AY165" s="342"/>
      <c r="AZ165" s="342"/>
      <c r="BA165" s="342"/>
      <c r="BB165" s="342"/>
      <c r="BC165" s="342"/>
      <c r="BD165" s="342"/>
      <c r="BE165" s="342"/>
      <c r="BF165" s="342"/>
      <c r="BG165" s="342"/>
      <c r="BH165" s="342"/>
      <c r="BI165" s="342"/>
      <c r="BJ165" s="1337"/>
      <c r="BK165" s="1338"/>
      <c r="BL165" s="1338"/>
      <c r="BM165" s="1338"/>
      <c r="BN165" s="1338"/>
      <c r="BO165" s="1339"/>
      <c r="BQ165" s="255"/>
      <c r="BR165" s="255"/>
      <c r="EO165" s="255"/>
    </row>
    <row r="166" spans="1:145" ht="15" customHeight="1">
      <c r="A166" s="1304">
        <v>2.1</v>
      </c>
      <c r="B166" s="1161" t="s">
        <v>360</v>
      </c>
      <c r="C166" s="1162"/>
      <c r="D166" s="1162"/>
      <c r="E166" s="1162"/>
      <c r="F166" s="1162"/>
      <c r="G166" s="1199"/>
      <c r="H166" s="1205" t="str">
        <f t="shared" ref="H166" si="166">IF(ISBLANK(BL$3),"",1)</f>
        <v/>
      </c>
      <c r="I166" s="1205" t="str">
        <f t="shared" ref="I166" si="167">IF(ISBLANK(BP$3),"",1)</f>
        <v/>
      </c>
      <c r="J166" s="1812"/>
      <c r="K166" s="1812"/>
      <c r="L166" s="1812"/>
      <c r="M166" s="1812"/>
      <c r="N166" s="256"/>
      <c r="O166" s="256"/>
      <c r="P166" s="256"/>
      <c r="Q166" s="256"/>
      <c r="R166" s="256"/>
      <c r="S166" s="337">
        <v>2.4</v>
      </c>
      <c r="T166" s="312">
        <f>COUNTIF($N$145:$N$165,S166)</f>
        <v>4</v>
      </c>
      <c r="U166" s="341" t="str">
        <f>IF($BL$3=1,SUMIF($N$145:$N$165,S166,$U$145:$U$165),"")</f>
        <v/>
      </c>
      <c r="V166" s="1576">
        <v>2.4</v>
      </c>
      <c r="W166" s="1756" t="s">
        <v>334</v>
      </c>
      <c r="X166" s="1527"/>
      <c r="Y166" s="1527"/>
      <c r="Z166" s="1527"/>
      <c r="AA166" s="1527"/>
      <c r="AB166" s="1527"/>
      <c r="AC166" s="1226" t="str">
        <f>IF(ISBLANK(BP$3),"",1)</f>
        <v/>
      </c>
      <c r="AD166" s="346"/>
      <c r="AE166" s="346"/>
      <c r="AF166" s="346"/>
      <c r="AG166" s="346"/>
      <c r="AH166" s="346"/>
      <c r="AI166" s="346"/>
      <c r="AJ166" s="346"/>
      <c r="AK166" s="346"/>
      <c r="AL166" s="346"/>
      <c r="AM166" s="346"/>
      <c r="AN166" s="346"/>
      <c r="AO166" s="346"/>
      <c r="AP166" s="346"/>
      <c r="AQ166" s="346"/>
      <c r="AR166" s="346"/>
      <c r="AS166" s="346"/>
      <c r="AT166" s="342"/>
      <c r="AU166" s="342"/>
      <c r="AV166" s="342"/>
      <c r="AW166" s="342"/>
      <c r="AX166" s="342"/>
      <c r="AY166" s="342"/>
      <c r="AZ166" s="342"/>
      <c r="BA166" s="342"/>
      <c r="BB166" s="342"/>
      <c r="BC166" s="342"/>
      <c r="BD166" s="342"/>
      <c r="BE166" s="342"/>
      <c r="BF166" s="342"/>
      <c r="BG166" s="342"/>
      <c r="BH166" s="342"/>
      <c r="BI166" s="342"/>
      <c r="BJ166" s="1337"/>
      <c r="BK166" s="1338"/>
      <c r="BL166" s="1338"/>
      <c r="BM166" s="1338"/>
      <c r="BN166" s="1338"/>
      <c r="BO166" s="1339"/>
      <c r="BQ166" s="255"/>
      <c r="BR166" s="255"/>
      <c r="EO166" s="255"/>
    </row>
    <row r="167" spans="1:145" ht="15" customHeight="1">
      <c r="A167" s="1290"/>
      <c r="B167" s="1163"/>
      <c r="C167" s="1164"/>
      <c r="D167" s="1164"/>
      <c r="E167" s="1164"/>
      <c r="F167" s="1164"/>
      <c r="G167" s="1201"/>
      <c r="H167" s="1206"/>
      <c r="I167" s="1206"/>
      <c r="J167" s="1812"/>
      <c r="K167" s="1812"/>
      <c r="L167" s="1812"/>
      <c r="M167" s="1812"/>
      <c r="N167" s="256"/>
      <c r="O167" s="256"/>
      <c r="P167" s="256"/>
      <c r="Q167" s="256"/>
      <c r="R167" s="256"/>
      <c r="S167" s="335">
        <v>4.3</v>
      </c>
      <c r="T167" s="312">
        <f>COUNTIF($N$145:$N$165,S167)</f>
        <v>2</v>
      </c>
      <c r="U167" s="341" t="str">
        <f>IF($BL$3=1,SUMIF($N$145:$N$165,S167,$U$145:$U$165),"")</f>
        <v/>
      </c>
      <c r="V167" s="1576"/>
      <c r="W167" s="1295"/>
      <c r="X167" s="1296"/>
      <c r="Y167" s="1296"/>
      <c r="Z167" s="1296"/>
      <c r="AA167" s="1296"/>
      <c r="AB167" s="1296"/>
      <c r="AC167" s="1342"/>
      <c r="AD167" s="346"/>
      <c r="AE167" s="346"/>
      <c r="AF167" s="346"/>
      <c r="AG167" s="346"/>
      <c r="AH167" s="346"/>
      <c r="AI167" s="346"/>
      <c r="AJ167" s="346"/>
      <c r="AK167" s="346"/>
      <c r="AL167" s="346"/>
      <c r="AM167" s="346"/>
      <c r="AN167" s="346"/>
      <c r="AO167" s="346"/>
      <c r="AP167" s="346"/>
      <c r="AQ167" s="346"/>
      <c r="AR167" s="346"/>
      <c r="AS167" s="346"/>
      <c r="AT167" s="342"/>
      <c r="AU167" s="342"/>
      <c r="AV167" s="342"/>
      <c r="AW167" s="342"/>
      <c r="AX167" s="342"/>
      <c r="AY167" s="342"/>
      <c r="AZ167" s="342"/>
      <c r="BA167" s="342"/>
      <c r="BB167" s="342"/>
      <c r="BC167" s="342"/>
      <c r="BD167" s="342"/>
      <c r="BE167" s="342"/>
      <c r="BF167" s="342"/>
      <c r="BG167" s="342"/>
      <c r="BH167" s="342"/>
      <c r="BI167" s="342"/>
      <c r="BJ167" s="1337"/>
      <c r="BK167" s="1338"/>
      <c r="BL167" s="1338"/>
      <c r="BM167" s="1338"/>
      <c r="BN167" s="1338"/>
      <c r="BO167" s="1339"/>
      <c r="BQ167" s="255"/>
      <c r="BR167" s="255"/>
      <c r="EO167" s="255"/>
    </row>
    <row r="168" spans="1:145" ht="15" customHeight="1">
      <c r="A168" s="1291"/>
      <c r="B168" s="1165"/>
      <c r="C168" s="1166"/>
      <c r="D168" s="1166"/>
      <c r="E168" s="1166"/>
      <c r="F168" s="1166"/>
      <c r="G168" s="1292"/>
      <c r="H168" s="1207"/>
      <c r="I168" s="1207"/>
      <c r="J168" s="1812"/>
      <c r="K168" s="1812"/>
      <c r="L168" s="1812"/>
      <c r="M168" s="1812"/>
      <c r="N168" s="256"/>
      <c r="O168" s="256"/>
      <c r="P168" s="256"/>
      <c r="Q168" s="256"/>
      <c r="R168" s="256"/>
      <c r="S168" s="336">
        <v>4.4000000000000004</v>
      </c>
      <c r="T168" s="312">
        <f>COUNTIF($N$145:$N$165,S168)</f>
        <v>1</v>
      </c>
      <c r="U168" s="341" t="str">
        <f>IF($BL$3=1,SUMIF($N$145:$N$165,S168,$U$145:$U$165),"")</f>
        <v/>
      </c>
      <c r="V168" s="1576"/>
      <c r="W168" s="1298"/>
      <c r="X168" s="1299"/>
      <c r="Y168" s="1299"/>
      <c r="Z168" s="1299"/>
      <c r="AA168" s="1299"/>
      <c r="AB168" s="1299"/>
      <c r="AC168" s="1342"/>
      <c r="AD168" s="346"/>
      <c r="AE168" s="346"/>
      <c r="AF168" s="346"/>
      <c r="AG168" s="346"/>
      <c r="AH168" s="346"/>
      <c r="AI168" s="346"/>
      <c r="AJ168" s="346"/>
      <c r="AK168" s="346"/>
      <c r="AL168" s="346"/>
      <c r="AM168" s="346"/>
      <c r="AN168" s="346"/>
      <c r="AO168" s="346"/>
      <c r="AP168" s="346"/>
      <c r="AQ168" s="346"/>
      <c r="AR168" s="346"/>
      <c r="AS168" s="346"/>
      <c r="AT168" s="342"/>
      <c r="AU168" s="342"/>
      <c r="AV168" s="342"/>
      <c r="AW168" s="342"/>
      <c r="AX168" s="342"/>
      <c r="AY168" s="342"/>
      <c r="AZ168" s="342"/>
      <c r="BA168" s="342"/>
      <c r="BB168" s="342"/>
      <c r="BC168" s="342"/>
      <c r="BD168" s="342"/>
      <c r="BE168" s="342"/>
      <c r="BF168" s="342"/>
      <c r="BG168" s="342"/>
      <c r="BH168" s="342"/>
      <c r="BI168" s="342"/>
      <c r="BJ168" s="1337"/>
      <c r="BK168" s="1338"/>
      <c r="BL168" s="1338"/>
      <c r="BM168" s="1338"/>
      <c r="BN168" s="1338"/>
      <c r="BO168" s="1339"/>
      <c r="BQ168" s="255"/>
      <c r="BR168" s="255"/>
      <c r="EO168" s="255"/>
    </row>
    <row r="169" spans="1:145" ht="15" customHeight="1">
      <c r="A169" s="1304">
        <v>2.4</v>
      </c>
      <c r="B169" s="1161" t="s">
        <v>942</v>
      </c>
      <c r="C169" s="1162"/>
      <c r="D169" s="1162"/>
      <c r="E169" s="1162"/>
      <c r="F169" s="1162"/>
      <c r="G169" s="1199"/>
      <c r="H169" s="1205" t="str">
        <f t="shared" ref="H169" si="168">IF(ISBLANK(BL$3),"",1)</f>
        <v/>
      </c>
      <c r="I169" s="1205" t="str">
        <f t="shared" ref="I169" si="169">IF(ISBLANK(BP$3),"",1)</f>
        <v/>
      </c>
      <c r="J169" s="344"/>
      <c r="K169" s="344"/>
      <c r="L169" s="344"/>
      <c r="M169" s="344"/>
      <c r="N169" s="255"/>
      <c r="O169" s="255"/>
      <c r="P169" s="256"/>
      <c r="Q169" s="256"/>
      <c r="R169" s="256"/>
      <c r="V169" s="1576">
        <v>2.4</v>
      </c>
      <c r="W169" s="1756" t="s">
        <v>337</v>
      </c>
      <c r="X169" s="1527"/>
      <c r="Y169" s="1527"/>
      <c r="Z169" s="1527"/>
      <c r="AA169" s="1527"/>
      <c r="AB169" s="1527"/>
      <c r="AC169" s="1226" t="str">
        <f>IF(ISBLANK(BP$3),"",1)</f>
        <v/>
      </c>
      <c r="AD169" s="346"/>
      <c r="AE169" s="346"/>
      <c r="AF169" s="346"/>
      <c r="AG169" s="346"/>
      <c r="AH169" s="346"/>
      <c r="AI169" s="346"/>
      <c r="AJ169" s="346"/>
      <c r="AK169" s="346"/>
      <c r="AL169" s="346"/>
      <c r="AM169" s="346"/>
      <c r="AN169" s="346"/>
      <c r="AO169" s="346"/>
      <c r="AP169" s="346"/>
      <c r="AQ169" s="346"/>
      <c r="AR169" s="346"/>
      <c r="AS169" s="346"/>
      <c r="AT169" s="340"/>
      <c r="AU169" s="340"/>
      <c r="AV169" s="340"/>
      <c r="AW169" s="340"/>
      <c r="AX169" s="345"/>
      <c r="AY169" s="345"/>
      <c r="AZ169" s="345"/>
      <c r="BA169" s="345"/>
      <c r="BB169" s="345"/>
      <c r="BC169" s="345"/>
      <c r="BD169" s="345"/>
      <c r="BE169" s="345"/>
      <c r="BF169" s="345"/>
      <c r="BG169" s="345"/>
      <c r="BH169" s="345"/>
      <c r="BI169" s="345"/>
      <c r="BJ169" s="1337"/>
      <c r="BK169" s="1338"/>
      <c r="BL169" s="1338"/>
      <c r="BM169" s="1338"/>
      <c r="BN169" s="1338"/>
      <c r="BO169" s="1339"/>
      <c r="BQ169" s="255"/>
      <c r="BR169" s="255"/>
      <c r="EO169" s="255"/>
    </row>
    <row r="170" spans="1:145" ht="15" customHeight="1">
      <c r="A170" s="1290"/>
      <c r="B170" s="1163"/>
      <c r="C170" s="1164"/>
      <c r="D170" s="1164"/>
      <c r="E170" s="1164"/>
      <c r="F170" s="1164"/>
      <c r="G170" s="1201"/>
      <c r="H170" s="1206"/>
      <c r="I170" s="1206"/>
      <c r="J170" s="344"/>
      <c r="K170" s="344"/>
      <c r="L170" s="344"/>
      <c r="M170" s="344"/>
      <c r="N170" s="255"/>
      <c r="O170" s="255"/>
      <c r="P170" s="256"/>
      <c r="Q170" s="256"/>
      <c r="R170" s="256"/>
      <c r="S170" s="256"/>
      <c r="T170" s="256"/>
      <c r="U170" s="256"/>
      <c r="V170" s="1576"/>
      <c r="W170" s="1295"/>
      <c r="X170" s="1296"/>
      <c r="Y170" s="1296"/>
      <c r="Z170" s="1296"/>
      <c r="AA170" s="1296"/>
      <c r="AB170" s="1296"/>
      <c r="AC170" s="1342"/>
      <c r="AD170" s="346"/>
      <c r="AE170" s="346"/>
      <c r="AF170" s="346"/>
      <c r="AG170" s="346"/>
      <c r="AH170" s="346"/>
      <c r="AI170" s="346"/>
      <c r="AJ170" s="346"/>
      <c r="AK170" s="346"/>
      <c r="AL170" s="346"/>
      <c r="AM170" s="346"/>
      <c r="AN170" s="346"/>
      <c r="AO170" s="346"/>
      <c r="AP170" s="346"/>
      <c r="AQ170" s="346"/>
      <c r="AR170" s="346"/>
      <c r="AS170" s="346"/>
      <c r="AT170" s="340"/>
      <c r="AU170" s="340"/>
      <c r="AV170" s="340"/>
      <c r="AW170" s="340"/>
      <c r="AX170" s="345"/>
      <c r="AY170" s="345"/>
      <c r="AZ170" s="345"/>
      <c r="BA170" s="345"/>
      <c r="BB170" s="345"/>
      <c r="BC170" s="345"/>
      <c r="BD170" s="345"/>
      <c r="BE170" s="345"/>
      <c r="BF170" s="345"/>
      <c r="BG170" s="345"/>
      <c r="BH170" s="345"/>
      <c r="BI170" s="345"/>
      <c r="BJ170" s="1337"/>
      <c r="BK170" s="1338"/>
      <c r="BL170" s="1338"/>
      <c r="BM170" s="1338"/>
      <c r="BN170" s="1338"/>
      <c r="BO170" s="1339"/>
      <c r="BQ170" s="255"/>
      <c r="BR170" s="255"/>
      <c r="EO170" s="255"/>
    </row>
    <row r="171" spans="1:145" ht="15" customHeight="1">
      <c r="A171" s="1291"/>
      <c r="B171" s="1165"/>
      <c r="C171" s="1166"/>
      <c r="D171" s="1166"/>
      <c r="E171" s="1166"/>
      <c r="F171" s="1166"/>
      <c r="G171" s="1292"/>
      <c r="H171" s="1207"/>
      <c r="I171" s="1207"/>
      <c r="J171" s="344"/>
      <c r="K171" s="344"/>
      <c r="L171" s="344"/>
      <c r="M171" s="344"/>
      <c r="N171" s="256"/>
      <c r="O171" s="256"/>
      <c r="P171" s="256"/>
      <c r="Q171" s="256"/>
      <c r="R171" s="256"/>
      <c r="V171" s="1576"/>
      <c r="W171" s="1298"/>
      <c r="X171" s="1299"/>
      <c r="Y171" s="1299"/>
      <c r="Z171" s="1299"/>
      <c r="AA171" s="1299"/>
      <c r="AB171" s="1299"/>
      <c r="AC171" s="1342"/>
      <c r="AD171" s="346"/>
      <c r="AE171" s="346"/>
      <c r="AF171" s="346"/>
      <c r="AG171" s="346"/>
      <c r="AH171" s="346"/>
      <c r="AI171" s="346"/>
      <c r="AJ171" s="346"/>
      <c r="AK171" s="346"/>
      <c r="AL171" s="346"/>
      <c r="AM171" s="346"/>
      <c r="AN171" s="346"/>
      <c r="AO171" s="346"/>
      <c r="AP171" s="346"/>
      <c r="AQ171" s="346"/>
      <c r="AR171" s="346"/>
      <c r="AS171" s="346"/>
      <c r="AT171" s="340"/>
      <c r="AU171" s="340"/>
      <c r="AV171" s="340"/>
      <c r="AW171" s="340"/>
      <c r="AX171" s="345"/>
      <c r="AY171" s="345"/>
      <c r="AZ171" s="345"/>
      <c r="BA171" s="345"/>
      <c r="BB171" s="345"/>
      <c r="BC171" s="345"/>
      <c r="BD171" s="345"/>
      <c r="BE171" s="345"/>
      <c r="BF171" s="345"/>
      <c r="BG171" s="345"/>
      <c r="BH171" s="345"/>
      <c r="BI171" s="345"/>
      <c r="BJ171" s="1337"/>
      <c r="BK171" s="1338"/>
      <c r="BL171" s="1338"/>
      <c r="BM171" s="1338"/>
      <c r="BN171" s="1338"/>
      <c r="BO171" s="1339"/>
      <c r="BQ171" s="255"/>
      <c r="BR171" s="255"/>
      <c r="EO171" s="255"/>
    </row>
    <row r="172" spans="1:145" ht="15" customHeight="1">
      <c r="A172" s="252"/>
      <c r="B172" s="243"/>
      <c r="C172" s="242"/>
      <c r="D172" s="242"/>
      <c r="F172" s="278">
        <v>1.1000000000000001</v>
      </c>
      <c r="G172" s="311">
        <f>COUNTIF($A$145:$A$171,F172)</f>
        <v>4</v>
      </c>
      <c r="H172" s="240" t="str">
        <f>IF($BL$3=1,SUMIF($A$145:$A$171,F172,$H$145:$H$171),"")</f>
        <v/>
      </c>
      <c r="I172" s="240" t="str">
        <f>IF($BP$3=1,SUMIF($A$145:$A$171,F172,$I$145:$I$171),"")</f>
        <v/>
      </c>
      <c r="M172" s="306"/>
      <c r="N172" s="256"/>
      <c r="O172" s="256"/>
      <c r="P172" s="256"/>
      <c r="Q172" s="256"/>
      <c r="R172" s="256"/>
      <c r="V172" s="1258">
        <v>4.4000000000000004</v>
      </c>
      <c r="W172" s="1756" t="s">
        <v>379</v>
      </c>
      <c r="X172" s="1527"/>
      <c r="Y172" s="1527"/>
      <c r="Z172" s="1527"/>
      <c r="AA172" s="1527"/>
      <c r="AB172" s="1527"/>
      <c r="AC172" s="1226" t="str">
        <f>IF(ISBLANK(BP$3),"",1)</f>
        <v/>
      </c>
      <c r="AD172" s="346"/>
      <c r="AE172" s="346"/>
      <c r="AF172" s="346"/>
      <c r="AG172" s="346"/>
      <c r="AH172" s="346"/>
      <c r="AI172" s="346"/>
      <c r="AJ172" s="346"/>
      <c r="AK172" s="346"/>
      <c r="AL172" s="346"/>
      <c r="AM172" s="346"/>
      <c r="AN172" s="346"/>
      <c r="AO172" s="346"/>
      <c r="AP172" s="346"/>
      <c r="AQ172" s="346"/>
      <c r="AR172" s="346"/>
      <c r="AS172" s="346"/>
      <c r="AT172" s="255"/>
      <c r="AU172" s="255"/>
      <c r="AV172" s="255"/>
      <c r="AW172" s="255"/>
      <c r="AX172" s="345"/>
      <c r="AY172" s="345"/>
      <c r="AZ172" s="345"/>
      <c r="BA172" s="345"/>
      <c r="BB172" s="345"/>
      <c r="BC172" s="345"/>
      <c r="BD172" s="345"/>
      <c r="BE172" s="345"/>
      <c r="BF172" s="345"/>
      <c r="BG172" s="345"/>
      <c r="BH172" s="345"/>
      <c r="BI172" s="345"/>
      <c r="BJ172" s="1337"/>
      <c r="BK172" s="1338"/>
      <c r="BL172" s="1338"/>
      <c r="BM172" s="1338"/>
      <c r="BN172" s="1338"/>
      <c r="BO172" s="1339"/>
      <c r="BQ172" s="255"/>
      <c r="BR172" s="255"/>
      <c r="EO172" s="255"/>
    </row>
    <row r="173" spans="1:145" ht="15" customHeight="1">
      <c r="A173" s="252"/>
      <c r="B173" s="243"/>
      <c r="C173" s="242"/>
      <c r="D173" s="242"/>
      <c r="F173" s="278">
        <v>1.5</v>
      </c>
      <c r="G173" s="311">
        <f t="shared" ref="G173:G175" si="170">COUNTIF($A$145:$A$171,F173)</f>
        <v>1</v>
      </c>
      <c r="H173" s="240" t="str">
        <f t="shared" ref="H173:H175" si="171">IF($BL$3=1,SUMIF($A$145:$A$171,F173,$H$145:$H$171),"")</f>
        <v/>
      </c>
      <c r="I173" s="240" t="str">
        <f t="shared" ref="I173:I175" si="172">IF($BP$3=1,SUMIF($A$145:$A$171,F173,$I$145:$I$171),"")</f>
        <v/>
      </c>
      <c r="J173" s="77"/>
      <c r="K173" s="77"/>
      <c r="L173" s="77"/>
      <c r="M173" s="348"/>
      <c r="N173" s="345"/>
      <c r="O173" s="256"/>
      <c r="P173" s="256"/>
      <c r="Q173" s="256"/>
      <c r="R173" s="256"/>
      <c r="V173" s="1258"/>
      <c r="W173" s="1295"/>
      <c r="X173" s="1296"/>
      <c r="Y173" s="1296"/>
      <c r="Z173" s="1296"/>
      <c r="AA173" s="1296"/>
      <c r="AB173" s="1296"/>
      <c r="AC173" s="1342"/>
      <c r="AD173" s="346"/>
      <c r="AE173" s="346"/>
      <c r="AF173" s="346"/>
      <c r="AG173" s="346"/>
      <c r="AH173" s="346"/>
      <c r="AI173" s="346"/>
      <c r="AJ173" s="346"/>
      <c r="AK173" s="346"/>
      <c r="AL173" s="346"/>
      <c r="AM173" s="346"/>
      <c r="AN173" s="346"/>
      <c r="AO173" s="346"/>
      <c r="AP173" s="346"/>
      <c r="AQ173" s="346"/>
      <c r="AR173" s="346"/>
      <c r="AS173" s="346"/>
      <c r="AT173" s="345"/>
      <c r="AU173" s="345"/>
      <c r="AV173" s="345"/>
      <c r="AW173" s="345"/>
      <c r="AX173" s="345"/>
      <c r="AY173" s="345"/>
      <c r="AZ173" s="345"/>
      <c r="BA173" s="345"/>
      <c r="BB173" s="345"/>
      <c r="BC173" s="345"/>
      <c r="BD173" s="345"/>
      <c r="BE173" s="345"/>
      <c r="BF173" s="345"/>
      <c r="BG173" s="345"/>
      <c r="BH173" s="345"/>
      <c r="BI173" s="345"/>
      <c r="BJ173" s="1222"/>
      <c r="BK173" s="1223"/>
      <c r="BL173" s="1223"/>
      <c r="BM173" s="1223"/>
      <c r="BN173" s="1223"/>
      <c r="BO173" s="1224"/>
      <c r="BQ173" s="255"/>
      <c r="BR173" s="255"/>
      <c r="EO173" s="255"/>
    </row>
    <row r="174" spans="1:145" ht="15" customHeight="1">
      <c r="A174" s="249"/>
      <c r="B174" s="249"/>
      <c r="C174" s="249"/>
      <c r="D174" s="249"/>
      <c r="F174" s="277">
        <v>2.1</v>
      </c>
      <c r="G174" s="311">
        <f t="shared" si="170"/>
        <v>2</v>
      </c>
      <c r="H174" s="240" t="str">
        <f t="shared" si="171"/>
        <v/>
      </c>
      <c r="I174" s="240" t="str">
        <f t="shared" si="172"/>
        <v/>
      </c>
      <c r="J174" s="345"/>
      <c r="K174" s="345"/>
      <c r="L174" s="345"/>
      <c r="M174" s="345"/>
      <c r="N174" s="345"/>
      <c r="O174" s="256"/>
      <c r="P174" s="256"/>
      <c r="Q174" s="256"/>
      <c r="R174" s="256"/>
      <c r="V174" s="1258"/>
      <c r="W174" s="1298"/>
      <c r="X174" s="1299"/>
      <c r="Y174" s="1299"/>
      <c r="Z174" s="1299"/>
      <c r="AA174" s="1299"/>
      <c r="AB174" s="1299"/>
      <c r="AC174" s="1342"/>
      <c r="AD174" s="346"/>
      <c r="AE174" s="346"/>
      <c r="AF174" s="346"/>
      <c r="AG174" s="346"/>
      <c r="AH174" s="346"/>
      <c r="AI174" s="346"/>
      <c r="AJ174" s="346"/>
      <c r="AK174" s="346"/>
      <c r="AL174" s="346"/>
      <c r="AM174" s="346"/>
      <c r="AN174" s="346"/>
      <c r="AO174" s="346"/>
      <c r="AP174" s="346"/>
      <c r="AQ174" s="346"/>
      <c r="AR174" s="346"/>
      <c r="AS174" s="346"/>
      <c r="AT174" s="255"/>
      <c r="AU174" s="255"/>
      <c r="AV174" s="255"/>
      <c r="AW174" s="255"/>
      <c r="AX174" s="255"/>
      <c r="AY174" s="255"/>
      <c r="AZ174" s="255"/>
      <c r="BA174" s="255"/>
      <c r="BB174" s="255"/>
      <c r="BC174" s="255"/>
      <c r="BD174" s="255"/>
      <c r="BE174" s="255"/>
      <c r="BF174" s="255"/>
      <c r="BG174" s="255"/>
      <c r="BH174" s="255"/>
      <c r="BI174" s="255"/>
      <c r="BJ174" s="255"/>
      <c r="BK174" s="255"/>
      <c r="BL174" s="255"/>
      <c r="BM174" s="255"/>
      <c r="BN174" s="255"/>
      <c r="BO174" s="255"/>
      <c r="BQ174" s="255"/>
      <c r="BR174" s="255"/>
      <c r="EO174" s="255"/>
    </row>
    <row r="175" spans="1:145" ht="15" customHeight="1">
      <c r="F175" s="277">
        <v>2.4</v>
      </c>
      <c r="G175" s="311">
        <f t="shared" si="170"/>
        <v>2</v>
      </c>
      <c r="H175" s="240" t="str">
        <f t="shared" si="171"/>
        <v/>
      </c>
      <c r="I175" s="240" t="str">
        <f t="shared" si="172"/>
        <v/>
      </c>
      <c r="J175" s="345"/>
      <c r="K175" s="345"/>
      <c r="L175" s="345"/>
      <c r="M175" s="345"/>
      <c r="N175" s="345"/>
      <c r="O175" s="256"/>
      <c r="P175" s="256"/>
      <c r="Q175" s="256"/>
      <c r="R175" s="256"/>
      <c r="S175" s="256"/>
      <c r="T175" s="256"/>
      <c r="U175" s="256"/>
      <c r="V175" s="325"/>
      <c r="W175" s="325"/>
      <c r="X175" s="325"/>
      <c r="Y175" s="325"/>
      <c r="AA175" s="316">
        <v>2.4</v>
      </c>
      <c r="AB175" s="311">
        <f>COUNTIF($V$145:$V$174,AA175)</f>
        <v>3</v>
      </c>
      <c r="AC175" s="245" t="str">
        <f>IF($BP$3=1,SUMIF($V$145:$V$174,AA175,$AC$145:$AC$174),"")</f>
        <v/>
      </c>
      <c r="AD175" s="346"/>
      <c r="AE175" s="346"/>
      <c r="AF175" s="346"/>
      <c r="AG175" s="346"/>
      <c r="AH175" s="346"/>
      <c r="AI175" s="346"/>
      <c r="AJ175" s="346"/>
      <c r="AK175" s="346"/>
      <c r="AL175" s="346"/>
      <c r="AM175" s="346"/>
      <c r="AN175" s="346"/>
      <c r="AO175" s="346"/>
      <c r="AP175" s="346"/>
      <c r="AQ175" s="346"/>
      <c r="AR175" s="346"/>
      <c r="AS175" s="346"/>
      <c r="AT175" s="255"/>
      <c r="AU175" s="255"/>
      <c r="AV175" s="255"/>
      <c r="AW175" s="255"/>
      <c r="AX175" s="255"/>
      <c r="AY175" s="255"/>
      <c r="AZ175" s="255"/>
      <c r="BA175" s="255"/>
      <c r="BB175" s="255"/>
      <c r="BC175" s="255"/>
      <c r="BD175" s="255"/>
      <c r="BE175" s="255"/>
      <c r="BF175" s="255"/>
      <c r="BJ175" s="255"/>
      <c r="BK175" s="255"/>
      <c r="BL175" s="255"/>
      <c r="BM175" s="255"/>
      <c r="BN175" s="255"/>
      <c r="BO175" s="255"/>
      <c r="BQ175" s="255"/>
      <c r="BR175" s="255"/>
      <c r="EO175" s="255"/>
    </row>
    <row r="176" spans="1:145" ht="15" customHeight="1">
      <c r="J176" s="349"/>
      <c r="K176" s="349"/>
      <c r="L176" s="349"/>
      <c r="M176" s="349"/>
      <c r="N176" s="349"/>
      <c r="O176" s="339"/>
      <c r="P176" s="255"/>
      <c r="Q176" s="256"/>
      <c r="R176" s="256"/>
      <c r="S176" s="256"/>
      <c r="T176" s="256"/>
      <c r="U176" s="256"/>
      <c r="V176" s="325"/>
      <c r="W176" s="325"/>
      <c r="X176" s="325"/>
      <c r="Y176" s="325"/>
      <c r="AA176" s="330">
        <v>4.3</v>
      </c>
      <c r="AB176" s="311">
        <f>COUNTIF($V$145:$V$174,AA176)</f>
        <v>3</v>
      </c>
      <c r="AC176" s="245" t="str">
        <f>IF($BP$3=1,SUMIF($V$145:$V$174,AA176,$AC$145:$AC$174),"")</f>
        <v/>
      </c>
      <c r="AD176" s="346"/>
      <c r="AE176" s="346"/>
      <c r="AF176" s="346"/>
      <c r="AG176" s="346"/>
      <c r="AH176" s="346"/>
      <c r="AI176" s="346"/>
      <c r="AJ176" s="346"/>
      <c r="AK176" s="346"/>
      <c r="AL176" s="346"/>
      <c r="AM176" s="346"/>
      <c r="AN176" s="346"/>
      <c r="AO176" s="346"/>
      <c r="AP176" s="346"/>
      <c r="AQ176" s="346"/>
      <c r="AR176" s="346"/>
      <c r="AS176" s="346"/>
      <c r="AT176" s="255"/>
      <c r="AU176" s="255"/>
      <c r="AV176" s="255"/>
      <c r="AW176" s="255"/>
      <c r="AX176" s="255"/>
      <c r="AY176" s="255"/>
      <c r="AZ176" s="255"/>
      <c r="BA176" s="255"/>
      <c r="BB176" s="255"/>
      <c r="BC176" s="255"/>
      <c r="BD176" s="255"/>
      <c r="BE176" s="255"/>
      <c r="BF176" s="255"/>
      <c r="BJ176" s="332"/>
      <c r="BK176" s="332"/>
      <c r="BL176" s="332"/>
      <c r="BM176" s="332"/>
      <c r="BN176" s="255"/>
      <c r="BO176" s="255"/>
      <c r="EO176" s="255"/>
    </row>
    <row r="177" spans="1:145" ht="15" customHeight="1">
      <c r="A177" s="1209"/>
      <c r="B177" s="1210" t="s">
        <v>609</v>
      </c>
      <c r="C177" s="1211"/>
      <c r="D177" s="1211"/>
      <c r="E177" s="1211"/>
      <c r="F177" s="1211"/>
      <c r="G177" s="1211"/>
      <c r="H177" s="1174">
        <v>7</v>
      </c>
      <c r="I177" s="1174">
        <v>8</v>
      </c>
      <c r="J177" s="349"/>
      <c r="K177" s="349"/>
      <c r="L177" s="349"/>
      <c r="M177" s="349"/>
      <c r="N177" s="349"/>
      <c r="O177" s="339"/>
      <c r="P177" s="255"/>
      <c r="Q177" s="256"/>
      <c r="R177" s="256"/>
      <c r="S177" s="256"/>
      <c r="T177" s="256"/>
      <c r="U177" s="256"/>
      <c r="V177" s="325"/>
      <c r="W177" s="325"/>
      <c r="X177" s="325"/>
      <c r="Y177" s="325"/>
      <c r="AA177" s="334">
        <v>4.4000000000000004</v>
      </c>
      <c r="AB177" s="311">
        <f>COUNTIF($V$145:$V$174,AA177)</f>
        <v>4</v>
      </c>
      <c r="AC177" s="245" t="str">
        <f>IF($BP$3=1,SUMIF($V$145:$V$174,AA177,$AC$145:$AC$174),"")</f>
        <v/>
      </c>
      <c r="AD177" s="346"/>
      <c r="AE177" s="346"/>
      <c r="AF177" s="346"/>
      <c r="AG177" s="346"/>
      <c r="AH177" s="346"/>
      <c r="AI177" s="346"/>
      <c r="AJ177" s="346"/>
      <c r="AK177" s="346"/>
      <c r="AL177" s="346"/>
      <c r="AM177" s="346"/>
      <c r="AN177" s="346"/>
      <c r="AO177" s="346"/>
      <c r="AP177" s="346"/>
      <c r="AQ177" s="346"/>
      <c r="AR177" s="346"/>
      <c r="AS177" s="346"/>
      <c r="AT177" s="255"/>
      <c r="AU177" s="255"/>
      <c r="AV177" s="255"/>
      <c r="AW177" s="255"/>
      <c r="AX177" s="255"/>
      <c r="AY177" s="255"/>
      <c r="AZ177" s="255"/>
      <c r="BA177" s="255"/>
      <c r="BB177" s="255"/>
      <c r="BC177" s="255"/>
      <c r="BD177" s="255"/>
      <c r="BE177" s="255"/>
      <c r="BF177" s="255"/>
      <c r="BJ177" s="332"/>
      <c r="BK177" s="332"/>
      <c r="BL177" s="332"/>
      <c r="BM177" s="332"/>
      <c r="BN177" s="255"/>
      <c r="BO177" s="255"/>
      <c r="EO177" s="255"/>
    </row>
    <row r="178" spans="1:145" ht="15" customHeight="1">
      <c r="A178" s="1209"/>
      <c r="B178" s="1340"/>
      <c r="C178" s="1341"/>
      <c r="D178" s="1341"/>
      <c r="E178" s="1341"/>
      <c r="F178" s="1341"/>
      <c r="G178" s="1341"/>
      <c r="H178" s="1174"/>
      <c r="I178" s="1174"/>
      <c r="J178" s="349"/>
      <c r="T178" s="255"/>
      <c r="U178" s="256"/>
      <c r="V178" s="325"/>
      <c r="W178" s="325"/>
      <c r="X178" s="325"/>
      <c r="Y178" s="325"/>
      <c r="Z178" s="325"/>
      <c r="AD178" s="346"/>
      <c r="AE178" s="346"/>
      <c r="AF178" s="346"/>
      <c r="AG178" s="346"/>
      <c r="AH178" s="346"/>
      <c r="AI178" s="346"/>
      <c r="AJ178" s="346"/>
      <c r="AK178" s="346"/>
      <c r="AL178" s="346"/>
      <c r="AM178" s="346"/>
      <c r="AN178" s="346"/>
      <c r="AO178" s="346"/>
      <c r="AP178" s="346"/>
      <c r="AQ178" s="346"/>
      <c r="AR178" s="346"/>
      <c r="AS178" s="346"/>
      <c r="AT178" s="255"/>
      <c r="AU178" s="255"/>
      <c r="AV178" s="255"/>
      <c r="AW178" s="255"/>
      <c r="AX178" s="255"/>
      <c r="AY178" s="255"/>
      <c r="AZ178" s="255"/>
      <c r="BA178" s="255"/>
      <c r="BB178" s="255"/>
      <c r="BC178" s="255"/>
      <c r="BD178" s="255"/>
      <c r="BE178" s="255"/>
      <c r="BF178" s="255"/>
      <c r="BG178" s="255"/>
      <c r="BH178" s="255"/>
      <c r="BI178" s="255"/>
      <c r="EO178" s="255"/>
    </row>
    <row r="179" spans="1:145" ht="15" customHeight="1">
      <c r="A179" s="1209"/>
      <c r="B179" s="1212"/>
      <c r="C179" s="1213"/>
      <c r="D179" s="1213"/>
      <c r="E179" s="1213"/>
      <c r="F179" s="1213"/>
      <c r="G179" s="1213"/>
      <c r="H179" s="1174"/>
      <c r="I179" s="1174"/>
      <c r="J179" s="349"/>
      <c r="T179" s="255"/>
      <c r="U179" s="256"/>
      <c r="V179" s="325"/>
      <c r="W179" s="325"/>
      <c r="X179" s="325"/>
      <c r="Y179" s="325"/>
      <c r="Z179" s="325"/>
      <c r="AD179" s="346"/>
      <c r="AE179" s="346"/>
      <c r="AF179" s="346"/>
      <c r="AG179" s="346"/>
      <c r="AH179" s="346"/>
      <c r="AI179" s="346"/>
      <c r="AJ179" s="346"/>
      <c r="AK179" s="346"/>
      <c r="AL179" s="346"/>
      <c r="AM179" s="346"/>
      <c r="AN179" s="346"/>
      <c r="AO179" s="346"/>
      <c r="AP179" s="346"/>
      <c r="AQ179" s="346"/>
      <c r="AR179" s="346"/>
      <c r="AS179" s="346"/>
      <c r="AT179" s="255"/>
      <c r="AU179" s="255"/>
      <c r="AV179" s="255"/>
      <c r="AW179" s="255"/>
      <c r="AX179" s="255"/>
      <c r="AY179" s="255"/>
      <c r="AZ179" s="255"/>
      <c r="BA179" s="255"/>
      <c r="BB179" s="255"/>
      <c r="BC179" s="255"/>
      <c r="BD179" s="255"/>
      <c r="BE179" s="255"/>
      <c r="BF179" s="255"/>
      <c r="BG179" s="255"/>
      <c r="BH179" s="255"/>
      <c r="BI179" s="255"/>
      <c r="EO179" s="255"/>
    </row>
    <row r="180" spans="1:145" ht="15" customHeight="1">
      <c r="A180" s="1336">
        <v>3.1</v>
      </c>
      <c r="B180" s="1198" t="s">
        <v>366</v>
      </c>
      <c r="C180" s="1162"/>
      <c r="D180" s="1162"/>
      <c r="E180" s="1162"/>
      <c r="F180" s="1162"/>
      <c r="G180" s="1265"/>
      <c r="H180" s="1205" t="str">
        <f t="shared" ref="H180" si="173">IF(ISBLANK(BL$3),"",1)</f>
        <v/>
      </c>
      <c r="I180" s="1205" t="str">
        <f t="shared" ref="I180" si="174">IF(ISBLANK(BP$3),"",1)</f>
        <v/>
      </c>
      <c r="J180" s="349"/>
      <c r="T180" s="255"/>
      <c r="U180" s="256"/>
      <c r="V180" s="325"/>
      <c r="W180" s="325"/>
      <c r="X180" s="325"/>
      <c r="Y180" s="325"/>
      <c r="Z180" s="325"/>
      <c r="AD180" s="346"/>
      <c r="AE180" s="346"/>
      <c r="AF180" s="346"/>
      <c r="AG180" s="346"/>
      <c r="AH180" s="346"/>
      <c r="AI180" s="346"/>
      <c r="AJ180" s="346"/>
      <c r="AK180" s="346"/>
      <c r="AL180" s="346"/>
      <c r="AM180" s="346"/>
      <c r="AN180" s="346"/>
      <c r="AO180" s="346"/>
      <c r="AP180" s="346"/>
      <c r="AQ180" s="346"/>
      <c r="AR180" s="346"/>
      <c r="AS180" s="346"/>
      <c r="AT180" s="255"/>
      <c r="AU180" s="255"/>
      <c r="AV180" s="255"/>
      <c r="AW180" s="255"/>
      <c r="AX180" s="255"/>
      <c r="AY180" s="255"/>
      <c r="AZ180" s="255"/>
      <c r="BA180" s="255"/>
      <c r="BB180" s="255"/>
      <c r="BC180" s="255"/>
      <c r="BD180" s="255"/>
      <c r="BE180" s="255"/>
      <c r="BF180" s="255"/>
      <c r="BG180" s="255"/>
      <c r="BH180" s="255"/>
      <c r="BI180" s="255"/>
      <c r="EO180" s="255"/>
    </row>
    <row r="181" spans="1:145" ht="15" customHeight="1">
      <c r="A181" s="1159"/>
      <c r="B181" s="1200"/>
      <c r="C181" s="1164"/>
      <c r="D181" s="1164"/>
      <c r="E181" s="1164"/>
      <c r="F181" s="1164"/>
      <c r="G181" s="1266"/>
      <c r="H181" s="1206"/>
      <c r="I181" s="1206"/>
      <c r="J181" s="349"/>
      <c r="T181" s="255"/>
      <c r="U181" s="256"/>
      <c r="V181" s="325"/>
      <c r="W181" s="325"/>
      <c r="X181" s="325"/>
      <c r="Y181" s="325"/>
      <c r="Z181" s="325"/>
      <c r="AD181" s="346"/>
      <c r="AE181" s="346"/>
      <c r="AF181" s="346"/>
      <c r="AG181" s="346"/>
      <c r="AH181" s="346"/>
      <c r="AI181" s="346"/>
      <c r="AJ181" s="346"/>
      <c r="AK181" s="346"/>
      <c r="AL181" s="346"/>
      <c r="AM181" s="346"/>
      <c r="AN181" s="346"/>
      <c r="AO181" s="346"/>
      <c r="AP181" s="346"/>
      <c r="AQ181" s="346"/>
      <c r="AR181" s="346"/>
      <c r="AS181" s="346"/>
      <c r="AT181" s="255"/>
      <c r="AU181" s="255"/>
      <c r="AV181" s="255"/>
      <c r="AW181" s="255"/>
      <c r="AX181" s="255"/>
      <c r="AY181" s="255"/>
      <c r="AZ181" s="255"/>
      <c r="BA181" s="255"/>
      <c r="BB181" s="255"/>
      <c r="BC181" s="255"/>
      <c r="BD181" s="255"/>
      <c r="BE181" s="255"/>
      <c r="BF181" s="255"/>
      <c r="BG181" s="255"/>
      <c r="BH181" s="255"/>
      <c r="BI181" s="255"/>
      <c r="EO181" s="255"/>
    </row>
    <row r="182" spans="1:145" ht="15" customHeight="1">
      <c r="A182" s="1160"/>
      <c r="B182" s="1200"/>
      <c r="C182" s="1164"/>
      <c r="D182" s="1164"/>
      <c r="E182" s="1164"/>
      <c r="F182" s="1164"/>
      <c r="G182" s="1266"/>
      <c r="H182" s="1207"/>
      <c r="I182" s="1207"/>
      <c r="J182" s="349"/>
      <c r="T182" s="255"/>
      <c r="U182" s="256"/>
      <c r="V182" s="325"/>
      <c r="W182" s="325"/>
      <c r="X182" s="325"/>
      <c r="Y182" s="325"/>
      <c r="Z182" s="325"/>
      <c r="AD182" s="346"/>
      <c r="AE182" s="346"/>
      <c r="AF182" s="346"/>
      <c r="AG182" s="346"/>
      <c r="AH182" s="346"/>
      <c r="AI182" s="346"/>
      <c r="AJ182" s="346"/>
      <c r="AK182" s="346"/>
      <c r="AL182" s="346"/>
      <c r="AM182" s="346"/>
      <c r="AN182" s="346"/>
      <c r="AO182" s="346"/>
      <c r="AP182" s="346"/>
      <c r="AQ182" s="346"/>
      <c r="AR182" s="346"/>
      <c r="AS182" s="346"/>
      <c r="AT182" s="255"/>
      <c r="AU182" s="255"/>
      <c r="AV182" s="255"/>
      <c r="AW182" s="255"/>
      <c r="AX182" s="255"/>
      <c r="AY182" s="255"/>
      <c r="AZ182" s="255"/>
      <c r="BA182" s="255"/>
      <c r="BB182" s="255"/>
      <c r="BC182" s="255"/>
      <c r="BD182" s="255"/>
      <c r="BE182" s="255"/>
      <c r="BF182" s="255"/>
      <c r="BG182" s="255"/>
      <c r="BH182" s="255"/>
      <c r="BI182" s="255"/>
      <c r="EO182" s="255"/>
    </row>
    <row r="183" spans="1:145" ht="15" customHeight="1">
      <c r="A183" s="1336">
        <v>1.4</v>
      </c>
      <c r="B183" s="1198" t="s">
        <v>943</v>
      </c>
      <c r="C183" s="1162"/>
      <c r="D183" s="1162"/>
      <c r="E183" s="1162"/>
      <c r="F183" s="1162"/>
      <c r="G183" s="1265"/>
      <c r="H183" s="1205" t="str">
        <f t="shared" ref="H183" si="175">IF(ISBLANK(BL$3),"",1)</f>
        <v/>
      </c>
      <c r="I183" s="1205" t="str">
        <f t="shared" ref="I183" si="176">IF(ISBLANK(BP$3),"",1)</f>
        <v/>
      </c>
      <c r="J183" s="349"/>
      <c r="T183" s="255"/>
      <c r="U183" s="256"/>
      <c r="V183" s="325"/>
      <c r="W183" s="325"/>
      <c r="X183" s="325"/>
      <c r="Y183" s="325"/>
      <c r="Z183" s="325"/>
      <c r="AD183" s="346"/>
      <c r="AE183" s="346"/>
      <c r="AF183" s="346"/>
      <c r="AG183" s="346"/>
      <c r="AH183" s="346"/>
      <c r="AI183" s="346"/>
      <c r="AJ183" s="346"/>
      <c r="AK183" s="346"/>
      <c r="AL183" s="346"/>
      <c r="AM183" s="346"/>
      <c r="AN183" s="346"/>
      <c r="AO183" s="346"/>
      <c r="AP183" s="346"/>
      <c r="AQ183" s="346"/>
      <c r="AR183" s="346"/>
      <c r="AS183" s="346"/>
      <c r="AT183" s="255"/>
      <c r="AU183" s="255"/>
      <c r="AV183" s="255"/>
      <c r="AW183" s="255"/>
      <c r="AX183" s="255"/>
      <c r="AY183" s="255"/>
      <c r="AZ183" s="255"/>
      <c r="BA183" s="255"/>
      <c r="BB183" s="255"/>
      <c r="BC183" s="255"/>
      <c r="BD183" s="255"/>
      <c r="BE183" s="255"/>
      <c r="BF183" s="255"/>
      <c r="BG183" s="255"/>
      <c r="BH183" s="255"/>
      <c r="BI183" s="255"/>
      <c r="EO183" s="255"/>
    </row>
    <row r="184" spans="1:145" ht="15" customHeight="1">
      <c r="A184" s="1159"/>
      <c r="B184" s="1200"/>
      <c r="C184" s="1164"/>
      <c r="D184" s="1164"/>
      <c r="E184" s="1164"/>
      <c r="F184" s="1164"/>
      <c r="G184" s="1266"/>
      <c r="H184" s="1206"/>
      <c r="I184" s="1206"/>
      <c r="J184" s="349"/>
      <c r="T184" s="255"/>
      <c r="U184" s="256"/>
      <c r="V184" s="325"/>
      <c r="W184" s="325"/>
      <c r="X184" s="325"/>
      <c r="Y184" s="325"/>
      <c r="Z184" s="325"/>
      <c r="AD184" s="346"/>
      <c r="AE184" s="346"/>
      <c r="AF184" s="346"/>
      <c r="AG184" s="346"/>
      <c r="AH184" s="346"/>
      <c r="AI184" s="346"/>
      <c r="AJ184" s="346"/>
      <c r="AK184" s="346"/>
      <c r="AL184" s="346"/>
      <c r="AM184" s="346"/>
      <c r="AN184" s="346"/>
      <c r="AO184" s="346"/>
      <c r="AP184" s="346"/>
      <c r="AQ184" s="346"/>
      <c r="AR184" s="346"/>
      <c r="AS184" s="346"/>
      <c r="AT184" s="255"/>
      <c r="AU184" s="255"/>
      <c r="AV184" s="255"/>
      <c r="AW184" s="255"/>
      <c r="AX184" s="255"/>
      <c r="AY184" s="255"/>
      <c r="AZ184" s="255"/>
      <c r="BA184" s="255"/>
      <c r="BB184" s="255"/>
      <c r="BC184" s="255"/>
      <c r="BD184" s="255"/>
      <c r="BE184" s="255"/>
      <c r="BF184" s="255"/>
      <c r="BG184" s="255"/>
      <c r="BH184" s="255"/>
      <c r="BI184" s="255"/>
      <c r="EO184" s="255"/>
    </row>
    <row r="185" spans="1:145" ht="15" customHeight="1">
      <c r="A185" s="1160"/>
      <c r="B185" s="1200"/>
      <c r="C185" s="1164"/>
      <c r="D185" s="1164"/>
      <c r="E185" s="1164"/>
      <c r="F185" s="1164"/>
      <c r="G185" s="1266"/>
      <c r="H185" s="1207"/>
      <c r="I185" s="1207"/>
      <c r="J185" s="349"/>
      <c r="T185" s="255"/>
      <c r="U185" s="256"/>
      <c r="V185" s="325"/>
      <c r="W185" s="325"/>
      <c r="X185" s="325"/>
      <c r="Y185" s="325"/>
      <c r="Z185" s="325"/>
      <c r="AD185" s="346"/>
      <c r="AE185" s="346"/>
      <c r="AF185" s="346"/>
      <c r="AG185" s="346"/>
      <c r="AH185" s="346"/>
      <c r="AI185" s="346"/>
      <c r="AJ185" s="346"/>
      <c r="AK185" s="346"/>
      <c r="AL185" s="346"/>
      <c r="AM185" s="346"/>
      <c r="AN185" s="346"/>
      <c r="AO185" s="346"/>
      <c r="AP185" s="346"/>
      <c r="AQ185" s="346"/>
      <c r="AR185" s="346"/>
      <c r="AS185" s="346"/>
      <c r="AT185" s="255"/>
      <c r="AU185" s="255"/>
      <c r="AV185" s="255"/>
      <c r="AW185" s="255"/>
      <c r="AX185" s="255"/>
      <c r="AY185" s="255"/>
      <c r="AZ185" s="255"/>
      <c r="BA185" s="255"/>
      <c r="BB185" s="255"/>
      <c r="BC185" s="255"/>
      <c r="BD185" s="255"/>
      <c r="BE185" s="255"/>
      <c r="BF185" s="255"/>
      <c r="BG185" s="255"/>
      <c r="BH185" s="255"/>
      <c r="BI185" s="255"/>
      <c r="EO185" s="255"/>
    </row>
    <row r="186" spans="1:145" ht="15" customHeight="1">
      <c r="A186" s="1168" t="s">
        <v>637</v>
      </c>
      <c r="B186" s="1168"/>
      <c r="C186" s="1168"/>
      <c r="D186" s="1168"/>
      <c r="E186" s="1169"/>
      <c r="F186" s="617">
        <v>3.1</v>
      </c>
      <c r="G186" s="620">
        <f>COUNTIF($A$180:$A$185,F186)</f>
        <v>1</v>
      </c>
      <c r="H186" s="240" t="str">
        <f>IF($BL$3=1,SUMIF($A$180:$A$185,$F186,$H$180:$H$185),"")</f>
        <v/>
      </c>
      <c r="I186" s="240" t="str">
        <f>IF($BP$3=1,SUMIF($A$180:$A$185,$F186,$I$180:$I$185),"")</f>
        <v/>
      </c>
      <c r="J186" s="349"/>
      <c r="T186" s="255"/>
      <c r="U186" s="256"/>
      <c r="V186" s="325"/>
      <c r="W186" s="325"/>
      <c r="X186" s="325"/>
      <c r="Y186" s="325"/>
      <c r="Z186" s="325"/>
      <c r="AD186" s="346"/>
      <c r="AE186" s="346"/>
      <c r="AF186" s="346"/>
      <c r="AG186" s="346"/>
      <c r="AH186" s="346"/>
      <c r="AI186" s="346"/>
      <c r="AJ186" s="346"/>
      <c r="AK186" s="346"/>
      <c r="AL186" s="346"/>
      <c r="AM186" s="346"/>
      <c r="AN186" s="346"/>
      <c r="AO186" s="346"/>
      <c r="AP186" s="346"/>
      <c r="AQ186" s="346"/>
      <c r="AR186" s="346"/>
      <c r="AS186" s="346"/>
      <c r="AT186" s="255"/>
      <c r="AU186" s="255"/>
      <c r="AV186" s="255"/>
      <c r="AW186" s="255"/>
      <c r="AX186" s="255"/>
      <c r="AY186" s="255"/>
      <c r="AZ186" s="255"/>
      <c r="BA186" s="255"/>
      <c r="BB186" s="255"/>
      <c r="BC186" s="255"/>
      <c r="BD186" s="255"/>
      <c r="BE186" s="255"/>
      <c r="BF186" s="255"/>
      <c r="BG186" s="255"/>
      <c r="BH186" s="255"/>
      <c r="BI186" s="255"/>
      <c r="EO186" s="255"/>
    </row>
    <row r="187" spans="1:145" ht="15" customHeight="1">
      <c r="F187" s="617">
        <v>1.4</v>
      </c>
      <c r="G187" s="620">
        <f>COUNTIF($A$180:$A$185,F187)</f>
        <v>1</v>
      </c>
      <c r="H187" s="240" t="str">
        <f>IF($BL$3=1,SUMIF($A$180:$A$185,$F187,$H$180:$H$185),"")</f>
        <v/>
      </c>
      <c r="I187" s="240" t="str">
        <f>IF($BP$3=1,SUMIF($A$180:$A$185,$F187,$I$180:$I$185),"")</f>
        <v/>
      </c>
      <c r="J187" s="349"/>
      <c r="T187" s="255"/>
      <c r="U187" s="256"/>
      <c r="V187" s="325"/>
      <c r="W187" s="325"/>
      <c r="X187" s="325"/>
      <c r="Y187" s="325"/>
      <c r="Z187" s="325"/>
      <c r="AD187" s="346"/>
      <c r="AE187" s="346"/>
      <c r="AF187" s="346"/>
      <c r="AG187" s="346"/>
      <c r="AH187" s="346"/>
      <c r="AI187" s="346"/>
      <c r="AJ187" s="346"/>
      <c r="AK187" s="346"/>
      <c r="AL187" s="346"/>
      <c r="AM187" s="346"/>
      <c r="AN187" s="346"/>
      <c r="AO187" s="346"/>
      <c r="AP187" s="346"/>
      <c r="AQ187" s="346"/>
      <c r="AR187" s="346"/>
      <c r="AS187" s="346"/>
      <c r="AT187" s="255"/>
      <c r="AU187" s="255"/>
      <c r="AV187" s="255"/>
      <c r="AW187" s="255"/>
      <c r="AX187" s="255"/>
      <c r="AY187" s="255"/>
      <c r="AZ187" s="255"/>
      <c r="BA187" s="255"/>
      <c r="BB187" s="255"/>
      <c r="BC187" s="255"/>
      <c r="BD187" s="255"/>
      <c r="BE187" s="255"/>
      <c r="BF187" s="255"/>
      <c r="BG187" s="255"/>
      <c r="BH187" s="255"/>
      <c r="BI187" s="255"/>
      <c r="EO187" s="255"/>
    </row>
    <row r="188" spans="1:145" ht="15" customHeight="1">
      <c r="A188" s="1171" t="s">
        <v>17</v>
      </c>
      <c r="B188" s="1171"/>
      <c r="C188" s="1171"/>
      <c r="D188" s="1171"/>
      <c r="E188" s="1171"/>
      <c r="F188" s="1171"/>
      <c r="G188" s="1171"/>
      <c r="H188" s="1171"/>
      <c r="I188" s="1171"/>
      <c r="J188" s="1171"/>
      <c r="K188" s="1171"/>
      <c r="L188" s="1171"/>
      <c r="M188" s="1171"/>
      <c r="N188" s="1171"/>
      <c r="O188" s="1171"/>
      <c r="P188" s="1171"/>
      <c r="Q188" s="1171"/>
      <c r="R188" s="1171"/>
      <c r="S188" s="1171"/>
      <c r="T188" s="1171"/>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row>
    <row r="189" spans="1:145" ht="15" customHeight="1">
      <c r="A189" s="1275"/>
      <c r="B189" s="1275"/>
      <c r="C189" s="1275"/>
      <c r="D189" s="1275"/>
      <c r="E189" s="1275"/>
      <c r="F189" s="1275"/>
      <c r="G189" s="1275"/>
      <c r="H189" s="1275"/>
      <c r="I189" s="1275"/>
      <c r="J189" s="1275"/>
      <c r="K189" s="1275"/>
      <c r="L189" s="1275"/>
      <c r="M189" s="1275"/>
      <c r="N189" s="1275"/>
      <c r="O189" s="1275"/>
      <c r="P189" s="1275"/>
      <c r="Q189" s="1275"/>
      <c r="R189" s="1275"/>
      <c r="S189" s="1275"/>
      <c r="T189" s="1275"/>
      <c r="U189" s="1275"/>
      <c r="V189" s="1275"/>
      <c r="W189" s="1275"/>
      <c r="X189" s="1275"/>
      <c r="Y189" s="1275"/>
      <c r="Z189" s="1275"/>
      <c r="AA189" s="1275"/>
      <c r="AB189" s="1275"/>
      <c r="AC189" s="1275"/>
      <c r="AD189" s="1275"/>
      <c r="AE189" s="1275"/>
      <c r="AF189" s="1275"/>
      <c r="AG189" s="1275"/>
      <c r="AH189" s="1275"/>
      <c r="AI189" s="1275"/>
      <c r="AJ189" s="1275"/>
      <c r="AK189" s="1275"/>
      <c r="AL189" s="1275"/>
      <c r="AM189" s="1275"/>
      <c r="AN189" s="1275"/>
      <c r="AO189" s="1275"/>
      <c r="AP189" s="1275"/>
      <c r="AQ189" s="1275"/>
      <c r="AR189" s="1275"/>
      <c r="AS189" s="1275"/>
      <c r="AT189" s="1275"/>
      <c r="AU189" s="1275"/>
      <c r="AV189" s="1275"/>
      <c r="AW189" s="1275"/>
      <c r="AX189" s="1275"/>
      <c r="AY189" s="1275"/>
      <c r="AZ189" s="1275"/>
      <c r="BA189" s="1275"/>
      <c r="BB189" s="1275"/>
      <c r="BC189" s="1275"/>
      <c r="BD189" s="1275"/>
      <c r="BE189" s="1275"/>
      <c r="BF189" s="1275"/>
      <c r="BG189" s="1275"/>
      <c r="BH189" s="1275"/>
      <c r="BI189" s="1275"/>
      <c r="BJ189" s="1275"/>
      <c r="BK189" s="1275"/>
      <c r="BL189" s="1275"/>
      <c r="BM189" s="1275"/>
    </row>
    <row r="190" spans="1:145" ht="15" customHeight="1">
      <c r="A190" s="1172"/>
      <c r="B190" s="1173" t="s">
        <v>608</v>
      </c>
      <c r="C190" s="1173"/>
      <c r="D190" s="1173"/>
      <c r="E190" s="1173"/>
      <c r="F190" s="1173"/>
      <c r="G190" s="1173"/>
      <c r="H190" s="1343">
        <v>1</v>
      </c>
      <c r="I190" s="1174">
        <v>2</v>
      </c>
      <c r="J190" s="1174">
        <v>3</v>
      </c>
      <c r="K190" s="1174">
        <v>4</v>
      </c>
      <c r="L190" s="1174">
        <v>5</v>
      </c>
      <c r="M190" s="1343">
        <v>6</v>
      </c>
      <c r="N190" s="1277"/>
      <c r="O190" s="1516" t="s">
        <v>432</v>
      </c>
      <c r="P190" s="1517"/>
      <c r="Q190" s="1517"/>
      <c r="R190" s="1517"/>
      <c r="S190" s="1517"/>
      <c r="T190" s="1517"/>
      <c r="U190" s="1518"/>
      <c r="V190" s="1281"/>
      <c r="W190" s="1464" t="s">
        <v>881</v>
      </c>
      <c r="X190" s="1465"/>
      <c r="Y190" s="1465"/>
      <c r="Z190" s="1465"/>
      <c r="AA190" s="1465"/>
      <c r="AB190" s="1465"/>
      <c r="AC190" s="1466"/>
      <c r="AD190" s="1473"/>
      <c r="AE190" s="1496" t="s">
        <v>911</v>
      </c>
      <c r="AF190" s="1497"/>
      <c r="AG190" s="1497"/>
      <c r="AH190" s="1497"/>
      <c r="AI190" s="1497"/>
      <c r="AJ190" s="1497"/>
      <c r="AK190" s="1498"/>
      <c r="AL190" s="1505"/>
      <c r="AM190" s="1476" t="s">
        <v>912</v>
      </c>
      <c r="AN190" s="1477"/>
      <c r="AO190" s="1477"/>
      <c r="AP190" s="1477"/>
      <c r="AQ190" s="1477"/>
      <c r="AR190" s="1477"/>
      <c r="AS190" s="1478"/>
      <c r="AT190" s="1485"/>
      <c r="AU190" s="1506" t="s">
        <v>913</v>
      </c>
      <c r="AV190" s="1507"/>
      <c r="AW190" s="1507"/>
      <c r="AX190" s="1507"/>
      <c r="AY190" s="1507"/>
      <c r="AZ190" s="1507"/>
      <c r="BA190" s="1508"/>
      <c r="BB190" s="1515"/>
      <c r="BC190" s="1487" t="s">
        <v>914</v>
      </c>
      <c r="BD190" s="1488"/>
      <c r="BE190" s="1488"/>
      <c r="BF190" s="1488"/>
      <c r="BG190" s="1488"/>
      <c r="BH190" s="1488"/>
      <c r="BI190" s="1489"/>
      <c r="BJ190" s="1182" t="s">
        <v>263</v>
      </c>
      <c r="BK190" s="1183"/>
      <c r="BL190" s="1183"/>
      <c r="BM190" s="1183"/>
      <c r="BN190" s="1183"/>
      <c r="BO190" s="1184"/>
    </row>
    <row r="191" spans="1:145" ht="15" customHeight="1">
      <c r="A191" s="1172"/>
      <c r="B191" s="1173"/>
      <c r="C191" s="1173"/>
      <c r="D191" s="1173"/>
      <c r="E191" s="1173"/>
      <c r="F191" s="1173"/>
      <c r="G191" s="1173"/>
      <c r="H191" s="1344"/>
      <c r="I191" s="1174"/>
      <c r="J191" s="1174"/>
      <c r="K191" s="1174"/>
      <c r="L191" s="1174"/>
      <c r="M191" s="1344"/>
      <c r="N191" s="1277"/>
      <c r="O191" s="1519"/>
      <c r="P191" s="1520"/>
      <c r="Q191" s="1520"/>
      <c r="R191" s="1520"/>
      <c r="S191" s="1520"/>
      <c r="T191" s="1520"/>
      <c r="U191" s="1521"/>
      <c r="V191" s="1281"/>
      <c r="W191" s="1467"/>
      <c r="X191" s="1468"/>
      <c r="Y191" s="1468"/>
      <c r="Z191" s="1468"/>
      <c r="AA191" s="1468"/>
      <c r="AB191" s="1468"/>
      <c r="AC191" s="1469"/>
      <c r="AD191" s="1474"/>
      <c r="AE191" s="1499"/>
      <c r="AF191" s="1500"/>
      <c r="AG191" s="1500"/>
      <c r="AH191" s="1500"/>
      <c r="AI191" s="1500"/>
      <c r="AJ191" s="1500"/>
      <c r="AK191" s="1501"/>
      <c r="AL191" s="1505"/>
      <c r="AM191" s="1479"/>
      <c r="AN191" s="1480"/>
      <c r="AO191" s="1480"/>
      <c r="AP191" s="1480"/>
      <c r="AQ191" s="1480"/>
      <c r="AR191" s="1480"/>
      <c r="AS191" s="1481"/>
      <c r="AT191" s="1485"/>
      <c r="AU191" s="1509"/>
      <c r="AV191" s="1510"/>
      <c r="AW191" s="1510"/>
      <c r="AX191" s="1510"/>
      <c r="AY191" s="1510"/>
      <c r="AZ191" s="1510"/>
      <c r="BA191" s="1511"/>
      <c r="BB191" s="1515"/>
      <c r="BC191" s="1490"/>
      <c r="BD191" s="1491"/>
      <c r="BE191" s="1491"/>
      <c r="BF191" s="1491"/>
      <c r="BG191" s="1491"/>
      <c r="BH191" s="1491"/>
      <c r="BI191" s="1492"/>
      <c r="BJ191" s="1219"/>
      <c r="BK191" s="1220"/>
      <c r="BL191" s="1220"/>
      <c r="BM191" s="1220"/>
      <c r="BN191" s="1220"/>
      <c r="BO191" s="1221"/>
    </row>
    <row r="192" spans="1:145" ht="15" customHeight="1" thickBot="1">
      <c r="A192" s="1172"/>
      <c r="B192" s="1173"/>
      <c r="C192" s="1173"/>
      <c r="D192" s="1173"/>
      <c r="E192" s="1173"/>
      <c r="F192" s="1173"/>
      <c r="G192" s="1173"/>
      <c r="H192" s="1345"/>
      <c r="I192" s="1174"/>
      <c r="J192" s="1174"/>
      <c r="K192" s="1174"/>
      <c r="L192" s="1174"/>
      <c r="M192" s="1486"/>
      <c r="N192" s="1277"/>
      <c r="O192" s="1522"/>
      <c r="P192" s="1523"/>
      <c r="Q192" s="1523"/>
      <c r="R192" s="1523"/>
      <c r="S192" s="1523"/>
      <c r="T192" s="1523"/>
      <c r="U192" s="1524"/>
      <c r="V192" s="1281"/>
      <c r="W192" s="1470"/>
      <c r="X192" s="1471"/>
      <c r="Y192" s="1471"/>
      <c r="Z192" s="1471"/>
      <c r="AA192" s="1471"/>
      <c r="AB192" s="1471"/>
      <c r="AC192" s="1472"/>
      <c r="AD192" s="1475"/>
      <c r="AE192" s="1502"/>
      <c r="AF192" s="1503"/>
      <c r="AG192" s="1503"/>
      <c r="AH192" s="1503"/>
      <c r="AI192" s="1503"/>
      <c r="AJ192" s="1503"/>
      <c r="AK192" s="1504"/>
      <c r="AL192" s="1505"/>
      <c r="AM192" s="1482"/>
      <c r="AN192" s="1483"/>
      <c r="AO192" s="1483"/>
      <c r="AP192" s="1483"/>
      <c r="AQ192" s="1483"/>
      <c r="AR192" s="1483"/>
      <c r="AS192" s="1484"/>
      <c r="AT192" s="1485"/>
      <c r="AU192" s="1512"/>
      <c r="AV192" s="1513"/>
      <c r="AW192" s="1513"/>
      <c r="AX192" s="1513"/>
      <c r="AY192" s="1513"/>
      <c r="AZ192" s="1513"/>
      <c r="BA192" s="1514"/>
      <c r="BB192" s="1515"/>
      <c r="BC192" s="1493"/>
      <c r="BD192" s="1494"/>
      <c r="BE192" s="1494"/>
      <c r="BF192" s="1494"/>
      <c r="BG192" s="1494"/>
      <c r="BH192" s="1494"/>
      <c r="BI192" s="1495"/>
      <c r="BJ192" s="1337"/>
      <c r="BK192" s="1338"/>
      <c r="BL192" s="1338"/>
      <c r="BM192" s="1338"/>
      <c r="BN192" s="1338"/>
      <c r="BO192" s="1339"/>
    </row>
    <row r="193" spans="1:67" ht="15" customHeight="1">
      <c r="A193" s="1307">
        <v>1.1000000000000001</v>
      </c>
      <c r="B193" s="1161" t="s">
        <v>941</v>
      </c>
      <c r="C193" s="1162"/>
      <c r="D193" s="1162"/>
      <c r="E193" s="1162"/>
      <c r="F193" s="1162"/>
      <c r="G193" s="1199"/>
      <c r="H193" s="1268" t="str">
        <f>IF(ISBLANK(D$5),"",1)</f>
        <v/>
      </c>
      <c r="I193" s="1205" t="str">
        <f>IF(ISBLANK(H$5),"",1)</f>
        <v/>
      </c>
      <c r="J193" s="1205" t="str">
        <f>IF(ISBLANK(L$5),"",1)</f>
        <v/>
      </c>
      <c r="K193" s="1205" t="str">
        <f>IF(ISBLANK(P$5),"",1)</f>
        <v/>
      </c>
      <c r="L193" s="1205" t="str">
        <f>IF(ISBLANK(T$5),"",1)</f>
        <v/>
      </c>
      <c r="M193" s="1248" t="str">
        <f>IF(ISBLANK(X$5),"",1)</f>
        <v/>
      </c>
      <c r="N193" s="1525">
        <v>4.3</v>
      </c>
      <c r="O193" s="1526" t="s">
        <v>629</v>
      </c>
      <c r="P193" s="1527"/>
      <c r="Q193" s="1527"/>
      <c r="R193" s="1527"/>
      <c r="S193" s="1527"/>
      <c r="T193" s="1528"/>
      <c r="U193" s="1399" t="str">
        <f>IF(ISBLANK(D$5),"",1)</f>
        <v/>
      </c>
      <c r="V193" s="1258">
        <v>4.3</v>
      </c>
      <c r="W193" s="1161" t="s">
        <v>404</v>
      </c>
      <c r="X193" s="1162"/>
      <c r="Y193" s="1162"/>
      <c r="Z193" s="1162"/>
      <c r="AA193" s="1162"/>
      <c r="AB193" s="1199"/>
      <c r="AC193" s="1399" t="str">
        <f>IF(ISBLANK(H$5),"",1)</f>
        <v/>
      </c>
      <c r="AD193" s="1258">
        <v>4.3</v>
      </c>
      <c r="AE193" s="1198" t="s">
        <v>387</v>
      </c>
      <c r="AF193" s="1162"/>
      <c r="AG193" s="1162"/>
      <c r="AH193" s="1162"/>
      <c r="AI193" s="1162"/>
      <c r="AJ193" s="1199"/>
      <c r="AK193" s="1226" t="str">
        <f>IF(ISBLANK(L$5),"",1)</f>
        <v/>
      </c>
      <c r="AL193" s="1196">
        <v>4.3</v>
      </c>
      <c r="AM193" s="1198" t="s">
        <v>404</v>
      </c>
      <c r="AN193" s="1162"/>
      <c r="AO193" s="1162"/>
      <c r="AP193" s="1162"/>
      <c r="AQ193" s="1162"/>
      <c r="AR193" s="1199"/>
      <c r="AS193" s="1226" t="str">
        <f>IF(ISBLANK(P$5),"",1)</f>
        <v/>
      </c>
      <c r="AT193" s="1258">
        <v>4.3</v>
      </c>
      <c r="AU193" s="1198" t="s">
        <v>398</v>
      </c>
      <c r="AV193" s="1162"/>
      <c r="AW193" s="1162"/>
      <c r="AX193" s="1162"/>
      <c r="AY193" s="1162"/>
      <c r="AZ193" s="1199"/>
      <c r="BA193" s="1226" t="str">
        <f>IF(ISBLANK(T$5),"",1)</f>
        <v/>
      </c>
      <c r="BB193" s="1258">
        <v>4.3</v>
      </c>
      <c r="BC193" s="1198" t="s">
        <v>398</v>
      </c>
      <c r="BD193" s="1162"/>
      <c r="BE193" s="1162"/>
      <c r="BF193" s="1162"/>
      <c r="BG193" s="1162"/>
      <c r="BH193" s="1199"/>
      <c r="BI193" s="1226" t="str">
        <f>IF(ISBLANK(X$5),"",1)</f>
        <v/>
      </c>
      <c r="BJ193" s="1337"/>
      <c r="BK193" s="1338"/>
      <c r="BL193" s="1338"/>
      <c r="BM193" s="1338"/>
      <c r="BN193" s="1338"/>
      <c r="BO193" s="1339"/>
    </row>
    <row r="194" spans="1:67" ht="15" customHeight="1">
      <c r="A194" s="1308"/>
      <c r="B194" s="1163"/>
      <c r="C194" s="1164"/>
      <c r="D194" s="1164"/>
      <c r="E194" s="1164"/>
      <c r="F194" s="1164"/>
      <c r="G194" s="1201"/>
      <c r="H194" s="1269"/>
      <c r="I194" s="1206"/>
      <c r="J194" s="1206"/>
      <c r="K194" s="1206"/>
      <c r="L194" s="1206"/>
      <c r="M194" s="1206"/>
      <c r="N194" s="1302"/>
      <c r="O194" s="1317"/>
      <c r="P194" s="1296"/>
      <c r="Q194" s="1296"/>
      <c r="R194" s="1296"/>
      <c r="S194" s="1296"/>
      <c r="T194" s="1318"/>
      <c r="U194" s="1269"/>
      <c r="V194" s="1258"/>
      <c r="W194" s="1163"/>
      <c r="X194" s="1164"/>
      <c r="Y194" s="1164"/>
      <c r="Z194" s="1164"/>
      <c r="AA194" s="1164"/>
      <c r="AB194" s="1201"/>
      <c r="AC194" s="1269"/>
      <c r="AD194" s="1258"/>
      <c r="AE194" s="1200"/>
      <c r="AF194" s="1164"/>
      <c r="AG194" s="1164"/>
      <c r="AH194" s="1164"/>
      <c r="AI194" s="1164"/>
      <c r="AJ194" s="1201"/>
      <c r="AK194" s="1342"/>
      <c r="AL194" s="1197"/>
      <c r="AM194" s="1200"/>
      <c r="AN194" s="1164"/>
      <c r="AO194" s="1164"/>
      <c r="AP194" s="1164"/>
      <c r="AQ194" s="1164"/>
      <c r="AR194" s="1201"/>
      <c r="AS194" s="1342"/>
      <c r="AT194" s="1258"/>
      <c r="AU194" s="1200"/>
      <c r="AV194" s="1164"/>
      <c r="AW194" s="1164"/>
      <c r="AX194" s="1164"/>
      <c r="AY194" s="1164"/>
      <c r="AZ194" s="1201"/>
      <c r="BA194" s="1342"/>
      <c r="BB194" s="1258"/>
      <c r="BC194" s="1200"/>
      <c r="BD194" s="1164"/>
      <c r="BE194" s="1164"/>
      <c r="BF194" s="1164"/>
      <c r="BG194" s="1164"/>
      <c r="BH194" s="1201"/>
      <c r="BI194" s="1342"/>
      <c r="BJ194" s="1337"/>
      <c r="BK194" s="1338"/>
      <c r="BL194" s="1338"/>
      <c r="BM194" s="1338"/>
      <c r="BN194" s="1338"/>
      <c r="BO194" s="1339"/>
    </row>
    <row r="195" spans="1:67" ht="15" customHeight="1">
      <c r="A195" s="1309"/>
      <c r="B195" s="1165"/>
      <c r="C195" s="1166"/>
      <c r="D195" s="1166"/>
      <c r="E195" s="1166"/>
      <c r="F195" s="1166"/>
      <c r="G195" s="1292"/>
      <c r="H195" s="1270"/>
      <c r="I195" s="1207"/>
      <c r="J195" s="1207"/>
      <c r="K195" s="1207"/>
      <c r="L195" s="1207"/>
      <c r="M195" s="1207"/>
      <c r="N195" s="1303"/>
      <c r="O195" s="1319"/>
      <c r="P195" s="1320"/>
      <c r="Q195" s="1320"/>
      <c r="R195" s="1320"/>
      <c r="S195" s="1320"/>
      <c r="T195" s="1321"/>
      <c r="U195" s="1270"/>
      <c r="V195" s="1258"/>
      <c r="W195" s="1165"/>
      <c r="X195" s="1166"/>
      <c r="Y195" s="1166"/>
      <c r="Z195" s="1166"/>
      <c r="AA195" s="1166"/>
      <c r="AB195" s="1292"/>
      <c r="AC195" s="1270"/>
      <c r="AD195" s="1258"/>
      <c r="AE195" s="1202"/>
      <c r="AF195" s="1203"/>
      <c r="AG195" s="1203"/>
      <c r="AH195" s="1203"/>
      <c r="AI195" s="1203"/>
      <c r="AJ195" s="1204"/>
      <c r="AK195" s="1342"/>
      <c r="AL195" s="1197"/>
      <c r="AM195" s="1202"/>
      <c r="AN195" s="1203"/>
      <c r="AO195" s="1203"/>
      <c r="AP195" s="1203"/>
      <c r="AQ195" s="1203"/>
      <c r="AR195" s="1204"/>
      <c r="AS195" s="1342"/>
      <c r="AT195" s="1258"/>
      <c r="AU195" s="1202"/>
      <c r="AV195" s="1203"/>
      <c r="AW195" s="1203"/>
      <c r="AX195" s="1203"/>
      <c r="AY195" s="1203"/>
      <c r="AZ195" s="1204"/>
      <c r="BA195" s="1342"/>
      <c r="BB195" s="1258"/>
      <c r="BC195" s="1202"/>
      <c r="BD195" s="1203"/>
      <c r="BE195" s="1203"/>
      <c r="BF195" s="1203"/>
      <c r="BG195" s="1203"/>
      <c r="BH195" s="1204"/>
      <c r="BI195" s="1342"/>
      <c r="BJ195" s="1337"/>
      <c r="BK195" s="1338"/>
      <c r="BL195" s="1338"/>
      <c r="BM195" s="1338"/>
      <c r="BN195" s="1338"/>
      <c r="BO195" s="1339"/>
    </row>
    <row r="196" spans="1:67" ht="15" customHeight="1">
      <c r="A196" s="1304">
        <v>2.4</v>
      </c>
      <c r="B196" s="1161" t="s">
        <v>316</v>
      </c>
      <c r="C196" s="1162"/>
      <c r="D196" s="1162"/>
      <c r="E196" s="1162"/>
      <c r="F196" s="1162"/>
      <c r="G196" s="1199"/>
      <c r="H196" s="1268" t="str">
        <f t="shared" ref="H196" si="177">IF(ISBLANK(D$5),"",1)</f>
        <v/>
      </c>
      <c r="I196" s="1205" t="str">
        <f t="shared" ref="I196" si="178">IF(ISBLANK(H$5),"",1)</f>
        <v/>
      </c>
      <c r="J196" s="1205" t="str">
        <f t="shared" ref="J196" si="179">IF(ISBLANK(L$5),"",1)</f>
        <v/>
      </c>
      <c r="K196" s="1205" t="str">
        <f t="shared" ref="K196" si="180">IF(ISBLANK(P$5),"",1)</f>
        <v/>
      </c>
      <c r="L196" s="1205" t="str">
        <f t="shared" ref="L196" si="181">IF(ISBLANK(T$5),"",1)</f>
        <v/>
      </c>
      <c r="M196" s="1248" t="str">
        <f t="shared" ref="M196" si="182">IF(ISBLANK(X$5),"",1)</f>
        <v/>
      </c>
      <c r="N196" s="1304">
        <v>4.3</v>
      </c>
      <c r="O196" s="1161" t="s">
        <v>399</v>
      </c>
      <c r="P196" s="1162"/>
      <c r="Q196" s="1162"/>
      <c r="R196" s="1162"/>
      <c r="S196" s="1162"/>
      <c r="T196" s="1199"/>
      <c r="U196" s="1399" t="str">
        <f>IF(ISBLANK(D$5),"",1)</f>
        <v/>
      </c>
      <c r="V196" s="1304">
        <v>4.3</v>
      </c>
      <c r="W196" s="1161" t="s">
        <v>405</v>
      </c>
      <c r="X196" s="1162"/>
      <c r="Y196" s="1162"/>
      <c r="Z196" s="1162"/>
      <c r="AA196" s="1162"/>
      <c r="AB196" s="1199"/>
      <c r="AC196" s="1399" t="str">
        <f>IF(ISBLANK(H$5),"",1)</f>
        <v/>
      </c>
      <c r="AD196" s="1304">
        <v>4.3</v>
      </c>
      <c r="AE196" s="1198" t="s">
        <v>405</v>
      </c>
      <c r="AF196" s="1162"/>
      <c r="AG196" s="1162"/>
      <c r="AH196" s="1162"/>
      <c r="AI196" s="1162"/>
      <c r="AJ196" s="1199"/>
      <c r="AK196" s="1226" t="str">
        <f>IF(ISBLANK(L$5),"",1)</f>
        <v/>
      </c>
      <c r="AL196" s="1304">
        <v>4.3</v>
      </c>
      <c r="AM196" s="1198" t="s">
        <v>891</v>
      </c>
      <c r="AN196" s="1162"/>
      <c r="AO196" s="1162"/>
      <c r="AP196" s="1162"/>
      <c r="AQ196" s="1162"/>
      <c r="AR196" s="1199"/>
      <c r="AS196" s="1226" t="str">
        <f>IF(ISBLANK(P$5),"",1)</f>
        <v/>
      </c>
      <c r="AT196" s="1304">
        <v>4.3</v>
      </c>
      <c r="AU196" s="1198" t="s">
        <v>891</v>
      </c>
      <c r="AV196" s="1162"/>
      <c r="AW196" s="1162"/>
      <c r="AX196" s="1162"/>
      <c r="AY196" s="1162"/>
      <c r="AZ196" s="1199"/>
      <c r="BA196" s="1226" t="str">
        <f>IF(ISBLANK(T$5),"",1)</f>
        <v/>
      </c>
      <c r="BB196" s="1304">
        <v>4.3</v>
      </c>
      <c r="BC196" s="1198" t="s">
        <v>891</v>
      </c>
      <c r="BD196" s="1162"/>
      <c r="BE196" s="1162"/>
      <c r="BF196" s="1162"/>
      <c r="BG196" s="1162"/>
      <c r="BH196" s="1199"/>
      <c r="BI196" s="1226" t="str">
        <f>IF(ISBLANK(X$5),"",1)</f>
        <v/>
      </c>
      <c r="BJ196" s="1337"/>
      <c r="BK196" s="1338"/>
      <c r="BL196" s="1338"/>
      <c r="BM196" s="1338"/>
      <c r="BN196" s="1338"/>
      <c r="BO196" s="1339"/>
    </row>
    <row r="197" spans="1:67" ht="15" customHeight="1">
      <c r="A197" s="1290"/>
      <c r="B197" s="1163"/>
      <c r="C197" s="1164"/>
      <c r="D197" s="1164"/>
      <c r="E197" s="1164"/>
      <c r="F197" s="1164"/>
      <c r="G197" s="1201"/>
      <c r="H197" s="1269"/>
      <c r="I197" s="1206"/>
      <c r="J197" s="1206"/>
      <c r="K197" s="1206"/>
      <c r="L197" s="1206"/>
      <c r="M197" s="1206"/>
      <c r="N197" s="1290"/>
      <c r="O197" s="1163"/>
      <c r="P197" s="1164"/>
      <c r="Q197" s="1164"/>
      <c r="R197" s="1164"/>
      <c r="S197" s="1164"/>
      <c r="T197" s="1201"/>
      <c r="U197" s="1269"/>
      <c r="V197" s="1290"/>
      <c r="W197" s="1163"/>
      <c r="X197" s="1164"/>
      <c r="Y197" s="1164"/>
      <c r="Z197" s="1164"/>
      <c r="AA197" s="1164"/>
      <c r="AB197" s="1201"/>
      <c r="AC197" s="1269"/>
      <c r="AD197" s="1290"/>
      <c r="AE197" s="1200"/>
      <c r="AF197" s="1164"/>
      <c r="AG197" s="1164"/>
      <c r="AH197" s="1164"/>
      <c r="AI197" s="1164"/>
      <c r="AJ197" s="1201"/>
      <c r="AK197" s="1342"/>
      <c r="AL197" s="1290"/>
      <c r="AM197" s="1200"/>
      <c r="AN197" s="1164"/>
      <c r="AO197" s="1164"/>
      <c r="AP197" s="1164"/>
      <c r="AQ197" s="1164"/>
      <c r="AR197" s="1201"/>
      <c r="AS197" s="1342"/>
      <c r="AT197" s="1290"/>
      <c r="AU197" s="1200"/>
      <c r="AV197" s="1164"/>
      <c r="AW197" s="1164"/>
      <c r="AX197" s="1164"/>
      <c r="AY197" s="1164"/>
      <c r="AZ197" s="1201"/>
      <c r="BA197" s="1342"/>
      <c r="BB197" s="1290"/>
      <c r="BC197" s="1200"/>
      <c r="BD197" s="1164"/>
      <c r="BE197" s="1164"/>
      <c r="BF197" s="1164"/>
      <c r="BG197" s="1164"/>
      <c r="BH197" s="1201"/>
      <c r="BI197" s="1342"/>
      <c r="BJ197" s="1337"/>
      <c r="BK197" s="1338"/>
      <c r="BL197" s="1338"/>
      <c r="BM197" s="1338"/>
      <c r="BN197" s="1338"/>
      <c r="BO197" s="1339"/>
    </row>
    <row r="198" spans="1:67" ht="15" customHeight="1">
      <c r="A198" s="1291"/>
      <c r="B198" s="1165"/>
      <c r="C198" s="1166"/>
      <c r="D198" s="1166"/>
      <c r="E198" s="1166"/>
      <c r="F198" s="1166"/>
      <c r="G198" s="1292"/>
      <c r="H198" s="1270"/>
      <c r="I198" s="1207"/>
      <c r="J198" s="1207"/>
      <c r="K198" s="1207"/>
      <c r="L198" s="1207"/>
      <c r="M198" s="1207"/>
      <c r="N198" s="1291"/>
      <c r="O198" s="1165"/>
      <c r="P198" s="1166"/>
      <c r="Q198" s="1166"/>
      <c r="R198" s="1166"/>
      <c r="S198" s="1166"/>
      <c r="T198" s="1292"/>
      <c r="U198" s="1270"/>
      <c r="V198" s="1291"/>
      <c r="W198" s="1165"/>
      <c r="X198" s="1166"/>
      <c r="Y198" s="1166"/>
      <c r="Z198" s="1166"/>
      <c r="AA198" s="1166"/>
      <c r="AB198" s="1292"/>
      <c r="AC198" s="1270"/>
      <c r="AD198" s="1291"/>
      <c r="AE198" s="1202"/>
      <c r="AF198" s="1203"/>
      <c r="AG198" s="1203"/>
      <c r="AH198" s="1203"/>
      <c r="AI198" s="1203"/>
      <c r="AJ198" s="1204"/>
      <c r="AK198" s="1342"/>
      <c r="AL198" s="1291"/>
      <c r="AM198" s="1202"/>
      <c r="AN198" s="1203"/>
      <c r="AO198" s="1203"/>
      <c r="AP198" s="1203"/>
      <c r="AQ198" s="1203"/>
      <c r="AR198" s="1204"/>
      <c r="AS198" s="1342"/>
      <c r="AT198" s="1291"/>
      <c r="AU198" s="1202"/>
      <c r="AV198" s="1203"/>
      <c r="AW198" s="1203"/>
      <c r="AX198" s="1203"/>
      <c r="AY198" s="1203"/>
      <c r="AZ198" s="1204"/>
      <c r="BA198" s="1342"/>
      <c r="BB198" s="1291"/>
      <c r="BC198" s="1202"/>
      <c r="BD198" s="1203"/>
      <c r="BE198" s="1203"/>
      <c r="BF198" s="1203"/>
      <c r="BG198" s="1203"/>
      <c r="BH198" s="1204"/>
      <c r="BI198" s="1342"/>
      <c r="BJ198" s="1337"/>
      <c r="BK198" s="1338"/>
      <c r="BL198" s="1338"/>
      <c r="BM198" s="1338"/>
      <c r="BN198" s="1338"/>
      <c r="BO198" s="1339"/>
    </row>
    <row r="199" spans="1:67" ht="15" customHeight="1">
      <c r="A199" s="1307">
        <v>1.1000000000000001</v>
      </c>
      <c r="B199" s="1161" t="s">
        <v>320</v>
      </c>
      <c r="C199" s="1162"/>
      <c r="D199" s="1162"/>
      <c r="E199" s="1162"/>
      <c r="F199" s="1162"/>
      <c r="G199" s="1199"/>
      <c r="H199" s="1268" t="str">
        <f t="shared" ref="H199" si="183">IF(ISBLANK(D$5),"",1)</f>
        <v/>
      </c>
      <c r="I199" s="1205" t="str">
        <f t="shared" ref="I199" si="184">IF(ISBLANK(H$5),"",1)</f>
        <v/>
      </c>
      <c r="J199" s="1205" t="str">
        <f t="shared" ref="J199" si="185">IF(ISBLANK(L$5),"",1)</f>
        <v/>
      </c>
      <c r="K199" s="1205" t="str">
        <f t="shared" ref="K199" si="186">IF(ISBLANK(P$5),"",1)</f>
        <v/>
      </c>
      <c r="L199" s="1205" t="str">
        <f t="shared" ref="L199" si="187">IF(ISBLANK(T$5),"",1)</f>
        <v/>
      </c>
      <c r="M199" s="1248" t="str">
        <f t="shared" ref="M199" si="188">IF(ISBLANK(X$5),"",1)</f>
        <v/>
      </c>
      <c r="N199" s="1301">
        <v>4.3</v>
      </c>
      <c r="O199" s="1161" t="s">
        <v>388</v>
      </c>
      <c r="P199" s="1162"/>
      <c r="Q199" s="1162"/>
      <c r="R199" s="1162"/>
      <c r="S199" s="1162"/>
      <c r="T199" s="1199"/>
      <c r="U199" s="1399" t="str">
        <f>IF(ISBLANK(D$5),"",1)</f>
        <v/>
      </c>
      <c r="V199" s="1258">
        <v>4.3</v>
      </c>
      <c r="W199" s="1161" t="s">
        <v>406</v>
      </c>
      <c r="X199" s="1162"/>
      <c r="Y199" s="1162"/>
      <c r="Z199" s="1162"/>
      <c r="AA199" s="1162"/>
      <c r="AB199" s="1199"/>
      <c r="AC199" s="1399" t="str">
        <f>IF(ISBLANK(H$5),"",1)</f>
        <v/>
      </c>
      <c r="AD199" s="1258">
        <v>4.3</v>
      </c>
      <c r="AE199" s="1198" t="s">
        <v>406</v>
      </c>
      <c r="AF199" s="1162"/>
      <c r="AG199" s="1162"/>
      <c r="AH199" s="1162"/>
      <c r="AI199" s="1162"/>
      <c r="AJ199" s="1199"/>
      <c r="AK199" s="1226" t="str">
        <f>IF(ISBLANK(L$5),"",1)</f>
        <v/>
      </c>
      <c r="AL199" s="1196">
        <v>4.3</v>
      </c>
      <c r="AM199" s="1198" t="s">
        <v>406</v>
      </c>
      <c r="AN199" s="1162"/>
      <c r="AO199" s="1162"/>
      <c r="AP199" s="1162"/>
      <c r="AQ199" s="1162"/>
      <c r="AR199" s="1199"/>
      <c r="AS199" s="1226" t="str">
        <f>IF(ISBLANK(P$5),"",1)</f>
        <v/>
      </c>
      <c r="AT199" s="1258">
        <v>4.3</v>
      </c>
      <c r="AU199" s="1198" t="s">
        <v>406</v>
      </c>
      <c r="AV199" s="1162"/>
      <c r="AW199" s="1162"/>
      <c r="AX199" s="1162"/>
      <c r="AY199" s="1162"/>
      <c r="AZ199" s="1199"/>
      <c r="BA199" s="1226" t="str">
        <f>IF(ISBLANK(T$5),"",1)</f>
        <v/>
      </c>
      <c r="BB199" s="1258">
        <v>4.3</v>
      </c>
      <c r="BC199" s="1198" t="s">
        <v>406</v>
      </c>
      <c r="BD199" s="1162"/>
      <c r="BE199" s="1162"/>
      <c r="BF199" s="1162"/>
      <c r="BG199" s="1162"/>
      <c r="BH199" s="1199"/>
      <c r="BI199" s="1226" t="str">
        <f>IF(ISBLANK(X$5),"",1)</f>
        <v/>
      </c>
      <c r="BJ199" s="1337"/>
      <c r="BK199" s="1338"/>
      <c r="BL199" s="1338"/>
      <c r="BM199" s="1338"/>
      <c r="BN199" s="1338"/>
      <c r="BO199" s="1339"/>
    </row>
    <row r="200" spans="1:67" ht="15" customHeight="1">
      <c r="A200" s="1308"/>
      <c r="B200" s="1163"/>
      <c r="C200" s="1164"/>
      <c r="D200" s="1164"/>
      <c r="E200" s="1164"/>
      <c r="F200" s="1164"/>
      <c r="G200" s="1201"/>
      <c r="H200" s="1269"/>
      <c r="I200" s="1206"/>
      <c r="J200" s="1206"/>
      <c r="K200" s="1206"/>
      <c r="L200" s="1206"/>
      <c r="M200" s="1206"/>
      <c r="N200" s="1302"/>
      <c r="O200" s="1163"/>
      <c r="P200" s="1164"/>
      <c r="Q200" s="1164"/>
      <c r="R200" s="1164"/>
      <c r="S200" s="1164"/>
      <c r="T200" s="1201"/>
      <c r="U200" s="1269"/>
      <c r="V200" s="1258"/>
      <c r="W200" s="1163"/>
      <c r="X200" s="1164"/>
      <c r="Y200" s="1164"/>
      <c r="Z200" s="1164"/>
      <c r="AA200" s="1164"/>
      <c r="AB200" s="1201"/>
      <c r="AC200" s="1269"/>
      <c r="AD200" s="1258"/>
      <c r="AE200" s="1200"/>
      <c r="AF200" s="1164"/>
      <c r="AG200" s="1164"/>
      <c r="AH200" s="1164"/>
      <c r="AI200" s="1164"/>
      <c r="AJ200" s="1201"/>
      <c r="AK200" s="1342"/>
      <c r="AL200" s="1197"/>
      <c r="AM200" s="1200"/>
      <c r="AN200" s="1164"/>
      <c r="AO200" s="1164"/>
      <c r="AP200" s="1164"/>
      <c r="AQ200" s="1164"/>
      <c r="AR200" s="1201"/>
      <c r="AS200" s="1342"/>
      <c r="AT200" s="1258"/>
      <c r="AU200" s="1200"/>
      <c r="AV200" s="1164"/>
      <c r="AW200" s="1164"/>
      <c r="AX200" s="1164"/>
      <c r="AY200" s="1164"/>
      <c r="AZ200" s="1201"/>
      <c r="BA200" s="1342"/>
      <c r="BB200" s="1258"/>
      <c r="BC200" s="1200"/>
      <c r="BD200" s="1164"/>
      <c r="BE200" s="1164"/>
      <c r="BF200" s="1164"/>
      <c r="BG200" s="1164"/>
      <c r="BH200" s="1201"/>
      <c r="BI200" s="1342"/>
      <c r="BJ200" s="1337"/>
      <c r="BK200" s="1338"/>
      <c r="BL200" s="1338"/>
      <c r="BM200" s="1338"/>
      <c r="BN200" s="1338"/>
      <c r="BO200" s="1339"/>
    </row>
    <row r="201" spans="1:67" ht="15" customHeight="1">
      <c r="A201" s="1309"/>
      <c r="B201" s="1165"/>
      <c r="C201" s="1166"/>
      <c r="D201" s="1166"/>
      <c r="E201" s="1166"/>
      <c r="F201" s="1166"/>
      <c r="G201" s="1292"/>
      <c r="H201" s="1270"/>
      <c r="I201" s="1207"/>
      <c r="J201" s="1207"/>
      <c r="K201" s="1207"/>
      <c r="L201" s="1207"/>
      <c r="M201" s="1207"/>
      <c r="N201" s="1303"/>
      <c r="O201" s="1165"/>
      <c r="P201" s="1166"/>
      <c r="Q201" s="1166"/>
      <c r="R201" s="1166"/>
      <c r="S201" s="1166"/>
      <c r="T201" s="1292"/>
      <c r="U201" s="1270"/>
      <c r="V201" s="1258"/>
      <c r="W201" s="1165"/>
      <c r="X201" s="1166"/>
      <c r="Y201" s="1166"/>
      <c r="Z201" s="1166"/>
      <c r="AA201" s="1166"/>
      <c r="AB201" s="1292"/>
      <c r="AC201" s="1270"/>
      <c r="AD201" s="1258"/>
      <c r="AE201" s="1202"/>
      <c r="AF201" s="1203"/>
      <c r="AG201" s="1203"/>
      <c r="AH201" s="1203"/>
      <c r="AI201" s="1203"/>
      <c r="AJ201" s="1204"/>
      <c r="AK201" s="1342"/>
      <c r="AL201" s="1197"/>
      <c r="AM201" s="1202"/>
      <c r="AN201" s="1203"/>
      <c r="AO201" s="1203"/>
      <c r="AP201" s="1203"/>
      <c r="AQ201" s="1203"/>
      <c r="AR201" s="1204"/>
      <c r="AS201" s="1342"/>
      <c r="AT201" s="1258"/>
      <c r="AU201" s="1202"/>
      <c r="AV201" s="1203"/>
      <c r="AW201" s="1203"/>
      <c r="AX201" s="1203"/>
      <c r="AY201" s="1203"/>
      <c r="AZ201" s="1204"/>
      <c r="BA201" s="1342"/>
      <c r="BB201" s="1258"/>
      <c r="BC201" s="1202"/>
      <c r="BD201" s="1203"/>
      <c r="BE201" s="1203"/>
      <c r="BF201" s="1203"/>
      <c r="BG201" s="1203"/>
      <c r="BH201" s="1204"/>
      <c r="BI201" s="1342"/>
      <c r="BJ201" s="1337"/>
      <c r="BK201" s="1338"/>
      <c r="BL201" s="1338"/>
      <c r="BM201" s="1338"/>
      <c r="BN201" s="1338"/>
      <c r="BO201" s="1339"/>
    </row>
    <row r="202" spans="1:67" ht="15" customHeight="1">
      <c r="A202" s="1304">
        <v>2.1</v>
      </c>
      <c r="B202" s="1161" t="s">
        <v>322</v>
      </c>
      <c r="C202" s="1162"/>
      <c r="D202" s="1162"/>
      <c r="E202" s="1162"/>
      <c r="F202" s="1162"/>
      <c r="G202" s="1199"/>
      <c r="H202" s="1268" t="str">
        <f t="shared" ref="H202" si="189">IF(ISBLANK(D$5),"",1)</f>
        <v/>
      </c>
      <c r="I202" s="1205" t="str">
        <f t="shared" ref="I202" si="190">IF(ISBLANK(H$5),"",1)</f>
        <v/>
      </c>
      <c r="J202" s="1205" t="str">
        <f t="shared" ref="J202" si="191">IF(ISBLANK(L$5),"",1)</f>
        <v/>
      </c>
      <c r="K202" s="1205" t="str">
        <f t="shared" ref="K202" si="192">IF(ISBLANK(P$5),"",1)</f>
        <v/>
      </c>
      <c r="L202" s="1205" t="str">
        <f t="shared" ref="L202" si="193">IF(ISBLANK(T$5),"",1)</f>
        <v/>
      </c>
      <c r="M202" s="1248" t="str">
        <f t="shared" ref="M202" si="194">IF(ISBLANK(X$5),"",1)</f>
        <v/>
      </c>
      <c r="N202" s="1301">
        <v>4.4000000000000004</v>
      </c>
      <c r="O202" s="1161" t="s">
        <v>400</v>
      </c>
      <c r="P202" s="1162"/>
      <c r="Q202" s="1162"/>
      <c r="R202" s="1162"/>
      <c r="S202" s="1162"/>
      <c r="T202" s="1199"/>
      <c r="U202" s="1399" t="str">
        <f>IF(ISBLANK(D$5),"",1)</f>
        <v/>
      </c>
      <c r="V202" s="1258">
        <v>4.3</v>
      </c>
      <c r="W202" s="1161" t="s">
        <v>388</v>
      </c>
      <c r="X202" s="1162"/>
      <c r="Y202" s="1162"/>
      <c r="Z202" s="1162"/>
      <c r="AA202" s="1162"/>
      <c r="AB202" s="1199"/>
      <c r="AC202" s="1399" t="str">
        <f>IF(ISBLANK(H$5),"",1)</f>
        <v/>
      </c>
      <c r="AD202" s="1258">
        <v>4.3</v>
      </c>
      <c r="AE202" s="1198" t="s">
        <v>388</v>
      </c>
      <c r="AF202" s="1162"/>
      <c r="AG202" s="1162"/>
      <c r="AH202" s="1162"/>
      <c r="AI202" s="1162"/>
      <c r="AJ202" s="1199"/>
      <c r="AK202" s="1226" t="str">
        <f>IF(ISBLANK(L$5),"",1)</f>
        <v/>
      </c>
      <c r="AL202" s="1196">
        <v>4.3</v>
      </c>
      <c r="AM202" s="1198" t="s">
        <v>388</v>
      </c>
      <c r="AN202" s="1162"/>
      <c r="AO202" s="1162"/>
      <c r="AP202" s="1162"/>
      <c r="AQ202" s="1162"/>
      <c r="AR202" s="1199"/>
      <c r="AS202" s="1226" t="str">
        <f>IF(ISBLANK(P$5),"",1)</f>
        <v/>
      </c>
      <c r="AT202" s="1258">
        <v>4.3</v>
      </c>
      <c r="AU202" s="1198" t="s">
        <v>388</v>
      </c>
      <c r="AV202" s="1162"/>
      <c r="AW202" s="1162"/>
      <c r="AX202" s="1162"/>
      <c r="AY202" s="1162"/>
      <c r="AZ202" s="1199"/>
      <c r="BA202" s="1226" t="str">
        <f>IF(ISBLANK(T$5),"",1)</f>
        <v/>
      </c>
      <c r="BB202" s="1258">
        <v>4.3</v>
      </c>
      <c r="BC202" s="1198" t="s">
        <v>388</v>
      </c>
      <c r="BD202" s="1162"/>
      <c r="BE202" s="1162"/>
      <c r="BF202" s="1162"/>
      <c r="BG202" s="1162"/>
      <c r="BH202" s="1199"/>
      <c r="BI202" s="1226" t="str">
        <f>IF(ISBLANK(X$5),"",1)</f>
        <v/>
      </c>
      <c r="BJ202" s="1337"/>
      <c r="BK202" s="1338"/>
      <c r="BL202" s="1338"/>
      <c r="BM202" s="1338"/>
      <c r="BN202" s="1338"/>
      <c r="BO202" s="1339"/>
    </row>
    <row r="203" spans="1:67" ht="15" customHeight="1">
      <c r="A203" s="1290"/>
      <c r="B203" s="1163"/>
      <c r="C203" s="1164"/>
      <c r="D203" s="1164"/>
      <c r="E203" s="1164"/>
      <c r="F203" s="1164"/>
      <c r="G203" s="1201"/>
      <c r="H203" s="1269"/>
      <c r="I203" s="1206"/>
      <c r="J203" s="1206"/>
      <c r="K203" s="1206"/>
      <c r="L203" s="1206"/>
      <c r="M203" s="1206"/>
      <c r="N203" s="1302"/>
      <c r="O203" s="1163"/>
      <c r="P203" s="1164"/>
      <c r="Q203" s="1164"/>
      <c r="R203" s="1164"/>
      <c r="S203" s="1164"/>
      <c r="T203" s="1201"/>
      <c r="U203" s="1269"/>
      <c r="V203" s="1258"/>
      <c r="W203" s="1163"/>
      <c r="X203" s="1164"/>
      <c r="Y203" s="1164"/>
      <c r="Z203" s="1164"/>
      <c r="AA203" s="1164"/>
      <c r="AB203" s="1201"/>
      <c r="AC203" s="1269"/>
      <c r="AD203" s="1258"/>
      <c r="AE203" s="1200"/>
      <c r="AF203" s="1164"/>
      <c r="AG203" s="1164"/>
      <c r="AH203" s="1164"/>
      <c r="AI203" s="1164"/>
      <c r="AJ203" s="1201"/>
      <c r="AK203" s="1342"/>
      <c r="AL203" s="1197"/>
      <c r="AM203" s="1200"/>
      <c r="AN203" s="1164"/>
      <c r="AO203" s="1164"/>
      <c r="AP203" s="1164"/>
      <c r="AQ203" s="1164"/>
      <c r="AR203" s="1201"/>
      <c r="AS203" s="1342"/>
      <c r="AT203" s="1258"/>
      <c r="AU203" s="1200"/>
      <c r="AV203" s="1164"/>
      <c r="AW203" s="1164"/>
      <c r="AX203" s="1164"/>
      <c r="AY203" s="1164"/>
      <c r="AZ203" s="1201"/>
      <c r="BA203" s="1342"/>
      <c r="BB203" s="1258"/>
      <c r="BC203" s="1200"/>
      <c r="BD203" s="1164"/>
      <c r="BE203" s="1164"/>
      <c r="BF203" s="1164"/>
      <c r="BG203" s="1164"/>
      <c r="BH203" s="1201"/>
      <c r="BI203" s="1342"/>
      <c r="BJ203" s="1337"/>
      <c r="BK203" s="1338"/>
      <c r="BL203" s="1338"/>
      <c r="BM203" s="1338"/>
      <c r="BN203" s="1338"/>
      <c r="BO203" s="1339"/>
    </row>
    <row r="204" spans="1:67" ht="15" customHeight="1">
      <c r="A204" s="1291"/>
      <c r="B204" s="1165"/>
      <c r="C204" s="1166"/>
      <c r="D204" s="1166"/>
      <c r="E204" s="1166"/>
      <c r="F204" s="1166"/>
      <c r="G204" s="1292"/>
      <c r="H204" s="1270"/>
      <c r="I204" s="1207"/>
      <c r="J204" s="1207"/>
      <c r="K204" s="1207"/>
      <c r="L204" s="1207"/>
      <c r="M204" s="1207"/>
      <c r="N204" s="1303"/>
      <c r="O204" s="1165"/>
      <c r="P204" s="1166"/>
      <c r="Q204" s="1166"/>
      <c r="R204" s="1166"/>
      <c r="S204" s="1166"/>
      <c r="T204" s="1292"/>
      <c r="U204" s="1270"/>
      <c r="V204" s="1258"/>
      <c r="W204" s="1165"/>
      <c r="X204" s="1166"/>
      <c r="Y204" s="1166"/>
      <c r="Z204" s="1166"/>
      <c r="AA204" s="1166"/>
      <c r="AB204" s="1292"/>
      <c r="AC204" s="1270"/>
      <c r="AD204" s="1258"/>
      <c r="AE204" s="1202"/>
      <c r="AF204" s="1203"/>
      <c r="AG204" s="1203"/>
      <c r="AH204" s="1203"/>
      <c r="AI204" s="1203"/>
      <c r="AJ204" s="1204"/>
      <c r="AK204" s="1342"/>
      <c r="AL204" s="1197"/>
      <c r="AM204" s="1202"/>
      <c r="AN204" s="1203"/>
      <c r="AO204" s="1203"/>
      <c r="AP204" s="1203"/>
      <c r="AQ204" s="1203"/>
      <c r="AR204" s="1204"/>
      <c r="AS204" s="1342"/>
      <c r="AT204" s="1258"/>
      <c r="AU204" s="1202"/>
      <c r="AV204" s="1203"/>
      <c r="AW204" s="1203"/>
      <c r="AX204" s="1203"/>
      <c r="AY204" s="1203"/>
      <c r="AZ204" s="1204"/>
      <c r="BA204" s="1342"/>
      <c r="BB204" s="1258"/>
      <c r="BC204" s="1202"/>
      <c r="BD204" s="1203"/>
      <c r="BE204" s="1203"/>
      <c r="BF204" s="1203"/>
      <c r="BG204" s="1203"/>
      <c r="BH204" s="1204"/>
      <c r="BI204" s="1342"/>
      <c r="BJ204" s="1337"/>
      <c r="BK204" s="1338"/>
      <c r="BL204" s="1338"/>
      <c r="BM204" s="1338"/>
      <c r="BN204" s="1338"/>
      <c r="BO204" s="1339"/>
    </row>
    <row r="205" spans="1:67" ht="15" customHeight="1">
      <c r="A205" s="1307">
        <v>1.1000000000000001</v>
      </c>
      <c r="B205" s="1161" t="s">
        <v>940</v>
      </c>
      <c r="C205" s="1162"/>
      <c r="D205" s="1162"/>
      <c r="E205" s="1162"/>
      <c r="F205" s="1162"/>
      <c r="G205" s="1199"/>
      <c r="H205" s="1268" t="str">
        <f t="shared" ref="H205" si="195">IF(ISBLANK(D$5),"",1)</f>
        <v/>
      </c>
      <c r="I205" s="1205" t="str">
        <f t="shared" ref="I205" si="196">IF(ISBLANK(H$5),"",1)</f>
        <v/>
      </c>
      <c r="J205" s="1205" t="str">
        <f t="shared" ref="J205" si="197">IF(ISBLANK(L$5),"",1)</f>
        <v/>
      </c>
      <c r="K205" s="1205" t="str">
        <f t="shared" ref="K205" si="198">IF(ISBLANK(P$5),"",1)</f>
        <v/>
      </c>
      <c r="L205" s="1205" t="str">
        <f t="shared" ref="L205" si="199">IF(ISBLANK(T$5),"",1)</f>
        <v/>
      </c>
      <c r="M205" s="1248" t="str">
        <f t="shared" ref="M205" si="200">IF(ISBLANK(X$5),"",1)</f>
        <v/>
      </c>
      <c r="N205" s="1301">
        <v>4.4000000000000004</v>
      </c>
      <c r="O205" s="1161" t="s">
        <v>401</v>
      </c>
      <c r="P205" s="1162"/>
      <c r="Q205" s="1162"/>
      <c r="R205" s="1162"/>
      <c r="S205" s="1162"/>
      <c r="T205" s="1199"/>
      <c r="U205" s="1399" t="str">
        <f>IF(ISBLANK(D$5),"",1)</f>
        <v/>
      </c>
      <c r="V205" s="1258">
        <v>4.4000000000000004</v>
      </c>
      <c r="W205" s="1161" t="s">
        <v>407</v>
      </c>
      <c r="X205" s="1162"/>
      <c r="Y205" s="1162"/>
      <c r="Z205" s="1162"/>
      <c r="AA205" s="1162"/>
      <c r="AB205" s="1199"/>
      <c r="AC205" s="1399" t="str">
        <f>IF(ISBLANK(H$5),"",1)</f>
        <v/>
      </c>
      <c r="AD205" s="1258">
        <v>4.3</v>
      </c>
      <c r="AE205" s="1198" t="s">
        <v>390</v>
      </c>
      <c r="AF205" s="1162"/>
      <c r="AG205" s="1162"/>
      <c r="AH205" s="1162"/>
      <c r="AI205" s="1162"/>
      <c r="AJ205" s="1199"/>
      <c r="AK205" s="1226" t="str">
        <f>IF(ISBLANK(L$5),"",1)</f>
        <v/>
      </c>
      <c r="AL205" s="1304">
        <v>4.4000000000000004</v>
      </c>
      <c r="AM205" s="1198" t="s">
        <v>407</v>
      </c>
      <c r="AN205" s="1162"/>
      <c r="AO205" s="1162"/>
      <c r="AP205" s="1162"/>
      <c r="AQ205" s="1162"/>
      <c r="AR205" s="1199"/>
      <c r="AS205" s="1226" t="str">
        <f>IF(ISBLANK(P$5),"",1)</f>
        <v/>
      </c>
      <c r="AT205" s="1258">
        <v>4.3</v>
      </c>
      <c r="AU205" s="1198" t="s">
        <v>390</v>
      </c>
      <c r="AV205" s="1162"/>
      <c r="AW205" s="1162"/>
      <c r="AX205" s="1162"/>
      <c r="AY205" s="1162"/>
      <c r="AZ205" s="1199"/>
      <c r="BA205" s="1226" t="str">
        <f>IF(ISBLANK(T$5),"",1)</f>
        <v/>
      </c>
      <c r="BB205" s="1258">
        <v>4.3</v>
      </c>
      <c r="BC205" s="1198" t="s">
        <v>390</v>
      </c>
      <c r="BD205" s="1162"/>
      <c r="BE205" s="1162"/>
      <c r="BF205" s="1162"/>
      <c r="BG205" s="1162"/>
      <c r="BH205" s="1199"/>
      <c r="BI205" s="1226" t="str">
        <f>IF(ISBLANK(X$5),"",1)</f>
        <v/>
      </c>
      <c r="BJ205" s="1337"/>
      <c r="BK205" s="1338"/>
      <c r="BL205" s="1338"/>
      <c r="BM205" s="1338"/>
      <c r="BN205" s="1338"/>
      <c r="BO205" s="1339"/>
    </row>
    <row r="206" spans="1:67" ht="15" customHeight="1">
      <c r="A206" s="1308"/>
      <c r="B206" s="1163"/>
      <c r="C206" s="1164"/>
      <c r="D206" s="1164"/>
      <c r="E206" s="1164"/>
      <c r="F206" s="1164"/>
      <c r="G206" s="1201"/>
      <c r="H206" s="1269"/>
      <c r="I206" s="1206"/>
      <c r="J206" s="1206"/>
      <c r="K206" s="1206"/>
      <c r="L206" s="1206"/>
      <c r="M206" s="1206"/>
      <c r="N206" s="1302"/>
      <c r="O206" s="1163"/>
      <c r="P206" s="1164"/>
      <c r="Q206" s="1164"/>
      <c r="R206" s="1164"/>
      <c r="S206" s="1164"/>
      <c r="T206" s="1201"/>
      <c r="U206" s="1269"/>
      <c r="V206" s="1258"/>
      <c r="W206" s="1163"/>
      <c r="X206" s="1164"/>
      <c r="Y206" s="1164"/>
      <c r="Z206" s="1164"/>
      <c r="AA206" s="1164"/>
      <c r="AB206" s="1201"/>
      <c r="AC206" s="1269"/>
      <c r="AD206" s="1258"/>
      <c r="AE206" s="1200"/>
      <c r="AF206" s="1164"/>
      <c r="AG206" s="1164"/>
      <c r="AH206" s="1164"/>
      <c r="AI206" s="1164"/>
      <c r="AJ206" s="1201"/>
      <c r="AK206" s="1342"/>
      <c r="AL206" s="1290"/>
      <c r="AM206" s="1200"/>
      <c r="AN206" s="1164"/>
      <c r="AO206" s="1164"/>
      <c r="AP206" s="1164"/>
      <c r="AQ206" s="1164"/>
      <c r="AR206" s="1201"/>
      <c r="AS206" s="1342"/>
      <c r="AT206" s="1258"/>
      <c r="AU206" s="1200"/>
      <c r="AV206" s="1164"/>
      <c r="AW206" s="1164"/>
      <c r="AX206" s="1164"/>
      <c r="AY206" s="1164"/>
      <c r="AZ206" s="1201"/>
      <c r="BA206" s="1342"/>
      <c r="BB206" s="1258"/>
      <c r="BC206" s="1200"/>
      <c r="BD206" s="1164"/>
      <c r="BE206" s="1164"/>
      <c r="BF206" s="1164"/>
      <c r="BG206" s="1164"/>
      <c r="BH206" s="1201"/>
      <c r="BI206" s="1342"/>
      <c r="BJ206" s="1337"/>
      <c r="BK206" s="1338"/>
      <c r="BL206" s="1338"/>
      <c r="BM206" s="1338"/>
      <c r="BN206" s="1338"/>
      <c r="BO206" s="1339"/>
    </row>
    <row r="207" spans="1:67" ht="15" customHeight="1">
      <c r="A207" s="1309"/>
      <c r="B207" s="1165"/>
      <c r="C207" s="1166"/>
      <c r="D207" s="1166"/>
      <c r="E207" s="1166"/>
      <c r="F207" s="1166"/>
      <c r="G207" s="1292"/>
      <c r="H207" s="1270"/>
      <c r="I207" s="1207"/>
      <c r="J207" s="1207"/>
      <c r="K207" s="1207"/>
      <c r="L207" s="1207"/>
      <c r="M207" s="1207"/>
      <c r="N207" s="1303"/>
      <c r="O207" s="1165"/>
      <c r="P207" s="1166"/>
      <c r="Q207" s="1166"/>
      <c r="R207" s="1166"/>
      <c r="S207" s="1166"/>
      <c r="T207" s="1292"/>
      <c r="U207" s="1270"/>
      <c r="V207" s="1258"/>
      <c r="W207" s="1165"/>
      <c r="X207" s="1166"/>
      <c r="Y207" s="1166"/>
      <c r="Z207" s="1166"/>
      <c r="AA207" s="1166"/>
      <c r="AB207" s="1292"/>
      <c r="AC207" s="1270"/>
      <c r="AD207" s="1258"/>
      <c r="AE207" s="1202"/>
      <c r="AF207" s="1203"/>
      <c r="AG207" s="1203"/>
      <c r="AH207" s="1203"/>
      <c r="AI207" s="1203"/>
      <c r="AJ207" s="1204"/>
      <c r="AK207" s="1342"/>
      <c r="AL207" s="1291"/>
      <c r="AM207" s="1202"/>
      <c r="AN207" s="1203"/>
      <c r="AO207" s="1203"/>
      <c r="AP207" s="1203"/>
      <c r="AQ207" s="1203"/>
      <c r="AR207" s="1204"/>
      <c r="AS207" s="1342"/>
      <c r="AT207" s="1258"/>
      <c r="AU207" s="1202"/>
      <c r="AV207" s="1203"/>
      <c r="AW207" s="1203"/>
      <c r="AX207" s="1203"/>
      <c r="AY207" s="1203"/>
      <c r="AZ207" s="1204"/>
      <c r="BA207" s="1342"/>
      <c r="BB207" s="1258"/>
      <c r="BC207" s="1202"/>
      <c r="BD207" s="1203"/>
      <c r="BE207" s="1203"/>
      <c r="BF207" s="1203"/>
      <c r="BG207" s="1203"/>
      <c r="BH207" s="1204"/>
      <c r="BI207" s="1342"/>
      <c r="BJ207" s="1337"/>
      <c r="BK207" s="1338"/>
      <c r="BL207" s="1338"/>
      <c r="BM207" s="1338"/>
      <c r="BN207" s="1338"/>
      <c r="BO207" s="1339"/>
    </row>
    <row r="208" spans="1:67" ht="15" customHeight="1">
      <c r="A208" s="1307">
        <v>1.1000000000000001</v>
      </c>
      <c r="B208" s="1161" t="s">
        <v>330</v>
      </c>
      <c r="C208" s="1162"/>
      <c r="D208" s="1162"/>
      <c r="E208" s="1162"/>
      <c r="F208" s="1162"/>
      <c r="G208" s="1199"/>
      <c r="H208" s="1268" t="str">
        <f t="shared" ref="H208" si="201">IF(ISBLANK(D$5),"",1)</f>
        <v/>
      </c>
      <c r="I208" s="1205" t="str">
        <f t="shared" ref="I208" si="202">IF(ISBLANK(H$5),"",1)</f>
        <v/>
      </c>
      <c r="J208" s="1205" t="str">
        <f t="shared" ref="J208" si="203">IF(ISBLANK(L$5),"",1)</f>
        <v/>
      </c>
      <c r="K208" s="1205" t="str">
        <f t="shared" ref="K208" si="204">IF(ISBLANK(P$5),"",1)</f>
        <v/>
      </c>
      <c r="L208" s="1205" t="str">
        <f t="shared" ref="L208" si="205">IF(ISBLANK(T$5),"",1)</f>
        <v/>
      </c>
      <c r="M208" s="1248" t="str">
        <f t="shared" ref="M208" si="206">IF(ISBLANK(X$5),"",1)</f>
        <v/>
      </c>
      <c r="N208" s="1304">
        <v>4.4000000000000004</v>
      </c>
      <c r="O208" s="1161" t="s">
        <v>402</v>
      </c>
      <c r="P208" s="1162"/>
      <c r="Q208" s="1162"/>
      <c r="R208" s="1162"/>
      <c r="S208" s="1162"/>
      <c r="T208" s="1199"/>
      <c r="U208" s="1399" t="str">
        <f>IF(ISBLANK(D$5),"",1)</f>
        <v/>
      </c>
      <c r="V208" s="1258">
        <v>4.4000000000000004</v>
      </c>
      <c r="W208" s="1161" t="s">
        <v>393</v>
      </c>
      <c r="X208" s="1162"/>
      <c r="Y208" s="1162"/>
      <c r="Z208" s="1162"/>
      <c r="AA208" s="1162"/>
      <c r="AB208" s="1199"/>
      <c r="AC208" s="1399" t="str">
        <f>IF(ISBLANK(H$5),"",1)</f>
        <v/>
      </c>
      <c r="AD208" s="1258">
        <v>4.4000000000000004</v>
      </c>
      <c r="AE208" s="1198" t="s">
        <v>415</v>
      </c>
      <c r="AF208" s="1162"/>
      <c r="AG208" s="1162"/>
      <c r="AH208" s="1162"/>
      <c r="AI208" s="1162"/>
      <c r="AJ208" s="1199"/>
      <c r="AK208" s="1226" t="str">
        <f>IF(ISBLANK(L$5),"",1)</f>
        <v/>
      </c>
      <c r="AL208" s="1304">
        <v>4.4000000000000004</v>
      </c>
      <c r="AM208" s="1198" t="s">
        <v>393</v>
      </c>
      <c r="AN208" s="1162"/>
      <c r="AO208" s="1162"/>
      <c r="AP208" s="1162"/>
      <c r="AQ208" s="1162"/>
      <c r="AR208" s="1199"/>
      <c r="AS208" s="1226" t="str">
        <f>IF(ISBLANK(P$5),"",1)</f>
        <v/>
      </c>
      <c r="AT208" s="1258">
        <v>4.4000000000000004</v>
      </c>
      <c r="AU208" s="1198" t="s">
        <v>892</v>
      </c>
      <c r="AV208" s="1162"/>
      <c r="AW208" s="1162"/>
      <c r="AX208" s="1162"/>
      <c r="AY208" s="1162"/>
      <c r="AZ208" s="1199"/>
      <c r="BA208" s="1226" t="str">
        <f>IF(ISBLANK(T$5),"",1)</f>
        <v/>
      </c>
      <c r="BB208" s="1258">
        <v>4.4000000000000004</v>
      </c>
      <c r="BC208" s="1198" t="s">
        <v>892</v>
      </c>
      <c r="BD208" s="1162"/>
      <c r="BE208" s="1162"/>
      <c r="BF208" s="1162"/>
      <c r="BG208" s="1162"/>
      <c r="BH208" s="1199"/>
      <c r="BI208" s="1226" t="str">
        <f>IF(ISBLANK(X$5),"",1)</f>
        <v/>
      </c>
      <c r="BJ208" s="1337"/>
      <c r="BK208" s="1338"/>
      <c r="BL208" s="1338"/>
      <c r="BM208" s="1338"/>
      <c r="BN208" s="1338"/>
      <c r="BO208" s="1339"/>
    </row>
    <row r="209" spans="1:67" ht="15" customHeight="1">
      <c r="A209" s="1308"/>
      <c r="B209" s="1163"/>
      <c r="C209" s="1164"/>
      <c r="D209" s="1164"/>
      <c r="E209" s="1164"/>
      <c r="F209" s="1164"/>
      <c r="G209" s="1201"/>
      <c r="H209" s="1269"/>
      <c r="I209" s="1206"/>
      <c r="J209" s="1206"/>
      <c r="K209" s="1206"/>
      <c r="L209" s="1206"/>
      <c r="M209" s="1206"/>
      <c r="N209" s="1290"/>
      <c r="O209" s="1163"/>
      <c r="P209" s="1164"/>
      <c r="Q209" s="1164"/>
      <c r="R209" s="1164"/>
      <c r="S209" s="1164"/>
      <c r="T209" s="1201"/>
      <c r="U209" s="1269"/>
      <c r="V209" s="1258"/>
      <c r="W209" s="1163"/>
      <c r="X209" s="1164"/>
      <c r="Y209" s="1164"/>
      <c r="Z209" s="1164"/>
      <c r="AA209" s="1164"/>
      <c r="AB209" s="1201"/>
      <c r="AC209" s="1269"/>
      <c r="AD209" s="1258"/>
      <c r="AE209" s="1200"/>
      <c r="AF209" s="1164"/>
      <c r="AG209" s="1164"/>
      <c r="AH209" s="1164"/>
      <c r="AI209" s="1164"/>
      <c r="AJ209" s="1201"/>
      <c r="AK209" s="1342"/>
      <c r="AL209" s="1290"/>
      <c r="AM209" s="1200"/>
      <c r="AN209" s="1164"/>
      <c r="AO209" s="1164"/>
      <c r="AP209" s="1164"/>
      <c r="AQ209" s="1164"/>
      <c r="AR209" s="1201"/>
      <c r="AS209" s="1342"/>
      <c r="AT209" s="1258"/>
      <c r="AU209" s="1200"/>
      <c r="AV209" s="1164"/>
      <c r="AW209" s="1164"/>
      <c r="AX209" s="1164"/>
      <c r="AY209" s="1164"/>
      <c r="AZ209" s="1201"/>
      <c r="BA209" s="1342"/>
      <c r="BB209" s="1258"/>
      <c r="BC209" s="1200"/>
      <c r="BD209" s="1164"/>
      <c r="BE209" s="1164"/>
      <c r="BF209" s="1164"/>
      <c r="BG209" s="1164"/>
      <c r="BH209" s="1201"/>
      <c r="BI209" s="1342"/>
      <c r="BJ209" s="1337"/>
      <c r="BK209" s="1338"/>
      <c r="BL209" s="1338"/>
      <c r="BM209" s="1338"/>
      <c r="BN209" s="1338"/>
      <c r="BO209" s="1339"/>
    </row>
    <row r="210" spans="1:67" ht="15" customHeight="1">
      <c r="A210" s="1309"/>
      <c r="B210" s="1165"/>
      <c r="C210" s="1166"/>
      <c r="D210" s="1166"/>
      <c r="E210" s="1166"/>
      <c r="F210" s="1166"/>
      <c r="G210" s="1292"/>
      <c r="H210" s="1270"/>
      <c r="I210" s="1207"/>
      <c r="J210" s="1207"/>
      <c r="K210" s="1207"/>
      <c r="L210" s="1207"/>
      <c r="M210" s="1207"/>
      <c r="N210" s="1291"/>
      <c r="O210" s="1165"/>
      <c r="P210" s="1166"/>
      <c r="Q210" s="1166"/>
      <c r="R210" s="1166"/>
      <c r="S210" s="1166"/>
      <c r="T210" s="1292"/>
      <c r="U210" s="1270"/>
      <c r="V210" s="1258"/>
      <c r="W210" s="1165"/>
      <c r="X210" s="1166"/>
      <c r="Y210" s="1166"/>
      <c r="Z210" s="1166"/>
      <c r="AA210" s="1166"/>
      <c r="AB210" s="1292"/>
      <c r="AC210" s="1270"/>
      <c r="AD210" s="1258"/>
      <c r="AE210" s="1202"/>
      <c r="AF210" s="1203"/>
      <c r="AG210" s="1203"/>
      <c r="AH210" s="1203"/>
      <c r="AI210" s="1203"/>
      <c r="AJ210" s="1204"/>
      <c r="AK210" s="1342"/>
      <c r="AL210" s="1291"/>
      <c r="AM210" s="1202"/>
      <c r="AN210" s="1203"/>
      <c r="AO210" s="1203"/>
      <c r="AP210" s="1203"/>
      <c r="AQ210" s="1203"/>
      <c r="AR210" s="1204"/>
      <c r="AS210" s="1342"/>
      <c r="AT210" s="1258"/>
      <c r="AU210" s="1202"/>
      <c r="AV210" s="1203"/>
      <c r="AW210" s="1203"/>
      <c r="AX210" s="1203"/>
      <c r="AY210" s="1203"/>
      <c r="AZ210" s="1204"/>
      <c r="BA210" s="1342"/>
      <c r="BB210" s="1258"/>
      <c r="BC210" s="1202"/>
      <c r="BD210" s="1203"/>
      <c r="BE210" s="1203"/>
      <c r="BF210" s="1203"/>
      <c r="BG210" s="1203"/>
      <c r="BH210" s="1204"/>
      <c r="BI210" s="1342"/>
      <c r="BJ210" s="1337"/>
      <c r="BK210" s="1338"/>
      <c r="BL210" s="1338"/>
      <c r="BM210" s="1338"/>
      <c r="BN210" s="1338"/>
      <c r="BO210" s="1339"/>
    </row>
    <row r="211" spans="1:67" ht="15" customHeight="1">
      <c r="A211" s="1304">
        <v>1.5</v>
      </c>
      <c r="B211" s="1161" t="s">
        <v>336</v>
      </c>
      <c r="C211" s="1162"/>
      <c r="D211" s="1162"/>
      <c r="E211" s="1162"/>
      <c r="F211" s="1162"/>
      <c r="G211" s="1199"/>
      <c r="H211" s="1268" t="str">
        <f t="shared" ref="H211" si="207">IF(ISBLANK(D$5),"",1)</f>
        <v/>
      </c>
      <c r="I211" s="1205" t="str">
        <f t="shared" ref="I211" si="208">IF(ISBLANK(H$5),"",1)</f>
        <v/>
      </c>
      <c r="J211" s="1205" t="str">
        <f t="shared" ref="J211" si="209">IF(ISBLANK(L$5),"",1)</f>
        <v/>
      </c>
      <c r="K211" s="1205" t="str">
        <f t="shared" ref="K211" si="210">IF(ISBLANK(P$5),"",1)</f>
        <v/>
      </c>
      <c r="L211" s="1205" t="str">
        <f t="shared" ref="L211" si="211">IF(ISBLANK(T$5),"",1)</f>
        <v/>
      </c>
      <c r="M211" s="1248" t="str">
        <f t="shared" ref="M211" si="212">IF(ISBLANK(X$5),"",1)</f>
        <v/>
      </c>
      <c r="N211" s="1304">
        <v>4.4000000000000004</v>
      </c>
      <c r="O211" s="1161" t="s">
        <v>403</v>
      </c>
      <c r="P211" s="1162"/>
      <c r="Q211" s="1162"/>
      <c r="R211" s="1162"/>
      <c r="S211" s="1162"/>
      <c r="T211" s="1199"/>
      <c r="U211" s="1399" t="str">
        <f>IF(ISBLANK(D$5),"",1)</f>
        <v/>
      </c>
      <c r="V211" s="1304">
        <v>4.4000000000000004</v>
      </c>
      <c r="W211" s="1161" t="s">
        <v>359</v>
      </c>
      <c r="X211" s="1162"/>
      <c r="Y211" s="1162"/>
      <c r="Z211" s="1162"/>
      <c r="AA211" s="1162"/>
      <c r="AB211" s="1199"/>
      <c r="AC211" s="1399" t="str">
        <f>IF(ISBLANK(H$5),"",1)</f>
        <v/>
      </c>
      <c r="AD211" s="1304">
        <v>4.3</v>
      </c>
      <c r="AE211" s="1310" t="s">
        <v>879</v>
      </c>
      <c r="AF211" s="1311"/>
      <c r="AG211" s="1311"/>
      <c r="AH211" s="1311"/>
      <c r="AI211" s="1311"/>
      <c r="AJ211" s="1316"/>
      <c r="AK211" s="1226" t="str">
        <f>IF(ISBLANK(L$5),"",1)</f>
        <v/>
      </c>
      <c r="AL211" s="1196">
        <v>4.4000000000000004</v>
      </c>
      <c r="AM211" s="1198" t="s">
        <v>890</v>
      </c>
      <c r="AN211" s="1162"/>
      <c r="AO211" s="1162"/>
      <c r="AP211" s="1162"/>
      <c r="AQ211" s="1162"/>
      <c r="AR211" s="1199"/>
      <c r="AS211" s="1226" t="str">
        <f>IF(ISBLANK(P$5),"",1)</f>
        <v/>
      </c>
      <c r="AT211" s="1258">
        <v>4.3</v>
      </c>
      <c r="AU211" s="1198" t="s">
        <v>879</v>
      </c>
      <c r="AV211" s="1162"/>
      <c r="AW211" s="1162"/>
      <c r="AX211" s="1162"/>
      <c r="AY211" s="1162"/>
      <c r="AZ211" s="1199"/>
      <c r="BA211" s="1226" t="str">
        <f>IF(ISBLANK(T$5),"",1)</f>
        <v/>
      </c>
      <c r="BB211" s="1258">
        <v>4.3</v>
      </c>
      <c r="BC211" s="1198" t="s">
        <v>879</v>
      </c>
      <c r="BD211" s="1162"/>
      <c r="BE211" s="1162"/>
      <c r="BF211" s="1162"/>
      <c r="BG211" s="1162"/>
      <c r="BH211" s="1199"/>
      <c r="BI211" s="1226" t="str">
        <f>IF(ISBLANK(X$5),"",1)</f>
        <v/>
      </c>
      <c r="BJ211" s="1337"/>
      <c r="BK211" s="1338"/>
      <c r="BL211" s="1338"/>
      <c r="BM211" s="1338"/>
      <c r="BN211" s="1338"/>
      <c r="BO211" s="1339"/>
    </row>
    <row r="212" spans="1:67" ht="15" customHeight="1">
      <c r="A212" s="1290"/>
      <c r="B212" s="1163"/>
      <c r="C212" s="1164"/>
      <c r="D212" s="1164"/>
      <c r="E212" s="1164"/>
      <c r="F212" s="1164"/>
      <c r="G212" s="1201"/>
      <c r="H212" s="1269"/>
      <c r="I212" s="1206"/>
      <c r="J212" s="1206"/>
      <c r="K212" s="1206"/>
      <c r="L212" s="1206"/>
      <c r="M212" s="1206"/>
      <c r="N212" s="1290"/>
      <c r="O212" s="1163"/>
      <c r="P212" s="1164"/>
      <c r="Q212" s="1164"/>
      <c r="R212" s="1164"/>
      <c r="S212" s="1164"/>
      <c r="T212" s="1201"/>
      <c r="U212" s="1269"/>
      <c r="V212" s="1290"/>
      <c r="W212" s="1163"/>
      <c r="X212" s="1164"/>
      <c r="Y212" s="1164"/>
      <c r="Z212" s="1164"/>
      <c r="AA212" s="1164"/>
      <c r="AB212" s="1201"/>
      <c r="AC212" s="1269"/>
      <c r="AD212" s="1290"/>
      <c r="AE212" s="1295"/>
      <c r="AF212" s="1296"/>
      <c r="AG212" s="1296"/>
      <c r="AH212" s="1296"/>
      <c r="AI212" s="1296"/>
      <c r="AJ212" s="1318"/>
      <c r="AK212" s="1342"/>
      <c r="AL212" s="1197"/>
      <c r="AM212" s="1200"/>
      <c r="AN212" s="1164"/>
      <c r="AO212" s="1164"/>
      <c r="AP212" s="1164"/>
      <c r="AQ212" s="1164"/>
      <c r="AR212" s="1201"/>
      <c r="AS212" s="1342"/>
      <c r="AT212" s="1258"/>
      <c r="AU212" s="1200"/>
      <c r="AV212" s="1164"/>
      <c r="AW212" s="1164"/>
      <c r="AX212" s="1164"/>
      <c r="AY212" s="1164"/>
      <c r="AZ212" s="1201"/>
      <c r="BA212" s="1342"/>
      <c r="BB212" s="1258"/>
      <c r="BC212" s="1200"/>
      <c r="BD212" s="1164"/>
      <c r="BE212" s="1164"/>
      <c r="BF212" s="1164"/>
      <c r="BG212" s="1164"/>
      <c r="BH212" s="1201"/>
      <c r="BI212" s="1342"/>
      <c r="BJ212" s="1337"/>
      <c r="BK212" s="1338"/>
      <c r="BL212" s="1338"/>
      <c r="BM212" s="1338"/>
      <c r="BN212" s="1338"/>
      <c r="BO212" s="1339"/>
    </row>
    <row r="213" spans="1:67" ht="15" customHeight="1">
      <c r="A213" s="1291"/>
      <c r="B213" s="1165"/>
      <c r="C213" s="1166"/>
      <c r="D213" s="1166"/>
      <c r="E213" s="1166"/>
      <c r="F213" s="1166"/>
      <c r="G213" s="1292"/>
      <c r="H213" s="1270"/>
      <c r="I213" s="1207"/>
      <c r="J213" s="1207"/>
      <c r="K213" s="1207"/>
      <c r="L213" s="1207"/>
      <c r="M213" s="1207"/>
      <c r="N213" s="1291"/>
      <c r="O213" s="1165"/>
      <c r="P213" s="1166"/>
      <c r="Q213" s="1166"/>
      <c r="R213" s="1166"/>
      <c r="S213" s="1166"/>
      <c r="T213" s="1292"/>
      <c r="U213" s="1270"/>
      <c r="V213" s="1291"/>
      <c r="W213" s="1165"/>
      <c r="X213" s="1166"/>
      <c r="Y213" s="1166"/>
      <c r="Z213" s="1166"/>
      <c r="AA213" s="1166"/>
      <c r="AB213" s="1292"/>
      <c r="AC213" s="1270"/>
      <c r="AD213" s="1291"/>
      <c r="AE213" s="1298"/>
      <c r="AF213" s="1299"/>
      <c r="AG213" s="1299"/>
      <c r="AH213" s="1299"/>
      <c r="AI213" s="1299"/>
      <c r="AJ213" s="1335"/>
      <c r="AK213" s="1342"/>
      <c r="AL213" s="1197"/>
      <c r="AM213" s="1202"/>
      <c r="AN213" s="1203"/>
      <c r="AO213" s="1203"/>
      <c r="AP213" s="1203"/>
      <c r="AQ213" s="1203"/>
      <c r="AR213" s="1204"/>
      <c r="AS213" s="1342"/>
      <c r="AT213" s="1258"/>
      <c r="AU213" s="1202"/>
      <c r="AV213" s="1203"/>
      <c r="AW213" s="1203"/>
      <c r="AX213" s="1203"/>
      <c r="AY213" s="1203"/>
      <c r="AZ213" s="1204"/>
      <c r="BA213" s="1342"/>
      <c r="BB213" s="1258"/>
      <c r="BC213" s="1202"/>
      <c r="BD213" s="1203"/>
      <c r="BE213" s="1203"/>
      <c r="BF213" s="1203"/>
      <c r="BG213" s="1203"/>
      <c r="BH213" s="1204"/>
      <c r="BI213" s="1342"/>
      <c r="BJ213" s="1337"/>
      <c r="BK213" s="1338"/>
      <c r="BL213" s="1338"/>
      <c r="BM213" s="1338"/>
      <c r="BN213" s="1338"/>
      <c r="BO213" s="1339"/>
    </row>
    <row r="214" spans="1:67" ht="15" customHeight="1">
      <c r="A214" s="1304">
        <v>2.1</v>
      </c>
      <c r="B214" s="1161" t="s">
        <v>360</v>
      </c>
      <c r="C214" s="1162"/>
      <c r="D214" s="1162"/>
      <c r="E214" s="1162"/>
      <c r="F214" s="1162"/>
      <c r="G214" s="1199"/>
      <c r="H214" s="1268" t="str">
        <f t="shared" ref="H214" si="213">IF(ISBLANK(D$5),"",1)</f>
        <v/>
      </c>
      <c r="I214" s="1205" t="str">
        <f t="shared" ref="I214" si="214">IF(ISBLANK(H$5),"",1)</f>
        <v/>
      </c>
      <c r="J214" s="1205" t="str">
        <f t="shared" ref="J214" si="215">IF(ISBLANK(L$5),"",1)</f>
        <v/>
      </c>
      <c r="K214" s="1205" t="str">
        <f t="shared" ref="K214" si="216">IF(ISBLANK(P$5),"",1)</f>
        <v/>
      </c>
      <c r="L214" s="1205" t="str">
        <f t="shared" ref="L214" si="217">IF(ISBLANK(T$5),"",1)</f>
        <v/>
      </c>
      <c r="M214" s="1248" t="str">
        <f t="shared" ref="M214" si="218">IF(ISBLANK(X$5),"",1)</f>
        <v/>
      </c>
      <c r="N214" s="1304">
        <v>4.4000000000000004</v>
      </c>
      <c r="O214" s="1161" t="s">
        <v>359</v>
      </c>
      <c r="P214" s="1162"/>
      <c r="Q214" s="1162"/>
      <c r="R214" s="1162"/>
      <c r="S214" s="1162"/>
      <c r="T214" s="1199"/>
      <c r="U214" s="1399" t="str">
        <f>IF(ISBLANK(D$5),"",1)</f>
        <v/>
      </c>
      <c r="V214" s="1322">
        <v>4.4000000000000004</v>
      </c>
      <c r="W214" s="1161" t="s">
        <v>395</v>
      </c>
      <c r="X214" s="1162"/>
      <c r="Y214" s="1162"/>
      <c r="Z214" s="1162"/>
      <c r="AA214" s="1162"/>
      <c r="AB214" s="1199"/>
      <c r="AC214" s="1399" t="str">
        <f>IF(ISBLANK(H$5),"",1)</f>
        <v/>
      </c>
      <c r="AD214" s="1258">
        <v>4.4000000000000004</v>
      </c>
      <c r="AE214" s="1198" t="s">
        <v>882</v>
      </c>
      <c r="AF214" s="1162"/>
      <c r="AG214" s="1162"/>
      <c r="AH214" s="1162"/>
      <c r="AI214" s="1162"/>
      <c r="AJ214" s="1199"/>
      <c r="AK214" s="1226" t="str">
        <f>IF(ISBLANK(L$5),"",1)</f>
        <v/>
      </c>
      <c r="AL214" s="1196">
        <v>4.4000000000000004</v>
      </c>
      <c r="AM214" s="1198" t="s">
        <v>886</v>
      </c>
      <c r="AN214" s="1162"/>
      <c r="AO214" s="1162"/>
      <c r="AP214" s="1162"/>
      <c r="AQ214" s="1162"/>
      <c r="AR214" s="1199"/>
      <c r="AS214" s="1226" t="str">
        <f>IF(ISBLANK(P$5),"",1)</f>
        <v/>
      </c>
      <c r="AT214" s="1258">
        <v>4.4000000000000004</v>
      </c>
      <c r="AU214" s="1198" t="s">
        <v>888</v>
      </c>
      <c r="AV214" s="1162"/>
      <c r="AW214" s="1162"/>
      <c r="AX214" s="1162"/>
      <c r="AY214" s="1162"/>
      <c r="AZ214" s="1199"/>
      <c r="BA214" s="1226" t="str">
        <f>IF(ISBLANK(T$5),"",1)</f>
        <v/>
      </c>
      <c r="BB214" s="1258">
        <v>4.4000000000000004</v>
      </c>
      <c r="BC214" s="1198" t="s">
        <v>889</v>
      </c>
      <c r="BD214" s="1162"/>
      <c r="BE214" s="1162"/>
      <c r="BF214" s="1162"/>
      <c r="BG214" s="1162"/>
      <c r="BH214" s="1199"/>
      <c r="BI214" s="1226" t="str">
        <f>IF(ISBLANK(X$5),"",1)</f>
        <v/>
      </c>
      <c r="BJ214" s="1337"/>
      <c r="BK214" s="1338"/>
      <c r="BL214" s="1338"/>
      <c r="BM214" s="1338"/>
      <c r="BN214" s="1338"/>
      <c r="BO214" s="1339"/>
    </row>
    <row r="215" spans="1:67" ht="15" customHeight="1">
      <c r="A215" s="1290"/>
      <c r="B215" s="1163"/>
      <c r="C215" s="1164"/>
      <c r="D215" s="1164"/>
      <c r="E215" s="1164"/>
      <c r="F215" s="1164"/>
      <c r="G215" s="1201"/>
      <c r="H215" s="1269"/>
      <c r="I215" s="1206"/>
      <c r="J215" s="1206"/>
      <c r="K215" s="1206"/>
      <c r="L215" s="1206"/>
      <c r="M215" s="1206"/>
      <c r="N215" s="1290"/>
      <c r="O215" s="1163"/>
      <c r="P215" s="1164"/>
      <c r="Q215" s="1164"/>
      <c r="R215" s="1164"/>
      <c r="S215" s="1164"/>
      <c r="T215" s="1201"/>
      <c r="U215" s="1269"/>
      <c r="V215" s="1293"/>
      <c r="W215" s="1163"/>
      <c r="X215" s="1164"/>
      <c r="Y215" s="1164"/>
      <c r="Z215" s="1164"/>
      <c r="AA215" s="1164"/>
      <c r="AB215" s="1201"/>
      <c r="AC215" s="1269"/>
      <c r="AD215" s="1258"/>
      <c r="AE215" s="1200"/>
      <c r="AF215" s="1164"/>
      <c r="AG215" s="1164"/>
      <c r="AH215" s="1164"/>
      <c r="AI215" s="1164"/>
      <c r="AJ215" s="1201"/>
      <c r="AK215" s="1342"/>
      <c r="AL215" s="1197"/>
      <c r="AM215" s="1200"/>
      <c r="AN215" s="1164"/>
      <c r="AO215" s="1164"/>
      <c r="AP215" s="1164"/>
      <c r="AQ215" s="1164"/>
      <c r="AR215" s="1201"/>
      <c r="AS215" s="1342"/>
      <c r="AT215" s="1258"/>
      <c r="AU215" s="1200"/>
      <c r="AV215" s="1164"/>
      <c r="AW215" s="1164"/>
      <c r="AX215" s="1164"/>
      <c r="AY215" s="1164"/>
      <c r="AZ215" s="1201"/>
      <c r="BA215" s="1342"/>
      <c r="BB215" s="1258"/>
      <c r="BC215" s="1200"/>
      <c r="BD215" s="1164"/>
      <c r="BE215" s="1164"/>
      <c r="BF215" s="1164"/>
      <c r="BG215" s="1164"/>
      <c r="BH215" s="1201"/>
      <c r="BI215" s="1342"/>
      <c r="BJ215" s="1337"/>
      <c r="BK215" s="1338"/>
      <c r="BL215" s="1338"/>
      <c r="BM215" s="1338"/>
      <c r="BN215" s="1338"/>
      <c r="BO215" s="1339"/>
    </row>
    <row r="216" spans="1:67" ht="15" customHeight="1">
      <c r="A216" s="1291"/>
      <c r="B216" s="1165"/>
      <c r="C216" s="1166"/>
      <c r="D216" s="1166"/>
      <c r="E216" s="1166"/>
      <c r="F216" s="1166"/>
      <c r="G216" s="1292"/>
      <c r="H216" s="1270"/>
      <c r="I216" s="1207"/>
      <c r="J216" s="1207"/>
      <c r="K216" s="1207"/>
      <c r="L216" s="1207"/>
      <c r="M216" s="1207"/>
      <c r="N216" s="1291"/>
      <c r="O216" s="1165"/>
      <c r="P216" s="1166"/>
      <c r="Q216" s="1166"/>
      <c r="R216" s="1166"/>
      <c r="S216" s="1166"/>
      <c r="T216" s="1292"/>
      <c r="U216" s="1270"/>
      <c r="V216" s="1294"/>
      <c r="W216" s="1165"/>
      <c r="X216" s="1166"/>
      <c r="Y216" s="1166"/>
      <c r="Z216" s="1166"/>
      <c r="AA216" s="1166"/>
      <c r="AB216" s="1292"/>
      <c r="AC216" s="1270"/>
      <c r="AD216" s="1258"/>
      <c r="AE216" s="1202"/>
      <c r="AF216" s="1203"/>
      <c r="AG216" s="1203"/>
      <c r="AH216" s="1203"/>
      <c r="AI216" s="1203"/>
      <c r="AJ216" s="1204"/>
      <c r="AK216" s="1342"/>
      <c r="AL216" s="1197"/>
      <c r="AM216" s="1202"/>
      <c r="AN216" s="1203"/>
      <c r="AO216" s="1203"/>
      <c r="AP216" s="1203"/>
      <c r="AQ216" s="1203"/>
      <c r="AR216" s="1204"/>
      <c r="AS216" s="1342"/>
      <c r="AT216" s="1258"/>
      <c r="AU216" s="1202"/>
      <c r="AV216" s="1203"/>
      <c r="AW216" s="1203"/>
      <c r="AX216" s="1203"/>
      <c r="AY216" s="1203"/>
      <c r="AZ216" s="1204"/>
      <c r="BA216" s="1342"/>
      <c r="BB216" s="1258"/>
      <c r="BC216" s="1202"/>
      <c r="BD216" s="1203"/>
      <c r="BE216" s="1203"/>
      <c r="BF216" s="1203"/>
      <c r="BG216" s="1203"/>
      <c r="BH216" s="1204"/>
      <c r="BI216" s="1342"/>
      <c r="BJ216" s="1337"/>
      <c r="BK216" s="1338"/>
      <c r="BL216" s="1338"/>
      <c r="BM216" s="1338"/>
      <c r="BN216" s="1338"/>
      <c r="BO216" s="1339"/>
    </row>
    <row r="217" spans="1:67" ht="15" customHeight="1">
      <c r="A217" s="1304">
        <v>2.4</v>
      </c>
      <c r="B217" s="1161" t="s">
        <v>942</v>
      </c>
      <c r="C217" s="1162"/>
      <c r="D217" s="1162"/>
      <c r="E217" s="1162"/>
      <c r="F217" s="1162"/>
      <c r="G217" s="1199"/>
      <c r="H217" s="1268" t="str">
        <f t="shared" ref="H217" si="219">IF(ISBLANK(D$5),"",1)</f>
        <v/>
      </c>
      <c r="I217" s="1205" t="str">
        <f t="shared" ref="I217" si="220">IF(ISBLANK(H$5),"",1)</f>
        <v/>
      </c>
      <c r="J217" s="1205" t="str">
        <f t="shared" ref="J217" si="221">IF(ISBLANK(L$5),"",1)</f>
        <v/>
      </c>
      <c r="K217" s="1205" t="str">
        <f t="shared" ref="K217" si="222">IF(ISBLANK(P$5),"",1)</f>
        <v/>
      </c>
      <c r="L217" s="1205" t="str">
        <f t="shared" ref="L217" si="223">IF(ISBLANK(T$5),"",1)</f>
        <v/>
      </c>
      <c r="M217" s="1248" t="str">
        <f t="shared" ref="M217" si="224">IF(ISBLANK(X$5),"",1)</f>
        <v/>
      </c>
      <c r="N217" s="1301">
        <v>4.4000000000000004</v>
      </c>
      <c r="O217" s="1161" t="s">
        <v>395</v>
      </c>
      <c r="P217" s="1162"/>
      <c r="Q217" s="1162"/>
      <c r="R217" s="1162"/>
      <c r="S217" s="1162"/>
      <c r="T217" s="1199"/>
      <c r="U217" s="1399" t="str">
        <f>IF(ISBLANK(D$5),"",1)</f>
        <v/>
      </c>
      <c r="V217" s="1304">
        <v>4.4000000000000004</v>
      </c>
      <c r="W217" s="1161" t="s">
        <v>878</v>
      </c>
      <c r="X217" s="1162"/>
      <c r="Y217" s="1162"/>
      <c r="Z217" s="1162"/>
      <c r="AA217" s="1162"/>
      <c r="AB217" s="1199"/>
      <c r="AC217" s="1399" t="str">
        <f>IF(ISBLANK(H$5),"",1)</f>
        <v/>
      </c>
      <c r="AD217" s="1258">
        <v>4.4000000000000004</v>
      </c>
      <c r="AE217" s="1198" t="s">
        <v>417</v>
      </c>
      <c r="AF217" s="1162"/>
      <c r="AG217" s="1162"/>
      <c r="AH217" s="1162"/>
      <c r="AI217" s="1162"/>
      <c r="AJ217" s="1199"/>
      <c r="AK217" s="1226" t="str">
        <f>IF(ISBLANK(L$5),"",1)</f>
        <v/>
      </c>
      <c r="AL217" s="1196">
        <v>4.4000000000000004</v>
      </c>
      <c r="AM217" s="1198" t="s">
        <v>359</v>
      </c>
      <c r="AN217" s="1162"/>
      <c r="AO217" s="1162"/>
      <c r="AP217" s="1162"/>
      <c r="AQ217" s="1162"/>
      <c r="AR217" s="1199"/>
      <c r="AS217" s="1226" t="str">
        <f>IF(ISBLANK(P$5),"",1)</f>
        <v/>
      </c>
      <c r="AT217" s="1258">
        <v>4.4000000000000004</v>
      </c>
      <c r="AU217" s="1198" t="s">
        <v>417</v>
      </c>
      <c r="AV217" s="1162"/>
      <c r="AW217" s="1162"/>
      <c r="AX217" s="1162"/>
      <c r="AY217" s="1162"/>
      <c r="AZ217" s="1199"/>
      <c r="BA217" s="1226" t="str">
        <f>IF(ISBLANK(T$5),"",1)</f>
        <v/>
      </c>
      <c r="BB217" s="1258">
        <v>4.4000000000000004</v>
      </c>
      <c r="BC217" s="1198" t="s">
        <v>417</v>
      </c>
      <c r="BD217" s="1162"/>
      <c r="BE217" s="1162"/>
      <c r="BF217" s="1162"/>
      <c r="BG217" s="1162"/>
      <c r="BH217" s="1199"/>
      <c r="BI217" s="1226" t="str">
        <f>IF(ISBLANK(X$5),"",1)</f>
        <v/>
      </c>
      <c r="BJ217" s="1337"/>
      <c r="BK217" s="1338"/>
      <c r="BL217" s="1338"/>
      <c r="BM217" s="1338"/>
      <c r="BN217" s="1338"/>
      <c r="BO217" s="1339"/>
    </row>
    <row r="218" spans="1:67" ht="15" customHeight="1">
      <c r="A218" s="1290"/>
      <c r="B218" s="1163"/>
      <c r="C218" s="1164"/>
      <c r="D218" s="1164"/>
      <c r="E218" s="1164"/>
      <c r="F218" s="1164"/>
      <c r="G218" s="1201"/>
      <c r="H218" s="1269"/>
      <c r="I218" s="1206"/>
      <c r="J218" s="1206"/>
      <c r="K218" s="1206"/>
      <c r="L218" s="1206"/>
      <c r="M218" s="1206"/>
      <c r="N218" s="1302"/>
      <c r="O218" s="1163"/>
      <c r="P218" s="1164"/>
      <c r="Q218" s="1164"/>
      <c r="R218" s="1164"/>
      <c r="S218" s="1164"/>
      <c r="T218" s="1201"/>
      <c r="U218" s="1269"/>
      <c r="V218" s="1290"/>
      <c r="W218" s="1163"/>
      <c r="X218" s="1164"/>
      <c r="Y218" s="1164"/>
      <c r="Z218" s="1164"/>
      <c r="AA218" s="1164"/>
      <c r="AB218" s="1201"/>
      <c r="AC218" s="1269"/>
      <c r="AD218" s="1258"/>
      <c r="AE218" s="1200"/>
      <c r="AF218" s="1164"/>
      <c r="AG218" s="1164"/>
      <c r="AH218" s="1164"/>
      <c r="AI218" s="1164"/>
      <c r="AJ218" s="1201"/>
      <c r="AK218" s="1342"/>
      <c r="AL218" s="1197"/>
      <c r="AM218" s="1200"/>
      <c r="AN218" s="1164"/>
      <c r="AO218" s="1164"/>
      <c r="AP218" s="1164"/>
      <c r="AQ218" s="1164"/>
      <c r="AR218" s="1201"/>
      <c r="AS218" s="1342"/>
      <c r="AT218" s="1258"/>
      <c r="AU218" s="1200"/>
      <c r="AV218" s="1164"/>
      <c r="AW218" s="1164"/>
      <c r="AX218" s="1164"/>
      <c r="AY218" s="1164"/>
      <c r="AZ218" s="1201"/>
      <c r="BA218" s="1342"/>
      <c r="BB218" s="1258"/>
      <c r="BC218" s="1200"/>
      <c r="BD218" s="1164"/>
      <c r="BE218" s="1164"/>
      <c r="BF218" s="1164"/>
      <c r="BG218" s="1164"/>
      <c r="BH218" s="1201"/>
      <c r="BI218" s="1342"/>
      <c r="BJ218" s="1337"/>
      <c r="BK218" s="1338"/>
      <c r="BL218" s="1338"/>
      <c r="BM218" s="1338"/>
      <c r="BN218" s="1338"/>
      <c r="BO218" s="1339"/>
    </row>
    <row r="219" spans="1:67" ht="15" customHeight="1">
      <c r="A219" s="1291"/>
      <c r="B219" s="1165"/>
      <c r="C219" s="1166"/>
      <c r="D219" s="1166"/>
      <c r="E219" s="1166"/>
      <c r="F219" s="1166"/>
      <c r="G219" s="1292"/>
      <c r="H219" s="1270"/>
      <c r="I219" s="1207"/>
      <c r="J219" s="1207"/>
      <c r="K219" s="1207"/>
      <c r="L219" s="1207"/>
      <c r="M219" s="1207"/>
      <c r="N219" s="1303"/>
      <c r="O219" s="1165"/>
      <c r="P219" s="1166"/>
      <c r="Q219" s="1166"/>
      <c r="R219" s="1166"/>
      <c r="S219" s="1166"/>
      <c r="T219" s="1292"/>
      <c r="U219" s="1270"/>
      <c r="V219" s="1291"/>
      <c r="W219" s="1165"/>
      <c r="X219" s="1166"/>
      <c r="Y219" s="1166"/>
      <c r="Z219" s="1166"/>
      <c r="AA219" s="1166"/>
      <c r="AB219" s="1292"/>
      <c r="AC219" s="1270"/>
      <c r="AD219" s="1258"/>
      <c r="AE219" s="1202"/>
      <c r="AF219" s="1203"/>
      <c r="AG219" s="1203"/>
      <c r="AH219" s="1203"/>
      <c r="AI219" s="1203"/>
      <c r="AJ219" s="1204"/>
      <c r="AK219" s="1342"/>
      <c r="AL219" s="1197"/>
      <c r="AM219" s="1202"/>
      <c r="AN219" s="1203"/>
      <c r="AO219" s="1203"/>
      <c r="AP219" s="1203"/>
      <c r="AQ219" s="1203"/>
      <c r="AR219" s="1204"/>
      <c r="AS219" s="1342"/>
      <c r="AT219" s="1258"/>
      <c r="AU219" s="1202"/>
      <c r="AV219" s="1203"/>
      <c r="AW219" s="1203"/>
      <c r="AX219" s="1203"/>
      <c r="AY219" s="1203"/>
      <c r="AZ219" s="1204"/>
      <c r="BA219" s="1342"/>
      <c r="BB219" s="1258"/>
      <c r="BC219" s="1202"/>
      <c r="BD219" s="1203"/>
      <c r="BE219" s="1203"/>
      <c r="BF219" s="1203"/>
      <c r="BG219" s="1203"/>
      <c r="BH219" s="1204"/>
      <c r="BI219" s="1342"/>
      <c r="BJ219" s="1337"/>
      <c r="BK219" s="1338"/>
      <c r="BL219" s="1338"/>
      <c r="BM219" s="1338"/>
      <c r="BN219" s="1338"/>
      <c r="BO219" s="1339"/>
    </row>
    <row r="220" spans="1:67" ht="15" customHeight="1">
      <c r="A220" s="252"/>
      <c r="B220" s="243"/>
      <c r="C220" s="242"/>
      <c r="D220" s="242"/>
      <c r="F220" s="278">
        <v>1.1000000000000001</v>
      </c>
      <c r="G220" s="311">
        <f>COUNTIF($A$193:$A$219,F220)</f>
        <v>4</v>
      </c>
      <c r="H220" s="240" t="str">
        <f>IF($D$5=1,SUMIF($A$193:$A$219,$F220,$H$193:$H$219),"")</f>
        <v/>
      </c>
      <c r="I220" s="240" t="str">
        <f>IF($H$5=1,SUMIF($A$193:$A$219,$F220,$I$193:$I$219),"")</f>
        <v/>
      </c>
      <c r="J220" s="240" t="str">
        <f>IF($L$5=1,SUMIF($A$193:$A$219,$F220,$J$193:$J$219),"")</f>
        <v/>
      </c>
      <c r="K220" s="240" t="str">
        <f>IF($P$5=1,SUMIF($A$193:$A$219,$F220,$K$193:$K$219),"")</f>
        <v/>
      </c>
      <c r="L220" s="240" t="str">
        <f>IF($T$5=1,SUMIF($A$193:$A$219,$F220,$L$193:$L$219),"")</f>
        <v/>
      </c>
      <c r="M220" s="240" t="str">
        <f>IF($X$5=1,SUMIF($A$193:$A$219,$F220,$M$193:$M$219),"")</f>
        <v/>
      </c>
      <c r="N220" s="1304">
        <v>4.4000000000000004</v>
      </c>
      <c r="O220" s="1161" t="s">
        <v>878</v>
      </c>
      <c r="P220" s="1162"/>
      <c r="Q220" s="1162"/>
      <c r="R220" s="1162"/>
      <c r="S220" s="1162"/>
      <c r="T220" s="1199"/>
      <c r="U220" s="1399" t="str">
        <f>IF(ISBLANK(D$5),"",1)</f>
        <v/>
      </c>
      <c r="V220" s="1307">
        <v>1.5</v>
      </c>
      <c r="W220" s="1315" t="s">
        <v>373</v>
      </c>
      <c r="X220" s="1311"/>
      <c r="Y220" s="1311"/>
      <c r="Z220" s="1311"/>
      <c r="AA220" s="1311"/>
      <c r="AB220" s="1316"/>
      <c r="AC220" s="1399" t="str">
        <f>IF(ISBLANK(H$5),"",1)</f>
        <v/>
      </c>
      <c r="AD220" s="1304">
        <v>4.4000000000000004</v>
      </c>
      <c r="AE220" s="1198" t="s">
        <v>359</v>
      </c>
      <c r="AF220" s="1162"/>
      <c r="AG220" s="1162"/>
      <c r="AH220" s="1162"/>
      <c r="AI220" s="1162"/>
      <c r="AJ220" s="1199"/>
      <c r="AK220" s="1226" t="str">
        <f>IF(ISBLANK(L$5),"",1)</f>
        <v/>
      </c>
      <c r="AL220" s="1196">
        <v>4.4000000000000004</v>
      </c>
      <c r="AM220" s="1198" t="s">
        <v>887</v>
      </c>
      <c r="AN220" s="1162"/>
      <c r="AO220" s="1162"/>
      <c r="AP220" s="1162"/>
      <c r="AQ220" s="1162"/>
      <c r="AR220" s="1199"/>
      <c r="AS220" s="1226" t="str">
        <f>IF(ISBLANK(P$5),"",1)</f>
        <v/>
      </c>
      <c r="AT220" s="1304">
        <v>4.4000000000000004</v>
      </c>
      <c r="AU220" s="1198" t="s">
        <v>359</v>
      </c>
      <c r="AV220" s="1162"/>
      <c r="AW220" s="1162"/>
      <c r="AX220" s="1162"/>
      <c r="AY220" s="1162"/>
      <c r="AZ220" s="1199"/>
      <c r="BA220" s="1226" t="str">
        <f>IF(ISBLANK(T$5),"",1)</f>
        <v/>
      </c>
      <c r="BB220" s="1304">
        <v>4.4000000000000004</v>
      </c>
      <c r="BC220" s="1198" t="s">
        <v>359</v>
      </c>
      <c r="BD220" s="1162"/>
      <c r="BE220" s="1162"/>
      <c r="BF220" s="1162"/>
      <c r="BG220" s="1162"/>
      <c r="BH220" s="1199"/>
      <c r="BI220" s="1226" t="str">
        <f>IF(ISBLANK(X$5),"",1)</f>
        <v/>
      </c>
      <c r="BJ220" s="1337"/>
      <c r="BK220" s="1338"/>
      <c r="BL220" s="1338"/>
      <c r="BM220" s="1338"/>
      <c r="BN220" s="1338"/>
      <c r="BO220" s="1339"/>
    </row>
    <row r="221" spans="1:67" ht="15" customHeight="1">
      <c r="A221" s="252"/>
      <c r="B221" s="243"/>
      <c r="C221" s="242"/>
      <c r="D221" s="242"/>
      <c r="F221" s="278">
        <v>1.5</v>
      </c>
      <c r="G221" s="311">
        <f t="shared" ref="G221:G223" si="225">COUNTIF($A$193:$A$219,F221)</f>
        <v>1</v>
      </c>
      <c r="H221" s="240" t="str">
        <f t="shared" ref="H221:H223" si="226">IF($D$5=1,SUMIF($A$193:$A$219,$F221,$H$193:$H$219),"")</f>
        <v/>
      </c>
      <c r="I221" s="240" t="str">
        <f t="shared" ref="I221:I223" si="227">IF($H$5=1,SUMIF($A$193:$A$219,$F221,$I$193:$I$219),"")</f>
        <v/>
      </c>
      <c r="J221" s="240" t="str">
        <f t="shared" ref="J221:J223" si="228">IF($L$5=1,SUMIF($A$193:$A$219,$F221,$J$193:$J$219),"")</f>
        <v/>
      </c>
      <c r="K221" s="240" t="str">
        <f t="shared" ref="K221:K223" si="229">IF($P$5=1,SUMIF($A$193:$A$219,$F221,$K$193:$K$219),"")</f>
        <v/>
      </c>
      <c r="L221" s="240" t="str">
        <f t="shared" ref="L221:L223" si="230">IF($T$5=1,SUMIF($A$193:$A$219,$F221,$L$193:$L$219),"")</f>
        <v/>
      </c>
      <c r="M221" s="240" t="str">
        <f t="shared" ref="M221:M223" si="231">IF($X$5=1,SUMIF($A$193:$A$219,$F221,$M$193:$M$219),"")</f>
        <v/>
      </c>
      <c r="N221" s="1290"/>
      <c r="O221" s="1163"/>
      <c r="P221" s="1164"/>
      <c r="Q221" s="1164"/>
      <c r="R221" s="1164"/>
      <c r="S221" s="1164"/>
      <c r="T221" s="1201"/>
      <c r="U221" s="1269"/>
      <c r="V221" s="1308"/>
      <c r="W221" s="1317"/>
      <c r="X221" s="1296"/>
      <c r="Y221" s="1296"/>
      <c r="Z221" s="1296"/>
      <c r="AA221" s="1296"/>
      <c r="AB221" s="1318"/>
      <c r="AC221" s="1269"/>
      <c r="AD221" s="1290"/>
      <c r="AE221" s="1200"/>
      <c r="AF221" s="1164"/>
      <c r="AG221" s="1164"/>
      <c r="AH221" s="1164"/>
      <c r="AI221" s="1164"/>
      <c r="AJ221" s="1201"/>
      <c r="AK221" s="1342"/>
      <c r="AL221" s="1197"/>
      <c r="AM221" s="1200"/>
      <c r="AN221" s="1164"/>
      <c r="AO221" s="1164"/>
      <c r="AP221" s="1164"/>
      <c r="AQ221" s="1164"/>
      <c r="AR221" s="1201"/>
      <c r="AS221" s="1342"/>
      <c r="AT221" s="1290"/>
      <c r="AU221" s="1200"/>
      <c r="AV221" s="1164"/>
      <c r="AW221" s="1164"/>
      <c r="AX221" s="1164"/>
      <c r="AY221" s="1164"/>
      <c r="AZ221" s="1201"/>
      <c r="BA221" s="1342"/>
      <c r="BB221" s="1290"/>
      <c r="BC221" s="1200"/>
      <c r="BD221" s="1164"/>
      <c r="BE221" s="1164"/>
      <c r="BF221" s="1164"/>
      <c r="BG221" s="1164"/>
      <c r="BH221" s="1201"/>
      <c r="BI221" s="1342"/>
      <c r="BJ221" s="1222"/>
      <c r="BK221" s="1223"/>
      <c r="BL221" s="1223"/>
      <c r="BM221" s="1223"/>
      <c r="BN221" s="1223"/>
      <c r="BO221" s="1224"/>
    </row>
    <row r="222" spans="1:67" ht="15" customHeight="1">
      <c r="A222" s="249"/>
      <c r="B222" s="249"/>
      <c r="C222" s="249"/>
      <c r="D222" s="249"/>
      <c r="F222" s="277">
        <v>2.1</v>
      </c>
      <c r="G222" s="311">
        <f t="shared" si="225"/>
        <v>2</v>
      </c>
      <c r="H222" s="240" t="str">
        <f t="shared" si="226"/>
        <v/>
      </c>
      <c r="I222" s="240" t="str">
        <f t="shared" si="227"/>
        <v/>
      </c>
      <c r="J222" s="240" t="str">
        <f t="shared" si="228"/>
        <v/>
      </c>
      <c r="K222" s="240" t="str">
        <f t="shared" si="229"/>
        <v/>
      </c>
      <c r="L222" s="240" t="str">
        <f t="shared" si="230"/>
        <v/>
      </c>
      <c r="M222" s="240" t="str">
        <f t="shared" si="231"/>
        <v/>
      </c>
      <c r="N222" s="1291"/>
      <c r="O222" s="1165"/>
      <c r="P222" s="1166"/>
      <c r="Q222" s="1166"/>
      <c r="R222" s="1166"/>
      <c r="S222" s="1166"/>
      <c r="T222" s="1292"/>
      <c r="U222" s="1270"/>
      <c r="V222" s="1309"/>
      <c r="W222" s="1319"/>
      <c r="X222" s="1320"/>
      <c r="Y222" s="1320"/>
      <c r="Z222" s="1320"/>
      <c r="AA222" s="1320"/>
      <c r="AB222" s="1321"/>
      <c r="AC222" s="1270"/>
      <c r="AD222" s="1291"/>
      <c r="AE222" s="1202"/>
      <c r="AF222" s="1203"/>
      <c r="AG222" s="1203"/>
      <c r="AH222" s="1203"/>
      <c r="AI222" s="1203"/>
      <c r="AJ222" s="1204"/>
      <c r="AK222" s="1342"/>
      <c r="AL222" s="1197"/>
      <c r="AM222" s="1202"/>
      <c r="AN222" s="1203"/>
      <c r="AO222" s="1203"/>
      <c r="AP222" s="1203"/>
      <c r="AQ222" s="1203"/>
      <c r="AR222" s="1204"/>
      <c r="AS222" s="1342"/>
      <c r="AT222" s="1291"/>
      <c r="AU222" s="1202"/>
      <c r="AV222" s="1203"/>
      <c r="AW222" s="1203"/>
      <c r="AX222" s="1203"/>
      <c r="AY222" s="1203"/>
      <c r="AZ222" s="1204"/>
      <c r="BA222" s="1342"/>
      <c r="BB222" s="1291"/>
      <c r="BC222" s="1202"/>
      <c r="BD222" s="1203"/>
      <c r="BE222" s="1203"/>
      <c r="BF222" s="1203"/>
      <c r="BG222" s="1203"/>
      <c r="BH222" s="1204"/>
      <c r="BI222" s="1342"/>
    </row>
    <row r="223" spans="1:67" ht="15" customHeight="1">
      <c r="F223" s="277">
        <v>2.4</v>
      </c>
      <c r="G223" s="311">
        <f t="shared" si="225"/>
        <v>2</v>
      </c>
      <c r="H223" s="240" t="str">
        <f t="shared" si="226"/>
        <v/>
      </c>
      <c r="I223" s="240" t="str">
        <f t="shared" si="227"/>
        <v/>
      </c>
      <c r="J223" s="240" t="str">
        <f t="shared" si="228"/>
        <v/>
      </c>
      <c r="K223" s="240" t="str">
        <f t="shared" si="229"/>
        <v/>
      </c>
      <c r="L223" s="240" t="str">
        <f t="shared" si="230"/>
        <v/>
      </c>
      <c r="M223" s="240" t="str">
        <f t="shared" si="231"/>
        <v/>
      </c>
      <c r="N223" s="1307">
        <v>1.5</v>
      </c>
      <c r="O223" s="1315" t="s">
        <v>373</v>
      </c>
      <c r="P223" s="1311"/>
      <c r="Q223" s="1311"/>
      <c r="R223" s="1311"/>
      <c r="S223" s="1311"/>
      <c r="T223" s="1316"/>
      <c r="U223" s="1399" t="str">
        <f>IF(ISBLANK(D$5),"",1)</f>
        <v/>
      </c>
      <c r="V223" s="1322">
        <v>4.4000000000000004</v>
      </c>
      <c r="W223" s="1161" t="s">
        <v>397</v>
      </c>
      <c r="X223" s="1162"/>
      <c r="Y223" s="1162"/>
      <c r="Z223" s="1162"/>
      <c r="AA223" s="1162"/>
      <c r="AB223" s="1199"/>
      <c r="AC223" s="1399" t="str">
        <f>IF(ISBLANK(H$5),"",1)</f>
        <v/>
      </c>
      <c r="AD223" s="1258">
        <v>4.4000000000000004</v>
      </c>
      <c r="AE223" s="1198" t="s">
        <v>395</v>
      </c>
      <c r="AF223" s="1162"/>
      <c r="AG223" s="1162"/>
      <c r="AH223" s="1162"/>
      <c r="AI223" s="1162"/>
      <c r="AJ223" s="1199"/>
      <c r="AK223" s="1226" t="str">
        <f>IF(ISBLANK(L$5),"",1)</f>
        <v/>
      </c>
      <c r="AL223" s="1304">
        <v>4.4000000000000004</v>
      </c>
      <c r="AM223" s="1198" t="s">
        <v>395</v>
      </c>
      <c r="AN223" s="1162"/>
      <c r="AO223" s="1162"/>
      <c r="AP223" s="1162"/>
      <c r="AQ223" s="1162"/>
      <c r="AR223" s="1199"/>
      <c r="AS223" s="1226" t="str">
        <f>IF(ISBLANK(P$5),"",1)</f>
        <v/>
      </c>
      <c r="AT223" s="1258">
        <v>4.4000000000000004</v>
      </c>
      <c r="AU223" s="1198" t="s">
        <v>395</v>
      </c>
      <c r="AV223" s="1162"/>
      <c r="AW223" s="1162"/>
      <c r="AX223" s="1162"/>
      <c r="AY223" s="1162"/>
      <c r="AZ223" s="1199"/>
      <c r="BA223" s="1226" t="str">
        <f>IF(ISBLANK(T$5),"",1)</f>
        <v/>
      </c>
      <c r="BB223" s="1258">
        <v>4.4000000000000004</v>
      </c>
      <c r="BC223" s="1198" t="s">
        <v>395</v>
      </c>
      <c r="BD223" s="1162"/>
      <c r="BE223" s="1162"/>
      <c r="BF223" s="1162"/>
      <c r="BG223" s="1162"/>
      <c r="BH223" s="1199"/>
      <c r="BI223" s="1226" t="str">
        <f>IF(ISBLANK(X$5),"",1)</f>
        <v/>
      </c>
    </row>
    <row r="224" spans="1:67" ht="15" customHeight="1">
      <c r="N224" s="1308"/>
      <c r="O224" s="1317"/>
      <c r="P224" s="1296"/>
      <c r="Q224" s="1296"/>
      <c r="R224" s="1296"/>
      <c r="S224" s="1296"/>
      <c r="T224" s="1318"/>
      <c r="U224" s="1269"/>
      <c r="V224" s="1293"/>
      <c r="W224" s="1163"/>
      <c r="X224" s="1164"/>
      <c r="Y224" s="1164"/>
      <c r="Z224" s="1164"/>
      <c r="AA224" s="1164"/>
      <c r="AB224" s="1201"/>
      <c r="AC224" s="1269"/>
      <c r="AD224" s="1258"/>
      <c r="AE224" s="1200"/>
      <c r="AF224" s="1164"/>
      <c r="AG224" s="1164"/>
      <c r="AH224" s="1164"/>
      <c r="AI224" s="1164"/>
      <c r="AJ224" s="1201"/>
      <c r="AK224" s="1342"/>
      <c r="AL224" s="1290"/>
      <c r="AM224" s="1200"/>
      <c r="AN224" s="1164"/>
      <c r="AO224" s="1164"/>
      <c r="AP224" s="1164"/>
      <c r="AQ224" s="1164"/>
      <c r="AR224" s="1201"/>
      <c r="AS224" s="1342"/>
      <c r="AT224" s="1258"/>
      <c r="AU224" s="1200"/>
      <c r="AV224" s="1164"/>
      <c r="AW224" s="1164"/>
      <c r="AX224" s="1164"/>
      <c r="AY224" s="1164"/>
      <c r="AZ224" s="1201"/>
      <c r="BA224" s="1342"/>
      <c r="BB224" s="1258"/>
      <c r="BC224" s="1200"/>
      <c r="BD224" s="1164"/>
      <c r="BE224" s="1164"/>
      <c r="BF224" s="1164"/>
      <c r="BG224" s="1164"/>
      <c r="BH224" s="1201"/>
      <c r="BI224" s="1342"/>
    </row>
    <row r="225" spans="1:67" ht="15" customHeight="1">
      <c r="A225" s="1209"/>
      <c r="B225" s="1210" t="s">
        <v>609</v>
      </c>
      <c r="C225" s="1211"/>
      <c r="D225" s="1211"/>
      <c r="E225" s="1211"/>
      <c r="F225" s="1211"/>
      <c r="G225" s="1211"/>
      <c r="H225" s="1174">
        <v>1</v>
      </c>
      <c r="I225" s="1174">
        <v>2</v>
      </c>
      <c r="J225" s="1174">
        <v>3</v>
      </c>
      <c r="K225" s="1174">
        <v>4</v>
      </c>
      <c r="L225" s="1174">
        <v>5</v>
      </c>
      <c r="M225" s="1174">
        <v>6</v>
      </c>
      <c r="N225" s="1309"/>
      <c r="O225" s="1319"/>
      <c r="P225" s="1320"/>
      <c r="Q225" s="1320"/>
      <c r="R225" s="1320"/>
      <c r="S225" s="1320"/>
      <c r="T225" s="1321"/>
      <c r="U225" s="1270"/>
      <c r="V225" s="1306"/>
      <c r="W225" s="1165"/>
      <c r="X225" s="1166"/>
      <c r="Y225" s="1166"/>
      <c r="Z225" s="1166"/>
      <c r="AA225" s="1166"/>
      <c r="AB225" s="1292"/>
      <c r="AC225" s="1270"/>
      <c r="AD225" s="1258"/>
      <c r="AE225" s="1202"/>
      <c r="AF225" s="1203"/>
      <c r="AG225" s="1203"/>
      <c r="AH225" s="1203"/>
      <c r="AI225" s="1203"/>
      <c r="AJ225" s="1204"/>
      <c r="AK225" s="1342"/>
      <c r="AL225" s="1291"/>
      <c r="AM225" s="1202"/>
      <c r="AN225" s="1203"/>
      <c r="AO225" s="1203"/>
      <c r="AP225" s="1203"/>
      <c r="AQ225" s="1203"/>
      <c r="AR225" s="1204"/>
      <c r="AS225" s="1342"/>
      <c r="AT225" s="1258"/>
      <c r="AU225" s="1202"/>
      <c r="AV225" s="1203"/>
      <c r="AW225" s="1203"/>
      <c r="AX225" s="1203"/>
      <c r="AY225" s="1203"/>
      <c r="AZ225" s="1204"/>
      <c r="BA225" s="1342"/>
      <c r="BB225" s="1258"/>
      <c r="BC225" s="1202"/>
      <c r="BD225" s="1203"/>
      <c r="BE225" s="1203"/>
      <c r="BF225" s="1203"/>
      <c r="BG225" s="1203"/>
      <c r="BH225" s="1204"/>
      <c r="BI225" s="1342"/>
    </row>
    <row r="226" spans="1:67" ht="15" customHeight="1">
      <c r="A226" s="1209"/>
      <c r="B226" s="1212"/>
      <c r="C226" s="1213"/>
      <c r="D226" s="1213"/>
      <c r="E226" s="1213"/>
      <c r="F226" s="1213"/>
      <c r="G226" s="1213"/>
      <c r="H226" s="1174"/>
      <c r="I226" s="1174"/>
      <c r="J226" s="1174"/>
      <c r="K226" s="1174"/>
      <c r="L226" s="1174"/>
      <c r="M226" s="1174"/>
      <c r="N226" s="1301">
        <v>4.4000000000000004</v>
      </c>
      <c r="O226" s="1161" t="s">
        <v>397</v>
      </c>
      <c r="P226" s="1162"/>
      <c r="Q226" s="1162"/>
      <c r="R226" s="1162"/>
      <c r="S226" s="1162"/>
      <c r="T226" s="1199"/>
      <c r="U226" s="1399" t="str">
        <f>IF(ISBLANK(D$5),"",1)</f>
        <v/>
      </c>
      <c r="V226" s="247"/>
      <c r="W226" s="52"/>
      <c r="AA226" s="273">
        <v>1.5</v>
      </c>
      <c r="AB226" s="240">
        <f>COUNTIF(V193:V225,AA226)</f>
        <v>1</v>
      </c>
      <c r="AC226" s="240" t="str">
        <f>IF($H$5=1,SUMIF($V$193:$V$225,AA226,$AC$193:$AC$225),"")</f>
        <v/>
      </c>
      <c r="AD226" s="1304">
        <v>4.4000000000000004</v>
      </c>
      <c r="AE226" s="1198" t="s">
        <v>878</v>
      </c>
      <c r="AF226" s="1162"/>
      <c r="AG226" s="1162"/>
      <c r="AH226" s="1162"/>
      <c r="AI226" s="1162"/>
      <c r="AJ226" s="1199"/>
      <c r="AK226" s="1226" t="str">
        <f>IF(ISBLANK(L$5),"",1)</f>
        <v/>
      </c>
      <c r="AL226" s="1196">
        <v>4.4000000000000004</v>
      </c>
      <c r="AM226" s="1198" t="s">
        <v>878</v>
      </c>
      <c r="AN226" s="1162"/>
      <c r="AO226" s="1162"/>
      <c r="AP226" s="1162"/>
      <c r="AQ226" s="1162"/>
      <c r="AR226" s="1199"/>
      <c r="AS226" s="1226" t="str">
        <f>IF(ISBLANK(P$5),"",1)</f>
        <v/>
      </c>
      <c r="AT226" s="1304">
        <v>4.4000000000000004</v>
      </c>
      <c r="AU226" s="1198" t="s">
        <v>878</v>
      </c>
      <c r="AV226" s="1162"/>
      <c r="AW226" s="1162"/>
      <c r="AX226" s="1162"/>
      <c r="AY226" s="1162"/>
      <c r="AZ226" s="1199"/>
      <c r="BA226" s="1226" t="str">
        <f>IF(ISBLANK(T$5),"",1)</f>
        <v/>
      </c>
      <c r="BB226" s="1304">
        <v>4.4000000000000004</v>
      </c>
      <c r="BC226" s="1198" t="s">
        <v>878</v>
      </c>
      <c r="BD226" s="1162"/>
      <c r="BE226" s="1162"/>
      <c r="BF226" s="1162"/>
      <c r="BG226" s="1162"/>
      <c r="BH226" s="1199"/>
      <c r="BI226" s="1226" t="str">
        <f>IF(ISBLANK(X$5),"",1)</f>
        <v/>
      </c>
    </row>
    <row r="227" spans="1:67" ht="15" customHeight="1">
      <c r="A227" s="1336">
        <v>3.1</v>
      </c>
      <c r="B227" s="1198" t="s">
        <v>366</v>
      </c>
      <c r="C227" s="1162"/>
      <c r="D227" s="1162"/>
      <c r="E227" s="1162"/>
      <c r="F227" s="1162"/>
      <c r="G227" s="1265"/>
      <c r="H227" s="1268" t="str">
        <f t="shared" ref="H227" si="232">IF(ISBLANK(D$5),"",1)</f>
        <v/>
      </c>
      <c r="I227" s="1205" t="str">
        <f t="shared" ref="I227" si="233">IF(ISBLANK(H$5),"",1)</f>
        <v/>
      </c>
      <c r="J227" s="1205" t="str">
        <f t="shared" ref="J227" si="234">IF(ISBLANK(L$5),"",1)</f>
        <v/>
      </c>
      <c r="K227" s="1205" t="str">
        <f t="shared" ref="K227" si="235">IF(ISBLANK(P$5),"",1)</f>
        <v/>
      </c>
      <c r="L227" s="1205" t="str">
        <f t="shared" ref="L227" si="236">IF(ISBLANK(T$5),"",1)</f>
        <v/>
      </c>
      <c r="M227" s="1248" t="str">
        <f t="shared" ref="M227" si="237">IF(ISBLANK(X$5),"",1)</f>
        <v/>
      </c>
      <c r="N227" s="1302"/>
      <c r="O227" s="1163"/>
      <c r="P227" s="1164"/>
      <c r="Q227" s="1164"/>
      <c r="R227" s="1164"/>
      <c r="S227" s="1164"/>
      <c r="T227" s="1201"/>
      <c r="U227" s="1269"/>
      <c r="V227" s="248"/>
      <c r="W227" s="52"/>
      <c r="AA227" s="275">
        <v>4.3</v>
      </c>
      <c r="AB227" s="240">
        <f>COUNTIF(V193:V225,AA227)</f>
        <v>4</v>
      </c>
      <c r="AC227" s="240" t="str">
        <f>IF($H$5=1,SUMIF($V$193:$V$225,AA227,$AC$193:$AC$225),"")</f>
        <v/>
      </c>
      <c r="AD227" s="1290"/>
      <c r="AE227" s="1200"/>
      <c r="AF227" s="1164"/>
      <c r="AG227" s="1164"/>
      <c r="AH227" s="1164"/>
      <c r="AI227" s="1164"/>
      <c r="AJ227" s="1201"/>
      <c r="AK227" s="1342"/>
      <c r="AL227" s="1197"/>
      <c r="AM227" s="1200"/>
      <c r="AN227" s="1164"/>
      <c r="AO227" s="1164"/>
      <c r="AP227" s="1164"/>
      <c r="AQ227" s="1164"/>
      <c r="AR227" s="1201"/>
      <c r="AS227" s="1342"/>
      <c r="AT227" s="1290"/>
      <c r="AU227" s="1200"/>
      <c r="AV227" s="1164"/>
      <c r="AW227" s="1164"/>
      <c r="AX227" s="1164"/>
      <c r="AY227" s="1164"/>
      <c r="AZ227" s="1201"/>
      <c r="BA227" s="1342"/>
      <c r="BB227" s="1290"/>
      <c r="BC227" s="1200"/>
      <c r="BD227" s="1164"/>
      <c r="BE227" s="1164"/>
      <c r="BF227" s="1164"/>
      <c r="BG227" s="1164"/>
      <c r="BH227" s="1201"/>
      <c r="BI227" s="1342"/>
    </row>
    <row r="228" spans="1:67" ht="15" customHeight="1">
      <c r="A228" s="1159"/>
      <c r="B228" s="1200"/>
      <c r="C228" s="1164"/>
      <c r="D228" s="1164"/>
      <c r="E228" s="1164"/>
      <c r="F228" s="1164"/>
      <c r="G228" s="1266"/>
      <c r="H228" s="1269"/>
      <c r="I228" s="1206"/>
      <c r="J228" s="1206"/>
      <c r="K228" s="1206"/>
      <c r="L228" s="1206"/>
      <c r="M228" s="1206"/>
      <c r="N228" s="1303"/>
      <c r="O228" s="1165"/>
      <c r="P228" s="1166"/>
      <c r="Q228" s="1166"/>
      <c r="R228" s="1166"/>
      <c r="S228" s="1166"/>
      <c r="T228" s="1292"/>
      <c r="U228" s="1270"/>
      <c r="V228" s="248"/>
      <c r="W228" s="52"/>
      <c r="AA228" s="276">
        <v>4.4000000000000004</v>
      </c>
      <c r="AB228" s="240">
        <f>COUNTIF(V193:V225,AA228)</f>
        <v>6</v>
      </c>
      <c r="AC228" s="240" t="str">
        <f>IF($H$5=1,SUMIF($V$193:$V$225,AA228,$AC$193:$AC$225),"")</f>
        <v/>
      </c>
      <c r="AD228" s="1291"/>
      <c r="AE228" s="1202"/>
      <c r="AF228" s="1203"/>
      <c r="AG228" s="1203"/>
      <c r="AH228" s="1203"/>
      <c r="AI228" s="1203"/>
      <c r="AJ228" s="1204"/>
      <c r="AK228" s="1342"/>
      <c r="AL228" s="1197"/>
      <c r="AM228" s="1202"/>
      <c r="AN228" s="1203"/>
      <c r="AO228" s="1203"/>
      <c r="AP228" s="1203"/>
      <c r="AQ228" s="1203"/>
      <c r="AR228" s="1204"/>
      <c r="AS228" s="1342"/>
      <c r="AT228" s="1291"/>
      <c r="AU228" s="1202"/>
      <c r="AV228" s="1203"/>
      <c r="AW228" s="1203"/>
      <c r="AX228" s="1203"/>
      <c r="AY228" s="1203"/>
      <c r="AZ228" s="1204"/>
      <c r="BA228" s="1342"/>
      <c r="BB228" s="1291"/>
      <c r="BC228" s="1202"/>
      <c r="BD228" s="1203"/>
      <c r="BE228" s="1203"/>
      <c r="BF228" s="1203"/>
      <c r="BG228" s="1203"/>
      <c r="BH228" s="1204"/>
      <c r="BI228" s="1342"/>
    </row>
    <row r="229" spans="1:67" ht="15" customHeight="1">
      <c r="A229" s="1160"/>
      <c r="B229" s="1200"/>
      <c r="C229" s="1164"/>
      <c r="D229" s="1164"/>
      <c r="E229" s="1164"/>
      <c r="F229" s="1164"/>
      <c r="G229" s="1266"/>
      <c r="H229" s="1270"/>
      <c r="I229" s="1207"/>
      <c r="J229" s="1207"/>
      <c r="K229" s="1207"/>
      <c r="L229" s="1207"/>
      <c r="M229" s="1207"/>
      <c r="N229" s="242"/>
      <c r="O229" s="52"/>
      <c r="Q229" s="247"/>
      <c r="S229" s="273">
        <v>1.5</v>
      </c>
      <c r="T229" s="240">
        <f>COUNTIF(N193:N228,S229)</f>
        <v>1</v>
      </c>
      <c r="U229" s="240" t="str">
        <f>IF($D$5=1,SUMIF($N$193:$N$228,S229,$U$193:$U$228),"")</f>
        <v/>
      </c>
      <c r="V229" s="242"/>
      <c r="W229" s="52"/>
      <c r="AD229" s="1307">
        <v>1.5</v>
      </c>
      <c r="AE229" s="1198" t="s">
        <v>373</v>
      </c>
      <c r="AF229" s="1162"/>
      <c r="AG229" s="1162"/>
      <c r="AH229" s="1162"/>
      <c r="AI229" s="1162"/>
      <c r="AJ229" s="1199"/>
      <c r="AK229" s="1226" t="str">
        <f>IF(ISBLANK(L$5),"",1)</f>
        <v/>
      </c>
      <c r="AL229" s="1304">
        <v>1.5</v>
      </c>
      <c r="AM229" s="1198" t="s">
        <v>373</v>
      </c>
      <c r="AN229" s="1162"/>
      <c r="AO229" s="1162"/>
      <c r="AP229" s="1162"/>
      <c r="AQ229" s="1162"/>
      <c r="AR229" s="1199"/>
      <c r="AS229" s="1226" t="str">
        <f>IF(ISBLANK(P$5),"",1)</f>
        <v/>
      </c>
      <c r="AT229" s="1307">
        <v>1.5</v>
      </c>
      <c r="AU229" s="1198" t="s">
        <v>373</v>
      </c>
      <c r="AV229" s="1162"/>
      <c r="AW229" s="1162"/>
      <c r="AX229" s="1162"/>
      <c r="AY229" s="1162"/>
      <c r="AZ229" s="1199"/>
      <c r="BA229" s="1226" t="str">
        <f>IF(ISBLANK(T$5),"",1)</f>
        <v/>
      </c>
      <c r="BB229" s="1307">
        <v>1.5</v>
      </c>
      <c r="BC229" s="1198" t="s">
        <v>373</v>
      </c>
      <c r="BD229" s="1162"/>
      <c r="BE229" s="1162"/>
      <c r="BF229" s="1162"/>
      <c r="BG229" s="1162"/>
      <c r="BH229" s="1199"/>
      <c r="BI229" s="1226" t="str">
        <f>IF(ISBLANK(X$5),"",1)</f>
        <v/>
      </c>
    </row>
    <row r="230" spans="1:67" ht="15" customHeight="1">
      <c r="A230" s="1336">
        <v>1.4</v>
      </c>
      <c r="B230" s="1198" t="s">
        <v>943</v>
      </c>
      <c r="C230" s="1162"/>
      <c r="D230" s="1162"/>
      <c r="E230" s="1162"/>
      <c r="F230" s="1162"/>
      <c r="G230" s="1265"/>
      <c r="H230" s="1268" t="str">
        <f t="shared" ref="H230" si="238">IF(ISBLANK(D$5),"",1)</f>
        <v/>
      </c>
      <c r="I230" s="1205" t="str">
        <f t="shared" ref="I230" si="239">IF(ISBLANK(H$5),"",1)</f>
        <v/>
      </c>
      <c r="J230" s="1205" t="str">
        <f t="shared" ref="J230" si="240">IF(ISBLANK(L$5),"",1)</f>
        <v/>
      </c>
      <c r="K230" s="1205" t="str">
        <f t="shared" ref="K230" si="241">IF(ISBLANK(P$5),"",1)</f>
        <v/>
      </c>
      <c r="L230" s="1205" t="str">
        <f t="shared" ref="L230" si="242">IF(ISBLANK(T$5),"",1)</f>
        <v/>
      </c>
      <c r="M230" s="1248" t="str">
        <f t="shared" ref="M230" si="243">IF(ISBLANK(X$5),"",1)</f>
        <v/>
      </c>
      <c r="N230" s="242"/>
      <c r="O230" s="52"/>
      <c r="Q230" s="248"/>
      <c r="S230" s="275">
        <v>4.3</v>
      </c>
      <c r="T230" s="240">
        <f>COUNTIF(N193:N228,S230)</f>
        <v>3</v>
      </c>
      <c r="U230" s="240" t="str">
        <f>IF($D$5=1,SUMIF($N$193:$N$228,S230,$U$193:$U$228),"")</f>
        <v/>
      </c>
      <c r="V230" s="242"/>
      <c r="W230" s="52"/>
      <c r="AD230" s="1308"/>
      <c r="AE230" s="1200"/>
      <c r="AF230" s="1164"/>
      <c r="AG230" s="1164"/>
      <c r="AH230" s="1164"/>
      <c r="AI230" s="1164"/>
      <c r="AJ230" s="1201"/>
      <c r="AK230" s="1342"/>
      <c r="AL230" s="1290"/>
      <c r="AM230" s="1200"/>
      <c r="AN230" s="1164"/>
      <c r="AO230" s="1164"/>
      <c r="AP230" s="1164"/>
      <c r="AQ230" s="1164"/>
      <c r="AR230" s="1201"/>
      <c r="AS230" s="1342"/>
      <c r="AT230" s="1308"/>
      <c r="AU230" s="1200"/>
      <c r="AV230" s="1164"/>
      <c r="AW230" s="1164"/>
      <c r="AX230" s="1164"/>
      <c r="AY230" s="1164"/>
      <c r="AZ230" s="1201"/>
      <c r="BA230" s="1342"/>
      <c r="BB230" s="1308"/>
      <c r="BC230" s="1200"/>
      <c r="BD230" s="1164"/>
      <c r="BE230" s="1164"/>
      <c r="BF230" s="1164"/>
      <c r="BG230" s="1164"/>
      <c r="BH230" s="1201"/>
      <c r="BI230" s="1342"/>
    </row>
    <row r="231" spans="1:67" ht="15" customHeight="1">
      <c r="A231" s="1159"/>
      <c r="B231" s="1200"/>
      <c r="C231" s="1164"/>
      <c r="D231" s="1164"/>
      <c r="E231" s="1164"/>
      <c r="F231" s="1164"/>
      <c r="G231" s="1266"/>
      <c r="H231" s="1269"/>
      <c r="I231" s="1206"/>
      <c r="J231" s="1206"/>
      <c r="K231" s="1206"/>
      <c r="L231" s="1206"/>
      <c r="M231" s="1206"/>
      <c r="N231" s="242"/>
      <c r="O231" s="52"/>
      <c r="Q231" s="248"/>
      <c r="S231" s="276">
        <v>4.4000000000000004</v>
      </c>
      <c r="T231" s="240">
        <f>COUNTIF(N193:N228,S231)</f>
        <v>8</v>
      </c>
      <c r="U231" s="240" t="str">
        <f>IF($D$5=1,SUMIF($N$193:$N$228,S231,$U$193:$U$228),"")</f>
        <v/>
      </c>
      <c r="W231" s="52"/>
      <c r="AD231" s="1309"/>
      <c r="AE231" s="1202"/>
      <c r="AF231" s="1203"/>
      <c r="AG231" s="1203"/>
      <c r="AH231" s="1203"/>
      <c r="AI231" s="1203"/>
      <c r="AJ231" s="1204"/>
      <c r="AK231" s="1342"/>
      <c r="AL231" s="1291"/>
      <c r="AM231" s="1202"/>
      <c r="AN231" s="1203"/>
      <c r="AO231" s="1203"/>
      <c r="AP231" s="1203"/>
      <c r="AQ231" s="1203"/>
      <c r="AR231" s="1204"/>
      <c r="AS231" s="1342"/>
      <c r="AT231" s="1309"/>
      <c r="AU231" s="1202"/>
      <c r="AV231" s="1203"/>
      <c r="AW231" s="1203"/>
      <c r="AX231" s="1203"/>
      <c r="AY231" s="1203"/>
      <c r="AZ231" s="1204"/>
      <c r="BA231" s="1342"/>
      <c r="BB231" s="1309"/>
      <c r="BC231" s="1202"/>
      <c r="BD231" s="1203"/>
      <c r="BE231" s="1203"/>
      <c r="BF231" s="1203"/>
      <c r="BG231" s="1203"/>
      <c r="BH231" s="1204"/>
      <c r="BI231" s="1342"/>
    </row>
    <row r="232" spans="1:67" ht="15" customHeight="1">
      <c r="A232" s="1160"/>
      <c r="B232" s="1200"/>
      <c r="C232" s="1164"/>
      <c r="D232" s="1164"/>
      <c r="E232" s="1164"/>
      <c r="F232" s="1164"/>
      <c r="G232" s="1266"/>
      <c r="H232" s="1270"/>
      <c r="I232" s="1207"/>
      <c r="J232" s="1207"/>
      <c r="K232" s="1207"/>
      <c r="L232" s="1207"/>
      <c r="M232" s="1207"/>
      <c r="N232" s="242"/>
      <c r="O232" s="52"/>
      <c r="Q232" s="248"/>
      <c r="S232" s="332"/>
      <c r="T232" s="332"/>
      <c r="U232" s="332"/>
      <c r="W232" s="52"/>
      <c r="AD232" s="1307">
        <v>4.4000000000000004</v>
      </c>
      <c r="AE232" s="1198" t="s">
        <v>397</v>
      </c>
      <c r="AF232" s="1162"/>
      <c r="AG232" s="1162"/>
      <c r="AH232" s="1162"/>
      <c r="AI232" s="1162"/>
      <c r="AJ232" s="1199"/>
      <c r="AK232" s="1226" t="str">
        <f>IF(ISBLANK(L$5),"",1)</f>
        <v/>
      </c>
      <c r="AM232" s="242"/>
      <c r="AO232" s="52"/>
      <c r="AQ232" s="273">
        <v>1.5</v>
      </c>
      <c r="AR232" s="240">
        <f>COUNTIF($AL$193:$AL$231,AQ232)</f>
        <v>1</v>
      </c>
      <c r="AS232" s="240" t="str">
        <f>IF($P$5=1,SUMIF($AL$193:$AL$231,AQ232,$AS$193:$AS$231),"")</f>
        <v/>
      </c>
      <c r="AT232" s="1307">
        <v>4.4000000000000004</v>
      </c>
      <c r="AU232" s="1198" t="s">
        <v>397</v>
      </c>
      <c r="AV232" s="1162"/>
      <c r="AW232" s="1162"/>
      <c r="AX232" s="1162"/>
      <c r="AY232" s="1162"/>
      <c r="AZ232" s="1199"/>
      <c r="BA232" s="1226" t="str">
        <f>IF(ISBLANK(T$5),"",1)</f>
        <v/>
      </c>
      <c r="BB232" s="1307">
        <v>4.4000000000000004</v>
      </c>
      <c r="BC232" s="1198" t="s">
        <v>397</v>
      </c>
      <c r="BD232" s="1162"/>
      <c r="BE232" s="1162"/>
      <c r="BF232" s="1162"/>
      <c r="BG232" s="1162"/>
      <c r="BH232" s="1199"/>
      <c r="BI232" s="1226" t="str">
        <f>IF(ISBLANK(X$5),"",1)</f>
        <v/>
      </c>
    </row>
    <row r="233" spans="1:67" ht="15" customHeight="1">
      <c r="A233" s="1168" t="s">
        <v>637</v>
      </c>
      <c r="B233" s="1168"/>
      <c r="C233" s="1168"/>
      <c r="D233" s="1168"/>
      <c r="E233" s="1169"/>
      <c r="F233" s="617">
        <v>3.1</v>
      </c>
      <c r="G233" s="620">
        <f>COUNTIF($A$227:$A$232,F233)</f>
        <v>1</v>
      </c>
      <c r="H233" s="240" t="str">
        <f>IF($D$5=1,SUMIF($A$227:$A$232,$F233,$H$227:$H$232),"")</f>
        <v/>
      </c>
      <c r="I233" s="240" t="str">
        <f>IF($H$5=1,SUMIF($A$227:$A$232,$F233,$I$227:$I$232),"")</f>
        <v/>
      </c>
      <c r="J233" s="240" t="str">
        <f>IF($L$5=1,SUMIF($A$227:$A$232,$F233,$J$227:$J$232),"")</f>
        <v/>
      </c>
      <c r="K233" s="240" t="str">
        <f>IF($P$5=1,SUMIF($A$227:$A$232,$F233,$K$227:$K$232),"")</f>
        <v/>
      </c>
      <c r="L233" s="240" t="str">
        <f>IF($T$5=1,SUMIF($A$227:$A$232,$F233,$L$227:$L$232),"")</f>
        <v/>
      </c>
      <c r="M233" s="240" t="str">
        <f>IF($X$5=1,SUMIF($A$227:$A$232,$F233,$M$227:$M$232),"")</f>
        <v/>
      </c>
      <c r="N233" s="332"/>
      <c r="O233" s="332"/>
      <c r="P233" s="332"/>
      <c r="Q233" s="332"/>
      <c r="R233" s="332"/>
      <c r="S233" s="332"/>
      <c r="T233" s="332"/>
      <c r="U233" s="332"/>
      <c r="W233" s="52"/>
      <c r="AD233" s="1308"/>
      <c r="AE233" s="1200"/>
      <c r="AF233" s="1164"/>
      <c r="AG233" s="1164"/>
      <c r="AH233" s="1164"/>
      <c r="AI233" s="1164"/>
      <c r="AJ233" s="1201"/>
      <c r="AK233" s="1342"/>
      <c r="AM233" s="242"/>
      <c r="AO233" s="52"/>
      <c r="AQ233" s="274">
        <v>4.3</v>
      </c>
      <c r="AR233" s="240">
        <f>COUNTIF($AL$193:$AL$231,AQ233)</f>
        <v>4</v>
      </c>
      <c r="AS233" s="240" t="str">
        <f>IF($P$5=1,SUMIF($AL$193:$AL$231,AQ233,$AS$193:$AS$231),"")</f>
        <v/>
      </c>
      <c r="AT233" s="1308"/>
      <c r="AU233" s="1200"/>
      <c r="AV233" s="1164"/>
      <c r="AW233" s="1164"/>
      <c r="AX233" s="1164"/>
      <c r="AY233" s="1164"/>
      <c r="AZ233" s="1201"/>
      <c r="BA233" s="1342"/>
      <c r="BB233" s="1308"/>
      <c r="BC233" s="1200"/>
      <c r="BD233" s="1164"/>
      <c r="BE233" s="1164"/>
      <c r="BF233" s="1164"/>
      <c r="BG233" s="1164"/>
      <c r="BH233" s="1201"/>
      <c r="BI233" s="1342"/>
    </row>
    <row r="234" spans="1:67" ht="15" customHeight="1">
      <c r="F234" s="617">
        <v>1.4</v>
      </c>
      <c r="G234" s="620">
        <f>COUNTIF($A$227:$A$232,F234)</f>
        <v>1</v>
      </c>
      <c r="H234" s="240" t="str">
        <f>IF($D$5=1,SUMIF($A$227:$A$232,$F234,$H$227:$H$232),"")</f>
        <v/>
      </c>
      <c r="I234" s="240" t="str">
        <f>IF($H$5=1,SUMIF($A$227:$A$232,$F234,$I$227:$I$232),"")</f>
        <v/>
      </c>
      <c r="J234" s="240" t="str">
        <f>IF($L$5=1,SUMIF($A$227:$A$232,$F234,$J$227:$J$232),"")</f>
        <v/>
      </c>
      <c r="K234" s="240" t="str">
        <f>IF($P$5=1,SUMIF($A$227:$A$232,$F234,$K$227:$K$232),"")</f>
        <v/>
      </c>
      <c r="L234" s="240" t="str">
        <f>IF($T$5=1,SUMIF($A$227:$A$232,$F234,$L$227:$L$232),"")</f>
        <v/>
      </c>
      <c r="M234" s="240" t="str">
        <f>IF($X$5=1,SUMIF($A$227:$A$232,$F234,$M$227:$M$232),"")</f>
        <v/>
      </c>
      <c r="N234" s="332"/>
      <c r="O234" s="332"/>
      <c r="P234" s="332"/>
      <c r="Q234" s="332"/>
      <c r="R234" s="332"/>
      <c r="S234" s="332"/>
      <c r="T234" s="332"/>
      <c r="U234" s="332"/>
      <c r="W234" s="52"/>
      <c r="AD234" s="1309"/>
      <c r="AE234" s="1202"/>
      <c r="AF234" s="1203"/>
      <c r="AG234" s="1203"/>
      <c r="AH234" s="1203"/>
      <c r="AI234" s="1203"/>
      <c r="AJ234" s="1204"/>
      <c r="AK234" s="1342"/>
      <c r="AM234" s="242"/>
      <c r="AO234" s="52"/>
      <c r="AQ234" s="274">
        <v>4.4000000000000004</v>
      </c>
      <c r="AR234" s="240">
        <f>COUNTIF($AL$193:$AL$231,AQ234)</f>
        <v>8</v>
      </c>
      <c r="AS234" s="240" t="str">
        <f>IF($P$5=1,SUMIF($AL$193:$AL$231,AQ234,$AS$193:$AS$231),"")</f>
        <v/>
      </c>
      <c r="AT234" s="1309"/>
      <c r="AU234" s="1202"/>
      <c r="AV234" s="1203"/>
      <c r="AW234" s="1203"/>
      <c r="AX234" s="1203"/>
      <c r="AY234" s="1203"/>
      <c r="AZ234" s="1204"/>
      <c r="BA234" s="1342"/>
      <c r="BB234" s="1309"/>
      <c r="BC234" s="1202"/>
      <c r="BD234" s="1203"/>
      <c r="BE234" s="1203"/>
      <c r="BF234" s="1203"/>
      <c r="BG234" s="1203"/>
      <c r="BH234" s="1204"/>
      <c r="BI234" s="1342"/>
    </row>
    <row r="235" spans="1:67" ht="15" customHeight="1">
      <c r="N235" s="332"/>
      <c r="O235" s="332"/>
      <c r="P235" s="332"/>
      <c r="Q235" s="332"/>
      <c r="R235" s="332"/>
      <c r="S235" s="332"/>
      <c r="T235" s="332"/>
      <c r="U235" s="332"/>
      <c r="W235" s="52"/>
      <c r="AD235" s="242"/>
      <c r="AF235" s="52"/>
      <c r="AG235" s="247"/>
      <c r="AI235" s="273">
        <v>1.5</v>
      </c>
      <c r="AJ235" s="240">
        <f>COUNTIF(AD193:AD234,AI235)</f>
        <v>1</v>
      </c>
      <c r="AK235" s="240" t="str">
        <f>IF($L$5=1,SUMIF($AD$193:$AD$234,AI235,$AK$193:$AK$234),"")</f>
        <v/>
      </c>
      <c r="AM235" s="242"/>
      <c r="AO235" s="52"/>
      <c r="AV235" s="242"/>
      <c r="AY235" s="273">
        <v>1.5</v>
      </c>
      <c r="AZ235" s="240">
        <f>COUNTIF($AT$193:$AT$234,AY235)</f>
        <v>1</v>
      </c>
      <c r="BA235" s="240" t="str">
        <f>IF($T$5=1,SUMIF($AT$193:$AT$234,AY235,$BA$193:$BA$234),"")</f>
        <v/>
      </c>
      <c r="BE235" s="242"/>
      <c r="BG235" s="273">
        <v>1.5</v>
      </c>
      <c r="BH235" s="240">
        <f>COUNTIF($BB$193:$BB$234,BG235)</f>
        <v>1</v>
      </c>
      <c r="BI235" s="240" t="str">
        <f>IF($X$5=1,SUMIF($BB$193:$BB$234,BG235,$BI$193:$BI$234),"")</f>
        <v/>
      </c>
    </row>
    <row r="236" spans="1:67" ht="15" customHeight="1">
      <c r="N236" s="332"/>
      <c r="O236" s="332"/>
      <c r="P236" s="332"/>
      <c r="Q236" s="332"/>
      <c r="R236" s="332"/>
      <c r="S236" s="332"/>
      <c r="T236" s="332"/>
      <c r="U236" s="332"/>
      <c r="W236" s="52"/>
      <c r="AD236" s="242"/>
      <c r="AF236" s="52"/>
      <c r="AG236" s="248"/>
      <c r="AI236" s="274">
        <v>4.3</v>
      </c>
      <c r="AJ236" s="240">
        <f>COUNTIF(AD193:AD234,AI236)</f>
        <v>6</v>
      </c>
      <c r="AK236" s="240" t="str">
        <f>IF($L$5=1,SUMIF($AD$193:$AD$234,AI236,$AK$193:$AK$234),"")</f>
        <v/>
      </c>
      <c r="AM236" s="242"/>
      <c r="AO236" s="52"/>
      <c r="AV236" s="242"/>
      <c r="AY236" s="274">
        <v>4.3</v>
      </c>
      <c r="AZ236" s="240">
        <f>COUNTIF($AT$193:$AT$234,AY236)</f>
        <v>6</v>
      </c>
      <c r="BA236" s="240" t="str">
        <f>IF($T$5=1,SUMIF($AT$193:$AT$234,AY236,$BA$193:$BA$234),"")</f>
        <v/>
      </c>
      <c r="BE236" s="242"/>
      <c r="BG236" s="274">
        <v>4.3</v>
      </c>
      <c r="BH236" s="240">
        <f>COUNTIF($BB$193:$BB$234,BG236)</f>
        <v>6</v>
      </c>
      <c r="BI236" s="240" t="str">
        <f>IF($X$5=1,SUMIF($BB$193:$BB$234,BG236,$BI$193:$BI$234),"")</f>
        <v/>
      </c>
    </row>
    <row r="237" spans="1:67" ht="15" customHeight="1">
      <c r="N237" s="332"/>
      <c r="O237" s="332"/>
      <c r="P237" s="332"/>
      <c r="Q237" s="332"/>
      <c r="R237" s="332"/>
      <c r="S237" s="332"/>
      <c r="T237" s="332"/>
      <c r="U237" s="332"/>
      <c r="W237" s="52"/>
      <c r="AD237" s="242"/>
      <c r="AF237" s="52"/>
      <c r="AG237" s="248"/>
      <c r="AI237" s="274">
        <v>4.4000000000000004</v>
      </c>
      <c r="AJ237" s="240">
        <f>COUNTIF(AD193:AD234,AI237)</f>
        <v>7</v>
      </c>
      <c r="AK237" s="240" t="str">
        <f>IF($L$5=1,SUMIF($AD$193:$AD$234,AI237,$AK$193:$AK$234),"")</f>
        <v/>
      </c>
      <c r="AM237" s="242"/>
      <c r="AO237" s="52"/>
      <c r="AV237" s="242"/>
      <c r="AY237" s="274">
        <v>4.4000000000000004</v>
      </c>
      <c r="AZ237" s="240">
        <f>COUNTIF($AT$193:$AT$234,AY237)</f>
        <v>7</v>
      </c>
      <c r="BA237" s="240" t="str">
        <f>IF($T$5=1,SUMIF($AT$193:$AT$234,AY237,$BA$193:$BA$234),"")</f>
        <v/>
      </c>
      <c r="BE237" s="242"/>
      <c r="BG237" s="274">
        <v>4.4000000000000004</v>
      </c>
      <c r="BH237" s="240">
        <f>COUNTIF($BB$193:$BB$234,BG237)</f>
        <v>7</v>
      </c>
      <c r="BI237" s="240" t="str">
        <f>IF($X$5=1,SUMIF($BB$193:$BB$234,BG237,$BI$193:$BI$234),"")</f>
        <v/>
      </c>
    </row>
    <row r="238" spans="1:67" ht="15" customHeight="1">
      <c r="A238" s="1171" t="s">
        <v>17</v>
      </c>
      <c r="B238" s="1171"/>
      <c r="C238" s="1171"/>
      <c r="D238" s="1171"/>
      <c r="E238" s="1171"/>
      <c r="F238" s="1171"/>
      <c r="G238" s="1171"/>
      <c r="H238" s="1171"/>
      <c r="I238" s="1171"/>
      <c r="J238" s="1171"/>
      <c r="K238" s="1171"/>
      <c r="L238" s="1171"/>
      <c r="M238" s="1171"/>
      <c r="N238" s="1171"/>
      <c r="O238" s="1171"/>
      <c r="P238" s="1171"/>
      <c r="Q238" s="1171"/>
      <c r="R238" s="1171"/>
      <c r="S238" s="1171"/>
      <c r="T238" s="1171"/>
      <c r="U238" s="1171"/>
      <c r="V238" s="1171"/>
      <c r="W238" s="1171"/>
      <c r="X238" s="1171"/>
      <c r="Y238" s="1171"/>
      <c r="Z238" s="1171"/>
      <c r="AA238" s="1171"/>
      <c r="AB238" s="1171"/>
      <c r="AC238" s="1171"/>
      <c r="AD238" s="1171"/>
      <c r="AE238" s="1171"/>
      <c r="AF238" s="1171"/>
      <c r="AG238" s="1171"/>
      <c r="AH238" s="1171"/>
      <c r="AI238" s="1171"/>
      <c r="AJ238" s="1171"/>
      <c r="AK238" s="1171"/>
      <c r="AL238" s="1171"/>
      <c r="AM238" s="1171"/>
      <c r="AN238" s="1171"/>
      <c r="AO238" s="1171"/>
      <c r="AP238" s="1171"/>
      <c r="AQ238" s="1171"/>
      <c r="AR238" s="1171"/>
      <c r="AS238" s="1171"/>
      <c r="AT238" s="1171"/>
      <c r="AU238" s="1171"/>
      <c r="AV238" s="1171"/>
      <c r="AW238" s="1171"/>
      <c r="AX238" s="1171"/>
      <c r="AY238" s="1171"/>
      <c r="AZ238" s="1171"/>
      <c r="BA238" s="1171"/>
      <c r="BB238" s="1171"/>
      <c r="BC238" s="1171"/>
      <c r="BD238" s="1171"/>
      <c r="BE238" s="1171"/>
      <c r="BF238" s="1171"/>
      <c r="BG238" s="1171"/>
      <c r="BH238" s="1171"/>
      <c r="BI238" s="1171"/>
      <c r="BJ238" s="1171"/>
      <c r="BK238" s="1171"/>
      <c r="BL238" s="1171"/>
      <c r="BM238" s="1171"/>
    </row>
    <row r="239" spans="1:67" ht="15" customHeight="1">
      <c r="A239" s="1275"/>
      <c r="B239" s="1275"/>
      <c r="C239" s="1275"/>
      <c r="D239" s="1275"/>
      <c r="E239" s="1275"/>
      <c r="F239" s="1275"/>
      <c r="G239" s="1275"/>
      <c r="H239" s="1275"/>
      <c r="I239" s="1275"/>
      <c r="J239" s="1275"/>
      <c r="K239" s="1275"/>
      <c r="L239" s="1275"/>
      <c r="M239" s="1275"/>
      <c r="N239" s="1275"/>
      <c r="O239" s="1275"/>
      <c r="P239" s="1275"/>
      <c r="Q239" s="1275"/>
      <c r="R239" s="1275"/>
      <c r="S239" s="1275"/>
      <c r="T239" s="1275"/>
      <c r="U239" s="1275"/>
      <c r="V239" s="1275"/>
      <c r="W239" s="1275"/>
      <c r="X239" s="1275"/>
      <c r="Y239" s="1275"/>
      <c r="Z239" s="1275"/>
      <c r="AA239" s="1275"/>
      <c r="AB239" s="1275"/>
      <c r="AC239" s="1275"/>
      <c r="AD239" s="1275"/>
      <c r="AE239" s="1275"/>
      <c r="AF239" s="1275"/>
      <c r="AG239" s="1275"/>
      <c r="AH239" s="1275"/>
      <c r="AI239" s="1275"/>
      <c r="AJ239" s="1275"/>
      <c r="AK239" s="1275"/>
      <c r="AL239" s="1275"/>
      <c r="AM239" s="1275"/>
      <c r="AN239" s="1275"/>
      <c r="AO239" s="1275"/>
      <c r="AP239" s="1275"/>
      <c r="AQ239" s="1275"/>
      <c r="AR239" s="1275"/>
      <c r="AS239" s="1275"/>
      <c r="AT239" s="1275"/>
      <c r="AU239" s="1275"/>
      <c r="AV239" s="1275"/>
      <c r="AW239" s="1275"/>
      <c r="AX239" s="1275"/>
      <c r="AY239" s="1275"/>
      <c r="AZ239" s="1275"/>
      <c r="BA239" s="1275"/>
      <c r="BB239" s="1275"/>
      <c r="BC239" s="1275"/>
      <c r="BD239" s="1275"/>
      <c r="BE239" s="1275"/>
      <c r="BF239" s="1275"/>
      <c r="BG239" s="1275"/>
      <c r="BH239" s="1275"/>
      <c r="BI239" s="1275"/>
      <c r="BJ239" s="1275"/>
      <c r="BK239" s="1275"/>
      <c r="BL239" s="1275"/>
      <c r="BM239" s="1275"/>
    </row>
    <row r="240" spans="1:67" ht="15" customHeight="1">
      <c r="A240" s="1172"/>
      <c r="B240" s="1173" t="s">
        <v>608</v>
      </c>
      <c r="C240" s="1173"/>
      <c r="D240" s="1173"/>
      <c r="E240" s="1173"/>
      <c r="F240" s="1173"/>
      <c r="G240" s="1173"/>
      <c r="H240" s="1343">
        <v>7</v>
      </c>
      <c r="I240" s="1174">
        <v>8</v>
      </c>
      <c r="J240" s="1343">
        <v>9</v>
      </c>
      <c r="K240" s="1174">
        <v>10</v>
      </c>
      <c r="L240" s="1343">
        <v>11</v>
      </c>
      <c r="M240" s="1174">
        <v>12</v>
      </c>
      <c r="N240" s="1283"/>
      <c r="O240" s="1446" t="s">
        <v>915</v>
      </c>
      <c r="P240" s="1447"/>
      <c r="Q240" s="1447"/>
      <c r="R240" s="1447"/>
      <c r="S240" s="1447"/>
      <c r="T240" s="1447"/>
      <c r="U240" s="1448"/>
      <c r="V240" s="1285"/>
      <c r="W240" s="1437" t="s">
        <v>916</v>
      </c>
      <c r="X240" s="1438"/>
      <c r="Y240" s="1438"/>
      <c r="Z240" s="1438"/>
      <c r="AA240" s="1438"/>
      <c r="AB240" s="1438"/>
      <c r="AC240" s="1439"/>
      <c r="AD240" s="1287"/>
      <c r="AE240" s="1400" t="s">
        <v>917</v>
      </c>
      <c r="AF240" s="1401"/>
      <c r="AG240" s="1401"/>
      <c r="AH240" s="1401"/>
      <c r="AI240" s="1401"/>
      <c r="AJ240" s="1401"/>
      <c r="AK240" s="1402"/>
      <c r="AL240" s="1278"/>
      <c r="AM240" s="1409" t="s">
        <v>918</v>
      </c>
      <c r="AN240" s="1410"/>
      <c r="AO240" s="1410"/>
      <c r="AP240" s="1410"/>
      <c r="AQ240" s="1410"/>
      <c r="AR240" s="1410"/>
      <c r="AS240" s="1411"/>
      <c r="AT240" s="1418"/>
      <c r="AU240" s="1611" t="s">
        <v>919</v>
      </c>
      <c r="AV240" s="1612"/>
      <c r="AW240" s="1612"/>
      <c r="AX240" s="1612"/>
      <c r="AY240" s="1612"/>
      <c r="AZ240" s="1612"/>
      <c r="BA240" s="1613"/>
      <c r="BB240" s="1421"/>
      <c r="BC240" s="1424" t="s">
        <v>920</v>
      </c>
      <c r="BD240" s="1425"/>
      <c r="BE240" s="1425"/>
      <c r="BF240" s="1425"/>
      <c r="BG240" s="1425"/>
      <c r="BH240" s="1425"/>
      <c r="BI240" s="1426"/>
      <c r="BJ240" s="1182" t="s">
        <v>263</v>
      </c>
      <c r="BK240" s="1183"/>
      <c r="BL240" s="1183"/>
      <c r="BM240" s="1183"/>
      <c r="BN240" s="1183"/>
      <c r="BO240" s="1184"/>
    </row>
    <row r="241" spans="1:67" ht="15" customHeight="1">
      <c r="A241" s="1172"/>
      <c r="B241" s="1173"/>
      <c r="C241" s="1173"/>
      <c r="D241" s="1173"/>
      <c r="E241" s="1173"/>
      <c r="F241" s="1173"/>
      <c r="G241" s="1173"/>
      <c r="H241" s="1344"/>
      <c r="I241" s="1174"/>
      <c r="J241" s="1344"/>
      <c r="K241" s="1174"/>
      <c r="L241" s="1344"/>
      <c r="M241" s="1174"/>
      <c r="N241" s="1283"/>
      <c r="O241" s="1449"/>
      <c r="P241" s="1450"/>
      <c r="Q241" s="1450"/>
      <c r="R241" s="1450"/>
      <c r="S241" s="1450"/>
      <c r="T241" s="1450"/>
      <c r="U241" s="1451"/>
      <c r="V241" s="1285"/>
      <c r="W241" s="1440"/>
      <c r="X241" s="1441"/>
      <c r="Y241" s="1441"/>
      <c r="Z241" s="1441"/>
      <c r="AA241" s="1441"/>
      <c r="AB241" s="1441"/>
      <c r="AC241" s="1442"/>
      <c r="AD241" s="1287"/>
      <c r="AE241" s="1403"/>
      <c r="AF241" s="1404"/>
      <c r="AG241" s="1404"/>
      <c r="AH241" s="1404"/>
      <c r="AI241" s="1404"/>
      <c r="AJ241" s="1404"/>
      <c r="AK241" s="1405"/>
      <c r="AL241" s="1278"/>
      <c r="AM241" s="1412"/>
      <c r="AN241" s="1413"/>
      <c r="AO241" s="1413"/>
      <c r="AP241" s="1413"/>
      <c r="AQ241" s="1413"/>
      <c r="AR241" s="1413"/>
      <c r="AS241" s="1414"/>
      <c r="AT241" s="1419"/>
      <c r="AU241" s="1614"/>
      <c r="AV241" s="1615"/>
      <c r="AW241" s="1615"/>
      <c r="AX241" s="1615"/>
      <c r="AY241" s="1615"/>
      <c r="AZ241" s="1615"/>
      <c r="BA241" s="1616"/>
      <c r="BB241" s="1422"/>
      <c r="BC241" s="1427"/>
      <c r="BD241" s="1428"/>
      <c r="BE241" s="1428"/>
      <c r="BF241" s="1428"/>
      <c r="BG241" s="1428"/>
      <c r="BH241" s="1428"/>
      <c r="BI241" s="1429"/>
      <c r="BJ241" s="1219"/>
      <c r="BK241" s="1220"/>
      <c r="BL241" s="1220"/>
      <c r="BM241" s="1220"/>
      <c r="BN241" s="1220"/>
      <c r="BO241" s="1221"/>
    </row>
    <row r="242" spans="1:67" ht="15" customHeight="1">
      <c r="A242" s="1172"/>
      <c r="B242" s="1173"/>
      <c r="C242" s="1173"/>
      <c r="D242" s="1173"/>
      <c r="E242" s="1173"/>
      <c r="F242" s="1173"/>
      <c r="G242" s="1173"/>
      <c r="H242" s="1345"/>
      <c r="I242" s="1174"/>
      <c r="J242" s="1345"/>
      <c r="K242" s="1174"/>
      <c r="L242" s="1345"/>
      <c r="M242" s="1174"/>
      <c r="N242" s="1283"/>
      <c r="O242" s="1452"/>
      <c r="P242" s="1453"/>
      <c r="Q242" s="1453"/>
      <c r="R242" s="1453"/>
      <c r="S242" s="1453"/>
      <c r="T242" s="1453"/>
      <c r="U242" s="1454"/>
      <c r="V242" s="1285"/>
      <c r="W242" s="1443"/>
      <c r="X242" s="1444"/>
      <c r="Y242" s="1444"/>
      <c r="Z242" s="1444"/>
      <c r="AA242" s="1444"/>
      <c r="AB242" s="1444"/>
      <c r="AC242" s="1445"/>
      <c r="AD242" s="1287"/>
      <c r="AE242" s="1406"/>
      <c r="AF242" s="1407"/>
      <c r="AG242" s="1407"/>
      <c r="AH242" s="1407"/>
      <c r="AI242" s="1407"/>
      <c r="AJ242" s="1407"/>
      <c r="AK242" s="1408"/>
      <c r="AL242" s="1278"/>
      <c r="AM242" s="1415"/>
      <c r="AN242" s="1416"/>
      <c r="AO242" s="1416"/>
      <c r="AP242" s="1416"/>
      <c r="AQ242" s="1416"/>
      <c r="AR242" s="1416"/>
      <c r="AS242" s="1417"/>
      <c r="AT242" s="1420"/>
      <c r="AU242" s="1617"/>
      <c r="AV242" s="1618"/>
      <c r="AW242" s="1618"/>
      <c r="AX242" s="1618"/>
      <c r="AY242" s="1618"/>
      <c r="AZ242" s="1618"/>
      <c r="BA242" s="1619"/>
      <c r="BB242" s="1423"/>
      <c r="BC242" s="1430"/>
      <c r="BD242" s="1431"/>
      <c r="BE242" s="1431"/>
      <c r="BF242" s="1431"/>
      <c r="BG242" s="1431"/>
      <c r="BH242" s="1431"/>
      <c r="BI242" s="1432"/>
      <c r="BJ242" s="1337"/>
      <c r="BK242" s="1338"/>
      <c r="BL242" s="1338"/>
      <c r="BM242" s="1338"/>
      <c r="BN242" s="1338"/>
      <c r="BO242" s="1339"/>
    </row>
    <row r="243" spans="1:67" ht="15" customHeight="1">
      <c r="A243" s="1307">
        <v>1.1000000000000001</v>
      </c>
      <c r="B243" s="1161" t="s">
        <v>941</v>
      </c>
      <c r="C243" s="1162"/>
      <c r="D243" s="1162"/>
      <c r="E243" s="1162"/>
      <c r="F243" s="1162"/>
      <c r="G243" s="1199"/>
      <c r="H243" s="1205" t="str">
        <f>IF(ISBLANK(AB$5),"",1)</f>
        <v/>
      </c>
      <c r="I243" s="1205" t="str">
        <f>IF(ISBLANK(AF$5),"",1)</f>
        <v/>
      </c>
      <c r="J243" s="1205" t="str">
        <f>IF(ISBLANK(AJ$5),"",1)</f>
        <v/>
      </c>
      <c r="K243" s="1205" t="str">
        <f>IF(ISBLANK(AN$5),"",1)</f>
        <v/>
      </c>
      <c r="L243" s="1205" t="str">
        <f>IF(ISBLANK(AR$5),"",1)</f>
        <v/>
      </c>
      <c r="M243" s="1205" t="str">
        <f>IF(ISBLANK(AV$5),"",1)</f>
        <v/>
      </c>
      <c r="N243" s="1322">
        <v>4.3</v>
      </c>
      <c r="O243" s="1198" t="s">
        <v>387</v>
      </c>
      <c r="P243" s="1162"/>
      <c r="Q243" s="1162"/>
      <c r="R243" s="1162"/>
      <c r="S243" s="1162"/>
      <c r="T243" s="1265"/>
      <c r="U243" s="1205" t="str">
        <f>IF(ISBLANK(AB$5),"",1)</f>
        <v/>
      </c>
      <c r="V243" s="1322">
        <v>4.3</v>
      </c>
      <c r="W243" s="1198" t="s">
        <v>387</v>
      </c>
      <c r="X243" s="1162"/>
      <c r="Y243" s="1162"/>
      <c r="Z243" s="1162"/>
      <c r="AA243" s="1162"/>
      <c r="AB243" s="1265"/>
      <c r="AC243" s="1205" t="str">
        <f>IF(ISBLANK(AF$5),"",1)</f>
        <v/>
      </c>
      <c r="AD243" s="1258">
        <v>4.3</v>
      </c>
      <c r="AE243" s="1198" t="s">
        <v>409</v>
      </c>
      <c r="AF243" s="1162"/>
      <c r="AG243" s="1162"/>
      <c r="AH243" s="1162"/>
      <c r="AI243" s="1162"/>
      <c r="AJ243" s="1265"/>
      <c r="AK243" s="1205" t="str">
        <f>IF(ISBLANK(AJ$5),"",1)</f>
        <v/>
      </c>
      <c r="AL243" s="1258">
        <v>4.3</v>
      </c>
      <c r="AM243" s="1198" t="s">
        <v>387</v>
      </c>
      <c r="AN243" s="1162"/>
      <c r="AO243" s="1162"/>
      <c r="AP243" s="1162"/>
      <c r="AQ243" s="1162"/>
      <c r="AR243" s="1265"/>
      <c r="AS243" s="1205" t="str">
        <f>IF(ISBLANK(AN$5),"",1)</f>
        <v/>
      </c>
      <c r="AT243" s="1258">
        <v>4.3</v>
      </c>
      <c r="AU243" s="1198" t="s">
        <v>398</v>
      </c>
      <c r="AV243" s="1162"/>
      <c r="AW243" s="1162"/>
      <c r="AX243" s="1162"/>
      <c r="AY243" s="1162"/>
      <c r="AZ243" s="1199"/>
      <c r="BA243" s="1226" t="str">
        <f>IF(ISBLANK(AR$5),"",1)</f>
        <v/>
      </c>
      <c r="BB243" s="1258">
        <v>4.3</v>
      </c>
      <c r="BC243" s="1198" t="s">
        <v>398</v>
      </c>
      <c r="BD243" s="1162"/>
      <c r="BE243" s="1162"/>
      <c r="BF243" s="1162"/>
      <c r="BG243" s="1162"/>
      <c r="BH243" s="1199"/>
      <c r="BI243" s="1226" t="str">
        <f>IF(ISBLANK(AV$5),"",1)</f>
        <v/>
      </c>
      <c r="BJ243" s="1337"/>
      <c r="BK243" s="1338"/>
      <c r="BL243" s="1338"/>
      <c r="BM243" s="1338"/>
      <c r="BN243" s="1338"/>
      <c r="BO243" s="1339"/>
    </row>
    <row r="244" spans="1:67" ht="15" customHeight="1">
      <c r="A244" s="1308"/>
      <c r="B244" s="1163"/>
      <c r="C244" s="1164"/>
      <c r="D244" s="1164"/>
      <c r="E244" s="1164"/>
      <c r="F244" s="1164"/>
      <c r="G244" s="1201"/>
      <c r="H244" s="1206"/>
      <c r="I244" s="1206"/>
      <c r="J244" s="1206"/>
      <c r="K244" s="1206"/>
      <c r="L244" s="1206"/>
      <c r="M244" s="1206"/>
      <c r="N244" s="1293"/>
      <c r="O244" s="1200"/>
      <c r="P244" s="1164"/>
      <c r="Q244" s="1164"/>
      <c r="R244" s="1164"/>
      <c r="S244" s="1164"/>
      <c r="T244" s="1266"/>
      <c r="U244" s="1206"/>
      <c r="V244" s="1293"/>
      <c r="W244" s="1200"/>
      <c r="X244" s="1164"/>
      <c r="Y244" s="1164"/>
      <c r="Z244" s="1164"/>
      <c r="AA244" s="1164"/>
      <c r="AB244" s="1266"/>
      <c r="AC244" s="1206"/>
      <c r="AD244" s="1258"/>
      <c r="AE244" s="1200"/>
      <c r="AF244" s="1164"/>
      <c r="AG244" s="1164"/>
      <c r="AH244" s="1164"/>
      <c r="AI244" s="1164"/>
      <c r="AJ244" s="1266"/>
      <c r="AK244" s="1206"/>
      <c r="AL244" s="1258"/>
      <c r="AM244" s="1200"/>
      <c r="AN244" s="1164"/>
      <c r="AO244" s="1164"/>
      <c r="AP244" s="1164"/>
      <c r="AQ244" s="1164"/>
      <c r="AR244" s="1266"/>
      <c r="AS244" s="1206"/>
      <c r="AT244" s="1258"/>
      <c r="AU244" s="1200"/>
      <c r="AV244" s="1164"/>
      <c r="AW244" s="1164"/>
      <c r="AX244" s="1164"/>
      <c r="AY244" s="1164"/>
      <c r="AZ244" s="1201"/>
      <c r="BA244" s="1342"/>
      <c r="BB244" s="1258"/>
      <c r="BC244" s="1200"/>
      <c r="BD244" s="1164"/>
      <c r="BE244" s="1164"/>
      <c r="BF244" s="1164"/>
      <c r="BG244" s="1164"/>
      <c r="BH244" s="1201"/>
      <c r="BI244" s="1342"/>
      <c r="BJ244" s="1337"/>
      <c r="BK244" s="1338"/>
      <c r="BL244" s="1338"/>
      <c r="BM244" s="1338"/>
      <c r="BN244" s="1338"/>
      <c r="BO244" s="1339"/>
    </row>
    <row r="245" spans="1:67" ht="15" customHeight="1">
      <c r="A245" s="1309"/>
      <c r="B245" s="1165"/>
      <c r="C245" s="1166"/>
      <c r="D245" s="1166"/>
      <c r="E245" s="1166"/>
      <c r="F245" s="1166"/>
      <c r="G245" s="1292"/>
      <c r="H245" s="1207"/>
      <c r="I245" s="1207"/>
      <c r="J245" s="1207"/>
      <c r="K245" s="1207"/>
      <c r="L245" s="1207"/>
      <c r="M245" s="1207"/>
      <c r="N245" s="1294"/>
      <c r="O245" s="1202"/>
      <c r="P245" s="1203"/>
      <c r="Q245" s="1203"/>
      <c r="R245" s="1203"/>
      <c r="S245" s="1203"/>
      <c r="T245" s="1305"/>
      <c r="U245" s="1207"/>
      <c r="V245" s="1294"/>
      <c r="W245" s="1202"/>
      <c r="X245" s="1203"/>
      <c r="Y245" s="1203"/>
      <c r="Z245" s="1203"/>
      <c r="AA245" s="1203"/>
      <c r="AB245" s="1305"/>
      <c r="AC245" s="1207"/>
      <c r="AD245" s="1258"/>
      <c r="AE245" s="1202"/>
      <c r="AF245" s="1203"/>
      <c r="AG245" s="1203"/>
      <c r="AH245" s="1203"/>
      <c r="AI245" s="1203"/>
      <c r="AJ245" s="1305"/>
      <c r="AK245" s="1207"/>
      <c r="AL245" s="1258"/>
      <c r="AM245" s="1202"/>
      <c r="AN245" s="1203"/>
      <c r="AO245" s="1203"/>
      <c r="AP245" s="1203"/>
      <c r="AQ245" s="1203"/>
      <c r="AR245" s="1305"/>
      <c r="AS245" s="1207"/>
      <c r="AT245" s="1258"/>
      <c r="AU245" s="1202"/>
      <c r="AV245" s="1203"/>
      <c r="AW245" s="1203"/>
      <c r="AX245" s="1203"/>
      <c r="AY245" s="1203"/>
      <c r="AZ245" s="1204"/>
      <c r="BA245" s="1342"/>
      <c r="BB245" s="1258"/>
      <c r="BC245" s="1202"/>
      <c r="BD245" s="1203"/>
      <c r="BE245" s="1203"/>
      <c r="BF245" s="1203"/>
      <c r="BG245" s="1203"/>
      <c r="BH245" s="1204"/>
      <c r="BI245" s="1342"/>
      <c r="BJ245" s="1337"/>
      <c r="BK245" s="1338"/>
      <c r="BL245" s="1338"/>
      <c r="BM245" s="1338"/>
      <c r="BN245" s="1338"/>
      <c r="BO245" s="1339"/>
    </row>
    <row r="246" spans="1:67" ht="15" customHeight="1">
      <c r="A246" s="1304">
        <v>2.4</v>
      </c>
      <c r="B246" s="1161" t="s">
        <v>316</v>
      </c>
      <c r="C246" s="1162"/>
      <c r="D246" s="1162"/>
      <c r="E246" s="1162"/>
      <c r="F246" s="1162"/>
      <c r="G246" s="1199"/>
      <c r="H246" s="1205" t="str">
        <f t="shared" ref="H246" si="244">IF(ISBLANK(AB$5),"",1)</f>
        <v/>
      </c>
      <c r="I246" s="1205" t="str">
        <f t="shared" ref="I246" si="245">IF(ISBLANK(AF$5),"",1)</f>
        <v/>
      </c>
      <c r="J246" s="1205" t="str">
        <f t="shared" ref="J246" si="246">IF(ISBLANK(AJ$5),"",1)</f>
        <v/>
      </c>
      <c r="K246" s="1205" t="str">
        <f t="shared" ref="K246" si="247">IF(ISBLANK(AN$5),"",1)</f>
        <v/>
      </c>
      <c r="L246" s="1205" t="str">
        <f t="shared" ref="L246" si="248">IF(ISBLANK(AR$5),"",1)</f>
        <v/>
      </c>
      <c r="M246" s="1205" t="str">
        <f t="shared" ref="M246" si="249">IF(ISBLANK(AV$5),"",1)</f>
        <v/>
      </c>
      <c r="N246" s="1322">
        <v>4.3</v>
      </c>
      <c r="O246" s="1198" t="s">
        <v>388</v>
      </c>
      <c r="P246" s="1162"/>
      <c r="Q246" s="1162"/>
      <c r="R246" s="1162"/>
      <c r="S246" s="1162"/>
      <c r="T246" s="1265"/>
      <c r="U246" s="1205" t="str">
        <f>IF(ISBLANK(AB$5),"",1)</f>
        <v/>
      </c>
      <c r="V246" s="1322">
        <v>4.3</v>
      </c>
      <c r="W246" s="1198" t="s">
        <v>388</v>
      </c>
      <c r="X246" s="1162"/>
      <c r="Y246" s="1162"/>
      <c r="Z246" s="1162"/>
      <c r="AA246" s="1162"/>
      <c r="AB246" s="1265"/>
      <c r="AC246" s="1205" t="str">
        <f>IF(ISBLANK(AF$5),"",1)</f>
        <v/>
      </c>
      <c r="AD246" s="1304">
        <v>4.3</v>
      </c>
      <c r="AE246" s="1455" t="s">
        <v>639</v>
      </c>
      <c r="AF246" s="1456"/>
      <c r="AG246" s="1456"/>
      <c r="AH246" s="1456"/>
      <c r="AI246" s="1456"/>
      <c r="AJ246" s="1457"/>
      <c r="AK246" s="1205" t="str">
        <f>IF(ISBLANK(AJ$5),"",1)</f>
        <v/>
      </c>
      <c r="AL246" s="1258">
        <v>4.4000000000000004</v>
      </c>
      <c r="AM246" s="1198" t="s">
        <v>388</v>
      </c>
      <c r="AN246" s="1162"/>
      <c r="AO246" s="1162"/>
      <c r="AP246" s="1162"/>
      <c r="AQ246" s="1162"/>
      <c r="AR246" s="1265"/>
      <c r="AS246" s="1205" t="str">
        <f>IF(ISBLANK(AN$5),"",1)</f>
        <v/>
      </c>
      <c r="AT246" s="1258">
        <v>4.3</v>
      </c>
      <c r="AU246" s="1198" t="s">
        <v>388</v>
      </c>
      <c r="AV246" s="1162"/>
      <c r="AW246" s="1162"/>
      <c r="AX246" s="1162"/>
      <c r="AY246" s="1162"/>
      <c r="AZ246" s="1199"/>
      <c r="BA246" s="1226" t="str">
        <f>IF(ISBLANK(AR$5),"",1)</f>
        <v/>
      </c>
      <c r="BB246" s="1258">
        <v>4.3</v>
      </c>
      <c r="BC246" s="1198" t="s">
        <v>388</v>
      </c>
      <c r="BD246" s="1162"/>
      <c r="BE246" s="1162"/>
      <c r="BF246" s="1162"/>
      <c r="BG246" s="1162"/>
      <c r="BH246" s="1199"/>
      <c r="BI246" s="1226" t="str">
        <f>IF(ISBLANK(AV$5),"",1)</f>
        <v/>
      </c>
      <c r="BJ246" s="1337"/>
      <c r="BK246" s="1338"/>
      <c r="BL246" s="1338"/>
      <c r="BM246" s="1338"/>
      <c r="BN246" s="1338"/>
      <c r="BO246" s="1339"/>
    </row>
    <row r="247" spans="1:67" ht="15" customHeight="1">
      <c r="A247" s="1290"/>
      <c r="B247" s="1163"/>
      <c r="C247" s="1164"/>
      <c r="D247" s="1164"/>
      <c r="E247" s="1164"/>
      <c r="F247" s="1164"/>
      <c r="G247" s="1201"/>
      <c r="H247" s="1206"/>
      <c r="I247" s="1206"/>
      <c r="J247" s="1206"/>
      <c r="K247" s="1206"/>
      <c r="L247" s="1206"/>
      <c r="M247" s="1206"/>
      <c r="N247" s="1293"/>
      <c r="O247" s="1200" t="s">
        <v>389</v>
      </c>
      <c r="P247" s="1164"/>
      <c r="Q247" s="1164"/>
      <c r="R247" s="1164"/>
      <c r="S247" s="1164"/>
      <c r="T247" s="1266"/>
      <c r="U247" s="1206"/>
      <c r="V247" s="1293"/>
      <c r="W247" s="1200"/>
      <c r="X247" s="1164"/>
      <c r="Y247" s="1164"/>
      <c r="Z247" s="1164"/>
      <c r="AA247" s="1164"/>
      <c r="AB247" s="1266"/>
      <c r="AC247" s="1206"/>
      <c r="AD247" s="1290"/>
      <c r="AE247" s="1458"/>
      <c r="AF247" s="1459"/>
      <c r="AG247" s="1459"/>
      <c r="AH247" s="1459"/>
      <c r="AI247" s="1459"/>
      <c r="AJ247" s="1460"/>
      <c r="AK247" s="1206"/>
      <c r="AL247" s="1258"/>
      <c r="AM247" s="1200"/>
      <c r="AN247" s="1164"/>
      <c r="AO247" s="1164"/>
      <c r="AP247" s="1164"/>
      <c r="AQ247" s="1164"/>
      <c r="AR247" s="1266"/>
      <c r="AS247" s="1206"/>
      <c r="AT247" s="1258"/>
      <c r="AU247" s="1200"/>
      <c r="AV247" s="1164"/>
      <c r="AW247" s="1164"/>
      <c r="AX247" s="1164"/>
      <c r="AY247" s="1164"/>
      <c r="AZ247" s="1201"/>
      <c r="BA247" s="1342"/>
      <c r="BB247" s="1258"/>
      <c r="BC247" s="1200"/>
      <c r="BD247" s="1164"/>
      <c r="BE247" s="1164"/>
      <c r="BF247" s="1164"/>
      <c r="BG247" s="1164"/>
      <c r="BH247" s="1201"/>
      <c r="BI247" s="1342"/>
      <c r="BJ247" s="1337"/>
      <c r="BK247" s="1338"/>
      <c r="BL247" s="1338"/>
      <c r="BM247" s="1338"/>
      <c r="BN247" s="1338"/>
      <c r="BO247" s="1339"/>
    </row>
    <row r="248" spans="1:67" ht="15" customHeight="1">
      <c r="A248" s="1291"/>
      <c r="B248" s="1165"/>
      <c r="C248" s="1166"/>
      <c r="D248" s="1166"/>
      <c r="E248" s="1166"/>
      <c r="F248" s="1166"/>
      <c r="G248" s="1292"/>
      <c r="H248" s="1207"/>
      <c r="I248" s="1207"/>
      <c r="J248" s="1207"/>
      <c r="K248" s="1207"/>
      <c r="L248" s="1207"/>
      <c r="M248" s="1207"/>
      <c r="N248" s="1294"/>
      <c r="O248" s="1202"/>
      <c r="P248" s="1203"/>
      <c r="Q248" s="1203"/>
      <c r="R248" s="1203"/>
      <c r="S248" s="1203"/>
      <c r="T248" s="1305"/>
      <c r="U248" s="1207"/>
      <c r="V248" s="1294"/>
      <c r="W248" s="1202"/>
      <c r="X248" s="1203"/>
      <c r="Y248" s="1203"/>
      <c r="Z248" s="1203"/>
      <c r="AA248" s="1203"/>
      <c r="AB248" s="1305"/>
      <c r="AC248" s="1207"/>
      <c r="AD248" s="1291"/>
      <c r="AE248" s="1461"/>
      <c r="AF248" s="1462"/>
      <c r="AG248" s="1462"/>
      <c r="AH248" s="1462"/>
      <c r="AI248" s="1462"/>
      <c r="AJ248" s="1463"/>
      <c r="AK248" s="1207"/>
      <c r="AL248" s="1258"/>
      <c r="AM248" s="1202"/>
      <c r="AN248" s="1203"/>
      <c r="AO248" s="1203"/>
      <c r="AP248" s="1203"/>
      <c r="AQ248" s="1203"/>
      <c r="AR248" s="1305"/>
      <c r="AS248" s="1207"/>
      <c r="AT248" s="1258"/>
      <c r="AU248" s="1202"/>
      <c r="AV248" s="1203"/>
      <c r="AW248" s="1203"/>
      <c r="AX248" s="1203"/>
      <c r="AY248" s="1203"/>
      <c r="AZ248" s="1204"/>
      <c r="BA248" s="1342"/>
      <c r="BB248" s="1258"/>
      <c r="BC248" s="1202"/>
      <c r="BD248" s="1203"/>
      <c r="BE248" s="1203"/>
      <c r="BF248" s="1203"/>
      <c r="BG248" s="1203"/>
      <c r="BH248" s="1204"/>
      <c r="BI248" s="1342"/>
      <c r="BJ248" s="1337"/>
      <c r="BK248" s="1338"/>
      <c r="BL248" s="1338"/>
      <c r="BM248" s="1338"/>
      <c r="BN248" s="1338"/>
      <c r="BO248" s="1339"/>
    </row>
    <row r="249" spans="1:67" ht="15" customHeight="1">
      <c r="A249" s="1307">
        <v>1.1000000000000001</v>
      </c>
      <c r="B249" s="1161" t="s">
        <v>320</v>
      </c>
      <c r="C249" s="1162"/>
      <c r="D249" s="1162"/>
      <c r="E249" s="1162"/>
      <c r="F249" s="1162"/>
      <c r="G249" s="1199"/>
      <c r="H249" s="1205" t="str">
        <f t="shared" ref="H249" si="250">IF(ISBLANK(AB$5),"",1)</f>
        <v/>
      </c>
      <c r="I249" s="1205" t="str">
        <f t="shared" ref="I249" si="251">IF(ISBLANK(AF$5),"",1)</f>
        <v/>
      </c>
      <c r="J249" s="1205" t="str">
        <f t="shared" ref="J249" si="252">IF(ISBLANK(AJ$5),"",1)</f>
        <v/>
      </c>
      <c r="K249" s="1205" t="str">
        <f t="shared" ref="K249" si="253">IF(ISBLANK(AN$5),"",1)</f>
        <v/>
      </c>
      <c r="L249" s="1205" t="str">
        <f t="shared" ref="L249" si="254">IF(ISBLANK(AR$5),"",1)</f>
        <v/>
      </c>
      <c r="M249" s="1205" t="str">
        <f t="shared" ref="M249" si="255">IF(ISBLANK(AV$5),"",1)</f>
        <v/>
      </c>
      <c r="N249" s="1322">
        <v>4.3</v>
      </c>
      <c r="O249" s="1198" t="s">
        <v>423</v>
      </c>
      <c r="P249" s="1162"/>
      <c r="Q249" s="1162"/>
      <c r="R249" s="1162"/>
      <c r="S249" s="1162"/>
      <c r="T249" s="1265"/>
      <c r="U249" s="1205" t="str">
        <f>IF(ISBLANK(AB$5),"",1)</f>
        <v/>
      </c>
      <c r="V249" s="1322">
        <v>4.3</v>
      </c>
      <c r="W249" s="1198" t="s">
        <v>390</v>
      </c>
      <c r="X249" s="1162"/>
      <c r="Y249" s="1162"/>
      <c r="Z249" s="1162"/>
      <c r="AA249" s="1162"/>
      <c r="AB249" s="1265"/>
      <c r="AC249" s="1205" t="str">
        <f>IF(ISBLANK(AF$5),"",1)</f>
        <v/>
      </c>
      <c r="AD249" s="1398">
        <v>4.4000000000000004</v>
      </c>
      <c r="AE249" s="1198" t="s">
        <v>410</v>
      </c>
      <c r="AF249" s="1162"/>
      <c r="AG249" s="1162"/>
      <c r="AH249" s="1162"/>
      <c r="AI249" s="1162"/>
      <c r="AJ249" s="1265"/>
      <c r="AK249" s="1205" t="str">
        <f>IF(ISBLANK(AJ$5),"",1)</f>
        <v/>
      </c>
      <c r="AL249" s="1322">
        <v>4.4000000000000004</v>
      </c>
      <c r="AM249" s="1198" t="s">
        <v>408</v>
      </c>
      <c r="AN249" s="1162"/>
      <c r="AO249" s="1162"/>
      <c r="AP249" s="1162"/>
      <c r="AQ249" s="1162"/>
      <c r="AR249" s="1265"/>
      <c r="AS249" s="1205" t="str">
        <f>IF(ISBLANK(AN$5),"",1)</f>
        <v/>
      </c>
      <c r="AT249" s="1258">
        <v>4.3</v>
      </c>
      <c r="AU249" s="1198" t="s">
        <v>390</v>
      </c>
      <c r="AV249" s="1162"/>
      <c r="AW249" s="1162"/>
      <c r="AX249" s="1162"/>
      <c r="AY249" s="1162"/>
      <c r="AZ249" s="1199"/>
      <c r="BA249" s="1226" t="str">
        <f>IF(ISBLANK(AR$5),"",1)</f>
        <v/>
      </c>
      <c r="BB249" s="1258">
        <v>4.3</v>
      </c>
      <c r="BC249" s="1198" t="s">
        <v>390</v>
      </c>
      <c r="BD249" s="1162"/>
      <c r="BE249" s="1162"/>
      <c r="BF249" s="1162"/>
      <c r="BG249" s="1162"/>
      <c r="BH249" s="1199"/>
      <c r="BI249" s="1226" t="str">
        <f>IF(ISBLANK(AV$5),"",1)</f>
        <v/>
      </c>
      <c r="BJ249" s="1337"/>
      <c r="BK249" s="1338"/>
      <c r="BL249" s="1338"/>
      <c r="BM249" s="1338"/>
      <c r="BN249" s="1338"/>
      <c r="BO249" s="1339"/>
    </row>
    <row r="250" spans="1:67" ht="15" customHeight="1">
      <c r="A250" s="1308"/>
      <c r="B250" s="1163"/>
      <c r="C250" s="1164"/>
      <c r="D250" s="1164"/>
      <c r="E250" s="1164"/>
      <c r="F250" s="1164"/>
      <c r="G250" s="1201"/>
      <c r="H250" s="1206"/>
      <c r="I250" s="1206"/>
      <c r="J250" s="1206"/>
      <c r="K250" s="1206"/>
      <c r="L250" s="1206"/>
      <c r="M250" s="1206"/>
      <c r="N250" s="1293"/>
      <c r="O250" s="1200" t="s">
        <v>389</v>
      </c>
      <c r="P250" s="1164"/>
      <c r="Q250" s="1164"/>
      <c r="R250" s="1164"/>
      <c r="S250" s="1164"/>
      <c r="T250" s="1266"/>
      <c r="U250" s="1206"/>
      <c r="V250" s="1293"/>
      <c r="W250" s="1200"/>
      <c r="X250" s="1164"/>
      <c r="Y250" s="1164"/>
      <c r="Z250" s="1164"/>
      <c r="AA250" s="1164"/>
      <c r="AB250" s="1266"/>
      <c r="AC250" s="1206"/>
      <c r="AD250" s="1293"/>
      <c r="AE250" s="1200"/>
      <c r="AF250" s="1164"/>
      <c r="AG250" s="1164"/>
      <c r="AH250" s="1164"/>
      <c r="AI250" s="1164"/>
      <c r="AJ250" s="1266"/>
      <c r="AK250" s="1206"/>
      <c r="AL250" s="1293"/>
      <c r="AM250" s="1200"/>
      <c r="AN250" s="1164"/>
      <c r="AO250" s="1164"/>
      <c r="AP250" s="1164"/>
      <c r="AQ250" s="1164"/>
      <c r="AR250" s="1266"/>
      <c r="AS250" s="1206"/>
      <c r="AT250" s="1258"/>
      <c r="AU250" s="1200"/>
      <c r="AV250" s="1164"/>
      <c r="AW250" s="1164"/>
      <c r="AX250" s="1164"/>
      <c r="AY250" s="1164"/>
      <c r="AZ250" s="1201"/>
      <c r="BA250" s="1342"/>
      <c r="BB250" s="1258"/>
      <c r="BC250" s="1200"/>
      <c r="BD250" s="1164"/>
      <c r="BE250" s="1164"/>
      <c r="BF250" s="1164"/>
      <c r="BG250" s="1164"/>
      <c r="BH250" s="1201"/>
      <c r="BI250" s="1342"/>
      <c r="BJ250" s="1337"/>
      <c r="BK250" s="1338"/>
      <c r="BL250" s="1338"/>
      <c r="BM250" s="1338"/>
      <c r="BN250" s="1338"/>
      <c r="BO250" s="1339"/>
    </row>
    <row r="251" spans="1:67" ht="15" customHeight="1">
      <c r="A251" s="1309"/>
      <c r="B251" s="1165"/>
      <c r="C251" s="1166"/>
      <c r="D251" s="1166"/>
      <c r="E251" s="1166"/>
      <c r="F251" s="1166"/>
      <c r="G251" s="1292"/>
      <c r="H251" s="1207"/>
      <c r="I251" s="1207"/>
      <c r="J251" s="1207"/>
      <c r="K251" s="1207"/>
      <c r="L251" s="1207"/>
      <c r="M251" s="1207"/>
      <c r="N251" s="1294"/>
      <c r="O251" s="1202"/>
      <c r="P251" s="1203"/>
      <c r="Q251" s="1203"/>
      <c r="R251" s="1203"/>
      <c r="S251" s="1203"/>
      <c r="T251" s="1305"/>
      <c r="U251" s="1207"/>
      <c r="V251" s="1294"/>
      <c r="W251" s="1202"/>
      <c r="X251" s="1203"/>
      <c r="Y251" s="1203"/>
      <c r="Z251" s="1203"/>
      <c r="AA251" s="1203"/>
      <c r="AB251" s="1305"/>
      <c r="AC251" s="1207"/>
      <c r="AD251" s="1294"/>
      <c r="AE251" s="1202"/>
      <c r="AF251" s="1203"/>
      <c r="AG251" s="1203"/>
      <c r="AH251" s="1203"/>
      <c r="AI251" s="1203"/>
      <c r="AJ251" s="1305"/>
      <c r="AK251" s="1207"/>
      <c r="AL251" s="1306"/>
      <c r="AM251" s="1202"/>
      <c r="AN251" s="1203"/>
      <c r="AO251" s="1203"/>
      <c r="AP251" s="1203"/>
      <c r="AQ251" s="1203"/>
      <c r="AR251" s="1305"/>
      <c r="AS251" s="1207"/>
      <c r="AT251" s="1258"/>
      <c r="AU251" s="1202"/>
      <c r="AV251" s="1203"/>
      <c r="AW251" s="1203"/>
      <c r="AX251" s="1203"/>
      <c r="AY251" s="1203"/>
      <c r="AZ251" s="1204"/>
      <c r="BA251" s="1342"/>
      <c r="BB251" s="1258"/>
      <c r="BC251" s="1202"/>
      <c r="BD251" s="1203"/>
      <c r="BE251" s="1203"/>
      <c r="BF251" s="1203"/>
      <c r="BG251" s="1203"/>
      <c r="BH251" s="1204"/>
      <c r="BI251" s="1342"/>
      <c r="BJ251" s="1337"/>
      <c r="BK251" s="1338"/>
      <c r="BL251" s="1338"/>
      <c r="BM251" s="1338"/>
      <c r="BN251" s="1338"/>
      <c r="BO251" s="1339"/>
    </row>
    <row r="252" spans="1:67" ht="15" customHeight="1">
      <c r="A252" s="1304">
        <v>2.1</v>
      </c>
      <c r="B252" s="1161" t="s">
        <v>322</v>
      </c>
      <c r="C252" s="1162"/>
      <c r="D252" s="1162"/>
      <c r="E252" s="1162"/>
      <c r="F252" s="1162"/>
      <c r="G252" s="1199"/>
      <c r="H252" s="1205" t="str">
        <f t="shared" ref="H252" si="256">IF(ISBLANK(AB$5),"",1)</f>
        <v/>
      </c>
      <c r="I252" s="1205" t="str">
        <f t="shared" ref="I252" si="257">IF(ISBLANK(AF$5),"",1)</f>
        <v/>
      </c>
      <c r="J252" s="1205" t="str">
        <f t="shared" ref="J252" si="258">IF(ISBLANK(AJ$5),"",1)</f>
        <v/>
      </c>
      <c r="K252" s="1205" t="str">
        <f t="shared" ref="K252" si="259">IF(ISBLANK(AN$5),"",1)</f>
        <v/>
      </c>
      <c r="L252" s="1205" t="str">
        <f t="shared" ref="L252" si="260">IF(ISBLANK(AR$5),"",1)</f>
        <v/>
      </c>
      <c r="M252" s="1205" t="str">
        <f t="shared" ref="M252" si="261">IF(ISBLANK(AV$5),"",1)</f>
        <v/>
      </c>
      <c r="N252" s="1322">
        <v>4.4000000000000004</v>
      </c>
      <c r="O252" s="1198" t="s">
        <v>407</v>
      </c>
      <c r="P252" s="1162"/>
      <c r="Q252" s="1162"/>
      <c r="R252" s="1162"/>
      <c r="S252" s="1162"/>
      <c r="T252" s="1265"/>
      <c r="U252" s="1205" t="str">
        <f>IF(ISBLANK(AB$5),"",1)</f>
        <v/>
      </c>
      <c r="V252" s="1322">
        <v>4.4000000000000004</v>
      </c>
      <c r="W252" s="1198" t="s">
        <v>391</v>
      </c>
      <c r="X252" s="1162"/>
      <c r="Y252" s="1162"/>
      <c r="Z252" s="1162"/>
      <c r="AA252" s="1162"/>
      <c r="AB252" s="1265"/>
      <c r="AC252" s="1205" t="str">
        <f>IF(ISBLANK(AF$5),"",1)</f>
        <v/>
      </c>
      <c r="AD252" s="1322">
        <v>4.4000000000000004</v>
      </c>
      <c r="AE252" s="1198" t="s">
        <v>411</v>
      </c>
      <c r="AF252" s="1162"/>
      <c r="AG252" s="1162"/>
      <c r="AH252" s="1162"/>
      <c r="AI252" s="1162"/>
      <c r="AJ252" s="1265"/>
      <c r="AK252" s="1205" t="str">
        <f>IF(ISBLANK(AJ$5),"",1)</f>
        <v/>
      </c>
      <c r="AL252" s="1322">
        <v>4.4000000000000004</v>
      </c>
      <c r="AM252" s="1198" t="s">
        <v>393</v>
      </c>
      <c r="AN252" s="1162"/>
      <c r="AO252" s="1162"/>
      <c r="AP252" s="1162"/>
      <c r="AQ252" s="1162"/>
      <c r="AR252" s="1265"/>
      <c r="AS252" s="1205" t="str">
        <f>IF(ISBLANK(AN$5),"",1)</f>
        <v/>
      </c>
      <c r="AT252" s="1258">
        <v>4.4000000000000004</v>
      </c>
      <c r="AU252" s="1198" t="s">
        <v>407</v>
      </c>
      <c r="AV252" s="1162"/>
      <c r="AW252" s="1162"/>
      <c r="AX252" s="1162"/>
      <c r="AY252" s="1162"/>
      <c r="AZ252" s="1199"/>
      <c r="BA252" s="1226" t="str">
        <f>IF(ISBLANK(AR$5),"",1)</f>
        <v/>
      </c>
      <c r="BB252" s="1258">
        <v>4.4000000000000004</v>
      </c>
      <c r="BC252" s="1198" t="s">
        <v>407</v>
      </c>
      <c r="BD252" s="1162"/>
      <c r="BE252" s="1162"/>
      <c r="BF252" s="1162"/>
      <c r="BG252" s="1162"/>
      <c r="BH252" s="1199"/>
      <c r="BI252" s="1226" t="str">
        <f>IF(ISBLANK(AV$5),"",1)</f>
        <v/>
      </c>
      <c r="BJ252" s="1337"/>
      <c r="BK252" s="1338"/>
      <c r="BL252" s="1338"/>
      <c r="BM252" s="1338"/>
      <c r="BN252" s="1338"/>
      <c r="BO252" s="1339"/>
    </row>
    <row r="253" spans="1:67" ht="15" customHeight="1">
      <c r="A253" s="1290"/>
      <c r="B253" s="1163"/>
      <c r="C253" s="1164"/>
      <c r="D253" s="1164"/>
      <c r="E253" s="1164"/>
      <c r="F253" s="1164"/>
      <c r="G253" s="1201"/>
      <c r="H253" s="1206"/>
      <c r="I253" s="1206"/>
      <c r="J253" s="1206"/>
      <c r="K253" s="1206"/>
      <c r="L253" s="1206"/>
      <c r="M253" s="1206"/>
      <c r="N253" s="1293"/>
      <c r="O253" s="1200" t="s">
        <v>368</v>
      </c>
      <c r="P253" s="1164"/>
      <c r="Q253" s="1164"/>
      <c r="R253" s="1164"/>
      <c r="S253" s="1164"/>
      <c r="T253" s="1266"/>
      <c r="U253" s="1206"/>
      <c r="V253" s="1293"/>
      <c r="W253" s="1200"/>
      <c r="X253" s="1164"/>
      <c r="Y253" s="1164"/>
      <c r="Z253" s="1164"/>
      <c r="AA253" s="1164"/>
      <c r="AB253" s="1266"/>
      <c r="AC253" s="1206"/>
      <c r="AD253" s="1293"/>
      <c r="AE253" s="1200"/>
      <c r="AF253" s="1164"/>
      <c r="AG253" s="1164"/>
      <c r="AH253" s="1164"/>
      <c r="AI253" s="1164"/>
      <c r="AJ253" s="1266"/>
      <c r="AK253" s="1206"/>
      <c r="AL253" s="1293"/>
      <c r="AM253" s="1200"/>
      <c r="AN253" s="1164"/>
      <c r="AO253" s="1164"/>
      <c r="AP253" s="1164"/>
      <c r="AQ253" s="1164"/>
      <c r="AR253" s="1266"/>
      <c r="AS253" s="1206"/>
      <c r="AT253" s="1258"/>
      <c r="AU253" s="1200"/>
      <c r="AV253" s="1164"/>
      <c r="AW253" s="1164"/>
      <c r="AX253" s="1164"/>
      <c r="AY253" s="1164"/>
      <c r="AZ253" s="1201"/>
      <c r="BA253" s="1342"/>
      <c r="BB253" s="1258"/>
      <c r="BC253" s="1200"/>
      <c r="BD253" s="1164"/>
      <c r="BE253" s="1164"/>
      <c r="BF253" s="1164"/>
      <c r="BG253" s="1164"/>
      <c r="BH253" s="1201"/>
      <c r="BI253" s="1342"/>
      <c r="BJ253" s="1337"/>
      <c r="BK253" s="1338"/>
      <c r="BL253" s="1338"/>
      <c r="BM253" s="1338"/>
      <c r="BN253" s="1338"/>
      <c r="BO253" s="1339"/>
    </row>
    <row r="254" spans="1:67" ht="15" customHeight="1">
      <c r="A254" s="1291"/>
      <c r="B254" s="1165"/>
      <c r="C254" s="1166"/>
      <c r="D254" s="1166"/>
      <c r="E254" s="1166"/>
      <c r="F254" s="1166"/>
      <c r="G254" s="1292"/>
      <c r="H254" s="1207"/>
      <c r="I254" s="1207"/>
      <c r="J254" s="1207"/>
      <c r="K254" s="1207"/>
      <c r="L254" s="1207"/>
      <c r="M254" s="1207"/>
      <c r="N254" s="1294"/>
      <c r="O254" s="1202" t="s">
        <v>392</v>
      </c>
      <c r="P254" s="1203"/>
      <c r="Q254" s="1203"/>
      <c r="R254" s="1203"/>
      <c r="S254" s="1203"/>
      <c r="T254" s="1305"/>
      <c r="U254" s="1207"/>
      <c r="V254" s="1294"/>
      <c r="W254" s="1202"/>
      <c r="X254" s="1203"/>
      <c r="Y254" s="1203"/>
      <c r="Z254" s="1203"/>
      <c r="AA254" s="1203"/>
      <c r="AB254" s="1305"/>
      <c r="AC254" s="1207"/>
      <c r="AD254" s="1294"/>
      <c r="AE254" s="1202"/>
      <c r="AF254" s="1203"/>
      <c r="AG254" s="1203"/>
      <c r="AH254" s="1203"/>
      <c r="AI254" s="1203"/>
      <c r="AJ254" s="1305"/>
      <c r="AK254" s="1207"/>
      <c r="AL254" s="1306"/>
      <c r="AM254" s="1202"/>
      <c r="AN254" s="1203"/>
      <c r="AO254" s="1203"/>
      <c r="AP254" s="1203"/>
      <c r="AQ254" s="1203"/>
      <c r="AR254" s="1305"/>
      <c r="AS254" s="1207"/>
      <c r="AT254" s="1258"/>
      <c r="AU254" s="1202"/>
      <c r="AV254" s="1203"/>
      <c r="AW254" s="1203"/>
      <c r="AX254" s="1203"/>
      <c r="AY254" s="1203"/>
      <c r="AZ254" s="1204"/>
      <c r="BA254" s="1342"/>
      <c r="BB254" s="1258"/>
      <c r="BC254" s="1202"/>
      <c r="BD254" s="1203"/>
      <c r="BE254" s="1203"/>
      <c r="BF254" s="1203"/>
      <c r="BG254" s="1203"/>
      <c r="BH254" s="1204"/>
      <c r="BI254" s="1342"/>
      <c r="BJ254" s="1337"/>
      <c r="BK254" s="1338"/>
      <c r="BL254" s="1338"/>
      <c r="BM254" s="1338"/>
      <c r="BN254" s="1338"/>
      <c r="BO254" s="1339"/>
    </row>
    <row r="255" spans="1:67" ht="15" customHeight="1">
      <c r="A255" s="1307">
        <v>1.1000000000000001</v>
      </c>
      <c r="B255" s="1161" t="s">
        <v>940</v>
      </c>
      <c r="C255" s="1162"/>
      <c r="D255" s="1162"/>
      <c r="E255" s="1162"/>
      <c r="F255" s="1162"/>
      <c r="G255" s="1199"/>
      <c r="H255" s="1205" t="str">
        <f t="shared" ref="H255" si="262">IF(ISBLANK(AB$5),"",1)</f>
        <v/>
      </c>
      <c r="I255" s="1205" t="str">
        <f t="shared" ref="I255" si="263">IF(ISBLANK(AF$5),"",1)</f>
        <v/>
      </c>
      <c r="J255" s="1205" t="str">
        <f t="shared" ref="J255" si="264">IF(ISBLANK(AJ$5),"",1)</f>
        <v/>
      </c>
      <c r="K255" s="1205" t="str">
        <f t="shared" ref="K255" si="265">IF(ISBLANK(AN$5),"",1)</f>
        <v/>
      </c>
      <c r="L255" s="1205" t="str">
        <f t="shared" ref="L255" si="266">IF(ISBLANK(AR$5),"",1)</f>
        <v/>
      </c>
      <c r="M255" s="1205" t="str">
        <f t="shared" ref="M255" si="267">IF(ISBLANK(AV$5),"",1)</f>
        <v/>
      </c>
      <c r="N255" s="1391">
        <v>4.3</v>
      </c>
      <c r="O255" s="1310" t="s">
        <v>879</v>
      </c>
      <c r="P255" s="1311"/>
      <c r="Q255" s="1311"/>
      <c r="R255" s="1311"/>
      <c r="S255" s="1311"/>
      <c r="T255" s="1312"/>
      <c r="U255" s="1205" t="str">
        <f>IF(ISBLANK(AB$5),"",1)</f>
        <v/>
      </c>
      <c r="V255" s="1322">
        <v>4.4000000000000004</v>
      </c>
      <c r="W255" s="1198" t="s">
        <v>880</v>
      </c>
      <c r="X255" s="1162"/>
      <c r="Y255" s="1162"/>
      <c r="Z255" s="1162"/>
      <c r="AA255" s="1162"/>
      <c r="AB255" s="1265"/>
      <c r="AC255" s="1205" t="str">
        <f>IF(ISBLANK(AF$5),"",1)</f>
        <v/>
      </c>
      <c r="AD255" s="1322">
        <v>4.4000000000000004</v>
      </c>
      <c r="AE255" s="1198" t="s">
        <v>412</v>
      </c>
      <c r="AF255" s="1162"/>
      <c r="AG255" s="1162"/>
      <c r="AH255" s="1162"/>
      <c r="AI255" s="1162"/>
      <c r="AJ255" s="1265"/>
      <c r="AK255" s="1205" t="str">
        <f>IF(ISBLANK(AJ$5),"",1)</f>
        <v/>
      </c>
      <c r="AL255" s="1304">
        <v>4.4000000000000004</v>
      </c>
      <c r="AM255" s="1198" t="s">
        <v>359</v>
      </c>
      <c r="AN255" s="1162"/>
      <c r="AO255" s="1162"/>
      <c r="AP255" s="1162"/>
      <c r="AQ255" s="1162"/>
      <c r="AR255" s="1265"/>
      <c r="AS255" s="1205" t="str">
        <f>IF(ISBLANK(AN$5),"",1)</f>
        <v/>
      </c>
      <c r="AT255" s="1304">
        <v>4.3</v>
      </c>
      <c r="AU255" s="1310" t="s">
        <v>879</v>
      </c>
      <c r="AV255" s="1311"/>
      <c r="AW255" s="1311"/>
      <c r="AX255" s="1311"/>
      <c r="AY255" s="1311"/>
      <c r="AZ255" s="1316"/>
      <c r="BA255" s="1226" t="str">
        <f>IF(ISBLANK(AR$5),"",1)</f>
        <v/>
      </c>
      <c r="BB255" s="1304">
        <v>4.3</v>
      </c>
      <c r="BC255" s="1310" t="s">
        <v>879</v>
      </c>
      <c r="BD255" s="1311"/>
      <c r="BE255" s="1311"/>
      <c r="BF255" s="1311"/>
      <c r="BG255" s="1311"/>
      <c r="BH255" s="1316"/>
      <c r="BI255" s="1226" t="str">
        <f>IF(ISBLANK(AV$5),"",1)</f>
        <v/>
      </c>
      <c r="BJ255" s="1337"/>
      <c r="BK255" s="1338"/>
      <c r="BL255" s="1338"/>
      <c r="BM255" s="1338"/>
      <c r="BN255" s="1338"/>
      <c r="BO255" s="1339"/>
    </row>
    <row r="256" spans="1:67" ht="15" customHeight="1">
      <c r="A256" s="1308"/>
      <c r="B256" s="1163"/>
      <c r="C256" s="1164"/>
      <c r="D256" s="1164"/>
      <c r="E256" s="1164"/>
      <c r="F256" s="1164"/>
      <c r="G256" s="1201"/>
      <c r="H256" s="1206"/>
      <c r="I256" s="1206"/>
      <c r="J256" s="1206"/>
      <c r="K256" s="1206"/>
      <c r="L256" s="1206"/>
      <c r="M256" s="1206"/>
      <c r="N256" s="1392"/>
      <c r="O256" s="1295" t="s">
        <v>368</v>
      </c>
      <c r="P256" s="1296"/>
      <c r="Q256" s="1296"/>
      <c r="R256" s="1296"/>
      <c r="S256" s="1296"/>
      <c r="T256" s="1297"/>
      <c r="U256" s="1206"/>
      <c r="V256" s="1293"/>
      <c r="W256" s="1200"/>
      <c r="X256" s="1164"/>
      <c r="Y256" s="1164"/>
      <c r="Z256" s="1164"/>
      <c r="AA256" s="1164"/>
      <c r="AB256" s="1266"/>
      <c r="AC256" s="1206"/>
      <c r="AD256" s="1293"/>
      <c r="AE256" s="1200"/>
      <c r="AF256" s="1164"/>
      <c r="AG256" s="1164"/>
      <c r="AH256" s="1164"/>
      <c r="AI256" s="1164"/>
      <c r="AJ256" s="1266"/>
      <c r="AK256" s="1206"/>
      <c r="AL256" s="1290"/>
      <c r="AM256" s="1200"/>
      <c r="AN256" s="1164"/>
      <c r="AO256" s="1164"/>
      <c r="AP256" s="1164"/>
      <c r="AQ256" s="1164"/>
      <c r="AR256" s="1266"/>
      <c r="AS256" s="1206"/>
      <c r="AT256" s="1290"/>
      <c r="AU256" s="1295"/>
      <c r="AV256" s="1296"/>
      <c r="AW256" s="1296"/>
      <c r="AX256" s="1296"/>
      <c r="AY256" s="1296"/>
      <c r="AZ256" s="1318"/>
      <c r="BA256" s="1342"/>
      <c r="BB256" s="1290"/>
      <c r="BC256" s="1295"/>
      <c r="BD256" s="1296"/>
      <c r="BE256" s="1296"/>
      <c r="BF256" s="1296"/>
      <c r="BG256" s="1296"/>
      <c r="BH256" s="1318"/>
      <c r="BI256" s="1342"/>
      <c r="BJ256" s="1337"/>
      <c r="BK256" s="1338"/>
      <c r="BL256" s="1338"/>
      <c r="BM256" s="1338"/>
      <c r="BN256" s="1338"/>
      <c r="BO256" s="1339"/>
    </row>
    <row r="257" spans="1:67" ht="15" customHeight="1">
      <c r="A257" s="1309"/>
      <c r="B257" s="1165"/>
      <c r="C257" s="1166"/>
      <c r="D257" s="1166"/>
      <c r="E257" s="1166"/>
      <c r="F257" s="1166"/>
      <c r="G257" s="1292"/>
      <c r="H257" s="1207"/>
      <c r="I257" s="1207"/>
      <c r="J257" s="1207"/>
      <c r="K257" s="1207"/>
      <c r="L257" s="1207"/>
      <c r="M257" s="1207"/>
      <c r="N257" s="1393"/>
      <c r="O257" s="1298" t="s">
        <v>416</v>
      </c>
      <c r="P257" s="1299"/>
      <c r="Q257" s="1299"/>
      <c r="R257" s="1299"/>
      <c r="S257" s="1299"/>
      <c r="T257" s="1300"/>
      <c r="U257" s="1207"/>
      <c r="V257" s="1294"/>
      <c r="W257" s="1202"/>
      <c r="X257" s="1203"/>
      <c r="Y257" s="1203"/>
      <c r="Z257" s="1203"/>
      <c r="AA257" s="1203"/>
      <c r="AB257" s="1305"/>
      <c r="AC257" s="1207"/>
      <c r="AD257" s="1294"/>
      <c r="AE257" s="1202"/>
      <c r="AF257" s="1203"/>
      <c r="AG257" s="1203"/>
      <c r="AH257" s="1203"/>
      <c r="AI257" s="1203"/>
      <c r="AJ257" s="1305"/>
      <c r="AK257" s="1207"/>
      <c r="AL257" s="1291"/>
      <c r="AM257" s="1202"/>
      <c r="AN257" s="1203"/>
      <c r="AO257" s="1203"/>
      <c r="AP257" s="1203"/>
      <c r="AQ257" s="1203"/>
      <c r="AR257" s="1305"/>
      <c r="AS257" s="1207"/>
      <c r="AT257" s="1291"/>
      <c r="AU257" s="1298"/>
      <c r="AV257" s="1299"/>
      <c r="AW257" s="1299"/>
      <c r="AX257" s="1299"/>
      <c r="AY257" s="1299"/>
      <c r="AZ257" s="1335"/>
      <c r="BA257" s="1342"/>
      <c r="BB257" s="1291"/>
      <c r="BC257" s="1298"/>
      <c r="BD257" s="1299"/>
      <c r="BE257" s="1299"/>
      <c r="BF257" s="1299"/>
      <c r="BG257" s="1299"/>
      <c r="BH257" s="1335"/>
      <c r="BI257" s="1342"/>
      <c r="BJ257" s="1337"/>
      <c r="BK257" s="1338"/>
      <c r="BL257" s="1338"/>
      <c r="BM257" s="1338"/>
      <c r="BN257" s="1338"/>
      <c r="BO257" s="1339"/>
    </row>
    <row r="258" spans="1:67" ht="15" customHeight="1">
      <c r="A258" s="1307">
        <v>1.1000000000000001</v>
      </c>
      <c r="B258" s="1161" t="s">
        <v>330</v>
      </c>
      <c r="C258" s="1162"/>
      <c r="D258" s="1162"/>
      <c r="E258" s="1162"/>
      <c r="F258" s="1162"/>
      <c r="G258" s="1199"/>
      <c r="H258" s="1205" t="str">
        <f t="shared" ref="H258" si="268">IF(ISBLANK(AB$5),"",1)</f>
        <v/>
      </c>
      <c r="I258" s="1205" t="str">
        <f t="shared" ref="I258" si="269">IF(ISBLANK(AF$5),"",1)</f>
        <v/>
      </c>
      <c r="J258" s="1205" t="str">
        <f t="shared" ref="J258" si="270">IF(ISBLANK(AJ$5),"",1)</f>
        <v/>
      </c>
      <c r="K258" s="1205" t="str">
        <f t="shared" ref="K258" si="271">IF(ISBLANK(AN$5),"",1)</f>
        <v/>
      </c>
      <c r="L258" s="1205" t="str">
        <f t="shared" ref="L258" si="272">IF(ISBLANK(AR$5),"",1)</f>
        <v/>
      </c>
      <c r="M258" s="1205" t="str">
        <f t="shared" ref="M258" si="273">IF(ISBLANK(AV$5),"",1)</f>
        <v/>
      </c>
      <c r="N258" s="1322">
        <v>4.4000000000000004</v>
      </c>
      <c r="O258" s="1198" t="s">
        <v>393</v>
      </c>
      <c r="P258" s="1162"/>
      <c r="Q258" s="1162"/>
      <c r="R258" s="1162"/>
      <c r="S258" s="1162"/>
      <c r="T258" s="1265"/>
      <c r="U258" s="1205" t="str">
        <f>IF(ISBLANK(AB$5),"",1)</f>
        <v/>
      </c>
      <c r="V258" s="1304">
        <v>4.4000000000000004</v>
      </c>
      <c r="W258" s="1395" t="s">
        <v>359</v>
      </c>
      <c r="X258" s="1396"/>
      <c r="Y258" s="1396"/>
      <c r="Z258" s="1396"/>
      <c r="AA258" s="1396"/>
      <c r="AB258" s="1397"/>
      <c r="AC258" s="1205" t="str">
        <f>IF(ISBLANK(AF$5),"",1)</f>
        <v/>
      </c>
      <c r="AD258" s="1322">
        <v>4.4000000000000004</v>
      </c>
      <c r="AE258" s="1198" t="s">
        <v>413</v>
      </c>
      <c r="AF258" s="1162"/>
      <c r="AG258" s="1162"/>
      <c r="AH258" s="1162"/>
      <c r="AI258" s="1162"/>
      <c r="AJ258" s="1265"/>
      <c r="AK258" s="1205" t="str">
        <f>IF(ISBLANK(AJ$5),"",1)</f>
        <v/>
      </c>
      <c r="AL258" s="1322">
        <v>4.3</v>
      </c>
      <c r="AM258" s="1198" t="s">
        <v>395</v>
      </c>
      <c r="AN258" s="1162"/>
      <c r="AO258" s="1162"/>
      <c r="AP258" s="1162"/>
      <c r="AQ258" s="1162"/>
      <c r="AR258" s="1265"/>
      <c r="AS258" s="1205" t="str">
        <f>IF(ISBLANK(AN$5),"",1)</f>
        <v/>
      </c>
      <c r="AT258" s="1258">
        <v>4.4000000000000004</v>
      </c>
      <c r="AU258" s="1198" t="s">
        <v>418</v>
      </c>
      <c r="AV258" s="1162"/>
      <c r="AW258" s="1162"/>
      <c r="AX258" s="1162"/>
      <c r="AY258" s="1162"/>
      <c r="AZ258" s="1199"/>
      <c r="BA258" s="1226" t="str">
        <f>IF(ISBLANK(AR$5),"",1)</f>
        <v/>
      </c>
      <c r="BB258" s="1258">
        <v>4.3</v>
      </c>
      <c r="BC258" s="1198" t="s">
        <v>418</v>
      </c>
      <c r="BD258" s="1162"/>
      <c r="BE258" s="1162"/>
      <c r="BF258" s="1162"/>
      <c r="BG258" s="1162"/>
      <c r="BH258" s="1199"/>
      <c r="BI258" s="1226" t="str">
        <f>IF(ISBLANK(AV$5),"",1)</f>
        <v/>
      </c>
      <c r="BJ258" s="1337"/>
      <c r="BK258" s="1338"/>
      <c r="BL258" s="1338"/>
      <c r="BM258" s="1338"/>
      <c r="BN258" s="1338"/>
      <c r="BO258" s="1339"/>
    </row>
    <row r="259" spans="1:67" ht="15" customHeight="1">
      <c r="A259" s="1308"/>
      <c r="B259" s="1163"/>
      <c r="C259" s="1164"/>
      <c r="D259" s="1164"/>
      <c r="E259" s="1164"/>
      <c r="F259" s="1164"/>
      <c r="G259" s="1201"/>
      <c r="H259" s="1206"/>
      <c r="I259" s="1206"/>
      <c r="J259" s="1206"/>
      <c r="K259" s="1206"/>
      <c r="L259" s="1206"/>
      <c r="M259" s="1206"/>
      <c r="N259" s="1293"/>
      <c r="O259" s="1200"/>
      <c r="P259" s="1164"/>
      <c r="Q259" s="1164"/>
      <c r="R259" s="1164"/>
      <c r="S259" s="1164"/>
      <c r="T259" s="1266"/>
      <c r="U259" s="1206"/>
      <c r="V259" s="1290"/>
      <c r="W259" s="1163"/>
      <c r="X259" s="1164"/>
      <c r="Y259" s="1164"/>
      <c r="Z259" s="1164"/>
      <c r="AA259" s="1164"/>
      <c r="AB259" s="1201"/>
      <c r="AC259" s="1206"/>
      <c r="AD259" s="1293"/>
      <c r="AE259" s="1200"/>
      <c r="AF259" s="1164"/>
      <c r="AG259" s="1164"/>
      <c r="AH259" s="1164"/>
      <c r="AI259" s="1164"/>
      <c r="AJ259" s="1266"/>
      <c r="AK259" s="1206"/>
      <c r="AL259" s="1293"/>
      <c r="AM259" s="1200"/>
      <c r="AN259" s="1164"/>
      <c r="AO259" s="1164"/>
      <c r="AP259" s="1164"/>
      <c r="AQ259" s="1164"/>
      <c r="AR259" s="1266"/>
      <c r="AS259" s="1206"/>
      <c r="AT259" s="1258"/>
      <c r="AU259" s="1200"/>
      <c r="AV259" s="1164"/>
      <c r="AW259" s="1164"/>
      <c r="AX259" s="1164"/>
      <c r="AY259" s="1164"/>
      <c r="AZ259" s="1201"/>
      <c r="BA259" s="1342"/>
      <c r="BB259" s="1258"/>
      <c r="BC259" s="1200"/>
      <c r="BD259" s="1164"/>
      <c r="BE259" s="1164"/>
      <c r="BF259" s="1164"/>
      <c r="BG259" s="1164"/>
      <c r="BH259" s="1201"/>
      <c r="BI259" s="1342"/>
      <c r="BJ259" s="1337"/>
      <c r="BK259" s="1338"/>
      <c r="BL259" s="1338"/>
      <c r="BM259" s="1338"/>
      <c r="BN259" s="1338"/>
      <c r="BO259" s="1339"/>
    </row>
    <row r="260" spans="1:67" ht="15" customHeight="1">
      <c r="A260" s="1309"/>
      <c r="B260" s="1165"/>
      <c r="C260" s="1166"/>
      <c r="D260" s="1166"/>
      <c r="E260" s="1166"/>
      <c r="F260" s="1166"/>
      <c r="G260" s="1292"/>
      <c r="H260" s="1207"/>
      <c r="I260" s="1207"/>
      <c r="J260" s="1207"/>
      <c r="K260" s="1207"/>
      <c r="L260" s="1207"/>
      <c r="M260" s="1207"/>
      <c r="N260" s="1294"/>
      <c r="O260" s="1202" t="s">
        <v>394</v>
      </c>
      <c r="P260" s="1203"/>
      <c r="Q260" s="1203"/>
      <c r="R260" s="1203"/>
      <c r="S260" s="1203"/>
      <c r="T260" s="1305"/>
      <c r="U260" s="1207"/>
      <c r="V260" s="1291"/>
      <c r="W260" s="1165"/>
      <c r="X260" s="1166"/>
      <c r="Y260" s="1166"/>
      <c r="Z260" s="1166"/>
      <c r="AA260" s="1166"/>
      <c r="AB260" s="1292"/>
      <c r="AC260" s="1207"/>
      <c r="AD260" s="1294"/>
      <c r="AE260" s="1202"/>
      <c r="AF260" s="1203"/>
      <c r="AG260" s="1203"/>
      <c r="AH260" s="1203"/>
      <c r="AI260" s="1203"/>
      <c r="AJ260" s="1305"/>
      <c r="AK260" s="1207"/>
      <c r="AL260" s="1306"/>
      <c r="AM260" s="1202"/>
      <c r="AN260" s="1203"/>
      <c r="AO260" s="1203"/>
      <c r="AP260" s="1203"/>
      <c r="AQ260" s="1203"/>
      <c r="AR260" s="1305"/>
      <c r="AS260" s="1207"/>
      <c r="AT260" s="1258"/>
      <c r="AU260" s="1202"/>
      <c r="AV260" s="1203"/>
      <c r="AW260" s="1203"/>
      <c r="AX260" s="1203"/>
      <c r="AY260" s="1203"/>
      <c r="AZ260" s="1204"/>
      <c r="BA260" s="1342"/>
      <c r="BB260" s="1258"/>
      <c r="BC260" s="1202"/>
      <c r="BD260" s="1203"/>
      <c r="BE260" s="1203"/>
      <c r="BF260" s="1203"/>
      <c r="BG260" s="1203"/>
      <c r="BH260" s="1204"/>
      <c r="BI260" s="1342"/>
      <c r="BJ260" s="1337"/>
      <c r="BK260" s="1338"/>
      <c r="BL260" s="1338"/>
      <c r="BM260" s="1338"/>
      <c r="BN260" s="1338"/>
      <c r="BO260" s="1339"/>
    </row>
    <row r="261" spans="1:67" ht="15" customHeight="1">
      <c r="A261" s="1304">
        <v>1.5</v>
      </c>
      <c r="B261" s="1161" t="s">
        <v>336</v>
      </c>
      <c r="C261" s="1162"/>
      <c r="D261" s="1162"/>
      <c r="E261" s="1162"/>
      <c r="F261" s="1162"/>
      <c r="G261" s="1199"/>
      <c r="H261" s="1205" t="str">
        <f t="shared" ref="H261" si="274">IF(ISBLANK(AB$5),"",1)</f>
        <v/>
      </c>
      <c r="I261" s="1205" t="str">
        <f t="shared" ref="I261" si="275">IF(ISBLANK(AF$5),"",1)</f>
        <v/>
      </c>
      <c r="J261" s="1205" t="str">
        <f t="shared" ref="J261" si="276">IF(ISBLANK(AJ$5),"",1)</f>
        <v/>
      </c>
      <c r="K261" s="1205" t="str">
        <f t="shared" ref="K261" si="277">IF(ISBLANK(AN$5),"",1)</f>
        <v/>
      </c>
      <c r="L261" s="1205" t="str">
        <f t="shared" ref="L261" si="278">IF(ISBLANK(AR$5),"",1)</f>
        <v/>
      </c>
      <c r="M261" s="1205" t="str">
        <f t="shared" ref="M261" si="279">IF(ISBLANK(AV$5),"",1)</f>
        <v/>
      </c>
      <c r="N261" s="1391">
        <v>4.4000000000000004</v>
      </c>
      <c r="O261" s="1198" t="s">
        <v>359</v>
      </c>
      <c r="P261" s="1162"/>
      <c r="Q261" s="1162"/>
      <c r="R261" s="1162"/>
      <c r="S261" s="1162"/>
      <c r="T261" s="1265"/>
      <c r="U261" s="1205" t="str">
        <f>IF(ISBLANK(AB$5),"",1)</f>
        <v/>
      </c>
      <c r="V261" s="1322">
        <v>4.4000000000000004</v>
      </c>
      <c r="W261" s="1198" t="s">
        <v>395</v>
      </c>
      <c r="X261" s="1162"/>
      <c r="Y261" s="1162"/>
      <c r="Z261" s="1162"/>
      <c r="AA261" s="1162"/>
      <c r="AB261" s="1265"/>
      <c r="AC261" s="1205" t="str">
        <f>IF(ISBLANK(AF$5),"",1)</f>
        <v/>
      </c>
      <c r="AD261" s="1322">
        <v>4.4000000000000004</v>
      </c>
      <c r="AE261" s="1198" t="s">
        <v>414</v>
      </c>
      <c r="AF261" s="1162"/>
      <c r="AG261" s="1162"/>
      <c r="AH261" s="1162"/>
      <c r="AI261" s="1162"/>
      <c r="AJ261" s="1265"/>
      <c r="AK261" s="1205" t="str">
        <f>IF(ISBLANK(AJ$5),"",1)</f>
        <v/>
      </c>
      <c r="AL261" s="1304">
        <v>4.4000000000000004</v>
      </c>
      <c r="AM261" s="1161" t="s">
        <v>878</v>
      </c>
      <c r="AN261" s="1162"/>
      <c r="AO261" s="1162"/>
      <c r="AP261" s="1162"/>
      <c r="AQ261" s="1162"/>
      <c r="AR261" s="1199"/>
      <c r="AS261" s="1205" t="str">
        <f>IF(ISBLANK(AN$5),"",1)</f>
        <v/>
      </c>
      <c r="AT261" s="1258">
        <v>4.4000000000000004</v>
      </c>
      <c r="AU261" s="1198" t="s">
        <v>417</v>
      </c>
      <c r="AV261" s="1162"/>
      <c r="AW261" s="1162"/>
      <c r="AX261" s="1162"/>
      <c r="AY261" s="1162"/>
      <c r="AZ261" s="1199"/>
      <c r="BA261" s="1226" t="str">
        <f>IF(ISBLANK(AR$5),"",1)</f>
        <v/>
      </c>
      <c r="BB261" s="1258">
        <v>4.4000000000000004</v>
      </c>
      <c r="BC261" s="1198" t="s">
        <v>417</v>
      </c>
      <c r="BD261" s="1162"/>
      <c r="BE261" s="1162"/>
      <c r="BF261" s="1162"/>
      <c r="BG261" s="1162"/>
      <c r="BH261" s="1199"/>
      <c r="BI261" s="1226" t="str">
        <f>IF(ISBLANK(AV$5),"",1)</f>
        <v/>
      </c>
      <c r="BJ261" s="1337"/>
      <c r="BK261" s="1338"/>
      <c r="BL261" s="1338"/>
      <c r="BM261" s="1338"/>
      <c r="BN261" s="1338"/>
      <c r="BO261" s="1339"/>
    </row>
    <row r="262" spans="1:67" ht="15" customHeight="1">
      <c r="A262" s="1290"/>
      <c r="B262" s="1163"/>
      <c r="C262" s="1164"/>
      <c r="D262" s="1164"/>
      <c r="E262" s="1164"/>
      <c r="F262" s="1164"/>
      <c r="G262" s="1201"/>
      <c r="H262" s="1206"/>
      <c r="I262" s="1206"/>
      <c r="J262" s="1206"/>
      <c r="K262" s="1206"/>
      <c r="L262" s="1206"/>
      <c r="M262" s="1206"/>
      <c r="N262" s="1392"/>
      <c r="O262" s="1200" t="s">
        <v>370</v>
      </c>
      <c r="P262" s="1164"/>
      <c r="Q262" s="1164"/>
      <c r="R262" s="1164"/>
      <c r="S262" s="1164"/>
      <c r="T262" s="1266"/>
      <c r="U262" s="1206"/>
      <c r="V262" s="1293"/>
      <c r="W262" s="1200"/>
      <c r="X262" s="1164"/>
      <c r="Y262" s="1164"/>
      <c r="Z262" s="1164"/>
      <c r="AA262" s="1164"/>
      <c r="AB262" s="1266"/>
      <c r="AC262" s="1206"/>
      <c r="AD262" s="1293"/>
      <c r="AE262" s="1200"/>
      <c r="AF262" s="1164"/>
      <c r="AG262" s="1164"/>
      <c r="AH262" s="1164"/>
      <c r="AI262" s="1164"/>
      <c r="AJ262" s="1266"/>
      <c r="AK262" s="1206"/>
      <c r="AL262" s="1290"/>
      <c r="AM262" s="1163"/>
      <c r="AN262" s="1164"/>
      <c r="AO262" s="1164"/>
      <c r="AP262" s="1164"/>
      <c r="AQ262" s="1164"/>
      <c r="AR262" s="1201"/>
      <c r="AS262" s="1206"/>
      <c r="AT262" s="1258"/>
      <c r="AU262" s="1200"/>
      <c r="AV262" s="1164"/>
      <c r="AW262" s="1164"/>
      <c r="AX262" s="1164"/>
      <c r="AY262" s="1164"/>
      <c r="AZ262" s="1201"/>
      <c r="BA262" s="1342"/>
      <c r="BB262" s="1258"/>
      <c r="BC262" s="1200"/>
      <c r="BD262" s="1164"/>
      <c r="BE262" s="1164"/>
      <c r="BF262" s="1164"/>
      <c r="BG262" s="1164"/>
      <c r="BH262" s="1201"/>
      <c r="BI262" s="1342"/>
      <c r="BJ262" s="1337"/>
      <c r="BK262" s="1338"/>
      <c r="BL262" s="1338"/>
      <c r="BM262" s="1338"/>
      <c r="BN262" s="1338"/>
      <c r="BO262" s="1339"/>
    </row>
    <row r="263" spans="1:67" ht="15" customHeight="1">
      <c r="A263" s="1291"/>
      <c r="B263" s="1165"/>
      <c r="C263" s="1166"/>
      <c r="D263" s="1166"/>
      <c r="E263" s="1166"/>
      <c r="F263" s="1166"/>
      <c r="G263" s="1292"/>
      <c r="H263" s="1207"/>
      <c r="I263" s="1207"/>
      <c r="J263" s="1207"/>
      <c r="K263" s="1207"/>
      <c r="L263" s="1207"/>
      <c r="M263" s="1207"/>
      <c r="N263" s="1393"/>
      <c r="O263" s="1202" t="s">
        <v>384</v>
      </c>
      <c r="P263" s="1203"/>
      <c r="Q263" s="1203"/>
      <c r="R263" s="1203"/>
      <c r="S263" s="1203"/>
      <c r="T263" s="1305"/>
      <c r="U263" s="1207"/>
      <c r="V263" s="1294"/>
      <c r="W263" s="1202"/>
      <c r="X263" s="1203"/>
      <c r="Y263" s="1203"/>
      <c r="Z263" s="1203"/>
      <c r="AA263" s="1203"/>
      <c r="AB263" s="1305"/>
      <c r="AC263" s="1207"/>
      <c r="AD263" s="1306"/>
      <c r="AE263" s="1202"/>
      <c r="AF263" s="1203"/>
      <c r="AG263" s="1203"/>
      <c r="AH263" s="1203"/>
      <c r="AI263" s="1203"/>
      <c r="AJ263" s="1305"/>
      <c r="AK263" s="1207"/>
      <c r="AL263" s="1291"/>
      <c r="AM263" s="1165"/>
      <c r="AN263" s="1166"/>
      <c r="AO263" s="1166"/>
      <c r="AP263" s="1166"/>
      <c r="AQ263" s="1166"/>
      <c r="AR263" s="1292"/>
      <c r="AS263" s="1207"/>
      <c r="AT263" s="1258"/>
      <c r="AU263" s="1202"/>
      <c r="AV263" s="1203"/>
      <c r="AW263" s="1203"/>
      <c r="AX263" s="1203"/>
      <c r="AY263" s="1203"/>
      <c r="AZ263" s="1204"/>
      <c r="BA263" s="1342"/>
      <c r="BB263" s="1258"/>
      <c r="BC263" s="1202"/>
      <c r="BD263" s="1203"/>
      <c r="BE263" s="1203"/>
      <c r="BF263" s="1203"/>
      <c r="BG263" s="1203"/>
      <c r="BH263" s="1204"/>
      <c r="BI263" s="1342"/>
      <c r="BJ263" s="1337"/>
      <c r="BK263" s="1338"/>
      <c r="BL263" s="1338"/>
      <c r="BM263" s="1338"/>
      <c r="BN263" s="1338"/>
      <c r="BO263" s="1339"/>
    </row>
    <row r="264" spans="1:67" ht="15" customHeight="1">
      <c r="A264" s="1304">
        <v>2.1</v>
      </c>
      <c r="B264" s="1161" t="s">
        <v>360</v>
      </c>
      <c r="C264" s="1162"/>
      <c r="D264" s="1162"/>
      <c r="E264" s="1162"/>
      <c r="F264" s="1162"/>
      <c r="G264" s="1199"/>
      <c r="H264" s="1205" t="str">
        <f t="shared" ref="H264" si="280">IF(ISBLANK(AB$5),"",1)</f>
        <v/>
      </c>
      <c r="I264" s="1205" t="str">
        <f t="shared" ref="I264" si="281">IF(ISBLANK(AF$5),"",1)</f>
        <v/>
      </c>
      <c r="J264" s="1205" t="str">
        <f t="shared" ref="J264" si="282">IF(ISBLANK(AJ$5),"",1)</f>
        <v/>
      </c>
      <c r="K264" s="1205" t="str">
        <f t="shared" ref="K264" si="283">IF(ISBLANK(AN$5),"",1)</f>
        <v/>
      </c>
      <c r="L264" s="1205" t="str">
        <f t="shared" ref="L264" si="284">IF(ISBLANK(AR$5),"",1)</f>
        <v/>
      </c>
      <c r="M264" s="1205" t="str">
        <f t="shared" ref="M264" si="285">IF(ISBLANK(AV$5),"",1)</f>
        <v/>
      </c>
      <c r="N264" s="1322">
        <v>4.4000000000000004</v>
      </c>
      <c r="O264" s="1198" t="s">
        <v>395</v>
      </c>
      <c r="P264" s="1162"/>
      <c r="Q264" s="1162"/>
      <c r="R264" s="1162"/>
      <c r="S264" s="1162"/>
      <c r="T264" s="1265"/>
      <c r="U264" s="1205" t="str">
        <f>IF(ISBLANK(AB$5),"",1)</f>
        <v/>
      </c>
      <c r="V264" s="1391">
        <v>4.4000000000000004</v>
      </c>
      <c r="W264" s="1161" t="s">
        <v>878</v>
      </c>
      <c r="X264" s="1162"/>
      <c r="Y264" s="1162"/>
      <c r="Z264" s="1162"/>
      <c r="AA264" s="1162"/>
      <c r="AB264" s="1199"/>
      <c r="AC264" s="1205" t="str">
        <f>IF(ISBLANK(AF$5),"",1)</f>
        <v/>
      </c>
      <c r="AD264" s="1322">
        <v>4.4000000000000004</v>
      </c>
      <c r="AE264" s="1198" t="s">
        <v>383</v>
      </c>
      <c r="AF264" s="1162"/>
      <c r="AG264" s="1162"/>
      <c r="AH264" s="1162"/>
      <c r="AI264" s="1162"/>
      <c r="AJ264" s="1265"/>
      <c r="AK264" s="1205" t="str">
        <f>IF(ISBLANK(AJ$5),"",1)</f>
        <v/>
      </c>
      <c r="AL264" s="1307">
        <v>1.5</v>
      </c>
      <c r="AM264" s="1310" t="s">
        <v>373</v>
      </c>
      <c r="AN264" s="1311"/>
      <c r="AO264" s="1311"/>
      <c r="AP264" s="1311"/>
      <c r="AQ264" s="1311"/>
      <c r="AR264" s="1312"/>
      <c r="AS264" s="1205" t="str">
        <f>IF(ISBLANK(AN$5),"",1)</f>
        <v/>
      </c>
      <c r="AT264" s="1258">
        <v>4.4000000000000004</v>
      </c>
      <c r="AU264" s="1198" t="s">
        <v>419</v>
      </c>
      <c r="AV264" s="1162"/>
      <c r="AW264" s="1162"/>
      <c r="AX264" s="1162"/>
      <c r="AY264" s="1162"/>
      <c r="AZ264" s="1199"/>
      <c r="BA264" s="1226" t="str">
        <f>IF(ISBLANK(AR$5),"",1)</f>
        <v/>
      </c>
      <c r="BB264" s="1258">
        <v>4.4000000000000004</v>
      </c>
      <c r="BC264" s="1198" t="s">
        <v>419</v>
      </c>
      <c r="BD264" s="1162"/>
      <c r="BE264" s="1162"/>
      <c r="BF264" s="1162"/>
      <c r="BG264" s="1162"/>
      <c r="BH264" s="1199"/>
      <c r="BI264" s="1226" t="str">
        <f>IF(ISBLANK(AV$5),"",1)</f>
        <v/>
      </c>
      <c r="BJ264" s="1337"/>
      <c r="BK264" s="1338"/>
      <c r="BL264" s="1338"/>
      <c r="BM264" s="1338"/>
      <c r="BN264" s="1338"/>
      <c r="BO264" s="1339"/>
    </row>
    <row r="265" spans="1:67" ht="15" customHeight="1">
      <c r="A265" s="1290"/>
      <c r="B265" s="1163"/>
      <c r="C265" s="1164"/>
      <c r="D265" s="1164"/>
      <c r="E265" s="1164"/>
      <c r="F265" s="1164"/>
      <c r="G265" s="1201"/>
      <c r="H265" s="1206"/>
      <c r="I265" s="1206"/>
      <c r="J265" s="1206"/>
      <c r="K265" s="1206"/>
      <c r="L265" s="1206"/>
      <c r="M265" s="1206"/>
      <c r="N265" s="1293"/>
      <c r="O265" s="1200" t="s">
        <v>370</v>
      </c>
      <c r="P265" s="1164"/>
      <c r="Q265" s="1164"/>
      <c r="R265" s="1164"/>
      <c r="S265" s="1164"/>
      <c r="T265" s="1266"/>
      <c r="U265" s="1206"/>
      <c r="V265" s="1392"/>
      <c r="W265" s="1163"/>
      <c r="X265" s="1164"/>
      <c r="Y265" s="1164"/>
      <c r="Z265" s="1164"/>
      <c r="AA265" s="1164"/>
      <c r="AB265" s="1201"/>
      <c r="AC265" s="1206"/>
      <c r="AD265" s="1293"/>
      <c r="AE265" s="1200"/>
      <c r="AF265" s="1164"/>
      <c r="AG265" s="1164"/>
      <c r="AH265" s="1164"/>
      <c r="AI265" s="1164"/>
      <c r="AJ265" s="1266"/>
      <c r="AK265" s="1206"/>
      <c r="AL265" s="1308"/>
      <c r="AM265" s="1295"/>
      <c r="AN265" s="1296"/>
      <c r="AO265" s="1296"/>
      <c r="AP265" s="1296"/>
      <c r="AQ265" s="1296"/>
      <c r="AR265" s="1297"/>
      <c r="AS265" s="1206"/>
      <c r="AT265" s="1258"/>
      <c r="AU265" s="1200"/>
      <c r="AV265" s="1164"/>
      <c r="AW265" s="1164"/>
      <c r="AX265" s="1164"/>
      <c r="AY265" s="1164"/>
      <c r="AZ265" s="1201"/>
      <c r="BA265" s="1342"/>
      <c r="BB265" s="1258"/>
      <c r="BC265" s="1200"/>
      <c r="BD265" s="1164"/>
      <c r="BE265" s="1164"/>
      <c r="BF265" s="1164"/>
      <c r="BG265" s="1164"/>
      <c r="BH265" s="1201"/>
      <c r="BI265" s="1342"/>
      <c r="BJ265" s="1337"/>
      <c r="BK265" s="1338"/>
      <c r="BL265" s="1338"/>
      <c r="BM265" s="1338"/>
      <c r="BN265" s="1338"/>
      <c r="BO265" s="1339"/>
    </row>
    <row r="266" spans="1:67" ht="15" customHeight="1">
      <c r="A266" s="1291"/>
      <c r="B266" s="1165"/>
      <c r="C266" s="1166"/>
      <c r="D266" s="1166"/>
      <c r="E266" s="1166"/>
      <c r="F266" s="1166"/>
      <c r="G266" s="1292"/>
      <c r="H266" s="1207"/>
      <c r="I266" s="1207"/>
      <c r="J266" s="1207"/>
      <c r="K266" s="1207"/>
      <c r="L266" s="1207"/>
      <c r="M266" s="1207"/>
      <c r="N266" s="1294"/>
      <c r="O266" s="1202" t="s">
        <v>396</v>
      </c>
      <c r="P266" s="1203"/>
      <c r="Q266" s="1203"/>
      <c r="R266" s="1203"/>
      <c r="S266" s="1203"/>
      <c r="T266" s="1305"/>
      <c r="U266" s="1207"/>
      <c r="V266" s="1393"/>
      <c r="W266" s="1165"/>
      <c r="X266" s="1166"/>
      <c r="Y266" s="1166"/>
      <c r="Z266" s="1166"/>
      <c r="AA266" s="1166"/>
      <c r="AB266" s="1292"/>
      <c r="AC266" s="1207"/>
      <c r="AD266" s="1306"/>
      <c r="AE266" s="1202"/>
      <c r="AF266" s="1203"/>
      <c r="AG266" s="1203"/>
      <c r="AH266" s="1203"/>
      <c r="AI266" s="1203"/>
      <c r="AJ266" s="1305"/>
      <c r="AK266" s="1207"/>
      <c r="AL266" s="1309"/>
      <c r="AM266" s="1298"/>
      <c r="AN266" s="1299"/>
      <c r="AO266" s="1299"/>
      <c r="AP266" s="1299"/>
      <c r="AQ266" s="1299"/>
      <c r="AR266" s="1300"/>
      <c r="AS266" s="1207"/>
      <c r="AT266" s="1258"/>
      <c r="AU266" s="1202"/>
      <c r="AV266" s="1203"/>
      <c r="AW266" s="1203"/>
      <c r="AX266" s="1203"/>
      <c r="AY266" s="1203"/>
      <c r="AZ266" s="1204"/>
      <c r="BA266" s="1342"/>
      <c r="BB266" s="1258"/>
      <c r="BC266" s="1202"/>
      <c r="BD266" s="1203"/>
      <c r="BE266" s="1203"/>
      <c r="BF266" s="1203"/>
      <c r="BG266" s="1203"/>
      <c r="BH266" s="1204"/>
      <c r="BI266" s="1342"/>
      <c r="BJ266" s="1337"/>
      <c r="BK266" s="1338"/>
      <c r="BL266" s="1338"/>
      <c r="BM266" s="1338"/>
      <c r="BN266" s="1338"/>
      <c r="BO266" s="1339"/>
    </row>
    <row r="267" spans="1:67" ht="15" customHeight="1">
      <c r="A267" s="1304">
        <v>2.4</v>
      </c>
      <c r="B267" s="1161" t="s">
        <v>942</v>
      </c>
      <c r="C267" s="1162"/>
      <c r="D267" s="1162"/>
      <c r="E267" s="1162"/>
      <c r="F267" s="1162"/>
      <c r="G267" s="1199"/>
      <c r="H267" s="1205" t="str">
        <f t="shared" ref="H267" si="286">IF(ISBLANK(AB$5),"",1)</f>
        <v/>
      </c>
      <c r="I267" s="1205" t="str">
        <f t="shared" ref="I267" si="287">IF(ISBLANK(AF$5),"",1)</f>
        <v/>
      </c>
      <c r="J267" s="1205" t="str">
        <f t="shared" ref="J267" si="288">IF(ISBLANK(AJ$5),"",1)</f>
        <v/>
      </c>
      <c r="K267" s="1205" t="str">
        <f t="shared" ref="K267" si="289">IF(ISBLANK(AN$5),"",1)</f>
        <v/>
      </c>
      <c r="L267" s="1205" t="str">
        <f t="shared" ref="L267" si="290">IF(ISBLANK(AR$5),"",1)</f>
        <v/>
      </c>
      <c r="M267" s="1205" t="str">
        <f t="shared" ref="M267" si="291">IF(ISBLANK(AV$5),"",1)</f>
        <v/>
      </c>
      <c r="N267" s="1391">
        <v>4.4000000000000004</v>
      </c>
      <c r="O267" s="1161" t="s">
        <v>878</v>
      </c>
      <c r="P267" s="1162"/>
      <c r="Q267" s="1162"/>
      <c r="R267" s="1162"/>
      <c r="S267" s="1162"/>
      <c r="T267" s="1199"/>
      <c r="U267" s="1205" t="str">
        <f>IF(ISBLANK(AB$5),"",1)</f>
        <v/>
      </c>
      <c r="V267" s="1394">
        <v>1.5</v>
      </c>
      <c r="W267" s="1310" t="s">
        <v>373</v>
      </c>
      <c r="X267" s="1311"/>
      <c r="Y267" s="1311"/>
      <c r="Z267" s="1311"/>
      <c r="AA267" s="1311"/>
      <c r="AB267" s="1312"/>
      <c r="AC267" s="1205" t="str">
        <f>IF(ISBLANK(AF$5),"",1)</f>
        <v/>
      </c>
      <c r="AD267" s="1307">
        <v>1.5</v>
      </c>
      <c r="AE267" s="1310" t="s">
        <v>373</v>
      </c>
      <c r="AF267" s="1311"/>
      <c r="AG267" s="1311"/>
      <c r="AH267" s="1311"/>
      <c r="AI267" s="1311"/>
      <c r="AJ267" s="1312"/>
      <c r="AK267" s="1205" t="str">
        <f>IF(ISBLANK(AJ$5),"",1)</f>
        <v/>
      </c>
      <c r="AL267" s="1322">
        <v>4.4000000000000004</v>
      </c>
      <c r="AM267" s="1198" t="s">
        <v>397</v>
      </c>
      <c r="AN267" s="1162"/>
      <c r="AO267" s="1162"/>
      <c r="AP267" s="1162"/>
      <c r="AQ267" s="1162"/>
      <c r="AR267" s="1265"/>
      <c r="AS267" s="1205" t="str">
        <f>IF(ISBLANK(AN$5),"",1)</f>
        <v/>
      </c>
      <c r="AT267" s="1258">
        <v>4.4000000000000004</v>
      </c>
      <c r="AU267" s="1198" t="s">
        <v>420</v>
      </c>
      <c r="AV267" s="1162"/>
      <c r="AW267" s="1162"/>
      <c r="AX267" s="1162"/>
      <c r="AY267" s="1162"/>
      <c r="AZ267" s="1199"/>
      <c r="BA267" s="1226" t="str">
        <f>IF(ISBLANK(AR$5),"",1)</f>
        <v/>
      </c>
      <c r="BB267" s="1258">
        <v>4.4000000000000004</v>
      </c>
      <c r="BC267" s="1198" t="s">
        <v>420</v>
      </c>
      <c r="BD267" s="1162"/>
      <c r="BE267" s="1162"/>
      <c r="BF267" s="1162"/>
      <c r="BG267" s="1162"/>
      <c r="BH267" s="1199"/>
      <c r="BI267" s="1226" t="str">
        <f>IF(ISBLANK(AV$5),"",1)</f>
        <v/>
      </c>
      <c r="BJ267" s="1337"/>
      <c r="BK267" s="1338"/>
      <c r="BL267" s="1338"/>
      <c r="BM267" s="1338"/>
      <c r="BN267" s="1338"/>
      <c r="BO267" s="1339"/>
    </row>
    <row r="268" spans="1:67" ht="15" customHeight="1">
      <c r="A268" s="1290"/>
      <c r="B268" s="1163"/>
      <c r="C268" s="1164"/>
      <c r="D268" s="1164"/>
      <c r="E268" s="1164"/>
      <c r="F268" s="1164"/>
      <c r="G268" s="1201"/>
      <c r="H268" s="1206"/>
      <c r="I268" s="1206"/>
      <c r="J268" s="1206"/>
      <c r="K268" s="1206"/>
      <c r="L268" s="1206"/>
      <c r="M268" s="1206"/>
      <c r="N268" s="1392"/>
      <c r="O268" s="1163"/>
      <c r="P268" s="1164"/>
      <c r="Q268" s="1164"/>
      <c r="R268" s="1164"/>
      <c r="S268" s="1164"/>
      <c r="T268" s="1201"/>
      <c r="U268" s="1206"/>
      <c r="V268" s="1313"/>
      <c r="W268" s="1295"/>
      <c r="X268" s="1296"/>
      <c r="Y268" s="1296"/>
      <c r="Z268" s="1296"/>
      <c r="AA268" s="1296"/>
      <c r="AB268" s="1297"/>
      <c r="AC268" s="1206"/>
      <c r="AD268" s="1308"/>
      <c r="AE268" s="1295"/>
      <c r="AF268" s="1296"/>
      <c r="AG268" s="1296"/>
      <c r="AH268" s="1296"/>
      <c r="AI268" s="1296"/>
      <c r="AJ268" s="1297"/>
      <c r="AK268" s="1206"/>
      <c r="AL268" s="1293"/>
      <c r="AM268" s="1200"/>
      <c r="AN268" s="1164"/>
      <c r="AO268" s="1164"/>
      <c r="AP268" s="1164"/>
      <c r="AQ268" s="1164"/>
      <c r="AR268" s="1266"/>
      <c r="AS268" s="1206"/>
      <c r="AT268" s="1258"/>
      <c r="AU268" s="1200"/>
      <c r="AV268" s="1164"/>
      <c r="AW268" s="1164"/>
      <c r="AX268" s="1164"/>
      <c r="AY268" s="1164"/>
      <c r="AZ268" s="1201"/>
      <c r="BA268" s="1342"/>
      <c r="BB268" s="1258"/>
      <c r="BC268" s="1200"/>
      <c r="BD268" s="1164"/>
      <c r="BE268" s="1164"/>
      <c r="BF268" s="1164"/>
      <c r="BG268" s="1164"/>
      <c r="BH268" s="1201"/>
      <c r="BI268" s="1342"/>
      <c r="BJ268" s="1337"/>
      <c r="BK268" s="1338"/>
      <c r="BL268" s="1338"/>
      <c r="BM268" s="1338"/>
      <c r="BN268" s="1338"/>
      <c r="BO268" s="1339"/>
    </row>
    <row r="269" spans="1:67" ht="15" customHeight="1">
      <c r="A269" s="1291"/>
      <c r="B269" s="1165"/>
      <c r="C269" s="1166"/>
      <c r="D269" s="1166"/>
      <c r="E269" s="1166"/>
      <c r="F269" s="1166"/>
      <c r="G269" s="1292"/>
      <c r="H269" s="1207"/>
      <c r="I269" s="1207"/>
      <c r="J269" s="1207"/>
      <c r="K269" s="1207"/>
      <c r="L269" s="1207"/>
      <c r="M269" s="1207"/>
      <c r="N269" s="1393"/>
      <c r="O269" s="1165"/>
      <c r="P269" s="1166"/>
      <c r="Q269" s="1166"/>
      <c r="R269" s="1166"/>
      <c r="S269" s="1166"/>
      <c r="T269" s="1292"/>
      <c r="U269" s="1207"/>
      <c r="V269" s="1314"/>
      <c r="W269" s="1298"/>
      <c r="X269" s="1299"/>
      <c r="Y269" s="1299"/>
      <c r="Z269" s="1299"/>
      <c r="AA269" s="1299"/>
      <c r="AB269" s="1300"/>
      <c r="AC269" s="1207"/>
      <c r="AD269" s="1309"/>
      <c r="AE269" s="1298"/>
      <c r="AF269" s="1299"/>
      <c r="AG269" s="1299"/>
      <c r="AH269" s="1299"/>
      <c r="AI269" s="1299"/>
      <c r="AJ269" s="1300"/>
      <c r="AK269" s="1207"/>
      <c r="AL269" s="1306"/>
      <c r="AM269" s="1202"/>
      <c r="AN269" s="1203"/>
      <c r="AO269" s="1203"/>
      <c r="AP269" s="1203"/>
      <c r="AQ269" s="1203"/>
      <c r="AR269" s="1305"/>
      <c r="AS269" s="1207"/>
      <c r="AT269" s="1258"/>
      <c r="AU269" s="1202"/>
      <c r="AV269" s="1203"/>
      <c r="AW269" s="1203"/>
      <c r="AX269" s="1203"/>
      <c r="AY269" s="1203"/>
      <c r="AZ269" s="1204"/>
      <c r="BA269" s="1342"/>
      <c r="BB269" s="1258"/>
      <c r="BC269" s="1202"/>
      <c r="BD269" s="1203"/>
      <c r="BE269" s="1203"/>
      <c r="BF269" s="1203"/>
      <c r="BG269" s="1203"/>
      <c r="BH269" s="1204"/>
      <c r="BI269" s="1342"/>
      <c r="BJ269" s="1337"/>
      <c r="BK269" s="1338"/>
      <c r="BL269" s="1338"/>
      <c r="BM269" s="1338"/>
      <c r="BN269" s="1338"/>
      <c r="BO269" s="1339"/>
    </row>
    <row r="270" spans="1:67" ht="15" customHeight="1">
      <c r="A270" s="252"/>
      <c r="B270" s="243"/>
      <c r="C270" s="242"/>
      <c r="D270" s="242"/>
      <c r="F270" s="278">
        <v>1.1000000000000001</v>
      </c>
      <c r="G270" s="311">
        <f>COUNTIF($A$243:$A$269,F270)</f>
        <v>4</v>
      </c>
      <c r="H270" s="240" t="str">
        <f>IF($AB$5=1,SUMIF($A$243:$A$269,$F270,$H$243:$H$269),"")</f>
        <v/>
      </c>
      <c r="I270" s="240" t="str">
        <f>IF($AF$5=1,SUMIF($A$243:$A$269,$F270,$I$243:$I$269),"")</f>
        <v/>
      </c>
      <c r="J270" s="240" t="str">
        <f>IF($AJ$5=1,SUMIF($A$243:$A$269,$F270,$J$243:$J$269),"")</f>
        <v/>
      </c>
      <c r="K270" s="240" t="str">
        <f>IF($AN$5=1,SUMIF($A$243:$A$269,$F270,$K$243:$K$269),"")</f>
        <v/>
      </c>
      <c r="L270" s="240" t="str">
        <f>IF($AR$5=1,SUMIF($A$243:$A$269,$F270,$L$243:$L$269),"")</f>
        <v/>
      </c>
      <c r="M270" s="240" t="str">
        <f>IF($AV$5=1,SUMIF($A$243:$A$269,$F270,$M$243:$M$269),"")</f>
        <v/>
      </c>
      <c r="N270" s="1394">
        <v>1.5</v>
      </c>
      <c r="O270" s="1310" t="s">
        <v>373</v>
      </c>
      <c r="P270" s="1311"/>
      <c r="Q270" s="1311"/>
      <c r="R270" s="1311"/>
      <c r="S270" s="1311"/>
      <c r="T270" s="1312"/>
      <c r="U270" s="1205" t="str">
        <f>IF(ISBLANK(AB$5),"",1)</f>
        <v/>
      </c>
      <c r="V270" s="1322">
        <v>4.4000000000000004</v>
      </c>
      <c r="W270" s="1198" t="s">
        <v>397</v>
      </c>
      <c r="X270" s="1162"/>
      <c r="Y270" s="1162"/>
      <c r="Z270" s="1162"/>
      <c r="AA270" s="1162"/>
      <c r="AB270" s="1265"/>
      <c r="AC270" s="1205" t="str">
        <f>IF(ISBLANK(AF$5),"",1)</f>
        <v/>
      </c>
      <c r="AD270" s="1322">
        <v>4.4000000000000004</v>
      </c>
      <c r="AE270" s="1198" t="s">
        <v>425</v>
      </c>
      <c r="AF270" s="1162"/>
      <c r="AG270" s="1162"/>
      <c r="AH270" s="1162"/>
      <c r="AI270" s="1162"/>
      <c r="AJ270" s="1265"/>
      <c r="AK270" s="1205" t="str">
        <f>IF(ISBLANK(AJ$5),"",1)</f>
        <v/>
      </c>
      <c r="AL270" s="248"/>
      <c r="AO270" s="52"/>
      <c r="AQ270" s="273">
        <v>1.5</v>
      </c>
      <c r="AR270" s="240">
        <f>COUNTIF($AL$243:$AL$269,AQ270)</f>
        <v>1</v>
      </c>
      <c r="AS270" s="240" t="str">
        <f>IF($AN$5=1,SUMIF($AL$243:$AL$269,AQ270,$AS$243:$AS$269),"")</f>
        <v/>
      </c>
      <c r="AT270" s="1304">
        <v>4.4000000000000004</v>
      </c>
      <c r="AU270" s="1198" t="s">
        <v>359</v>
      </c>
      <c r="AV270" s="1162"/>
      <c r="AW270" s="1162"/>
      <c r="AX270" s="1162"/>
      <c r="AY270" s="1162"/>
      <c r="AZ270" s="1199"/>
      <c r="BA270" s="1226" t="str">
        <f>IF(ISBLANK(AR$5),"",1)</f>
        <v/>
      </c>
      <c r="BB270" s="1304">
        <v>4.4000000000000004</v>
      </c>
      <c r="BC270" s="1198" t="s">
        <v>359</v>
      </c>
      <c r="BD270" s="1162"/>
      <c r="BE270" s="1162"/>
      <c r="BF270" s="1162"/>
      <c r="BG270" s="1162"/>
      <c r="BH270" s="1199"/>
      <c r="BI270" s="1226" t="str">
        <f>IF(ISBLANK(AV$5),"",1)</f>
        <v/>
      </c>
      <c r="BJ270" s="1337"/>
      <c r="BK270" s="1338"/>
      <c r="BL270" s="1338"/>
      <c r="BM270" s="1338"/>
      <c r="BN270" s="1338"/>
      <c r="BO270" s="1339"/>
    </row>
    <row r="271" spans="1:67" ht="15" customHeight="1">
      <c r="A271" s="252"/>
      <c r="B271" s="243"/>
      <c r="C271" s="242"/>
      <c r="D271" s="242"/>
      <c r="F271" s="278">
        <v>1.5</v>
      </c>
      <c r="G271" s="311">
        <f t="shared" ref="G271:G273" si="292">COUNTIF($A$243:$A$269,F271)</f>
        <v>1</v>
      </c>
      <c r="H271" s="240" t="str">
        <f t="shared" ref="H271:H273" si="293">IF($AB$5=1,SUMIF($A$243:$A$269,$F271,$H$243:$H$269),"")</f>
        <v/>
      </c>
      <c r="I271" s="240" t="str">
        <f t="shared" ref="I271:I273" si="294">IF($AF$5=1,SUMIF($A$243:$A$269,$F271,$I$243:$I$269),"")</f>
        <v/>
      </c>
      <c r="J271" s="240" t="str">
        <f t="shared" ref="J271:J273" si="295">IF($AJ$5=1,SUMIF($A$243:$A$269,$F271,$J$243:$J$269),"")</f>
        <v/>
      </c>
      <c r="K271" s="240" t="str">
        <f t="shared" ref="K271:K273" si="296">IF($AN$5=1,SUMIF($A$243:$A$269,$F271,$K$243:$K$269),"")</f>
        <v/>
      </c>
      <c r="L271" s="240" t="str">
        <f t="shared" ref="L271:L273" si="297">IF($AR$5=1,SUMIF($A$243:$A$269,$F271,$L$243:$L$269),"")</f>
        <v/>
      </c>
      <c r="M271" s="240" t="str">
        <f t="shared" ref="M271:M273" si="298">IF($AV$5=1,SUMIF($A$243:$A$269,$F271,$M$243:$M$269),"")</f>
        <v/>
      </c>
      <c r="N271" s="1313"/>
      <c r="O271" s="1295"/>
      <c r="P271" s="1296"/>
      <c r="Q271" s="1296"/>
      <c r="R271" s="1296"/>
      <c r="S271" s="1296"/>
      <c r="T271" s="1297"/>
      <c r="U271" s="1206"/>
      <c r="V271" s="1293"/>
      <c r="W271" s="1200"/>
      <c r="X271" s="1164"/>
      <c r="Y271" s="1164"/>
      <c r="Z271" s="1164"/>
      <c r="AA271" s="1164"/>
      <c r="AB271" s="1266"/>
      <c r="AC271" s="1206"/>
      <c r="AD271" s="1293"/>
      <c r="AE271" s="1200"/>
      <c r="AF271" s="1164"/>
      <c r="AG271" s="1164"/>
      <c r="AH271" s="1164"/>
      <c r="AI271" s="1164"/>
      <c r="AJ271" s="1266"/>
      <c r="AK271" s="1206"/>
      <c r="AL271" s="248"/>
      <c r="AO271" s="52"/>
      <c r="AQ271" s="275">
        <v>4.3</v>
      </c>
      <c r="AR271" s="240">
        <f>COUNTIF($AL$243:$AL$269,AQ271)</f>
        <v>2</v>
      </c>
      <c r="AS271" s="240" t="str">
        <f>IF($AN$5=1,SUMIF($AL$243:$AL$269,AQ271,$AS$243:$AS$269),"")</f>
        <v/>
      </c>
      <c r="AT271" s="1290"/>
      <c r="AU271" s="1200"/>
      <c r="AV271" s="1164"/>
      <c r="AW271" s="1164"/>
      <c r="AX271" s="1164"/>
      <c r="AY271" s="1164"/>
      <c r="AZ271" s="1201"/>
      <c r="BA271" s="1342"/>
      <c r="BB271" s="1290"/>
      <c r="BC271" s="1200"/>
      <c r="BD271" s="1164"/>
      <c r="BE271" s="1164"/>
      <c r="BF271" s="1164"/>
      <c r="BG271" s="1164"/>
      <c r="BH271" s="1201"/>
      <c r="BI271" s="1342"/>
      <c r="BJ271" s="1222"/>
      <c r="BK271" s="1223"/>
      <c r="BL271" s="1223"/>
      <c r="BM271" s="1223"/>
      <c r="BN271" s="1223"/>
      <c r="BO271" s="1224"/>
    </row>
    <row r="272" spans="1:67" ht="15" customHeight="1">
      <c r="A272" s="249"/>
      <c r="B272" s="249"/>
      <c r="C272" s="249"/>
      <c r="D272" s="249"/>
      <c r="F272" s="277">
        <v>2.1</v>
      </c>
      <c r="G272" s="311">
        <f t="shared" si="292"/>
        <v>2</v>
      </c>
      <c r="H272" s="240" t="str">
        <f t="shared" si="293"/>
        <v/>
      </c>
      <c r="I272" s="240" t="str">
        <f t="shared" si="294"/>
        <v/>
      </c>
      <c r="J272" s="240" t="str">
        <f t="shared" si="295"/>
        <v/>
      </c>
      <c r="K272" s="240" t="str">
        <f t="shared" si="296"/>
        <v/>
      </c>
      <c r="L272" s="240" t="str">
        <f t="shared" si="297"/>
        <v/>
      </c>
      <c r="M272" s="240" t="str">
        <f t="shared" si="298"/>
        <v/>
      </c>
      <c r="N272" s="1314"/>
      <c r="O272" s="1298"/>
      <c r="P272" s="1299"/>
      <c r="Q272" s="1299"/>
      <c r="R272" s="1299"/>
      <c r="S272" s="1299"/>
      <c r="T272" s="1300"/>
      <c r="U272" s="1207"/>
      <c r="V272" s="1306"/>
      <c r="W272" s="1202"/>
      <c r="X272" s="1203"/>
      <c r="Y272" s="1203"/>
      <c r="Z272" s="1203"/>
      <c r="AA272" s="1203"/>
      <c r="AB272" s="1305"/>
      <c r="AC272" s="1207"/>
      <c r="AD272" s="1306"/>
      <c r="AE272" s="1202"/>
      <c r="AF272" s="1203"/>
      <c r="AG272" s="1203"/>
      <c r="AH272" s="1203"/>
      <c r="AI272" s="1203"/>
      <c r="AJ272" s="1305"/>
      <c r="AK272" s="1207"/>
      <c r="AL272" s="248"/>
      <c r="AO272" s="52"/>
      <c r="AQ272" s="276">
        <v>4.4000000000000004</v>
      </c>
      <c r="AR272" s="240">
        <f>COUNTIF($AL$243:$AL$269,AQ272)</f>
        <v>6</v>
      </c>
      <c r="AS272" s="240" t="str">
        <f>IF($AN$5=1,SUMIF($AL$243:$AL$269,AQ272,$AS$243:$AS$269),"")</f>
        <v/>
      </c>
      <c r="AT272" s="1291"/>
      <c r="AU272" s="1202"/>
      <c r="AV272" s="1203"/>
      <c r="AW272" s="1203"/>
      <c r="AX272" s="1203"/>
      <c r="AY272" s="1203"/>
      <c r="AZ272" s="1204"/>
      <c r="BA272" s="1342"/>
      <c r="BB272" s="1291"/>
      <c r="BC272" s="1202"/>
      <c r="BD272" s="1203"/>
      <c r="BE272" s="1203"/>
      <c r="BF272" s="1203"/>
      <c r="BG272" s="1203"/>
      <c r="BH272" s="1204"/>
      <c r="BI272" s="1342"/>
    </row>
    <row r="273" spans="1:66" ht="15" customHeight="1">
      <c r="F273" s="277">
        <v>2.4</v>
      </c>
      <c r="G273" s="311">
        <f t="shared" si="292"/>
        <v>2</v>
      </c>
      <c r="H273" s="240" t="str">
        <f t="shared" si="293"/>
        <v/>
      </c>
      <c r="I273" s="240" t="str">
        <f t="shared" si="294"/>
        <v/>
      </c>
      <c r="J273" s="240" t="str">
        <f t="shared" si="295"/>
        <v/>
      </c>
      <c r="K273" s="240" t="str">
        <f t="shared" si="296"/>
        <v/>
      </c>
      <c r="L273" s="240" t="str">
        <f t="shared" si="297"/>
        <v/>
      </c>
      <c r="M273" s="240" t="str">
        <f t="shared" si="298"/>
        <v/>
      </c>
      <c r="N273" s="1322">
        <v>4.4000000000000004</v>
      </c>
      <c r="O273" s="1198" t="s">
        <v>397</v>
      </c>
      <c r="P273" s="1162"/>
      <c r="Q273" s="1162"/>
      <c r="R273" s="1162"/>
      <c r="S273" s="1162"/>
      <c r="T273" s="1265"/>
      <c r="U273" s="1205" t="str">
        <f>IF(ISBLANK(AB$5),"",1)</f>
        <v/>
      </c>
      <c r="W273" s="52"/>
      <c r="Y273" s="247"/>
      <c r="AA273" s="273">
        <v>1.5</v>
      </c>
      <c r="AB273" s="240">
        <f>COUNTIF($V$243:$V$272,AA273)</f>
        <v>1</v>
      </c>
      <c r="AC273" s="240" t="str">
        <f>IF($AF$5=1,SUMIF($V$243:$V$272,AA273,$AC$243:$AC$272),"")</f>
        <v/>
      </c>
      <c r="AF273" s="52"/>
      <c r="AG273" s="247"/>
      <c r="AI273" s="273">
        <v>1.5</v>
      </c>
      <c r="AJ273" s="240">
        <f>COUNTIF($AD$243:$AD$272,AI273)</f>
        <v>1</v>
      </c>
      <c r="AK273" s="240" t="str">
        <f>IF($AJ$5=1,SUMIF($AD$243:$AD$272,AI273,$AK$243:$AK$272),"")</f>
        <v/>
      </c>
      <c r="AO273" s="52"/>
      <c r="AT273" s="1258">
        <v>4.4000000000000004</v>
      </c>
      <c r="AU273" s="1198" t="s">
        <v>395</v>
      </c>
      <c r="AV273" s="1162"/>
      <c r="AW273" s="1162"/>
      <c r="AX273" s="1162"/>
      <c r="AY273" s="1162"/>
      <c r="AZ273" s="1199"/>
      <c r="BA273" s="1226" t="str">
        <f>IF(ISBLANK(AR$5),"",1)</f>
        <v/>
      </c>
      <c r="BB273" s="1258">
        <v>4.4000000000000004</v>
      </c>
      <c r="BC273" s="1198" t="s">
        <v>395</v>
      </c>
      <c r="BD273" s="1162"/>
      <c r="BE273" s="1162"/>
      <c r="BF273" s="1162"/>
      <c r="BG273" s="1162"/>
      <c r="BH273" s="1199"/>
      <c r="BI273" s="1226" t="str">
        <f>IF(ISBLANK(AV$5),"",1)</f>
        <v/>
      </c>
    </row>
    <row r="274" spans="1:66" ht="15" customHeight="1">
      <c r="N274" s="1293"/>
      <c r="O274" s="1200"/>
      <c r="P274" s="1164"/>
      <c r="Q274" s="1164"/>
      <c r="R274" s="1164"/>
      <c r="S274" s="1164"/>
      <c r="T274" s="1266"/>
      <c r="U274" s="1206"/>
      <c r="W274" s="52"/>
      <c r="Y274" s="248"/>
      <c r="AA274" s="275">
        <v>4.3</v>
      </c>
      <c r="AB274" s="240">
        <f>COUNTIF($V$243:$V$272,AA274)</f>
        <v>3</v>
      </c>
      <c r="AC274" s="240" t="str">
        <f>IF($AF$5=1,SUMIF($V$243:$V$272,AA274,$AC$243:$AC$272),"")</f>
        <v/>
      </c>
      <c r="AF274" s="52"/>
      <c r="AI274" s="275">
        <v>4.3</v>
      </c>
      <c r="AJ274" s="240">
        <f>COUNTIF($AD$243:$AD$272,AI274)</f>
        <v>2</v>
      </c>
      <c r="AK274" s="240" t="str">
        <f>IF($AJ$5=1,SUMIF($AD$243:$AD$272,AI274,$AK$243:$AK$272),"")</f>
        <v/>
      </c>
      <c r="AO274" s="52"/>
      <c r="AT274" s="1258"/>
      <c r="AU274" s="1200"/>
      <c r="AV274" s="1164"/>
      <c r="AW274" s="1164"/>
      <c r="AX274" s="1164"/>
      <c r="AY274" s="1164"/>
      <c r="AZ274" s="1201"/>
      <c r="BA274" s="1342"/>
      <c r="BB274" s="1258"/>
      <c r="BC274" s="1200"/>
      <c r="BD274" s="1164"/>
      <c r="BE274" s="1164"/>
      <c r="BF274" s="1164"/>
      <c r="BG274" s="1164"/>
      <c r="BH274" s="1201"/>
      <c r="BI274" s="1342"/>
    </row>
    <row r="275" spans="1:66" ht="15" customHeight="1">
      <c r="A275" s="1209"/>
      <c r="B275" s="1210" t="s">
        <v>609</v>
      </c>
      <c r="C275" s="1211"/>
      <c r="D275" s="1211"/>
      <c r="E275" s="1211"/>
      <c r="F275" s="1211"/>
      <c r="G275" s="1211"/>
      <c r="H275" s="1174">
        <v>7</v>
      </c>
      <c r="I275" s="1174">
        <v>8</v>
      </c>
      <c r="J275" s="1174">
        <v>9</v>
      </c>
      <c r="K275" s="1174">
        <v>10</v>
      </c>
      <c r="L275" s="1174">
        <v>11</v>
      </c>
      <c r="M275" s="1174">
        <v>12</v>
      </c>
      <c r="N275" s="1306"/>
      <c r="O275" s="1202"/>
      <c r="P275" s="1203"/>
      <c r="Q275" s="1203"/>
      <c r="R275" s="1203"/>
      <c r="S275" s="1203"/>
      <c r="T275" s="1305"/>
      <c r="U275" s="1207"/>
      <c r="W275" s="52"/>
      <c r="Y275" s="248"/>
      <c r="AA275" s="276">
        <v>4.4000000000000004</v>
      </c>
      <c r="AB275" s="240">
        <f>COUNTIF($V$243:$V$272,AA275)</f>
        <v>6</v>
      </c>
      <c r="AC275" s="240" t="str">
        <f>IF($AF$5=1,SUMIF($V$243:$V$272,AA275,$AC$243:$AC$272),"")</f>
        <v/>
      </c>
      <c r="AF275" s="52"/>
      <c r="AI275" s="276">
        <v>4.4000000000000004</v>
      </c>
      <c r="AJ275" s="240">
        <f>COUNTIF($AD$243:$AD$272,AI275)</f>
        <v>7</v>
      </c>
      <c r="AK275" s="240" t="str">
        <f>IF($AJ$5=1,SUMIF($AD$243:$AD$272,AI275,$AK$243:$AK$272),"")</f>
        <v/>
      </c>
      <c r="AO275" s="52"/>
      <c r="AT275" s="1258"/>
      <c r="AU275" s="1202"/>
      <c r="AV275" s="1203"/>
      <c r="AW275" s="1203"/>
      <c r="AX275" s="1203"/>
      <c r="AY275" s="1203"/>
      <c r="AZ275" s="1204"/>
      <c r="BA275" s="1342"/>
      <c r="BB275" s="1258"/>
      <c r="BC275" s="1202"/>
      <c r="BD275" s="1203"/>
      <c r="BE275" s="1203"/>
      <c r="BF275" s="1203"/>
      <c r="BG275" s="1203"/>
      <c r="BH275" s="1204"/>
      <c r="BI275" s="1342"/>
    </row>
    <row r="276" spans="1:66" ht="15" customHeight="1">
      <c r="A276" s="1209"/>
      <c r="B276" s="1212"/>
      <c r="C276" s="1213"/>
      <c r="D276" s="1213"/>
      <c r="E276" s="1213"/>
      <c r="F276" s="1213"/>
      <c r="G276" s="1213"/>
      <c r="H276" s="1174"/>
      <c r="I276" s="1174"/>
      <c r="J276" s="1174"/>
      <c r="K276" s="1174"/>
      <c r="L276" s="1174"/>
      <c r="M276" s="1174"/>
      <c r="N276" s="247"/>
      <c r="O276" s="52"/>
      <c r="S276" s="273">
        <v>1.5</v>
      </c>
      <c r="T276" s="240">
        <f>COUNTIF($N$243:$N$275,S276)</f>
        <v>1</v>
      </c>
      <c r="U276" s="240" t="str">
        <f>IF($AB$5=1,SUMIF($N$243:$N$275,S276,$U$243:$U$275),"")</f>
        <v/>
      </c>
      <c r="W276" s="52"/>
      <c r="AF276" s="52"/>
      <c r="AO276" s="52"/>
      <c r="AT276" s="1304">
        <v>4.4000000000000004</v>
      </c>
      <c r="AU276" s="1198" t="s">
        <v>878</v>
      </c>
      <c r="AV276" s="1162"/>
      <c r="AW276" s="1162"/>
      <c r="AX276" s="1162"/>
      <c r="AY276" s="1162"/>
      <c r="AZ276" s="1199"/>
      <c r="BA276" s="1226" t="str">
        <f>IF(ISBLANK(AR$5),"",1)</f>
        <v/>
      </c>
      <c r="BB276" s="1304">
        <v>4.4000000000000004</v>
      </c>
      <c r="BC276" s="1198" t="s">
        <v>878</v>
      </c>
      <c r="BD276" s="1162"/>
      <c r="BE276" s="1162"/>
      <c r="BF276" s="1162"/>
      <c r="BG276" s="1162"/>
      <c r="BH276" s="1199"/>
      <c r="BI276" s="1226" t="str">
        <f>IF(ISBLANK(AV$5),"",1)</f>
        <v/>
      </c>
    </row>
    <row r="277" spans="1:66" ht="15" customHeight="1">
      <c r="A277" s="1336">
        <v>3.1</v>
      </c>
      <c r="B277" s="1198" t="s">
        <v>366</v>
      </c>
      <c r="C277" s="1162"/>
      <c r="D277" s="1162"/>
      <c r="E277" s="1162"/>
      <c r="F277" s="1162"/>
      <c r="G277" s="1265"/>
      <c r="H277" s="1205" t="str">
        <f t="shared" ref="H277" si="299">IF(ISBLANK(AB$5),"",1)</f>
        <v/>
      </c>
      <c r="I277" s="1205" t="str">
        <f t="shared" ref="I277" si="300">IF(ISBLANK(AF$5),"",1)</f>
        <v/>
      </c>
      <c r="J277" s="1205" t="str">
        <f t="shared" ref="J277" si="301">IF(ISBLANK(AJ$5),"",1)</f>
        <v/>
      </c>
      <c r="K277" s="1205" t="str">
        <f t="shared" ref="K277" si="302">IF(ISBLANK(AN$5),"",1)</f>
        <v/>
      </c>
      <c r="L277" s="1205" t="str">
        <f t="shared" ref="L277" si="303">IF(ISBLANK(AR$5),"",1)</f>
        <v/>
      </c>
      <c r="M277" s="1205" t="str">
        <f t="shared" ref="M277" si="304">IF(ISBLANK(AV$5),"",1)</f>
        <v/>
      </c>
      <c r="N277" s="248"/>
      <c r="O277" s="52"/>
      <c r="S277" s="275">
        <v>4.3</v>
      </c>
      <c r="T277" s="240">
        <f>COUNTIF($N$243:$N$275,S277)</f>
        <v>4</v>
      </c>
      <c r="U277" s="240" t="str">
        <f>IF($AB$5=1,SUMIF($N$243:$N$275,S277,$U$243:$U$275),"")</f>
        <v/>
      </c>
      <c r="W277" s="52"/>
      <c r="AF277" s="52"/>
      <c r="AO277" s="52"/>
      <c r="AT277" s="1290"/>
      <c r="AU277" s="1200"/>
      <c r="AV277" s="1164"/>
      <c r="AW277" s="1164"/>
      <c r="AX277" s="1164"/>
      <c r="AY277" s="1164"/>
      <c r="AZ277" s="1201"/>
      <c r="BA277" s="1342"/>
      <c r="BB277" s="1290"/>
      <c r="BC277" s="1200"/>
      <c r="BD277" s="1164"/>
      <c r="BE277" s="1164"/>
      <c r="BF277" s="1164"/>
      <c r="BG277" s="1164"/>
      <c r="BH277" s="1201"/>
      <c r="BI277" s="1342"/>
    </row>
    <row r="278" spans="1:66" ht="15" customHeight="1">
      <c r="A278" s="1159"/>
      <c r="B278" s="1200"/>
      <c r="C278" s="1164"/>
      <c r="D278" s="1164"/>
      <c r="E278" s="1164"/>
      <c r="F278" s="1164"/>
      <c r="G278" s="1266"/>
      <c r="H278" s="1206"/>
      <c r="I278" s="1206"/>
      <c r="J278" s="1206"/>
      <c r="K278" s="1206"/>
      <c r="L278" s="1206"/>
      <c r="M278" s="1206"/>
      <c r="N278" s="248"/>
      <c r="O278" s="52"/>
      <c r="S278" s="276">
        <v>4.4000000000000004</v>
      </c>
      <c r="T278" s="240">
        <f>COUNTIF($N$243:$N$275,S278)</f>
        <v>6</v>
      </c>
      <c r="U278" s="240" t="str">
        <f>IF($AB$5=1,SUMIF($N$243:$N$275,S278,$U$243:$U$275),"")</f>
        <v/>
      </c>
      <c r="W278" s="52"/>
      <c r="AF278" s="52"/>
      <c r="AO278" s="52"/>
      <c r="AT278" s="1291"/>
      <c r="AU278" s="1202"/>
      <c r="AV278" s="1203"/>
      <c r="AW278" s="1203"/>
      <c r="AX278" s="1203"/>
      <c r="AY278" s="1203"/>
      <c r="AZ278" s="1204"/>
      <c r="BA278" s="1342"/>
      <c r="BB278" s="1291"/>
      <c r="BC278" s="1202"/>
      <c r="BD278" s="1203"/>
      <c r="BE278" s="1203"/>
      <c r="BF278" s="1203"/>
      <c r="BG278" s="1203"/>
      <c r="BH278" s="1204"/>
      <c r="BI278" s="1342"/>
    </row>
    <row r="279" spans="1:66" ht="15" customHeight="1">
      <c r="A279" s="1160"/>
      <c r="B279" s="1200"/>
      <c r="C279" s="1164"/>
      <c r="D279" s="1164"/>
      <c r="E279" s="1164"/>
      <c r="F279" s="1164"/>
      <c r="G279" s="1266"/>
      <c r="H279" s="1207"/>
      <c r="I279" s="1207"/>
      <c r="J279" s="1207"/>
      <c r="K279" s="1207"/>
      <c r="L279" s="1207"/>
      <c r="M279" s="1207"/>
      <c r="W279" s="52"/>
      <c r="AF279" s="52"/>
      <c r="AO279" s="52"/>
      <c r="AT279" s="1307">
        <v>1.5</v>
      </c>
      <c r="AU279" s="1310" t="s">
        <v>373</v>
      </c>
      <c r="AV279" s="1311"/>
      <c r="AW279" s="1311"/>
      <c r="AX279" s="1311"/>
      <c r="AY279" s="1311"/>
      <c r="AZ279" s="1316"/>
      <c r="BA279" s="1226" t="str">
        <f>IF(ISBLANK(AR$5),"",1)</f>
        <v/>
      </c>
      <c r="BB279" s="1307">
        <v>1.5</v>
      </c>
      <c r="BC279" s="1198" t="s">
        <v>373</v>
      </c>
      <c r="BD279" s="1162"/>
      <c r="BE279" s="1162"/>
      <c r="BF279" s="1162"/>
      <c r="BG279" s="1162"/>
      <c r="BH279" s="1199"/>
      <c r="BI279" s="1226" t="str">
        <f>IF(ISBLANK(AV$5),"",1)</f>
        <v/>
      </c>
    </row>
    <row r="280" spans="1:66" ht="15" customHeight="1">
      <c r="A280" s="1336">
        <v>1.4</v>
      </c>
      <c r="B280" s="1198" t="s">
        <v>943</v>
      </c>
      <c r="C280" s="1162"/>
      <c r="D280" s="1162"/>
      <c r="E280" s="1162"/>
      <c r="F280" s="1162"/>
      <c r="G280" s="1265"/>
      <c r="H280" s="1205" t="str">
        <f t="shared" ref="H280" si="305">IF(ISBLANK(AB$5),"",1)</f>
        <v/>
      </c>
      <c r="I280" s="1205" t="str">
        <f t="shared" ref="I280" si="306">IF(ISBLANK(AF$5),"",1)</f>
        <v/>
      </c>
      <c r="J280" s="1205" t="str">
        <f t="shared" ref="J280" si="307">IF(ISBLANK(AJ$5),"",1)</f>
        <v/>
      </c>
      <c r="K280" s="1205" t="str">
        <f t="shared" ref="K280" si="308">IF(ISBLANK(AN$5),"",1)</f>
        <v/>
      </c>
      <c r="L280" s="1205" t="str">
        <f t="shared" ref="L280" si="309">IF(ISBLANK(AR$5),"",1)</f>
        <v/>
      </c>
      <c r="M280" s="1205" t="str">
        <f t="shared" ref="M280" si="310">IF(ISBLANK(AV$5),"",1)</f>
        <v/>
      </c>
      <c r="W280" s="52"/>
      <c r="AF280" s="52"/>
      <c r="AO280" s="52"/>
      <c r="AT280" s="1308"/>
      <c r="AU280" s="1295"/>
      <c r="AV280" s="1296"/>
      <c r="AW280" s="1296"/>
      <c r="AX280" s="1296"/>
      <c r="AY280" s="1296"/>
      <c r="AZ280" s="1318"/>
      <c r="BA280" s="1342"/>
      <c r="BB280" s="1308"/>
      <c r="BC280" s="1200"/>
      <c r="BD280" s="1164"/>
      <c r="BE280" s="1164"/>
      <c r="BF280" s="1164"/>
      <c r="BG280" s="1164"/>
      <c r="BH280" s="1201"/>
      <c r="BI280" s="1342"/>
    </row>
    <row r="281" spans="1:66" ht="15" customHeight="1">
      <c r="A281" s="1159"/>
      <c r="B281" s="1200"/>
      <c r="C281" s="1164"/>
      <c r="D281" s="1164"/>
      <c r="E281" s="1164"/>
      <c r="F281" s="1164"/>
      <c r="G281" s="1266"/>
      <c r="H281" s="1206"/>
      <c r="I281" s="1206"/>
      <c r="J281" s="1206"/>
      <c r="K281" s="1206"/>
      <c r="L281" s="1206"/>
      <c r="M281" s="1206"/>
      <c r="O281" s="52"/>
      <c r="W281" s="52"/>
      <c r="AF281" s="52"/>
      <c r="AO281" s="52"/>
      <c r="AT281" s="1309"/>
      <c r="AU281" s="1298"/>
      <c r="AV281" s="1299"/>
      <c r="AW281" s="1299"/>
      <c r="AX281" s="1299"/>
      <c r="AY281" s="1299"/>
      <c r="AZ281" s="1335"/>
      <c r="BA281" s="1342"/>
      <c r="BB281" s="1309"/>
      <c r="BC281" s="1202"/>
      <c r="BD281" s="1203"/>
      <c r="BE281" s="1203"/>
      <c r="BF281" s="1203"/>
      <c r="BG281" s="1203"/>
      <c r="BH281" s="1204"/>
      <c r="BI281" s="1342"/>
    </row>
    <row r="282" spans="1:66" ht="15" customHeight="1">
      <c r="A282" s="1160"/>
      <c r="B282" s="1200"/>
      <c r="C282" s="1164"/>
      <c r="D282" s="1164"/>
      <c r="E282" s="1164"/>
      <c r="F282" s="1164"/>
      <c r="G282" s="1266"/>
      <c r="H282" s="1207"/>
      <c r="I282" s="1207"/>
      <c r="J282" s="1207"/>
      <c r="K282" s="1207"/>
      <c r="L282" s="1207"/>
      <c r="M282" s="1207"/>
      <c r="O282" s="52"/>
      <c r="W282" s="52"/>
      <c r="AF282" s="52"/>
      <c r="AO282" s="52"/>
      <c r="AT282" s="1307">
        <v>4.4000000000000004</v>
      </c>
      <c r="AU282" s="1310" t="s">
        <v>397</v>
      </c>
      <c r="AV282" s="1311"/>
      <c r="AW282" s="1311"/>
      <c r="AX282" s="1311"/>
      <c r="AY282" s="1311"/>
      <c r="AZ282" s="1316"/>
      <c r="BA282" s="1226" t="str">
        <f>IF(ISBLANK(AR$5),"",1)</f>
        <v/>
      </c>
      <c r="BB282" s="1307">
        <v>4.4000000000000004</v>
      </c>
      <c r="BC282" s="1310" t="s">
        <v>397</v>
      </c>
      <c r="BD282" s="1311"/>
      <c r="BE282" s="1311"/>
      <c r="BF282" s="1311"/>
      <c r="BG282" s="1311"/>
      <c r="BH282" s="1316"/>
      <c r="BI282" s="1226" t="str">
        <f>IF(ISBLANK(AV$5),"",1)</f>
        <v/>
      </c>
    </row>
    <row r="283" spans="1:66" ht="15" customHeight="1">
      <c r="A283" s="1168" t="s">
        <v>637</v>
      </c>
      <c r="B283" s="1168"/>
      <c r="C283" s="1168"/>
      <c r="D283" s="1168"/>
      <c r="E283" s="1169"/>
      <c r="F283" s="617">
        <v>3.1</v>
      </c>
      <c r="G283" s="620">
        <f>COUNTIF($A$277:$A$282,F283)</f>
        <v>1</v>
      </c>
      <c r="H283" s="240" t="str">
        <f>IF($AB$5=1,SUMIF($A$277:$A$282,$F283,H277:H282),"")</f>
        <v/>
      </c>
      <c r="I283" s="240" t="str">
        <f>IF($AF$5=1,SUMIF($A$277:$A$282,$F283,$I$277:$I$282),"")</f>
        <v/>
      </c>
      <c r="J283" s="240" t="str">
        <f>IF($AJ$5=1,SUMIF($A$277:$A$282,$F283,$J$277:$J$282),"")</f>
        <v/>
      </c>
      <c r="K283" s="240" t="str">
        <f>IF($AN$5=1,SUMIF($A$277:$A$282,$F283,$K$277:$K$282),"")</f>
        <v/>
      </c>
      <c r="L283" s="240" t="str">
        <f>IF($AR$5=1,SUMIF($A$277:$A$282,$F283,$L$277:$L$282),"")</f>
        <v/>
      </c>
      <c r="M283" s="240" t="str">
        <f>IF($AV$5=1,SUMIF($A$277:$A$282,$F283,$M$277:$M$282),"")</f>
        <v/>
      </c>
      <c r="O283" s="52"/>
      <c r="W283" s="52"/>
      <c r="AF283" s="52"/>
      <c r="AO283" s="52"/>
      <c r="AT283" s="1308"/>
      <c r="AU283" s="1295"/>
      <c r="AV283" s="1296"/>
      <c r="AW283" s="1296"/>
      <c r="AX283" s="1296"/>
      <c r="AY283" s="1296"/>
      <c r="AZ283" s="1318"/>
      <c r="BA283" s="1342"/>
      <c r="BB283" s="1308"/>
      <c r="BC283" s="1295"/>
      <c r="BD283" s="1296"/>
      <c r="BE283" s="1296"/>
      <c r="BF283" s="1296"/>
      <c r="BG283" s="1296"/>
      <c r="BH283" s="1318"/>
      <c r="BI283" s="1342"/>
    </row>
    <row r="284" spans="1:66" ht="15" customHeight="1">
      <c r="F284" s="617">
        <v>1.4</v>
      </c>
      <c r="G284" s="620">
        <f>COUNTIF($A$277:$A$282,F284)</f>
        <v>1</v>
      </c>
      <c r="H284" s="240" t="str">
        <f>IF($AB$5=1,SUMIF($A$277:$A$282,$F284,H278:H283),"")</f>
        <v/>
      </c>
      <c r="I284" s="240" t="str">
        <f>IF($AF$5=1,SUMIF($A$277:$A$282,$F284,$I$277:$I$282),"")</f>
        <v/>
      </c>
      <c r="J284" s="240" t="str">
        <f>IF($AJ$5=1,SUMIF($A$277:$A$282,$F284,$J$277:$J$282),"")</f>
        <v/>
      </c>
      <c r="K284" s="240" t="str">
        <f>IF($AN$5=1,SUMIF($A$277:$A$282,$F284,$K$277:$K$282),"")</f>
        <v/>
      </c>
      <c r="L284" s="240" t="str">
        <f>IF($AR$5=1,SUMIF($A$277:$A$282,$F284,$L$277:$L$282),"")</f>
        <v/>
      </c>
      <c r="M284" s="240" t="str">
        <f>IF($AV$5=1,SUMIF($A$277:$A$282,$F284,$M$277:$M$282),"")</f>
        <v/>
      </c>
      <c r="O284" s="52"/>
      <c r="W284" s="52"/>
      <c r="AF284" s="52"/>
      <c r="AO284" s="52"/>
      <c r="AT284" s="1309"/>
      <c r="AU284" s="1298"/>
      <c r="AV284" s="1299"/>
      <c r="AW284" s="1299"/>
      <c r="AX284" s="1299"/>
      <c r="AY284" s="1299"/>
      <c r="AZ284" s="1335"/>
      <c r="BA284" s="1342"/>
      <c r="BB284" s="1309"/>
      <c r="BC284" s="1298"/>
      <c r="BD284" s="1299"/>
      <c r="BE284" s="1299"/>
      <c r="BF284" s="1299"/>
      <c r="BG284" s="1299"/>
      <c r="BH284" s="1335"/>
      <c r="BI284" s="1342"/>
    </row>
    <row r="285" spans="1:66" ht="15" customHeight="1">
      <c r="O285" s="52"/>
      <c r="W285" s="52"/>
      <c r="AF285" s="52"/>
      <c r="AO285" s="52"/>
      <c r="AT285" s="247"/>
      <c r="AY285" s="273">
        <v>1.5</v>
      </c>
      <c r="AZ285" s="240">
        <f>COUNTIF($AT$243:$AT$284,AY285)</f>
        <v>1</v>
      </c>
      <c r="BA285" s="240" t="str">
        <f>IF($AR$5=1,SUMIF($AT$243:$AT$284,AY285,$BA$243:$BA$284),"")</f>
        <v/>
      </c>
      <c r="BB285" s="247"/>
      <c r="BC285" s="247"/>
      <c r="BG285" s="273">
        <v>1.5</v>
      </c>
      <c r="BH285" s="240">
        <f>COUNTIF($BB$243:$BB$284,BG285)</f>
        <v>1</v>
      </c>
      <c r="BI285" s="240" t="str">
        <f>IF($AV$5=1,SUMIF($BB$243:$BB$284,BG285,$BI$243:$BI$284),"")</f>
        <v/>
      </c>
    </row>
    <row r="286" spans="1:66" ht="15" customHeight="1">
      <c r="O286" s="52"/>
      <c r="W286" s="52"/>
      <c r="AF286" s="52"/>
      <c r="AO286" s="52"/>
      <c r="AT286" s="248"/>
      <c r="AY286" s="274">
        <v>4.3</v>
      </c>
      <c r="AZ286" s="240">
        <f>COUNTIF($AT$243:$AT$284,AY286)</f>
        <v>4</v>
      </c>
      <c r="BA286" s="240" t="str">
        <f>IF($AR$5=1,SUMIF($AT$243:$AT$284,AY286,$BA$243:$BA$284),"")</f>
        <v/>
      </c>
      <c r="BB286" s="248"/>
      <c r="BC286" s="248"/>
      <c r="BG286" s="274">
        <v>4.3</v>
      </c>
      <c r="BH286" s="240">
        <f>COUNTIF($BB$243:$BB$284,BG286)</f>
        <v>5</v>
      </c>
      <c r="BI286" s="240" t="str">
        <f>IF($AV$5=1,SUMIF($BB$243:$BB$284,BG286,$BI$243:$BI$284),"")</f>
        <v/>
      </c>
    </row>
    <row r="287" spans="1:66" ht="15" customHeight="1">
      <c r="O287" s="52"/>
      <c r="W287" s="52"/>
      <c r="AF287" s="52"/>
      <c r="AO287" s="52"/>
      <c r="AT287" s="248"/>
      <c r="AY287" s="274">
        <v>4.4000000000000004</v>
      </c>
      <c r="AZ287" s="240">
        <f>COUNTIF($AT$243:$AT$284,AY287)</f>
        <v>9</v>
      </c>
      <c r="BA287" s="240" t="str">
        <f>IF($AR$5=1,SUMIF($AT$243:$AT$284,AY287,$BA$243:$BA$284),"")</f>
        <v/>
      </c>
      <c r="BB287" s="248"/>
      <c r="BC287" s="248"/>
      <c r="BG287" s="274">
        <v>4.4000000000000004</v>
      </c>
      <c r="BH287" s="240">
        <f>COUNTIF($BB$243:$BB$284,BG287)</f>
        <v>8</v>
      </c>
      <c r="BI287" s="240" t="str">
        <f>IF($AV$5=1,SUMIF($BB$243:$BB$284,BG287,$BI$243:$BI$284),"")</f>
        <v/>
      </c>
    </row>
    <row r="288" spans="1:66" ht="15" customHeight="1">
      <c r="A288" s="1171" t="s">
        <v>17</v>
      </c>
      <c r="B288" s="1171"/>
      <c r="C288" s="1171"/>
      <c r="D288" s="1171"/>
      <c r="E288" s="1171"/>
      <c r="F288" s="1171"/>
      <c r="G288" s="1171"/>
      <c r="H288" s="1171"/>
      <c r="I288" s="1171"/>
      <c r="J288" s="1171"/>
      <c r="K288" s="1171"/>
      <c r="L288" s="1171"/>
      <c r="M288" s="1171"/>
      <c r="N288" s="1171"/>
      <c r="O288" s="1171"/>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row>
    <row r="289" spans="1:67" ht="15" customHeight="1">
      <c r="A289" s="1171"/>
      <c r="B289" s="1171"/>
      <c r="C289" s="1171"/>
      <c r="D289" s="1171"/>
      <c r="E289" s="1171"/>
      <c r="F289" s="1171"/>
      <c r="G289" s="1171"/>
      <c r="H289" s="1171"/>
      <c r="I289" s="1171"/>
      <c r="J289" s="1171"/>
      <c r="K289" s="1171"/>
      <c r="L289" s="1171"/>
      <c r="M289" s="1171"/>
      <c r="N289" s="1171"/>
      <c r="O289" s="1171"/>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row>
    <row r="290" spans="1:67" ht="15" customHeight="1">
      <c r="A290" s="1172"/>
      <c r="B290" s="1173" t="s">
        <v>608</v>
      </c>
      <c r="C290" s="1173"/>
      <c r="D290" s="1173"/>
      <c r="E290" s="1173"/>
      <c r="F290" s="1173"/>
      <c r="G290" s="1173"/>
      <c r="H290" s="1343">
        <v>13</v>
      </c>
      <c r="I290" s="1174">
        <v>14</v>
      </c>
      <c r="J290" s="1343">
        <v>15</v>
      </c>
      <c r="K290" s="1343">
        <v>16</v>
      </c>
      <c r="N290" s="1346"/>
      <c r="O290" s="1349" t="s">
        <v>921</v>
      </c>
      <c r="P290" s="1350"/>
      <c r="Q290" s="1350"/>
      <c r="R290" s="1350"/>
      <c r="S290" s="1350"/>
      <c r="T290" s="1350"/>
      <c r="U290" s="1351"/>
      <c r="V290" s="1358"/>
      <c r="W290" s="1361" t="s">
        <v>922</v>
      </c>
      <c r="X290" s="1362"/>
      <c r="Y290" s="1362"/>
      <c r="Z290" s="1362"/>
      <c r="AA290" s="1362"/>
      <c r="AB290" s="1362"/>
      <c r="AC290" s="1363"/>
      <c r="AD290" s="1370"/>
      <c r="AE290" s="1373" t="s">
        <v>923</v>
      </c>
      <c r="AF290" s="1374"/>
      <c r="AG290" s="1374"/>
      <c r="AH290" s="1374"/>
      <c r="AI290" s="1374"/>
      <c r="AJ290" s="1374"/>
      <c r="AK290" s="1375"/>
      <c r="AL290" s="1175"/>
      <c r="AM290" s="1382" t="s">
        <v>924</v>
      </c>
      <c r="AN290" s="1383"/>
      <c r="AO290" s="1383"/>
      <c r="AP290" s="1383"/>
      <c r="AQ290" s="1383"/>
      <c r="AR290" s="1383"/>
      <c r="AS290" s="1384"/>
      <c r="BJ290" s="1182" t="s">
        <v>263</v>
      </c>
      <c r="BK290" s="1183"/>
      <c r="BL290" s="1183"/>
      <c r="BM290" s="1183"/>
      <c r="BN290" s="1183"/>
      <c r="BO290" s="1184"/>
    </row>
    <row r="291" spans="1:67" ht="15" customHeight="1">
      <c r="A291" s="1172"/>
      <c r="B291" s="1173"/>
      <c r="C291" s="1173"/>
      <c r="D291" s="1173"/>
      <c r="E291" s="1173"/>
      <c r="F291" s="1173"/>
      <c r="G291" s="1173"/>
      <c r="H291" s="1344"/>
      <c r="I291" s="1174"/>
      <c r="J291" s="1344"/>
      <c r="K291" s="1344"/>
      <c r="N291" s="1347"/>
      <c r="O291" s="1352"/>
      <c r="P291" s="1353"/>
      <c r="Q291" s="1353"/>
      <c r="R291" s="1353"/>
      <c r="S291" s="1353"/>
      <c r="T291" s="1353"/>
      <c r="U291" s="1354"/>
      <c r="V291" s="1359"/>
      <c r="W291" s="1364"/>
      <c r="X291" s="1365"/>
      <c r="Y291" s="1365"/>
      <c r="Z291" s="1365"/>
      <c r="AA291" s="1365"/>
      <c r="AB291" s="1365"/>
      <c r="AC291" s="1366"/>
      <c r="AD291" s="1371"/>
      <c r="AE291" s="1376"/>
      <c r="AF291" s="1377"/>
      <c r="AG291" s="1377"/>
      <c r="AH291" s="1377"/>
      <c r="AI291" s="1377"/>
      <c r="AJ291" s="1377"/>
      <c r="AK291" s="1378"/>
      <c r="AL291" s="1175"/>
      <c r="AM291" s="1385"/>
      <c r="AN291" s="1386"/>
      <c r="AO291" s="1386"/>
      <c r="AP291" s="1386"/>
      <c r="AQ291" s="1386"/>
      <c r="AR291" s="1386"/>
      <c r="AS291" s="1387"/>
      <c r="BJ291" s="1219"/>
      <c r="BK291" s="1220"/>
      <c r="BL291" s="1220"/>
      <c r="BM291" s="1220"/>
      <c r="BN291" s="1220"/>
      <c r="BO291" s="1221"/>
    </row>
    <row r="292" spans="1:67" ht="15" customHeight="1">
      <c r="A292" s="1172"/>
      <c r="B292" s="1173"/>
      <c r="C292" s="1173"/>
      <c r="D292" s="1173"/>
      <c r="E292" s="1173"/>
      <c r="F292" s="1173"/>
      <c r="G292" s="1173"/>
      <c r="H292" s="1345"/>
      <c r="I292" s="1174"/>
      <c r="J292" s="1345"/>
      <c r="K292" s="1345"/>
      <c r="N292" s="1348"/>
      <c r="O292" s="1355"/>
      <c r="P292" s="1356"/>
      <c r="Q292" s="1356"/>
      <c r="R292" s="1356"/>
      <c r="S292" s="1356"/>
      <c r="T292" s="1356"/>
      <c r="U292" s="1357"/>
      <c r="V292" s="1360"/>
      <c r="W292" s="1367"/>
      <c r="X292" s="1368"/>
      <c r="Y292" s="1368"/>
      <c r="Z292" s="1368"/>
      <c r="AA292" s="1368"/>
      <c r="AB292" s="1368"/>
      <c r="AC292" s="1369"/>
      <c r="AD292" s="1372"/>
      <c r="AE292" s="1379"/>
      <c r="AF292" s="1380"/>
      <c r="AG292" s="1380"/>
      <c r="AH292" s="1380"/>
      <c r="AI292" s="1380"/>
      <c r="AJ292" s="1380"/>
      <c r="AK292" s="1381"/>
      <c r="AL292" s="1175"/>
      <c r="AM292" s="1388"/>
      <c r="AN292" s="1389"/>
      <c r="AO292" s="1389"/>
      <c r="AP292" s="1389"/>
      <c r="AQ292" s="1389"/>
      <c r="AR292" s="1389"/>
      <c r="AS292" s="1390"/>
      <c r="BJ292" s="1337"/>
      <c r="BK292" s="1338"/>
      <c r="BL292" s="1338"/>
      <c r="BM292" s="1338"/>
      <c r="BN292" s="1338"/>
      <c r="BO292" s="1339"/>
    </row>
    <row r="293" spans="1:67" ht="15" customHeight="1">
      <c r="A293" s="1307">
        <v>1.1000000000000001</v>
      </c>
      <c r="B293" s="1161" t="s">
        <v>941</v>
      </c>
      <c r="C293" s="1162"/>
      <c r="D293" s="1162"/>
      <c r="E293" s="1162"/>
      <c r="F293" s="1162"/>
      <c r="G293" s="1199"/>
      <c r="H293" s="1268" t="str">
        <f>IF(ISBLANK(AZ$5),"",1)</f>
        <v/>
      </c>
      <c r="I293" s="1268" t="str">
        <f>IF(ISBLANK(BD$5),"",1)</f>
        <v/>
      </c>
      <c r="J293" s="1268" t="str">
        <f>IF(ISBLANK(BH$5),"",1)</f>
        <v/>
      </c>
      <c r="K293" s="1268" t="str">
        <f>IF(ISBLANK(BL$5),"",1)</f>
        <v/>
      </c>
      <c r="N293" s="1258">
        <v>4.3</v>
      </c>
      <c r="O293" s="1198" t="s">
        <v>398</v>
      </c>
      <c r="P293" s="1162"/>
      <c r="Q293" s="1162"/>
      <c r="R293" s="1162"/>
      <c r="S293" s="1162"/>
      <c r="T293" s="1199"/>
      <c r="U293" s="1226" t="str">
        <f>IF(ISBLANK(AZ$5),"",1)</f>
        <v/>
      </c>
      <c r="V293" s="1258">
        <v>4.3</v>
      </c>
      <c r="W293" s="1198" t="s">
        <v>398</v>
      </c>
      <c r="X293" s="1162"/>
      <c r="Y293" s="1162"/>
      <c r="Z293" s="1162"/>
      <c r="AA293" s="1162"/>
      <c r="AB293" s="1199"/>
      <c r="AC293" s="1226" t="str">
        <f>IF(ISBLANK(BD$5),"",1)</f>
        <v/>
      </c>
      <c r="AD293" s="1258">
        <v>4.3</v>
      </c>
      <c r="AE293" s="1198" t="s">
        <v>387</v>
      </c>
      <c r="AF293" s="1162"/>
      <c r="AG293" s="1162"/>
      <c r="AH293" s="1162"/>
      <c r="AI293" s="1162"/>
      <c r="AJ293" s="1199"/>
      <c r="AK293" s="1226" t="str">
        <f>IF(ISBLANK(BH$5),"",1)</f>
        <v/>
      </c>
      <c r="AL293" s="1196">
        <v>4.3</v>
      </c>
      <c r="AM293" s="1198" t="s">
        <v>398</v>
      </c>
      <c r="AN293" s="1162"/>
      <c r="AO293" s="1162"/>
      <c r="AP293" s="1162"/>
      <c r="AQ293" s="1162"/>
      <c r="AR293" s="1199"/>
      <c r="AS293" s="1226" t="str">
        <f>IF(ISBLANK(BL$5),"",1)</f>
        <v/>
      </c>
      <c r="BJ293" s="1337"/>
      <c r="BK293" s="1338"/>
      <c r="BL293" s="1338"/>
      <c r="BM293" s="1338"/>
      <c r="BN293" s="1338"/>
      <c r="BO293" s="1339"/>
    </row>
    <row r="294" spans="1:67" ht="15" customHeight="1">
      <c r="A294" s="1308"/>
      <c r="B294" s="1163"/>
      <c r="C294" s="1164"/>
      <c r="D294" s="1164"/>
      <c r="E294" s="1164"/>
      <c r="F294" s="1164"/>
      <c r="G294" s="1201"/>
      <c r="H294" s="1269"/>
      <c r="I294" s="1269"/>
      <c r="J294" s="1269"/>
      <c r="K294" s="1269"/>
      <c r="N294" s="1258"/>
      <c r="O294" s="1200"/>
      <c r="P294" s="1164"/>
      <c r="Q294" s="1164"/>
      <c r="R294" s="1164"/>
      <c r="S294" s="1164"/>
      <c r="T294" s="1201"/>
      <c r="U294" s="1342"/>
      <c r="V294" s="1258"/>
      <c r="W294" s="1200"/>
      <c r="X294" s="1164"/>
      <c r="Y294" s="1164"/>
      <c r="Z294" s="1164"/>
      <c r="AA294" s="1164"/>
      <c r="AB294" s="1201"/>
      <c r="AC294" s="1342"/>
      <c r="AD294" s="1258"/>
      <c r="AE294" s="1200"/>
      <c r="AF294" s="1164"/>
      <c r="AG294" s="1164"/>
      <c r="AH294" s="1164"/>
      <c r="AI294" s="1164"/>
      <c r="AJ294" s="1201"/>
      <c r="AK294" s="1342"/>
      <c r="AL294" s="1197"/>
      <c r="AM294" s="1200"/>
      <c r="AN294" s="1164"/>
      <c r="AO294" s="1164"/>
      <c r="AP294" s="1164"/>
      <c r="AQ294" s="1164"/>
      <c r="AR294" s="1201"/>
      <c r="AS294" s="1342"/>
      <c r="BJ294" s="1337"/>
      <c r="BK294" s="1338"/>
      <c r="BL294" s="1338"/>
      <c r="BM294" s="1338"/>
      <c r="BN294" s="1338"/>
      <c r="BO294" s="1339"/>
    </row>
    <row r="295" spans="1:67" ht="15" customHeight="1">
      <c r="A295" s="1309"/>
      <c r="B295" s="1165"/>
      <c r="C295" s="1166"/>
      <c r="D295" s="1166"/>
      <c r="E295" s="1166"/>
      <c r="F295" s="1166"/>
      <c r="G295" s="1292"/>
      <c r="H295" s="1270"/>
      <c r="I295" s="1270"/>
      <c r="J295" s="1270"/>
      <c r="K295" s="1270"/>
      <c r="N295" s="1258"/>
      <c r="O295" s="1202"/>
      <c r="P295" s="1203"/>
      <c r="Q295" s="1203"/>
      <c r="R295" s="1203"/>
      <c r="S295" s="1203"/>
      <c r="T295" s="1204"/>
      <c r="U295" s="1342"/>
      <c r="V295" s="1258"/>
      <c r="W295" s="1202"/>
      <c r="X295" s="1203"/>
      <c r="Y295" s="1203"/>
      <c r="Z295" s="1203"/>
      <c r="AA295" s="1203"/>
      <c r="AB295" s="1204"/>
      <c r="AC295" s="1342"/>
      <c r="AD295" s="1258"/>
      <c r="AE295" s="1202"/>
      <c r="AF295" s="1203"/>
      <c r="AG295" s="1203"/>
      <c r="AH295" s="1203"/>
      <c r="AI295" s="1203"/>
      <c r="AJ295" s="1204"/>
      <c r="AK295" s="1342"/>
      <c r="AL295" s="1197"/>
      <c r="AM295" s="1202"/>
      <c r="AN295" s="1203"/>
      <c r="AO295" s="1203"/>
      <c r="AP295" s="1203"/>
      <c r="AQ295" s="1203"/>
      <c r="AR295" s="1204"/>
      <c r="AS295" s="1342"/>
      <c r="BJ295" s="1337"/>
      <c r="BK295" s="1338"/>
      <c r="BL295" s="1338"/>
      <c r="BM295" s="1338"/>
      <c r="BN295" s="1338"/>
      <c r="BO295" s="1339"/>
    </row>
    <row r="296" spans="1:67" ht="15" customHeight="1">
      <c r="A296" s="1304">
        <v>2.4</v>
      </c>
      <c r="B296" s="1161" t="s">
        <v>316</v>
      </c>
      <c r="C296" s="1162"/>
      <c r="D296" s="1162"/>
      <c r="E296" s="1162"/>
      <c r="F296" s="1162"/>
      <c r="G296" s="1199"/>
      <c r="H296" s="1268" t="str">
        <f t="shared" ref="H296" si="311">IF(ISBLANK(AZ$5),"",1)</f>
        <v/>
      </c>
      <c r="I296" s="1268" t="str">
        <f t="shared" ref="I296" si="312">IF(ISBLANK(BD$5),"",1)</f>
        <v/>
      </c>
      <c r="J296" s="1268" t="str">
        <f t="shared" ref="J296" si="313">IF(ISBLANK(BH$5),"",1)</f>
        <v/>
      </c>
      <c r="K296" s="1268" t="str">
        <f t="shared" ref="K296" si="314">IF(ISBLANK(BL$5),"",1)</f>
        <v/>
      </c>
      <c r="N296" s="1258">
        <v>4.3</v>
      </c>
      <c r="O296" s="1198" t="s">
        <v>388</v>
      </c>
      <c r="P296" s="1162"/>
      <c r="Q296" s="1162"/>
      <c r="R296" s="1162"/>
      <c r="S296" s="1162"/>
      <c r="T296" s="1199"/>
      <c r="U296" s="1226" t="str">
        <f>IF(ISBLANK(AZ$5),"",1)</f>
        <v/>
      </c>
      <c r="V296" s="1258">
        <v>4.3</v>
      </c>
      <c r="W296" s="1198" t="s">
        <v>388</v>
      </c>
      <c r="X296" s="1162"/>
      <c r="Y296" s="1162"/>
      <c r="Z296" s="1162"/>
      <c r="AA296" s="1162"/>
      <c r="AB296" s="1199"/>
      <c r="AC296" s="1226" t="str">
        <f>IF(ISBLANK(BD$5),"",1)</f>
        <v/>
      </c>
      <c r="AD296" s="1258">
        <v>4.3</v>
      </c>
      <c r="AE296" s="1198" t="s">
        <v>388</v>
      </c>
      <c r="AF296" s="1162"/>
      <c r="AG296" s="1162"/>
      <c r="AH296" s="1162"/>
      <c r="AI296" s="1162"/>
      <c r="AJ296" s="1199"/>
      <c r="AK296" s="1226" t="str">
        <f>IF(ISBLANK(BH$5),"",1)</f>
        <v/>
      </c>
      <c r="AL296" s="1196">
        <v>4.3</v>
      </c>
      <c r="AM296" s="1198" t="s">
        <v>388</v>
      </c>
      <c r="AN296" s="1162"/>
      <c r="AO296" s="1162"/>
      <c r="AP296" s="1162"/>
      <c r="AQ296" s="1162"/>
      <c r="AR296" s="1199"/>
      <c r="AS296" s="1226" t="str">
        <f>IF(ISBLANK(BL$5),"",1)</f>
        <v/>
      </c>
      <c r="BJ296" s="1337"/>
      <c r="BK296" s="1338"/>
      <c r="BL296" s="1338"/>
      <c r="BM296" s="1338"/>
      <c r="BN296" s="1338"/>
      <c r="BO296" s="1339"/>
    </row>
    <row r="297" spans="1:67" ht="15" customHeight="1">
      <c r="A297" s="1290"/>
      <c r="B297" s="1163"/>
      <c r="C297" s="1164"/>
      <c r="D297" s="1164"/>
      <c r="E297" s="1164"/>
      <c r="F297" s="1164"/>
      <c r="G297" s="1201"/>
      <c r="H297" s="1269"/>
      <c r="I297" s="1269"/>
      <c r="J297" s="1269"/>
      <c r="K297" s="1269"/>
      <c r="N297" s="1258"/>
      <c r="O297" s="1200"/>
      <c r="P297" s="1164"/>
      <c r="Q297" s="1164"/>
      <c r="R297" s="1164"/>
      <c r="S297" s="1164"/>
      <c r="T297" s="1201"/>
      <c r="U297" s="1342"/>
      <c r="V297" s="1258"/>
      <c r="W297" s="1200"/>
      <c r="X297" s="1164"/>
      <c r="Y297" s="1164"/>
      <c r="Z297" s="1164"/>
      <c r="AA297" s="1164"/>
      <c r="AB297" s="1201"/>
      <c r="AC297" s="1342"/>
      <c r="AD297" s="1258"/>
      <c r="AE297" s="1200"/>
      <c r="AF297" s="1164"/>
      <c r="AG297" s="1164"/>
      <c r="AH297" s="1164"/>
      <c r="AI297" s="1164"/>
      <c r="AJ297" s="1201"/>
      <c r="AK297" s="1342"/>
      <c r="AL297" s="1197"/>
      <c r="AM297" s="1200"/>
      <c r="AN297" s="1164"/>
      <c r="AO297" s="1164"/>
      <c r="AP297" s="1164"/>
      <c r="AQ297" s="1164"/>
      <c r="AR297" s="1201"/>
      <c r="AS297" s="1342"/>
      <c r="BJ297" s="1337"/>
      <c r="BK297" s="1338"/>
      <c r="BL297" s="1338"/>
      <c r="BM297" s="1338"/>
      <c r="BN297" s="1338"/>
      <c r="BO297" s="1339"/>
    </row>
    <row r="298" spans="1:67" ht="15" customHeight="1">
      <c r="A298" s="1291"/>
      <c r="B298" s="1165"/>
      <c r="C298" s="1166"/>
      <c r="D298" s="1166"/>
      <c r="E298" s="1166"/>
      <c r="F298" s="1166"/>
      <c r="G298" s="1292"/>
      <c r="H298" s="1270"/>
      <c r="I298" s="1270"/>
      <c r="J298" s="1270"/>
      <c r="K298" s="1270"/>
      <c r="N298" s="1258"/>
      <c r="O298" s="1202"/>
      <c r="P298" s="1203"/>
      <c r="Q298" s="1203"/>
      <c r="R298" s="1203"/>
      <c r="S298" s="1203"/>
      <c r="T298" s="1204"/>
      <c r="U298" s="1342"/>
      <c r="V298" s="1258"/>
      <c r="W298" s="1202"/>
      <c r="X298" s="1203"/>
      <c r="Y298" s="1203"/>
      <c r="Z298" s="1203"/>
      <c r="AA298" s="1203"/>
      <c r="AB298" s="1204"/>
      <c r="AC298" s="1342"/>
      <c r="AD298" s="1258"/>
      <c r="AE298" s="1202"/>
      <c r="AF298" s="1203"/>
      <c r="AG298" s="1203"/>
      <c r="AH298" s="1203"/>
      <c r="AI298" s="1203"/>
      <c r="AJ298" s="1204"/>
      <c r="AK298" s="1342"/>
      <c r="AL298" s="1197"/>
      <c r="AM298" s="1202"/>
      <c r="AN298" s="1203"/>
      <c r="AO298" s="1203"/>
      <c r="AP298" s="1203"/>
      <c r="AQ298" s="1203"/>
      <c r="AR298" s="1204"/>
      <c r="AS298" s="1342"/>
      <c r="BJ298" s="1337"/>
      <c r="BK298" s="1338"/>
      <c r="BL298" s="1338"/>
      <c r="BM298" s="1338"/>
      <c r="BN298" s="1338"/>
      <c r="BO298" s="1339"/>
    </row>
    <row r="299" spans="1:67" ht="15" customHeight="1">
      <c r="A299" s="1307">
        <v>1.1000000000000001</v>
      </c>
      <c r="B299" s="1161" t="s">
        <v>320</v>
      </c>
      <c r="C299" s="1162"/>
      <c r="D299" s="1162"/>
      <c r="E299" s="1162"/>
      <c r="F299" s="1162"/>
      <c r="G299" s="1199"/>
      <c r="H299" s="1268" t="str">
        <f t="shared" ref="H299" si="315">IF(ISBLANK(AZ$5),"",1)</f>
        <v/>
      </c>
      <c r="I299" s="1268" t="str">
        <f t="shared" ref="I299" si="316">IF(ISBLANK(BD$5),"",1)</f>
        <v/>
      </c>
      <c r="J299" s="1268" t="str">
        <f t="shared" ref="J299" si="317">IF(ISBLANK(BH$5),"",1)</f>
        <v/>
      </c>
      <c r="K299" s="1268" t="str">
        <f t="shared" ref="K299" si="318">IF(ISBLANK(BL$5),"",1)</f>
        <v/>
      </c>
      <c r="N299" s="1258">
        <v>4.3</v>
      </c>
      <c r="O299" s="1198" t="s">
        <v>390</v>
      </c>
      <c r="P299" s="1162"/>
      <c r="Q299" s="1162"/>
      <c r="R299" s="1162"/>
      <c r="S299" s="1162"/>
      <c r="T299" s="1199"/>
      <c r="U299" s="1226" t="str">
        <f>IF(ISBLANK(AZ$5),"",1)</f>
        <v/>
      </c>
      <c r="V299" s="1258">
        <v>4.3</v>
      </c>
      <c r="W299" s="1198" t="s">
        <v>390</v>
      </c>
      <c r="X299" s="1162"/>
      <c r="Y299" s="1162"/>
      <c r="Z299" s="1162"/>
      <c r="AA299" s="1162"/>
      <c r="AB299" s="1199"/>
      <c r="AC299" s="1226" t="str">
        <f>IF(ISBLANK(BD$5),"",1)</f>
        <v/>
      </c>
      <c r="AD299" s="1258">
        <v>4.3</v>
      </c>
      <c r="AE299" s="1198" t="s">
        <v>390</v>
      </c>
      <c r="AF299" s="1162"/>
      <c r="AG299" s="1162"/>
      <c r="AH299" s="1162"/>
      <c r="AI299" s="1162"/>
      <c r="AJ299" s="1199"/>
      <c r="AK299" s="1226" t="str">
        <f>IF(ISBLANK(BH$5),"",1)</f>
        <v/>
      </c>
      <c r="AL299" s="1196">
        <v>4.3</v>
      </c>
      <c r="AM299" s="1198" t="s">
        <v>390</v>
      </c>
      <c r="AN299" s="1162"/>
      <c r="AO299" s="1162"/>
      <c r="AP299" s="1162"/>
      <c r="AQ299" s="1162"/>
      <c r="AR299" s="1199"/>
      <c r="AS299" s="1226" t="str">
        <f>IF(ISBLANK(BL$5),"",1)</f>
        <v/>
      </c>
      <c r="BJ299" s="1337"/>
      <c r="BK299" s="1338"/>
      <c r="BL299" s="1338"/>
      <c r="BM299" s="1338"/>
      <c r="BN299" s="1338"/>
      <c r="BO299" s="1339"/>
    </row>
    <row r="300" spans="1:67" ht="15" customHeight="1">
      <c r="A300" s="1308"/>
      <c r="B300" s="1163"/>
      <c r="C300" s="1164"/>
      <c r="D300" s="1164"/>
      <c r="E300" s="1164"/>
      <c r="F300" s="1164"/>
      <c r="G300" s="1201"/>
      <c r="H300" s="1269"/>
      <c r="I300" s="1269"/>
      <c r="J300" s="1269"/>
      <c r="K300" s="1269"/>
      <c r="N300" s="1258"/>
      <c r="O300" s="1200"/>
      <c r="P300" s="1164"/>
      <c r="Q300" s="1164"/>
      <c r="R300" s="1164"/>
      <c r="S300" s="1164"/>
      <c r="T300" s="1201"/>
      <c r="U300" s="1342"/>
      <c r="V300" s="1258"/>
      <c r="W300" s="1200"/>
      <c r="X300" s="1164"/>
      <c r="Y300" s="1164"/>
      <c r="Z300" s="1164"/>
      <c r="AA300" s="1164"/>
      <c r="AB300" s="1201"/>
      <c r="AC300" s="1342"/>
      <c r="AD300" s="1258"/>
      <c r="AE300" s="1200"/>
      <c r="AF300" s="1164"/>
      <c r="AG300" s="1164"/>
      <c r="AH300" s="1164"/>
      <c r="AI300" s="1164"/>
      <c r="AJ300" s="1201"/>
      <c r="AK300" s="1342"/>
      <c r="AL300" s="1196"/>
      <c r="AM300" s="1200"/>
      <c r="AN300" s="1164"/>
      <c r="AO300" s="1164"/>
      <c r="AP300" s="1164"/>
      <c r="AQ300" s="1164"/>
      <c r="AR300" s="1201"/>
      <c r="AS300" s="1342"/>
      <c r="BJ300" s="1337"/>
      <c r="BK300" s="1338"/>
      <c r="BL300" s="1338"/>
      <c r="BM300" s="1338"/>
      <c r="BN300" s="1338"/>
      <c r="BO300" s="1339"/>
    </row>
    <row r="301" spans="1:67" ht="15" customHeight="1">
      <c r="A301" s="1309"/>
      <c r="B301" s="1165"/>
      <c r="C301" s="1166"/>
      <c r="D301" s="1166"/>
      <c r="E301" s="1166"/>
      <c r="F301" s="1166"/>
      <c r="G301" s="1292"/>
      <c r="H301" s="1270"/>
      <c r="I301" s="1270"/>
      <c r="J301" s="1270"/>
      <c r="K301" s="1270"/>
      <c r="N301" s="1258"/>
      <c r="O301" s="1202"/>
      <c r="P301" s="1203"/>
      <c r="Q301" s="1203"/>
      <c r="R301" s="1203"/>
      <c r="S301" s="1203"/>
      <c r="T301" s="1204"/>
      <c r="U301" s="1342"/>
      <c r="V301" s="1258"/>
      <c r="W301" s="1202"/>
      <c r="X301" s="1203"/>
      <c r="Y301" s="1203"/>
      <c r="Z301" s="1203"/>
      <c r="AA301" s="1203"/>
      <c r="AB301" s="1204"/>
      <c r="AC301" s="1342"/>
      <c r="AD301" s="1258"/>
      <c r="AE301" s="1202"/>
      <c r="AF301" s="1203"/>
      <c r="AG301" s="1203"/>
      <c r="AH301" s="1203"/>
      <c r="AI301" s="1203"/>
      <c r="AJ301" s="1204"/>
      <c r="AK301" s="1342"/>
      <c r="AL301" s="1197"/>
      <c r="AM301" s="1202"/>
      <c r="AN301" s="1203"/>
      <c r="AO301" s="1203"/>
      <c r="AP301" s="1203"/>
      <c r="AQ301" s="1203"/>
      <c r="AR301" s="1204"/>
      <c r="AS301" s="1342"/>
      <c r="BJ301" s="1337"/>
      <c r="BK301" s="1338"/>
      <c r="BL301" s="1338"/>
      <c r="BM301" s="1338"/>
      <c r="BN301" s="1338"/>
      <c r="BO301" s="1339"/>
    </row>
    <row r="302" spans="1:67" ht="15" customHeight="1">
      <c r="A302" s="1304">
        <v>2.1</v>
      </c>
      <c r="B302" s="1161" t="s">
        <v>322</v>
      </c>
      <c r="C302" s="1162"/>
      <c r="D302" s="1162"/>
      <c r="E302" s="1162"/>
      <c r="F302" s="1162"/>
      <c r="G302" s="1199"/>
      <c r="H302" s="1268" t="str">
        <f t="shared" ref="H302" si="319">IF(ISBLANK(AZ$5),"",1)</f>
        <v/>
      </c>
      <c r="I302" s="1268" t="str">
        <f t="shared" ref="I302" si="320">IF(ISBLANK(BD$5),"",1)</f>
        <v/>
      </c>
      <c r="J302" s="1268" t="str">
        <f t="shared" ref="J302" si="321">IF(ISBLANK(BH$5),"",1)</f>
        <v/>
      </c>
      <c r="K302" s="1268" t="str">
        <f t="shared" ref="K302" si="322">IF(ISBLANK(BL$5),"",1)</f>
        <v/>
      </c>
      <c r="N302" s="1258">
        <v>4.4000000000000004</v>
      </c>
      <c r="O302" s="1198" t="s">
        <v>415</v>
      </c>
      <c r="P302" s="1162"/>
      <c r="Q302" s="1162"/>
      <c r="R302" s="1162"/>
      <c r="S302" s="1162"/>
      <c r="T302" s="1199"/>
      <c r="U302" s="1226" t="str">
        <f>IF(ISBLANK(AZ$5),"",1)</f>
        <v/>
      </c>
      <c r="V302" s="1258">
        <v>4.4000000000000004</v>
      </c>
      <c r="W302" s="1198" t="s">
        <v>415</v>
      </c>
      <c r="X302" s="1162"/>
      <c r="Y302" s="1162"/>
      <c r="Z302" s="1162"/>
      <c r="AA302" s="1162"/>
      <c r="AB302" s="1199"/>
      <c r="AC302" s="1226" t="str">
        <f>IF(ISBLANK(BD$5),"",1)</f>
        <v/>
      </c>
      <c r="AD302" s="1258">
        <v>4.4000000000000004</v>
      </c>
      <c r="AE302" s="1198" t="s">
        <v>415</v>
      </c>
      <c r="AF302" s="1162"/>
      <c r="AG302" s="1162"/>
      <c r="AH302" s="1162"/>
      <c r="AI302" s="1162"/>
      <c r="AJ302" s="1199"/>
      <c r="AK302" s="1226" t="str">
        <f>IF(ISBLANK(BH$5),"",1)</f>
        <v/>
      </c>
      <c r="AL302" s="1196">
        <v>4.4000000000000004</v>
      </c>
      <c r="AM302" s="1198" t="s">
        <v>407</v>
      </c>
      <c r="AN302" s="1162"/>
      <c r="AO302" s="1162"/>
      <c r="AP302" s="1162"/>
      <c r="AQ302" s="1162"/>
      <c r="AR302" s="1199"/>
      <c r="AS302" s="1226" t="str">
        <f>IF(ISBLANK(BL$5),"",1)</f>
        <v/>
      </c>
      <c r="BJ302" s="1337"/>
      <c r="BK302" s="1338"/>
      <c r="BL302" s="1338"/>
      <c r="BM302" s="1338"/>
      <c r="BN302" s="1338"/>
      <c r="BO302" s="1339"/>
    </row>
    <row r="303" spans="1:67" ht="15" customHeight="1">
      <c r="A303" s="1290"/>
      <c r="B303" s="1163"/>
      <c r="C303" s="1164"/>
      <c r="D303" s="1164"/>
      <c r="E303" s="1164"/>
      <c r="F303" s="1164"/>
      <c r="G303" s="1201"/>
      <c r="H303" s="1269"/>
      <c r="I303" s="1269"/>
      <c r="J303" s="1269"/>
      <c r="K303" s="1269"/>
      <c r="N303" s="1258"/>
      <c r="O303" s="1200"/>
      <c r="P303" s="1164"/>
      <c r="Q303" s="1164"/>
      <c r="R303" s="1164"/>
      <c r="S303" s="1164"/>
      <c r="T303" s="1201"/>
      <c r="U303" s="1342"/>
      <c r="V303" s="1258"/>
      <c r="W303" s="1200"/>
      <c r="X303" s="1164"/>
      <c r="Y303" s="1164"/>
      <c r="Z303" s="1164"/>
      <c r="AA303" s="1164"/>
      <c r="AB303" s="1201"/>
      <c r="AC303" s="1342"/>
      <c r="AD303" s="1258"/>
      <c r="AE303" s="1200"/>
      <c r="AF303" s="1164"/>
      <c r="AG303" s="1164"/>
      <c r="AH303" s="1164"/>
      <c r="AI303" s="1164"/>
      <c r="AJ303" s="1201"/>
      <c r="AK303" s="1342"/>
      <c r="AL303" s="1197"/>
      <c r="AM303" s="1200"/>
      <c r="AN303" s="1164"/>
      <c r="AO303" s="1164"/>
      <c r="AP303" s="1164"/>
      <c r="AQ303" s="1164"/>
      <c r="AR303" s="1201"/>
      <c r="AS303" s="1342"/>
      <c r="BJ303" s="1337"/>
      <c r="BK303" s="1338"/>
      <c r="BL303" s="1338"/>
      <c r="BM303" s="1338"/>
      <c r="BN303" s="1338"/>
      <c r="BO303" s="1339"/>
    </row>
    <row r="304" spans="1:67" ht="15" customHeight="1">
      <c r="A304" s="1291"/>
      <c r="B304" s="1165"/>
      <c r="C304" s="1166"/>
      <c r="D304" s="1166"/>
      <c r="E304" s="1166"/>
      <c r="F304" s="1166"/>
      <c r="G304" s="1292"/>
      <c r="H304" s="1270"/>
      <c r="I304" s="1270"/>
      <c r="J304" s="1270"/>
      <c r="K304" s="1270"/>
      <c r="N304" s="1258"/>
      <c r="O304" s="1202"/>
      <c r="P304" s="1203"/>
      <c r="Q304" s="1203"/>
      <c r="R304" s="1203"/>
      <c r="S304" s="1203"/>
      <c r="T304" s="1204"/>
      <c r="U304" s="1342"/>
      <c r="V304" s="1258"/>
      <c r="W304" s="1202"/>
      <c r="X304" s="1203"/>
      <c r="Y304" s="1203"/>
      <c r="Z304" s="1203"/>
      <c r="AA304" s="1203"/>
      <c r="AB304" s="1204"/>
      <c r="AC304" s="1342"/>
      <c r="AD304" s="1258"/>
      <c r="AE304" s="1202"/>
      <c r="AF304" s="1203"/>
      <c r="AG304" s="1203"/>
      <c r="AH304" s="1203"/>
      <c r="AI304" s="1203"/>
      <c r="AJ304" s="1204"/>
      <c r="AK304" s="1342"/>
      <c r="AL304" s="1197"/>
      <c r="AM304" s="1202"/>
      <c r="AN304" s="1203"/>
      <c r="AO304" s="1203"/>
      <c r="AP304" s="1203"/>
      <c r="AQ304" s="1203"/>
      <c r="AR304" s="1204"/>
      <c r="AS304" s="1342"/>
      <c r="BJ304" s="1337"/>
      <c r="BK304" s="1338"/>
      <c r="BL304" s="1338"/>
      <c r="BM304" s="1338"/>
      <c r="BN304" s="1338"/>
      <c r="BO304" s="1339"/>
    </row>
    <row r="305" spans="1:67" ht="15" customHeight="1">
      <c r="A305" s="1307">
        <v>1.1000000000000001</v>
      </c>
      <c r="B305" s="1161" t="s">
        <v>940</v>
      </c>
      <c r="C305" s="1162"/>
      <c r="D305" s="1162"/>
      <c r="E305" s="1162"/>
      <c r="F305" s="1162"/>
      <c r="G305" s="1199"/>
      <c r="H305" s="1268" t="str">
        <f t="shared" ref="H305" si="323">IF(ISBLANK(AZ$5),"",1)</f>
        <v/>
      </c>
      <c r="I305" s="1268" t="str">
        <f t="shared" ref="I305" si="324">IF(ISBLANK(BD$5),"",1)</f>
        <v/>
      </c>
      <c r="J305" s="1268" t="str">
        <f t="shared" ref="J305" si="325">IF(ISBLANK(BH$5),"",1)</f>
        <v/>
      </c>
      <c r="K305" s="1268" t="str">
        <f t="shared" ref="K305" si="326">IF(ISBLANK(BL$5),"",1)</f>
        <v/>
      </c>
      <c r="N305" s="1304">
        <v>4.3</v>
      </c>
      <c r="O305" s="1310" t="s">
        <v>879</v>
      </c>
      <c r="P305" s="1311"/>
      <c r="Q305" s="1311"/>
      <c r="R305" s="1311"/>
      <c r="S305" s="1311"/>
      <c r="T305" s="1316"/>
      <c r="U305" s="1226" t="str">
        <f>IF(ISBLANK(AZ$5),"",1)</f>
        <v/>
      </c>
      <c r="V305" s="1304">
        <v>4.3</v>
      </c>
      <c r="W305" s="1310" t="s">
        <v>879</v>
      </c>
      <c r="X305" s="1311"/>
      <c r="Y305" s="1311"/>
      <c r="Z305" s="1311"/>
      <c r="AA305" s="1311"/>
      <c r="AB305" s="1316"/>
      <c r="AC305" s="1226" t="str">
        <f>IF(ISBLANK(BD$5),"",1)</f>
        <v/>
      </c>
      <c r="AD305" s="1304">
        <v>4.3</v>
      </c>
      <c r="AE305" s="1310" t="s">
        <v>879</v>
      </c>
      <c r="AF305" s="1311"/>
      <c r="AG305" s="1311"/>
      <c r="AH305" s="1311"/>
      <c r="AI305" s="1311"/>
      <c r="AJ305" s="1316"/>
      <c r="AK305" s="1226" t="str">
        <f>IF(ISBLANK(BH$5),"",1)</f>
        <v/>
      </c>
      <c r="AL305" s="1304">
        <v>4.3</v>
      </c>
      <c r="AM305" s="1310" t="s">
        <v>879</v>
      </c>
      <c r="AN305" s="1311"/>
      <c r="AO305" s="1311"/>
      <c r="AP305" s="1311"/>
      <c r="AQ305" s="1311"/>
      <c r="AR305" s="1316"/>
      <c r="AS305" s="1226" t="str">
        <f>IF(ISBLANK(BL$5),"",1)</f>
        <v/>
      </c>
      <c r="BJ305" s="1337"/>
      <c r="BK305" s="1338"/>
      <c r="BL305" s="1338"/>
      <c r="BM305" s="1338"/>
      <c r="BN305" s="1338"/>
      <c r="BO305" s="1339"/>
    </row>
    <row r="306" spans="1:67" ht="15" customHeight="1">
      <c r="A306" s="1308"/>
      <c r="B306" s="1163"/>
      <c r="C306" s="1164"/>
      <c r="D306" s="1164"/>
      <c r="E306" s="1164"/>
      <c r="F306" s="1164"/>
      <c r="G306" s="1201"/>
      <c r="H306" s="1269"/>
      <c r="I306" s="1269"/>
      <c r="J306" s="1269"/>
      <c r="K306" s="1269"/>
      <c r="N306" s="1290"/>
      <c r="O306" s="1295"/>
      <c r="P306" s="1296"/>
      <c r="Q306" s="1296"/>
      <c r="R306" s="1296"/>
      <c r="S306" s="1296"/>
      <c r="T306" s="1318"/>
      <c r="U306" s="1342"/>
      <c r="V306" s="1290"/>
      <c r="W306" s="1295"/>
      <c r="X306" s="1296"/>
      <c r="Y306" s="1296"/>
      <c r="Z306" s="1296"/>
      <c r="AA306" s="1296"/>
      <c r="AB306" s="1318"/>
      <c r="AC306" s="1342"/>
      <c r="AD306" s="1290"/>
      <c r="AE306" s="1295"/>
      <c r="AF306" s="1296"/>
      <c r="AG306" s="1296"/>
      <c r="AH306" s="1296"/>
      <c r="AI306" s="1296"/>
      <c r="AJ306" s="1318"/>
      <c r="AK306" s="1342"/>
      <c r="AL306" s="1290"/>
      <c r="AM306" s="1295"/>
      <c r="AN306" s="1296"/>
      <c r="AO306" s="1296"/>
      <c r="AP306" s="1296"/>
      <c r="AQ306" s="1296"/>
      <c r="AR306" s="1318"/>
      <c r="AS306" s="1342"/>
      <c r="BJ306" s="1337"/>
      <c r="BK306" s="1338"/>
      <c r="BL306" s="1338"/>
      <c r="BM306" s="1338"/>
      <c r="BN306" s="1338"/>
      <c r="BO306" s="1339"/>
    </row>
    <row r="307" spans="1:67" ht="15" customHeight="1">
      <c r="A307" s="1309"/>
      <c r="B307" s="1165"/>
      <c r="C307" s="1166"/>
      <c r="D307" s="1166"/>
      <c r="E307" s="1166"/>
      <c r="F307" s="1166"/>
      <c r="G307" s="1292"/>
      <c r="H307" s="1270"/>
      <c r="I307" s="1270"/>
      <c r="J307" s="1270"/>
      <c r="K307" s="1270"/>
      <c r="N307" s="1291"/>
      <c r="O307" s="1298"/>
      <c r="P307" s="1299"/>
      <c r="Q307" s="1299"/>
      <c r="R307" s="1299"/>
      <c r="S307" s="1299"/>
      <c r="T307" s="1335"/>
      <c r="U307" s="1342"/>
      <c r="V307" s="1291"/>
      <c r="W307" s="1298"/>
      <c r="X307" s="1299"/>
      <c r="Y307" s="1299"/>
      <c r="Z307" s="1299"/>
      <c r="AA307" s="1299"/>
      <c r="AB307" s="1335"/>
      <c r="AC307" s="1342"/>
      <c r="AD307" s="1291"/>
      <c r="AE307" s="1298"/>
      <c r="AF307" s="1299"/>
      <c r="AG307" s="1299"/>
      <c r="AH307" s="1299"/>
      <c r="AI307" s="1299"/>
      <c r="AJ307" s="1335"/>
      <c r="AK307" s="1342"/>
      <c r="AL307" s="1291"/>
      <c r="AM307" s="1298"/>
      <c r="AN307" s="1299"/>
      <c r="AO307" s="1299"/>
      <c r="AP307" s="1299"/>
      <c r="AQ307" s="1299"/>
      <c r="AR307" s="1335"/>
      <c r="AS307" s="1342"/>
      <c r="BJ307" s="1337"/>
      <c r="BK307" s="1338"/>
      <c r="BL307" s="1338"/>
      <c r="BM307" s="1338"/>
      <c r="BN307" s="1338"/>
      <c r="BO307" s="1339"/>
    </row>
    <row r="308" spans="1:67" ht="15" customHeight="1">
      <c r="A308" s="1307">
        <v>1.1000000000000001</v>
      </c>
      <c r="B308" s="1161" t="s">
        <v>330</v>
      </c>
      <c r="C308" s="1162"/>
      <c r="D308" s="1162"/>
      <c r="E308" s="1162"/>
      <c r="F308" s="1162"/>
      <c r="G308" s="1199"/>
      <c r="H308" s="1268" t="str">
        <f t="shared" ref="H308" si="327">IF(ISBLANK(AZ$5),"",1)</f>
        <v/>
      </c>
      <c r="I308" s="1268" t="str">
        <f t="shared" ref="I308" si="328">IF(ISBLANK(BD$5),"",1)</f>
        <v/>
      </c>
      <c r="J308" s="1268" t="str">
        <f t="shared" ref="J308" si="329">IF(ISBLANK(BH$5),"",1)</f>
        <v/>
      </c>
      <c r="K308" s="1268" t="str">
        <f t="shared" ref="K308" si="330">IF(ISBLANK(BL$5),"",1)</f>
        <v/>
      </c>
      <c r="N308" s="1304">
        <v>4.3</v>
      </c>
      <c r="O308" s="1198" t="s">
        <v>883</v>
      </c>
      <c r="P308" s="1162"/>
      <c r="Q308" s="1162"/>
      <c r="R308" s="1162"/>
      <c r="S308" s="1162"/>
      <c r="T308" s="1199"/>
      <c r="U308" s="1226" t="str">
        <f>IF(ISBLANK(AZ$5),"",1)</f>
        <v/>
      </c>
      <c r="V308" s="1304">
        <v>4.3</v>
      </c>
      <c r="W308" s="1198" t="s">
        <v>883</v>
      </c>
      <c r="X308" s="1162"/>
      <c r="Y308" s="1162"/>
      <c r="Z308" s="1162"/>
      <c r="AA308" s="1162"/>
      <c r="AB308" s="1199"/>
      <c r="AC308" s="1226" t="str">
        <f>IF(ISBLANK(BD$5),"",1)</f>
        <v/>
      </c>
      <c r="AD308" s="1258">
        <v>4.4000000000000004</v>
      </c>
      <c r="AE308" s="1198" t="s">
        <v>393</v>
      </c>
      <c r="AF308" s="1162"/>
      <c r="AG308" s="1162"/>
      <c r="AH308" s="1162"/>
      <c r="AI308" s="1162"/>
      <c r="AJ308" s="1199"/>
      <c r="AK308" s="1226" t="str">
        <f>IF(ISBLANK(BH$5),"",1)</f>
        <v/>
      </c>
      <c r="AL308" s="1304">
        <v>4.3</v>
      </c>
      <c r="AM308" s="1198" t="s">
        <v>883</v>
      </c>
      <c r="AN308" s="1162"/>
      <c r="AO308" s="1162"/>
      <c r="AP308" s="1162"/>
      <c r="AQ308" s="1162"/>
      <c r="AR308" s="1199"/>
      <c r="AS308" s="1226" t="str">
        <f>IF(ISBLANK(BL$5),"",1)</f>
        <v/>
      </c>
      <c r="BJ308" s="1337"/>
      <c r="BK308" s="1338"/>
      <c r="BL308" s="1338"/>
      <c r="BM308" s="1338"/>
      <c r="BN308" s="1338"/>
      <c r="BO308" s="1339"/>
    </row>
    <row r="309" spans="1:67" ht="15" customHeight="1">
      <c r="A309" s="1308"/>
      <c r="B309" s="1163"/>
      <c r="C309" s="1164"/>
      <c r="D309" s="1164"/>
      <c r="E309" s="1164"/>
      <c r="F309" s="1164"/>
      <c r="G309" s="1201"/>
      <c r="H309" s="1269"/>
      <c r="I309" s="1269"/>
      <c r="J309" s="1269"/>
      <c r="K309" s="1269"/>
      <c r="N309" s="1290"/>
      <c r="O309" s="1200"/>
      <c r="P309" s="1164"/>
      <c r="Q309" s="1164"/>
      <c r="R309" s="1164"/>
      <c r="S309" s="1164"/>
      <c r="T309" s="1201"/>
      <c r="U309" s="1342"/>
      <c r="V309" s="1290"/>
      <c r="W309" s="1200"/>
      <c r="X309" s="1164"/>
      <c r="Y309" s="1164"/>
      <c r="Z309" s="1164"/>
      <c r="AA309" s="1164"/>
      <c r="AB309" s="1201"/>
      <c r="AC309" s="1342"/>
      <c r="AD309" s="1258"/>
      <c r="AE309" s="1200"/>
      <c r="AF309" s="1164"/>
      <c r="AG309" s="1164"/>
      <c r="AH309" s="1164"/>
      <c r="AI309" s="1164"/>
      <c r="AJ309" s="1201"/>
      <c r="AK309" s="1342"/>
      <c r="AL309" s="1290"/>
      <c r="AM309" s="1200"/>
      <c r="AN309" s="1164"/>
      <c r="AO309" s="1164"/>
      <c r="AP309" s="1164"/>
      <c r="AQ309" s="1164"/>
      <c r="AR309" s="1201"/>
      <c r="AS309" s="1342"/>
      <c r="BJ309" s="1337"/>
      <c r="BK309" s="1338"/>
      <c r="BL309" s="1338"/>
      <c r="BM309" s="1338"/>
      <c r="BN309" s="1338"/>
      <c r="BO309" s="1339"/>
    </row>
    <row r="310" spans="1:67" ht="15" customHeight="1">
      <c r="A310" s="1309"/>
      <c r="B310" s="1165"/>
      <c r="C310" s="1166"/>
      <c r="D310" s="1166"/>
      <c r="E310" s="1166"/>
      <c r="F310" s="1166"/>
      <c r="G310" s="1292"/>
      <c r="H310" s="1270"/>
      <c r="I310" s="1270"/>
      <c r="J310" s="1270"/>
      <c r="K310" s="1270"/>
      <c r="N310" s="1291"/>
      <c r="O310" s="1202"/>
      <c r="P310" s="1203"/>
      <c r="Q310" s="1203"/>
      <c r="R310" s="1203"/>
      <c r="S310" s="1203"/>
      <c r="T310" s="1204"/>
      <c r="U310" s="1342"/>
      <c r="V310" s="1291"/>
      <c r="W310" s="1202"/>
      <c r="X310" s="1203"/>
      <c r="Y310" s="1203"/>
      <c r="Z310" s="1203"/>
      <c r="AA310" s="1203"/>
      <c r="AB310" s="1204"/>
      <c r="AC310" s="1342"/>
      <c r="AD310" s="1258"/>
      <c r="AE310" s="1202"/>
      <c r="AF310" s="1203"/>
      <c r="AG310" s="1203"/>
      <c r="AH310" s="1203"/>
      <c r="AI310" s="1203"/>
      <c r="AJ310" s="1204"/>
      <c r="AK310" s="1342"/>
      <c r="AL310" s="1291"/>
      <c r="AM310" s="1202"/>
      <c r="AN310" s="1203"/>
      <c r="AO310" s="1203"/>
      <c r="AP310" s="1203"/>
      <c r="AQ310" s="1203"/>
      <c r="AR310" s="1204"/>
      <c r="AS310" s="1342"/>
      <c r="BJ310" s="1337"/>
      <c r="BK310" s="1338"/>
      <c r="BL310" s="1338"/>
      <c r="BM310" s="1338"/>
      <c r="BN310" s="1338"/>
      <c r="BO310" s="1339"/>
    </row>
    <row r="311" spans="1:67" ht="15" customHeight="1">
      <c r="A311" s="1304">
        <v>1.5</v>
      </c>
      <c r="B311" s="1161" t="s">
        <v>336</v>
      </c>
      <c r="C311" s="1162"/>
      <c r="D311" s="1162"/>
      <c r="E311" s="1162"/>
      <c r="F311" s="1162"/>
      <c r="G311" s="1199"/>
      <c r="H311" s="1268" t="str">
        <f t="shared" ref="H311" si="331">IF(ISBLANK(AZ$5),"",1)</f>
        <v/>
      </c>
      <c r="I311" s="1268" t="str">
        <f t="shared" ref="I311" si="332">IF(ISBLANK(BD$5),"",1)</f>
        <v/>
      </c>
      <c r="J311" s="1268" t="str">
        <f t="shared" ref="J311" si="333">IF(ISBLANK(BH$5),"",1)</f>
        <v/>
      </c>
      <c r="K311" s="1268" t="str">
        <f t="shared" ref="K311" si="334">IF(ISBLANK(BL$5),"",1)</f>
        <v/>
      </c>
      <c r="N311" s="1322">
        <v>4.4000000000000004</v>
      </c>
      <c r="O311" s="1198" t="s">
        <v>884</v>
      </c>
      <c r="P311" s="1162"/>
      <c r="Q311" s="1162"/>
      <c r="R311" s="1162"/>
      <c r="S311" s="1162"/>
      <c r="T311" s="1199"/>
      <c r="U311" s="1226" t="str">
        <f>IF(ISBLANK(AZ$5),"",1)</f>
        <v/>
      </c>
      <c r="V311" s="1322">
        <v>4.3</v>
      </c>
      <c r="W311" s="1198" t="s">
        <v>393</v>
      </c>
      <c r="X311" s="1162"/>
      <c r="Y311" s="1162"/>
      <c r="Z311" s="1162"/>
      <c r="AA311" s="1162"/>
      <c r="AB311" s="1199"/>
      <c r="AC311" s="1226" t="str">
        <f>IF(ISBLANK(BD$5),"",1)</f>
        <v/>
      </c>
      <c r="AD311" s="1322">
        <v>4.4000000000000004</v>
      </c>
      <c r="AE311" s="1198" t="s">
        <v>417</v>
      </c>
      <c r="AF311" s="1162"/>
      <c r="AG311" s="1162"/>
      <c r="AH311" s="1162"/>
      <c r="AI311" s="1162"/>
      <c r="AJ311" s="1199"/>
      <c r="AK311" s="1226" t="str">
        <f>IF(ISBLANK(BH$5),"",1)</f>
        <v/>
      </c>
      <c r="AL311" s="1196">
        <v>4.3</v>
      </c>
      <c r="AM311" s="1198" t="s">
        <v>421</v>
      </c>
      <c r="AN311" s="1162"/>
      <c r="AO311" s="1162"/>
      <c r="AP311" s="1162"/>
      <c r="AQ311" s="1162"/>
      <c r="AR311" s="1199"/>
      <c r="AS311" s="1226" t="str">
        <f>IF(ISBLANK(BL$5),"",1)</f>
        <v/>
      </c>
      <c r="BJ311" s="1337"/>
      <c r="BK311" s="1338"/>
      <c r="BL311" s="1338"/>
      <c r="BM311" s="1338"/>
      <c r="BN311" s="1338"/>
      <c r="BO311" s="1339"/>
    </row>
    <row r="312" spans="1:67" ht="15" customHeight="1">
      <c r="A312" s="1290"/>
      <c r="B312" s="1163"/>
      <c r="C312" s="1164"/>
      <c r="D312" s="1164"/>
      <c r="E312" s="1164"/>
      <c r="F312" s="1164"/>
      <c r="G312" s="1201"/>
      <c r="H312" s="1269"/>
      <c r="I312" s="1269"/>
      <c r="J312" s="1269"/>
      <c r="K312" s="1269"/>
      <c r="N312" s="1293"/>
      <c r="O312" s="1200"/>
      <c r="P312" s="1164"/>
      <c r="Q312" s="1164"/>
      <c r="R312" s="1164"/>
      <c r="S312" s="1164"/>
      <c r="T312" s="1201"/>
      <c r="U312" s="1342"/>
      <c r="V312" s="1293"/>
      <c r="W312" s="1200"/>
      <c r="X312" s="1164"/>
      <c r="Y312" s="1164"/>
      <c r="Z312" s="1164"/>
      <c r="AA312" s="1164"/>
      <c r="AB312" s="1201"/>
      <c r="AC312" s="1342"/>
      <c r="AD312" s="1293"/>
      <c r="AE312" s="1200"/>
      <c r="AF312" s="1164"/>
      <c r="AG312" s="1164"/>
      <c r="AH312" s="1164"/>
      <c r="AI312" s="1164"/>
      <c r="AJ312" s="1201"/>
      <c r="AK312" s="1342"/>
      <c r="AL312" s="1197"/>
      <c r="AM312" s="1200"/>
      <c r="AN312" s="1164"/>
      <c r="AO312" s="1164"/>
      <c r="AP312" s="1164"/>
      <c r="AQ312" s="1164"/>
      <c r="AR312" s="1201"/>
      <c r="AS312" s="1342"/>
      <c r="BJ312" s="1337"/>
      <c r="BK312" s="1338"/>
      <c r="BL312" s="1338"/>
      <c r="BM312" s="1338"/>
      <c r="BN312" s="1338"/>
      <c r="BO312" s="1339"/>
    </row>
    <row r="313" spans="1:67" ht="15" customHeight="1">
      <c r="A313" s="1291"/>
      <c r="B313" s="1165"/>
      <c r="C313" s="1166"/>
      <c r="D313" s="1166"/>
      <c r="E313" s="1166"/>
      <c r="F313" s="1166"/>
      <c r="G313" s="1292"/>
      <c r="H313" s="1270"/>
      <c r="I313" s="1270"/>
      <c r="J313" s="1270"/>
      <c r="K313" s="1270"/>
      <c r="N313" s="1294"/>
      <c r="O313" s="1202"/>
      <c r="P313" s="1203"/>
      <c r="Q313" s="1203"/>
      <c r="R313" s="1203"/>
      <c r="S313" s="1203"/>
      <c r="T313" s="1204"/>
      <c r="U313" s="1342"/>
      <c r="V313" s="1294"/>
      <c r="W313" s="1202"/>
      <c r="X313" s="1203"/>
      <c r="Y313" s="1203"/>
      <c r="Z313" s="1203"/>
      <c r="AA313" s="1203"/>
      <c r="AB313" s="1204"/>
      <c r="AC313" s="1342"/>
      <c r="AD313" s="1294"/>
      <c r="AE313" s="1202"/>
      <c r="AF313" s="1203"/>
      <c r="AG313" s="1203"/>
      <c r="AH313" s="1203"/>
      <c r="AI313" s="1203"/>
      <c r="AJ313" s="1204"/>
      <c r="AK313" s="1342"/>
      <c r="AL313" s="1197"/>
      <c r="AM313" s="1202"/>
      <c r="AN313" s="1203"/>
      <c r="AO313" s="1203"/>
      <c r="AP313" s="1203"/>
      <c r="AQ313" s="1203"/>
      <c r="AR313" s="1204"/>
      <c r="AS313" s="1342"/>
      <c r="BJ313" s="1337"/>
      <c r="BK313" s="1338"/>
      <c r="BL313" s="1338"/>
      <c r="BM313" s="1338"/>
      <c r="BN313" s="1338"/>
      <c r="BO313" s="1339"/>
    </row>
    <row r="314" spans="1:67" ht="15" customHeight="1">
      <c r="A314" s="1304">
        <v>2.1</v>
      </c>
      <c r="B314" s="1161" t="s">
        <v>360</v>
      </c>
      <c r="C314" s="1162"/>
      <c r="D314" s="1162"/>
      <c r="E314" s="1162"/>
      <c r="F314" s="1162"/>
      <c r="G314" s="1199"/>
      <c r="H314" s="1268" t="str">
        <f t="shared" ref="H314" si="335">IF(ISBLANK(AZ$5),"",1)</f>
        <v/>
      </c>
      <c r="I314" s="1268" t="str">
        <f t="shared" ref="I314" si="336">IF(ISBLANK(BD$5),"",1)</f>
        <v/>
      </c>
      <c r="J314" s="1268" t="str">
        <f t="shared" ref="J314" si="337">IF(ISBLANK(BH$5),"",1)</f>
        <v/>
      </c>
      <c r="K314" s="1268" t="str">
        <f t="shared" ref="K314" si="338">IF(ISBLANK(BL$5),"",1)</f>
        <v/>
      </c>
      <c r="N314" s="1258">
        <v>4.4000000000000004</v>
      </c>
      <c r="O314" s="1198" t="s">
        <v>417</v>
      </c>
      <c r="P314" s="1162"/>
      <c r="Q314" s="1162"/>
      <c r="R314" s="1162"/>
      <c r="S314" s="1162"/>
      <c r="T314" s="1199"/>
      <c r="U314" s="1226" t="str">
        <f>IF(ISBLANK(AZ$5),"",1)</f>
        <v/>
      </c>
      <c r="V314" s="1322">
        <v>4.4000000000000004</v>
      </c>
      <c r="W314" s="1198" t="s">
        <v>417</v>
      </c>
      <c r="X314" s="1162"/>
      <c r="Y314" s="1162"/>
      <c r="Z314" s="1162"/>
      <c r="AA314" s="1162"/>
      <c r="AB314" s="1199"/>
      <c r="AC314" s="1226" t="str">
        <f>IF(ISBLANK(BD$5),"",1)</f>
        <v/>
      </c>
      <c r="AD314" s="1304">
        <v>4.4000000000000004</v>
      </c>
      <c r="AE314" s="1198" t="s">
        <v>359</v>
      </c>
      <c r="AF314" s="1162"/>
      <c r="AG314" s="1162"/>
      <c r="AH314" s="1162"/>
      <c r="AI314" s="1162"/>
      <c r="AJ314" s="1199"/>
      <c r="AK314" s="1226" t="str">
        <f>IF(ISBLANK(BH$5),"",1)</f>
        <v/>
      </c>
      <c r="AL314" s="1196">
        <v>4.4000000000000004</v>
      </c>
      <c r="AM314" s="1198" t="s">
        <v>418</v>
      </c>
      <c r="AN314" s="1162"/>
      <c r="AO314" s="1162"/>
      <c r="AP314" s="1162"/>
      <c r="AQ314" s="1162"/>
      <c r="AR314" s="1199"/>
      <c r="AS314" s="1226" t="str">
        <f>IF(ISBLANK(BL$5),"",1)</f>
        <v/>
      </c>
      <c r="BJ314" s="1337"/>
      <c r="BK314" s="1338"/>
      <c r="BL314" s="1338"/>
      <c r="BM314" s="1338"/>
      <c r="BN314" s="1338"/>
      <c r="BO314" s="1339"/>
    </row>
    <row r="315" spans="1:67" ht="15" customHeight="1">
      <c r="A315" s="1290"/>
      <c r="B315" s="1163"/>
      <c r="C315" s="1164"/>
      <c r="D315" s="1164"/>
      <c r="E315" s="1164"/>
      <c r="F315" s="1164"/>
      <c r="G315" s="1201"/>
      <c r="H315" s="1269"/>
      <c r="I315" s="1269"/>
      <c r="J315" s="1269"/>
      <c r="K315" s="1269"/>
      <c r="N315" s="1258"/>
      <c r="O315" s="1200"/>
      <c r="P315" s="1164"/>
      <c r="Q315" s="1164"/>
      <c r="R315" s="1164"/>
      <c r="S315" s="1164"/>
      <c r="T315" s="1201"/>
      <c r="U315" s="1342"/>
      <c r="V315" s="1293"/>
      <c r="W315" s="1200"/>
      <c r="X315" s="1164"/>
      <c r="Y315" s="1164"/>
      <c r="Z315" s="1164"/>
      <c r="AA315" s="1164"/>
      <c r="AB315" s="1201"/>
      <c r="AC315" s="1342"/>
      <c r="AD315" s="1290"/>
      <c r="AE315" s="1200"/>
      <c r="AF315" s="1164"/>
      <c r="AG315" s="1164"/>
      <c r="AH315" s="1164"/>
      <c r="AI315" s="1164"/>
      <c r="AJ315" s="1201"/>
      <c r="AK315" s="1342"/>
      <c r="AL315" s="1197"/>
      <c r="AM315" s="1200"/>
      <c r="AN315" s="1164"/>
      <c r="AO315" s="1164"/>
      <c r="AP315" s="1164"/>
      <c r="AQ315" s="1164"/>
      <c r="AR315" s="1201"/>
      <c r="AS315" s="1342"/>
      <c r="BJ315" s="1337"/>
      <c r="BK315" s="1338"/>
      <c r="BL315" s="1338"/>
      <c r="BM315" s="1338"/>
      <c r="BN315" s="1338"/>
      <c r="BO315" s="1339"/>
    </row>
    <row r="316" spans="1:67" ht="15" customHeight="1">
      <c r="A316" s="1291"/>
      <c r="B316" s="1165"/>
      <c r="C316" s="1166"/>
      <c r="D316" s="1166"/>
      <c r="E316" s="1166"/>
      <c r="F316" s="1166"/>
      <c r="G316" s="1292"/>
      <c r="H316" s="1270"/>
      <c r="I316" s="1270"/>
      <c r="J316" s="1270"/>
      <c r="K316" s="1270"/>
      <c r="N316" s="1258"/>
      <c r="O316" s="1202"/>
      <c r="P316" s="1203"/>
      <c r="Q316" s="1203"/>
      <c r="R316" s="1203"/>
      <c r="S316" s="1203"/>
      <c r="T316" s="1204"/>
      <c r="U316" s="1342"/>
      <c r="V316" s="1294"/>
      <c r="W316" s="1202"/>
      <c r="X316" s="1203"/>
      <c r="Y316" s="1203"/>
      <c r="Z316" s="1203"/>
      <c r="AA316" s="1203"/>
      <c r="AB316" s="1204"/>
      <c r="AC316" s="1342"/>
      <c r="AD316" s="1291"/>
      <c r="AE316" s="1202"/>
      <c r="AF316" s="1203"/>
      <c r="AG316" s="1203"/>
      <c r="AH316" s="1203"/>
      <c r="AI316" s="1203"/>
      <c r="AJ316" s="1204"/>
      <c r="AK316" s="1342"/>
      <c r="AL316" s="1197"/>
      <c r="AM316" s="1202"/>
      <c r="AN316" s="1203"/>
      <c r="AO316" s="1203"/>
      <c r="AP316" s="1203"/>
      <c r="AQ316" s="1203"/>
      <c r="AR316" s="1204"/>
      <c r="AS316" s="1342"/>
      <c r="BJ316" s="1337"/>
      <c r="BK316" s="1338"/>
      <c r="BL316" s="1338"/>
      <c r="BM316" s="1338"/>
      <c r="BN316" s="1338"/>
      <c r="BO316" s="1339"/>
    </row>
    <row r="317" spans="1:67" ht="15" customHeight="1">
      <c r="A317" s="1304">
        <v>2.4</v>
      </c>
      <c r="B317" s="1161" t="s">
        <v>942</v>
      </c>
      <c r="C317" s="1162"/>
      <c r="D317" s="1162"/>
      <c r="E317" s="1162"/>
      <c r="F317" s="1162"/>
      <c r="G317" s="1199"/>
      <c r="H317" s="1268" t="str">
        <f t="shared" ref="H317" si="339">IF(ISBLANK(AZ$5),"",1)</f>
        <v/>
      </c>
      <c r="I317" s="1268" t="str">
        <f t="shared" ref="I317" si="340">IF(ISBLANK(BD$5),"",1)</f>
        <v/>
      </c>
      <c r="J317" s="1268" t="str">
        <f t="shared" ref="J317" si="341">IF(ISBLANK(BH$5),"",1)</f>
        <v/>
      </c>
      <c r="K317" s="1268" t="str">
        <f t="shared" ref="K317" si="342">IF(ISBLANK(BL$5),"",1)</f>
        <v/>
      </c>
      <c r="N317" s="1304">
        <v>4.4000000000000004</v>
      </c>
      <c r="O317" s="1198" t="s">
        <v>885</v>
      </c>
      <c r="P317" s="1162"/>
      <c r="Q317" s="1162"/>
      <c r="R317" s="1162"/>
      <c r="S317" s="1162"/>
      <c r="T317" s="1199"/>
      <c r="U317" s="1226" t="str">
        <f>IF(ISBLANK(AZ$5),"",1)</f>
        <v/>
      </c>
      <c r="V317" s="1304">
        <v>4.4000000000000004</v>
      </c>
      <c r="W317" s="1198" t="s">
        <v>359</v>
      </c>
      <c r="X317" s="1162"/>
      <c r="Y317" s="1162"/>
      <c r="Z317" s="1162"/>
      <c r="AA317" s="1162"/>
      <c r="AB317" s="1199"/>
      <c r="AC317" s="1226" t="str">
        <f>IF(ISBLANK(BD$5),"",1)</f>
        <v/>
      </c>
      <c r="AD317" s="1258">
        <v>4.4000000000000004</v>
      </c>
      <c r="AE317" s="1198" t="s">
        <v>395</v>
      </c>
      <c r="AF317" s="1162"/>
      <c r="AG317" s="1162"/>
      <c r="AH317" s="1162"/>
      <c r="AI317" s="1162"/>
      <c r="AJ317" s="1199"/>
      <c r="AK317" s="1226" t="str">
        <f>IF(ISBLANK(BH$5),"",1)</f>
        <v/>
      </c>
      <c r="AL317" s="1196">
        <v>4.4000000000000004</v>
      </c>
      <c r="AM317" s="1198" t="s">
        <v>417</v>
      </c>
      <c r="AN317" s="1162"/>
      <c r="AO317" s="1162"/>
      <c r="AP317" s="1162"/>
      <c r="AQ317" s="1162"/>
      <c r="AR317" s="1199"/>
      <c r="AS317" s="1226" t="str">
        <f>IF(ISBLANK(BL$5),"",1)</f>
        <v/>
      </c>
      <c r="BJ317" s="1337"/>
      <c r="BK317" s="1338"/>
      <c r="BL317" s="1338"/>
      <c r="BM317" s="1338"/>
      <c r="BN317" s="1338"/>
      <c r="BO317" s="1339"/>
    </row>
    <row r="318" spans="1:67" ht="15" customHeight="1">
      <c r="A318" s="1290"/>
      <c r="B318" s="1163"/>
      <c r="C318" s="1164"/>
      <c r="D318" s="1164"/>
      <c r="E318" s="1164"/>
      <c r="F318" s="1164"/>
      <c r="G318" s="1201"/>
      <c r="H318" s="1269"/>
      <c r="I318" s="1269"/>
      <c r="J318" s="1269"/>
      <c r="K318" s="1269"/>
      <c r="N318" s="1290"/>
      <c r="O318" s="1200"/>
      <c r="P318" s="1164"/>
      <c r="Q318" s="1164"/>
      <c r="R318" s="1164"/>
      <c r="S318" s="1164"/>
      <c r="T318" s="1201"/>
      <c r="U318" s="1342"/>
      <c r="V318" s="1290"/>
      <c r="W318" s="1200"/>
      <c r="X318" s="1164"/>
      <c r="Y318" s="1164"/>
      <c r="Z318" s="1164"/>
      <c r="AA318" s="1164"/>
      <c r="AB318" s="1201"/>
      <c r="AC318" s="1342"/>
      <c r="AD318" s="1258"/>
      <c r="AE318" s="1200"/>
      <c r="AF318" s="1164"/>
      <c r="AG318" s="1164"/>
      <c r="AH318" s="1164"/>
      <c r="AI318" s="1164"/>
      <c r="AJ318" s="1201"/>
      <c r="AK318" s="1342"/>
      <c r="AL318" s="1197"/>
      <c r="AM318" s="1200"/>
      <c r="AN318" s="1164"/>
      <c r="AO318" s="1164"/>
      <c r="AP318" s="1164"/>
      <c r="AQ318" s="1164"/>
      <c r="AR318" s="1201"/>
      <c r="AS318" s="1342"/>
      <c r="BJ318" s="1337"/>
      <c r="BK318" s="1338"/>
      <c r="BL318" s="1338"/>
      <c r="BM318" s="1338"/>
      <c r="BN318" s="1338"/>
      <c r="BO318" s="1339"/>
    </row>
    <row r="319" spans="1:67" ht="15" customHeight="1">
      <c r="A319" s="1291"/>
      <c r="B319" s="1165"/>
      <c r="C319" s="1166"/>
      <c r="D319" s="1166"/>
      <c r="E319" s="1166"/>
      <c r="F319" s="1166"/>
      <c r="G319" s="1292"/>
      <c r="H319" s="1270"/>
      <c r="I319" s="1270"/>
      <c r="J319" s="1270"/>
      <c r="K319" s="1270"/>
      <c r="N319" s="1291"/>
      <c r="O319" s="1202"/>
      <c r="P319" s="1203"/>
      <c r="Q319" s="1203"/>
      <c r="R319" s="1203"/>
      <c r="S319" s="1203"/>
      <c r="T319" s="1204"/>
      <c r="U319" s="1342"/>
      <c r="V319" s="1291"/>
      <c r="W319" s="1202"/>
      <c r="X319" s="1203"/>
      <c r="Y319" s="1203"/>
      <c r="Z319" s="1203"/>
      <c r="AA319" s="1203"/>
      <c r="AB319" s="1204"/>
      <c r="AC319" s="1342"/>
      <c r="AD319" s="1258"/>
      <c r="AE319" s="1202"/>
      <c r="AF319" s="1203"/>
      <c r="AG319" s="1203"/>
      <c r="AH319" s="1203"/>
      <c r="AI319" s="1203"/>
      <c r="AJ319" s="1204"/>
      <c r="AK319" s="1342"/>
      <c r="AL319" s="1197"/>
      <c r="AM319" s="1202"/>
      <c r="AN319" s="1203"/>
      <c r="AO319" s="1203"/>
      <c r="AP319" s="1203"/>
      <c r="AQ319" s="1203"/>
      <c r="AR319" s="1204"/>
      <c r="AS319" s="1342"/>
      <c r="BJ319" s="1337"/>
      <c r="BK319" s="1338"/>
      <c r="BL319" s="1338"/>
      <c r="BM319" s="1338"/>
      <c r="BN319" s="1338"/>
      <c r="BO319" s="1339"/>
    </row>
    <row r="320" spans="1:67" ht="15" customHeight="1">
      <c r="A320" s="252"/>
      <c r="B320" s="243"/>
      <c r="C320" s="242"/>
      <c r="D320" s="242"/>
      <c r="F320" s="278">
        <v>1.1000000000000001</v>
      </c>
      <c r="G320" s="311">
        <f>COUNTIF($A$293:$A$319,F320)</f>
        <v>4</v>
      </c>
      <c r="H320" s="240" t="str">
        <f>IF($AZ$5=1,SUMIF($A$293:$A$319,$F320,$H$293:$H$319),"")</f>
        <v/>
      </c>
      <c r="I320" s="240" t="str">
        <f>IF($BD$5=1,SUMIF($A$293:$A$319,$F320,$I$293:$I$319),"")</f>
        <v/>
      </c>
      <c r="J320" s="240" t="str">
        <f>IF($BH$5=1,SUMIF($A$293:$A$319,$F320,$J$293:$J$319),"")</f>
        <v/>
      </c>
      <c r="K320" s="240" t="str">
        <f>IF($BL$5=1,SUMIF($A$293:$A$319,$F320,$K$293:$K$319),"")</f>
        <v/>
      </c>
      <c r="N320" s="1258">
        <v>4.4000000000000004</v>
      </c>
      <c r="O320" s="1198" t="s">
        <v>395</v>
      </c>
      <c r="P320" s="1162"/>
      <c r="Q320" s="1162"/>
      <c r="R320" s="1162"/>
      <c r="S320" s="1162"/>
      <c r="T320" s="1199"/>
      <c r="U320" s="1226" t="str">
        <f>IF(ISBLANK(AZ$5),"",1)</f>
        <v/>
      </c>
      <c r="V320" s="1258">
        <v>4.4000000000000004</v>
      </c>
      <c r="W320" s="1198" t="s">
        <v>395</v>
      </c>
      <c r="X320" s="1162"/>
      <c r="Y320" s="1162"/>
      <c r="Z320" s="1162"/>
      <c r="AA320" s="1162"/>
      <c r="AB320" s="1199"/>
      <c r="AC320" s="1226" t="str">
        <f>IF(ISBLANK(BD$5),"",1)</f>
        <v/>
      </c>
      <c r="AD320" s="1304">
        <v>4.4000000000000004</v>
      </c>
      <c r="AE320" s="1198" t="s">
        <v>878</v>
      </c>
      <c r="AF320" s="1162"/>
      <c r="AG320" s="1162"/>
      <c r="AH320" s="1162"/>
      <c r="AI320" s="1162"/>
      <c r="AJ320" s="1199"/>
      <c r="AK320" s="1226" t="str">
        <f>IF(ISBLANK(BH$5),"",1)</f>
        <v/>
      </c>
      <c r="AL320" s="1196">
        <v>4.4000000000000004</v>
      </c>
      <c r="AM320" s="1198" t="s">
        <v>422</v>
      </c>
      <c r="AN320" s="1162"/>
      <c r="AO320" s="1162"/>
      <c r="AP320" s="1162"/>
      <c r="AQ320" s="1162"/>
      <c r="AR320" s="1199"/>
      <c r="AS320" s="1226" t="str">
        <f>IF(ISBLANK(BL$5),"",1)</f>
        <v/>
      </c>
      <c r="BJ320" s="1337"/>
      <c r="BK320" s="1338"/>
      <c r="BL320" s="1338"/>
      <c r="BM320" s="1338"/>
      <c r="BN320" s="1338"/>
      <c r="BO320" s="1339"/>
    </row>
    <row r="321" spans="1:67" ht="15" customHeight="1">
      <c r="A321" s="252"/>
      <c r="B321" s="243"/>
      <c r="C321" s="242"/>
      <c r="D321" s="242"/>
      <c r="F321" s="278">
        <v>1.5</v>
      </c>
      <c r="G321" s="311">
        <f t="shared" ref="G321:G323" si="343">COUNTIF($A$293:$A$319,F321)</f>
        <v>1</v>
      </c>
      <c r="H321" s="240" t="str">
        <f t="shared" ref="H321:H323" si="344">IF($AZ$5=1,SUMIF($A$293:$A$319,$F321,$H$293:$H$319),"")</f>
        <v/>
      </c>
      <c r="I321" s="240" t="str">
        <f t="shared" ref="I321:I323" si="345">IF($BD$5=1,SUMIF($A$293:$A$319,$F321,$I$293:$I$319),"")</f>
        <v/>
      </c>
      <c r="J321" s="240" t="str">
        <f t="shared" ref="J321:J323" si="346">IF($BH$5=1,SUMIF($A$293:$A$319,$F321,$J$293:$J$319),"")</f>
        <v/>
      </c>
      <c r="K321" s="240" t="str">
        <f t="shared" ref="K321:K323" si="347">IF($BL$5=1,SUMIF($A$293:$A$319,$F321,$K$293:$K$319),"")</f>
        <v/>
      </c>
      <c r="N321" s="1258"/>
      <c r="O321" s="1200"/>
      <c r="P321" s="1164"/>
      <c r="Q321" s="1164"/>
      <c r="R321" s="1164"/>
      <c r="S321" s="1164"/>
      <c r="T321" s="1201"/>
      <c r="U321" s="1342"/>
      <c r="V321" s="1258"/>
      <c r="W321" s="1200"/>
      <c r="X321" s="1164"/>
      <c r="Y321" s="1164"/>
      <c r="Z321" s="1164"/>
      <c r="AA321" s="1164"/>
      <c r="AB321" s="1201"/>
      <c r="AC321" s="1342"/>
      <c r="AD321" s="1290"/>
      <c r="AE321" s="1200"/>
      <c r="AF321" s="1164"/>
      <c r="AG321" s="1164"/>
      <c r="AH321" s="1164"/>
      <c r="AI321" s="1164"/>
      <c r="AJ321" s="1201"/>
      <c r="AK321" s="1342"/>
      <c r="AL321" s="1197"/>
      <c r="AM321" s="1200"/>
      <c r="AN321" s="1164"/>
      <c r="AO321" s="1164"/>
      <c r="AP321" s="1164"/>
      <c r="AQ321" s="1164"/>
      <c r="AR321" s="1201"/>
      <c r="AS321" s="1342"/>
      <c r="BJ321" s="1222"/>
      <c r="BK321" s="1223"/>
      <c r="BL321" s="1223"/>
      <c r="BM321" s="1223"/>
      <c r="BN321" s="1223"/>
      <c r="BO321" s="1224"/>
    </row>
    <row r="322" spans="1:67" ht="15" customHeight="1">
      <c r="A322" s="249"/>
      <c r="B322" s="249"/>
      <c r="C322" s="249"/>
      <c r="D322" s="249"/>
      <c r="F322" s="277">
        <v>2.1</v>
      </c>
      <c r="G322" s="311">
        <f t="shared" si="343"/>
        <v>2</v>
      </c>
      <c r="H322" s="240" t="str">
        <f t="shared" si="344"/>
        <v/>
      </c>
      <c r="I322" s="240" t="str">
        <f t="shared" si="345"/>
        <v/>
      </c>
      <c r="J322" s="240" t="str">
        <f t="shared" si="346"/>
        <v/>
      </c>
      <c r="K322" s="240" t="str">
        <f t="shared" si="347"/>
        <v/>
      </c>
      <c r="N322" s="1258"/>
      <c r="O322" s="1202"/>
      <c r="P322" s="1203"/>
      <c r="Q322" s="1203"/>
      <c r="R322" s="1203"/>
      <c r="S322" s="1203"/>
      <c r="T322" s="1204"/>
      <c r="U322" s="1342"/>
      <c r="V322" s="1258"/>
      <c r="W322" s="1202"/>
      <c r="X322" s="1203"/>
      <c r="Y322" s="1203"/>
      <c r="Z322" s="1203"/>
      <c r="AA322" s="1203"/>
      <c r="AB322" s="1204"/>
      <c r="AC322" s="1342"/>
      <c r="AD322" s="1291"/>
      <c r="AE322" s="1202"/>
      <c r="AF322" s="1203"/>
      <c r="AG322" s="1203"/>
      <c r="AH322" s="1203"/>
      <c r="AI322" s="1203"/>
      <c r="AJ322" s="1204"/>
      <c r="AK322" s="1342"/>
      <c r="AL322" s="1197"/>
      <c r="AM322" s="1202"/>
      <c r="AN322" s="1203"/>
      <c r="AO322" s="1203"/>
      <c r="AP322" s="1203"/>
      <c r="AQ322" s="1203"/>
      <c r="AR322" s="1204"/>
      <c r="AS322" s="1342"/>
    </row>
    <row r="323" spans="1:67" ht="15" customHeight="1">
      <c r="F323" s="277">
        <v>2.4</v>
      </c>
      <c r="G323" s="311">
        <f t="shared" si="343"/>
        <v>2</v>
      </c>
      <c r="H323" s="240" t="str">
        <f t="shared" si="344"/>
        <v/>
      </c>
      <c r="I323" s="240" t="str">
        <f t="shared" si="345"/>
        <v/>
      </c>
      <c r="J323" s="240" t="str">
        <f t="shared" si="346"/>
        <v/>
      </c>
      <c r="K323" s="240" t="str">
        <f t="shared" si="347"/>
        <v/>
      </c>
      <c r="N323" s="1304">
        <v>4.4000000000000004</v>
      </c>
      <c r="O323" s="1198" t="s">
        <v>878</v>
      </c>
      <c r="P323" s="1162"/>
      <c r="Q323" s="1162"/>
      <c r="R323" s="1162"/>
      <c r="S323" s="1162"/>
      <c r="T323" s="1199"/>
      <c r="U323" s="1226" t="str">
        <f>IF(ISBLANK(AZ$5),"",1)</f>
        <v/>
      </c>
      <c r="V323" s="1304">
        <v>4.4000000000000004</v>
      </c>
      <c r="W323" s="1198" t="s">
        <v>878</v>
      </c>
      <c r="X323" s="1162"/>
      <c r="Y323" s="1162"/>
      <c r="Z323" s="1162"/>
      <c r="AA323" s="1162"/>
      <c r="AB323" s="1199"/>
      <c r="AC323" s="1226" t="str">
        <f>IF(ISBLANK(BD$5),"",1)</f>
        <v/>
      </c>
      <c r="AD323" s="1307">
        <v>1.5</v>
      </c>
      <c r="AE323" s="1198" t="s">
        <v>373</v>
      </c>
      <c r="AF323" s="1162"/>
      <c r="AG323" s="1162"/>
      <c r="AH323" s="1162"/>
      <c r="AI323" s="1162"/>
      <c r="AJ323" s="1199"/>
      <c r="AK323" s="1226" t="str">
        <f>IF(ISBLANK(BH$5),"",1)</f>
        <v/>
      </c>
      <c r="AL323" s="1196">
        <v>4.4000000000000004</v>
      </c>
      <c r="AM323" s="1198" t="s">
        <v>420</v>
      </c>
      <c r="AN323" s="1162"/>
      <c r="AO323" s="1162"/>
      <c r="AP323" s="1162"/>
      <c r="AQ323" s="1162"/>
      <c r="AR323" s="1199"/>
      <c r="AS323" s="1226" t="str">
        <f>IF(ISBLANK(BL$5),"",1)</f>
        <v/>
      </c>
    </row>
    <row r="324" spans="1:67" ht="15" customHeight="1">
      <c r="N324" s="1290"/>
      <c r="O324" s="1200"/>
      <c r="P324" s="1164"/>
      <c r="Q324" s="1164"/>
      <c r="R324" s="1164"/>
      <c r="S324" s="1164"/>
      <c r="T324" s="1201"/>
      <c r="U324" s="1342"/>
      <c r="V324" s="1290"/>
      <c r="W324" s="1200"/>
      <c r="X324" s="1164"/>
      <c r="Y324" s="1164"/>
      <c r="Z324" s="1164"/>
      <c r="AA324" s="1164"/>
      <c r="AB324" s="1201"/>
      <c r="AC324" s="1342"/>
      <c r="AD324" s="1308"/>
      <c r="AE324" s="1200"/>
      <c r="AF324" s="1164"/>
      <c r="AG324" s="1164"/>
      <c r="AH324" s="1164"/>
      <c r="AI324" s="1164"/>
      <c r="AJ324" s="1201"/>
      <c r="AK324" s="1342"/>
      <c r="AL324" s="1197"/>
      <c r="AM324" s="1200"/>
      <c r="AN324" s="1164"/>
      <c r="AO324" s="1164"/>
      <c r="AP324" s="1164"/>
      <c r="AQ324" s="1164"/>
      <c r="AR324" s="1201"/>
      <c r="AS324" s="1342"/>
    </row>
    <row r="325" spans="1:67" ht="15" customHeight="1">
      <c r="A325" s="1209"/>
      <c r="B325" s="1210" t="s">
        <v>609</v>
      </c>
      <c r="C325" s="1211"/>
      <c r="D325" s="1211"/>
      <c r="E325" s="1211"/>
      <c r="F325" s="1211"/>
      <c r="G325" s="1211"/>
      <c r="H325" s="1174">
        <v>13</v>
      </c>
      <c r="I325" s="1174">
        <v>14</v>
      </c>
      <c r="J325" s="1174">
        <v>15</v>
      </c>
      <c r="K325" s="1174">
        <v>16</v>
      </c>
      <c r="N325" s="1291"/>
      <c r="O325" s="1202"/>
      <c r="P325" s="1203"/>
      <c r="Q325" s="1203"/>
      <c r="R325" s="1203"/>
      <c r="S325" s="1203"/>
      <c r="T325" s="1204"/>
      <c r="U325" s="1342"/>
      <c r="V325" s="1291"/>
      <c r="W325" s="1202"/>
      <c r="X325" s="1203"/>
      <c r="Y325" s="1203"/>
      <c r="Z325" s="1203"/>
      <c r="AA325" s="1203"/>
      <c r="AB325" s="1204"/>
      <c r="AC325" s="1342"/>
      <c r="AD325" s="1309"/>
      <c r="AE325" s="1202"/>
      <c r="AF325" s="1203"/>
      <c r="AG325" s="1203"/>
      <c r="AH325" s="1203"/>
      <c r="AI325" s="1203"/>
      <c r="AJ325" s="1204"/>
      <c r="AK325" s="1342"/>
      <c r="AL325" s="1197"/>
      <c r="AM325" s="1202"/>
      <c r="AN325" s="1203"/>
      <c r="AO325" s="1203"/>
      <c r="AP325" s="1203"/>
      <c r="AQ325" s="1203"/>
      <c r="AR325" s="1204"/>
      <c r="AS325" s="1342"/>
    </row>
    <row r="326" spans="1:67" ht="15" customHeight="1">
      <c r="A326" s="1209"/>
      <c r="B326" s="1212"/>
      <c r="C326" s="1213"/>
      <c r="D326" s="1213"/>
      <c r="E326" s="1213"/>
      <c r="F326" s="1213"/>
      <c r="G326" s="1213"/>
      <c r="H326" s="1174"/>
      <c r="I326" s="1174"/>
      <c r="J326" s="1174"/>
      <c r="K326" s="1174"/>
      <c r="N326" s="1307">
        <v>1.5</v>
      </c>
      <c r="O326" s="1198" t="s">
        <v>373</v>
      </c>
      <c r="P326" s="1162"/>
      <c r="Q326" s="1162"/>
      <c r="R326" s="1162"/>
      <c r="S326" s="1162"/>
      <c r="T326" s="1199"/>
      <c r="U326" s="1226" t="str">
        <f>IF(ISBLANK(AZ$5),"",1)</f>
        <v/>
      </c>
      <c r="V326" s="1307">
        <v>1.5</v>
      </c>
      <c r="W326" s="1198" t="s">
        <v>373</v>
      </c>
      <c r="X326" s="1162"/>
      <c r="Y326" s="1162"/>
      <c r="Z326" s="1162"/>
      <c r="AA326" s="1162"/>
      <c r="AB326" s="1199"/>
      <c r="AC326" s="1226" t="str">
        <f>IF(ISBLANK(BD$5),"",1)</f>
        <v/>
      </c>
      <c r="AD326" s="1258">
        <v>4.4000000000000004</v>
      </c>
      <c r="AE326" s="1198" t="s">
        <v>397</v>
      </c>
      <c r="AF326" s="1162"/>
      <c r="AG326" s="1162"/>
      <c r="AH326" s="1162"/>
      <c r="AI326" s="1162"/>
      <c r="AJ326" s="1199"/>
      <c r="AK326" s="1226" t="str">
        <f>IF(ISBLANK(BH$5),"",1)</f>
        <v/>
      </c>
      <c r="AL326" s="1304">
        <v>4.4000000000000004</v>
      </c>
      <c r="AM326" s="1198" t="s">
        <v>359</v>
      </c>
      <c r="AN326" s="1162"/>
      <c r="AO326" s="1162"/>
      <c r="AP326" s="1162"/>
      <c r="AQ326" s="1162"/>
      <c r="AR326" s="1199"/>
      <c r="AS326" s="1226" t="str">
        <f>IF(ISBLANK(BL$5),"",1)</f>
        <v/>
      </c>
    </row>
    <row r="327" spans="1:67" ht="15" customHeight="1">
      <c r="A327" s="1336">
        <v>3.1</v>
      </c>
      <c r="B327" s="1198" t="s">
        <v>366</v>
      </c>
      <c r="C327" s="1162"/>
      <c r="D327" s="1162"/>
      <c r="E327" s="1162"/>
      <c r="F327" s="1162"/>
      <c r="G327" s="1265"/>
      <c r="H327" s="1268" t="str">
        <f t="shared" ref="H327" si="348">IF(ISBLANK(AZ$5),"",1)</f>
        <v/>
      </c>
      <c r="I327" s="1268" t="str">
        <f t="shared" ref="I327" si="349">IF(ISBLANK(BD$5),"",1)</f>
        <v/>
      </c>
      <c r="J327" s="1268" t="str">
        <f t="shared" ref="J327" si="350">IF(ISBLANK(BH$5),"",1)</f>
        <v/>
      </c>
      <c r="K327" s="1268" t="str">
        <f t="shared" ref="K327" si="351">IF(ISBLANK(BL$5),"",1)</f>
        <v/>
      </c>
      <c r="N327" s="1308"/>
      <c r="O327" s="1200"/>
      <c r="P327" s="1164"/>
      <c r="Q327" s="1164"/>
      <c r="R327" s="1164"/>
      <c r="S327" s="1164"/>
      <c r="T327" s="1201"/>
      <c r="U327" s="1342"/>
      <c r="V327" s="1308"/>
      <c r="W327" s="1200"/>
      <c r="X327" s="1164"/>
      <c r="Y327" s="1164"/>
      <c r="Z327" s="1164"/>
      <c r="AA327" s="1164"/>
      <c r="AB327" s="1201"/>
      <c r="AC327" s="1342"/>
      <c r="AD327" s="1258"/>
      <c r="AE327" s="1200"/>
      <c r="AF327" s="1164"/>
      <c r="AG327" s="1164"/>
      <c r="AH327" s="1164"/>
      <c r="AI327" s="1164"/>
      <c r="AJ327" s="1201"/>
      <c r="AK327" s="1342"/>
      <c r="AL327" s="1290"/>
      <c r="AM327" s="1200"/>
      <c r="AN327" s="1164"/>
      <c r="AO327" s="1164"/>
      <c r="AP327" s="1164"/>
      <c r="AQ327" s="1164"/>
      <c r="AR327" s="1201"/>
      <c r="AS327" s="1342"/>
    </row>
    <row r="328" spans="1:67" ht="15" customHeight="1">
      <c r="A328" s="1159"/>
      <c r="B328" s="1200"/>
      <c r="C328" s="1164"/>
      <c r="D328" s="1164"/>
      <c r="E328" s="1164"/>
      <c r="F328" s="1164"/>
      <c r="G328" s="1266"/>
      <c r="H328" s="1269"/>
      <c r="I328" s="1269"/>
      <c r="J328" s="1269"/>
      <c r="K328" s="1269"/>
      <c r="N328" s="1309"/>
      <c r="O328" s="1202"/>
      <c r="P328" s="1203"/>
      <c r="Q328" s="1203"/>
      <c r="R328" s="1203"/>
      <c r="S328" s="1203"/>
      <c r="T328" s="1204"/>
      <c r="U328" s="1342"/>
      <c r="V328" s="1309"/>
      <c r="W328" s="1202"/>
      <c r="X328" s="1203"/>
      <c r="Y328" s="1203"/>
      <c r="Z328" s="1203"/>
      <c r="AA328" s="1203"/>
      <c r="AB328" s="1204"/>
      <c r="AC328" s="1342"/>
      <c r="AD328" s="1258"/>
      <c r="AE328" s="1202"/>
      <c r="AF328" s="1203"/>
      <c r="AG328" s="1203"/>
      <c r="AH328" s="1203"/>
      <c r="AI328" s="1203"/>
      <c r="AJ328" s="1204"/>
      <c r="AK328" s="1342"/>
      <c r="AL328" s="1291"/>
      <c r="AM328" s="1202"/>
      <c r="AN328" s="1203"/>
      <c r="AO328" s="1203"/>
      <c r="AP328" s="1203"/>
      <c r="AQ328" s="1203"/>
      <c r="AR328" s="1204"/>
      <c r="AS328" s="1342"/>
    </row>
    <row r="329" spans="1:67" ht="15" customHeight="1">
      <c r="A329" s="1160"/>
      <c r="B329" s="1200"/>
      <c r="C329" s="1164"/>
      <c r="D329" s="1164"/>
      <c r="E329" s="1164"/>
      <c r="F329" s="1164"/>
      <c r="G329" s="1266"/>
      <c r="H329" s="1270"/>
      <c r="I329" s="1270"/>
      <c r="J329" s="1270"/>
      <c r="K329" s="1270"/>
      <c r="N329" s="1258">
        <v>4.4000000000000004</v>
      </c>
      <c r="O329" s="1198" t="s">
        <v>397</v>
      </c>
      <c r="P329" s="1162"/>
      <c r="Q329" s="1162"/>
      <c r="R329" s="1162"/>
      <c r="S329" s="1162"/>
      <c r="T329" s="1199"/>
      <c r="U329" s="1226" t="str">
        <f>IF(ISBLANK(AZ$5),"",1)</f>
        <v/>
      </c>
      <c r="V329" s="1258">
        <v>4.4000000000000004</v>
      </c>
      <c r="W329" s="1198" t="s">
        <v>397</v>
      </c>
      <c r="X329" s="1162"/>
      <c r="Y329" s="1162"/>
      <c r="Z329" s="1162"/>
      <c r="AA329" s="1162"/>
      <c r="AB329" s="1199"/>
      <c r="AC329" s="1226" t="str">
        <f>IF(ISBLANK(BD$5),"",1)</f>
        <v/>
      </c>
      <c r="AF329" s="52"/>
      <c r="AG329" s="247"/>
      <c r="AI329" s="273">
        <v>1.5</v>
      </c>
      <c r="AJ329" s="240">
        <f>COUNTIF($AD$293:$AD$328,AI329)</f>
        <v>1</v>
      </c>
      <c r="AK329" s="240" t="str">
        <f>IF($BH$5=1,SUMIF($AD$293:$AD$328,AI329,$AK$293:$AK$328),"")</f>
        <v/>
      </c>
      <c r="AL329" s="1196">
        <v>4.4000000000000004</v>
      </c>
      <c r="AM329" s="1198" t="s">
        <v>395</v>
      </c>
      <c r="AN329" s="1162"/>
      <c r="AO329" s="1162"/>
      <c r="AP329" s="1162"/>
      <c r="AQ329" s="1162"/>
      <c r="AR329" s="1199"/>
      <c r="AS329" s="1226" t="str">
        <f>IF(ISBLANK(BL$5),"",1)</f>
        <v/>
      </c>
    </row>
    <row r="330" spans="1:67" ht="15" customHeight="1">
      <c r="A330" s="1336">
        <v>1.4</v>
      </c>
      <c r="B330" s="1198" t="s">
        <v>943</v>
      </c>
      <c r="C330" s="1162"/>
      <c r="D330" s="1162"/>
      <c r="E330" s="1162"/>
      <c r="F330" s="1162"/>
      <c r="G330" s="1265"/>
      <c r="H330" s="1268" t="str">
        <f t="shared" ref="H330" si="352">IF(ISBLANK(AZ$5),"",1)</f>
        <v/>
      </c>
      <c r="I330" s="1268" t="str">
        <f t="shared" ref="I330" si="353">IF(ISBLANK(BD$5),"",1)</f>
        <v/>
      </c>
      <c r="J330" s="1268" t="str">
        <f t="shared" ref="J330" si="354">IF(ISBLANK(BH$5),"",1)</f>
        <v/>
      </c>
      <c r="K330" s="1268" t="str">
        <f t="shared" ref="K330" si="355">IF(ISBLANK(BL$5),"",1)</f>
        <v/>
      </c>
      <c r="N330" s="1258"/>
      <c r="O330" s="1200"/>
      <c r="P330" s="1164"/>
      <c r="Q330" s="1164"/>
      <c r="R330" s="1164"/>
      <c r="S330" s="1164"/>
      <c r="T330" s="1201"/>
      <c r="U330" s="1342"/>
      <c r="V330" s="1258"/>
      <c r="W330" s="1200"/>
      <c r="X330" s="1164"/>
      <c r="Y330" s="1164"/>
      <c r="Z330" s="1164"/>
      <c r="AA330" s="1164"/>
      <c r="AB330" s="1201"/>
      <c r="AC330" s="1342"/>
      <c r="AF330" s="52"/>
      <c r="AG330" s="248"/>
      <c r="AI330" s="274">
        <v>4.3</v>
      </c>
      <c r="AJ330" s="240">
        <f>COUNTIF($AD$293:$AD$328,AI330)</f>
        <v>4</v>
      </c>
      <c r="AK330" s="240" t="str">
        <f>IF($BH$5=1,SUMIF($AD$293:$AD$328,AI330,$AK$293:$AK$328),"")</f>
        <v/>
      </c>
      <c r="AL330" s="1197"/>
      <c r="AM330" s="1200"/>
      <c r="AN330" s="1164"/>
      <c r="AO330" s="1164"/>
      <c r="AP330" s="1164"/>
      <c r="AQ330" s="1164"/>
      <c r="AR330" s="1201"/>
      <c r="AS330" s="1342"/>
    </row>
    <row r="331" spans="1:67" ht="15" customHeight="1">
      <c r="A331" s="1159"/>
      <c r="B331" s="1200"/>
      <c r="C331" s="1164"/>
      <c r="D331" s="1164"/>
      <c r="E331" s="1164"/>
      <c r="F331" s="1164"/>
      <c r="G331" s="1266"/>
      <c r="H331" s="1269"/>
      <c r="I331" s="1269"/>
      <c r="J331" s="1269"/>
      <c r="K331" s="1269"/>
      <c r="N331" s="1258"/>
      <c r="O331" s="1202"/>
      <c r="P331" s="1203"/>
      <c r="Q331" s="1203"/>
      <c r="R331" s="1203"/>
      <c r="S331" s="1203"/>
      <c r="T331" s="1204"/>
      <c r="U331" s="1342"/>
      <c r="V331" s="1258"/>
      <c r="W331" s="1202"/>
      <c r="X331" s="1203"/>
      <c r="Y331" s="1203"/>
      <c r="Z331" s="1203"/>
      <c r="AA331" s="1203"/>
      <c r="AB331" s="1204"/>
      <c r="AC331" s="1342"/>
      <c r="AF331" s="52"/>
      <c r="AG331" s="248"/>
      <c r="AI331" s="274">
        <v>4.4000000000000004</v>
      </c>
      <c r="AJ331" s="240">
        <f>COUNTIF($AD$293:$AD$328,AI331)</f>
        <v>7</v>
      </c>
      <c r="AK331" s="240" t="str">
        <f>IF($BH$5=1,SUMIF($AD$293:$AD$328,AI331,$AK$293:$AK$328),"")</f>
        <v/>
      </c>
      <c r="AL331" s="1197"/>
      <c r="AM331" s="1202"/>
      <c r="AN331" s="1203"/>
      <c r="AO331" s="1203"/>
      <c r="AP331" s="1203"/>
      <c r="AQ331" s="1203"/>
      <c r="AR331" s="1204"/>
      <c r="AS331" s="1342"/>
    </row>
    <row r="332" spans="1:67" ht="15" customHeight="1">
      <c r="A332" s="1160"/>
      <c r="B332" s="1200"/>
      <c r="C332" s="1164"/>
      <c r="D332" s="1164"/>
      <c r="E332" s="1164"/>
      <c r="F332" s="1164"/>
      <c r="G332" s="1266"/>
      <c r="H332" s="1270"/>
      <c r="I332" s="1270"/>
      <c r="J332" s="1270"/>
      <c r="K332" s="1270"/>
      <c r="O332" s="52"/>
      <c r="Q332" s="247"/>
      <c r="S332" s="273">
        <v>1.5</v>
      </c>
      <c r="T332" s="240">
        <f>COUNTIF($N$293:$N$331,S332)</f>
        <v>1</v>
      </c>
      <c r="U332" s="240" t="str">
        <f>IF($AZ$5=1,SUMIF($N$293:$N$331,S332,$U$293:$U$331),"")</f>
        <v/>
      </c>
      <c r="W332" s="52"/>
      <c r="Y332" s="247"/>
      <c r="AA332" s="273">
        <v>1.5</v>
      </c>
      <c r="AB332" s="240">
        <f>COUNTIF($V$293:$V$331,AA332)</f>
        <v>1</v>
      </c>
      <c r="AC332" s="240" t="str">
        <f>IF($BD$5=1,SUMIF($V$293:$V$331,AA332,$AC$293:$AC$331),"")</f>
        <v/>
      </c>
      <c r="AF332" s="52"/>
      <c r="AL332" s="1307">
        <v>4.4000000000000004</v>
      </c>
      <c r="AM332" s="1310" t="s">
        <v>363</v>
      </c>
      <c r="AN332" s="1311"/>
      <c r="AO332" s="1311"/>
      <c r="AP332" s="1311"/>
      <c r="AQ332" s="1311"/>
      <c r="AR332" s="1316"/>
      <c r="AS332" s="1226" t="str">
        <f>IF(ISBLANK(BL$5),"",1)</f>
        <v/>
      </c>
    </row>
    <row r="333" spans="1:67" ht="15" customHeight="1">
      <c r="A333" s="1168" t="s">
        <v>637</v>
      </c>
      <c r="B333" s="1168"/>
      <c r="C333" s="1168"/>
      <c r="D333" s="1168"/>
      <c r="E333" s="1169"/>
      <c r="F333" s="617">
        <v>3.1</v>
      </c>
      <c r="G333" s="620">
        <f>COUNTIF($A$327:$A$332,F333)</f>
        <v>1</v>
      </c>
      <c r="H333" s="240" t="str">
        <f>IF($AZ$5=1,SUMIF($A$327:$A$332,$F333,$H$327:$H$332),"")</f>
        <v/>
      </c>
      <c r="I333" s="240" t="str">
        <f>IF($BD$5=1,SUMIF($A$327:$A$332,$F333,$I$327:$I$332),"")</f>
        <v/>
      </c>
      <c r="J333" s="240" t="str">
        <f>IF($BH$5=1,SUMIF($A$327:$A$332,$F333,$J$327:$J$332),"")</f>
        <v/>
      </c>
      <c r="K333" s="240" t="str">
        <f>IF($BL$5=1,SUMIF($A$327:$A$332,$F333,$K$327:$K$332),"")</f>
        <v/>
      </c>
      <c r="O333" s="52"/>
      <c r="Q333" s="242"/>
      <c r="S333" s="274">
        <v>4.3</v>
      </c>
      <c r="T333" s="240">
        <f>COUNTIF($N$293:$N$331,S333)</f>
        <v>5</v>
      </c>
      <c r="U333" s="240" t="str">
        <f>IF($AZ$5=1,SUMIF($N$293:$N$331,S333,$U$293:$U$331),"")</f>
        <v/>
      </c>
      <c r="W333" s="52"/>
      <c r="AA333" s="274">
        <v>4.3</v>
      </c>
      <c r="AB333" s="240">
        <f>COUNTIF($V$293:$V$331,AA333)</f>
        <v>6</v>
      </c>
      <c r="AC333" s="240" t="str">
        <f>IF($BD$5=1,SUMIF($V$293:$V$331,AA333,$AC$293:$AC$331),"")</f>
        <v/>
      </c>
      <c r="AF333" s="52"/>
      <c r="AL333" s="1308"/>
      <c r="AM333" s="1295"/>
      <c r="AN333" s="1296"/>
      <c r="AO333" s="1296"/>
      <c r="AP333" s="1296"/>
      <c r="AQ333" s="1296"/>
      <c r="AR333" s="1318"/>
      <c r="AS333" s="1342"/>
    </row>
    <row r="334" spans="1:67" ht="15" customHeight="1">
      <c r="F334" s="617">
        <v>1.4</v>
      </c>
      <c r="G334" s="620">
        <f>COUNTIF($A$327:$A$332,F334)</f>
        <v>1</v>
      </c>
      <c r="H334" s="240" t="str">
        <f>IF($AZ$5=1,SUMIF($A$327:$A$332,$F334,$H$327:$H$332),"")</f>
        <v/>
      </c>
      <c r="I334" s="240" t="str">
        <f>IF($BD$5=1,SUMIF($A$327:$A$332,$F334,$I$327:$I$332),"")</f>
        <v/>
      </c>
      <c r="J334" s="240" t="str">
        <f>IF($BH$5=1,SUMIF($A$327:$A$332,$F334,$J$327:$J$332),"")</f>
        <v/>
      </c>
      <c r="K334" s="240" t="str">
        <f>IF($BL$5=1,SUMIF($A$327:$A$332,$F334,$K$327:$K$332),"")</f>
        <v/>
      </c>
      <c r="O334" s="52"/>
      <c r="Q334" s="242"/>
      <c r="S334" s="274">
        <v>4.4000000000000004</v>
      </c>
      <c r="T334" s="240">
        <f>COUNTIF($N$293:$N$331,S334)</f>
        <v>7</v>
      </c>
      <c r="U334" s="240" t="str">
        <f>IF($AZ$5=1,SUMIF($N$293:$N$331,S334,$U$293:$U$331),"")</f>
        <v/>
      </c>
      <c r="W334" s="52"/>
      <c r="AA334" s="274">
        <v>4.4000000000000004</v>
      </c>
      <c r="AB334" s="240">
        <f>COUNTIF($V$293:$V$331,AA334)</f>
        <v>6</v>
      </c>
      <c r="AC334" s="240" t="str">
        <f>IF($BD$5=1,SUMIF($V$293:$V$331,AA334,$AC$293:$AC$331),"")</f>
        <v/>
      </c>
      <c r="AF334" s="52"/>
      <c r="AL334" s="1309"/>
      <c r="AM334" s="1298"/>
      <c r="AN334" s="1299"/>
      <c r="AO334" s="1299"/>
      <c r="AP334" s="1299"/>
      <c r="AQ334" s="1299"/>
      <c r="AR334" s="1335"/>
      <c r="AS334" s="1342"/>
    </row>
    <row r="335" spans="1:67" ht="15" customHeight="1">
      <c r="O335" s="52"/>
      <c r="Q335" s="242"/>
      <c r="W335" s="52"/>
      <c r="AF335" s="52"/>
      <c r="AL335" s="1307">
        <v>1.5</v>
      </c>
      <c r="AM335" s="1198" t="s">
        <v>373</v>
      </c>
      <c r="AN335" s="1162"/>
      <c r="AO335" s="1162"/>
      <c r="AP335" s="1162"/>
      <c r="AQ335" s="1162"/>
      <c r="AR335" s="1199"/>
      <c r="AS335" s="1226" t="str">
        <f>IF(ISBLANK(BL$5),"",1)</f>
        <v/>
      </c>
    </row>
    <row r="336" spans="1:67" ht="15" customHeight="1">
      <c r="O336" s="52"/>
      <c r="Q336" s="242"/>
      <c r="W336" s="52"/>
      <c r="AF336" s="52"/>
      <c r="AL336" s="1308"/>
      <c r="AM336" s="1200"/>
      <c r="AN336" s="1164"/>
      <c r="AO336" s="1164"/>
      <c r="AP336" s="1164"/>
      <c r="AQ336" s="1164"/>
      <c r="AR336" s="1201"/>
      <c r="AS336" s="1342"/>
    </row>
    <row r="337" spans="15:45" ht="15" customHeight="1">
      <c r="O337" s="52"/>
      <c r="Q337" s="242"/>
      <c r="W337" s="52"/>
      <c r="AF337" s="52"/>
      <c r="AL337" s="1309"/>
      <c r="AM337" s="1202"/>
      <c r="AN337" s="1203"/>
      <c r="AO337" s="1203"/>
      <c r="AP337" s="1203"/>
      <c r="AQ337" s="1203"/>
      <c r="AR337" s="1204"/>
      <c r="AS337" s="1342"/>
    </row>
    <row r="338" spans="15:45" ht="15" customHeight="1">
      <c r="O338" s="52"/>
      <c r="W338" s="52"/>
      <c r="AF338" s="52"/>
      <c r="AL338" s="1196">
        <v>4.4000000000000004</v>
      </c>
      <c r="AM338" s="1198" t="s">
        <v>397</v>
      </c>
      <c r="AN338" s="1162"/>
      <c r="AO338" s="1162"/>
      <c r="AP338" s="1162"/>
      <c r="AQ338" s="1162"/>
      <c r="AR338" s="1199"/>
      <c r="AS338" s="1226" t="str">
        <f>IF(ISBLANK(BL$5),"",1)</f>
        <v/>
      </c>
    </row>
    <row r="339" spans="15:45" ht="15" customHeight="1">
      <c r="O339" s="52"/>
      <c r="W339" s="52"/>
      <c r="AF339" s="52"/>
      <c r="AL339" s="1197"/>
      <c r="AM339" s="1200"/>
      <c r="AN339" s="1164"/>
      <c r="AO339" s="1164"/>
      <c r="AP339" s="1164"/>
      <c r="AQ339" s="1164"/>
      <c r="AR339" s="1201"/>
      <c r="AS339" s="1342"/>
    </row>
    <row r="340" spans="15:45" ht="15" customHeight="1">
      <c r="O340" s="52"/>
      <c r="W340" s="52"/>
      <c r="AF340" s="52"/>
      <c r="AL340" s="1197"/>
      <c r="AM340" s="1202"/>
      <c r="AN340" s="1203"/>
      <c r="AO340" s="1203"/>
      <c r="AP340" s="1203"/>
      <c r="AQ340" s="1203"/>
      <c r="AR340" s="1204"/>
      <c r="AS340" s="1342"/>
    </row>
    <row r="341" spans="15:45" ht="15" customHeight="1">
      <c r="O341" s="52"/>
      <c r="W341" s="52"/>
      <c r="AF341" s="52"/>
      <c r="AL341" s="242"/>
      <c r="AO341" s="52"/>
      <c r="AQ341" s="273">
        <v>1.5</v>
      </c>
      <c r="AR341" s="240">
        <f>COUNTIF($AL$293:$AL$340,AQ341)</f>
        <v>1</v>
      </c>
      <c r="AS341" s="240" t="str">
        <f>IF($BL$5=1,SUMIF($AL$293:$AL$340,AQ341,$AS$293:$AS$340),"")</f>
        <v/>
      </c>
    </row>
    <row r="342" spans="15:45" ht="15" customHeight="1">
      <c r="O342" s="52"/>
      <c r="W342" s="52"/>
      <c r="AF342" s="52"/>
      <c r="AL342" s="242"/>
      <c r="AO342" s="52"/>
      <c r="AQ342" s="274">
        <v>4.3</v>
      </c>
      <c r="AR342" s="240">
        <f>COUNTIF($AL$293:$AL$340,AQ342)</f>
        <v>6</v>
      </c>
      <c r="AS342" s="240" t="str">
        <f>IF($BL$5=1,SUMIF($AL$293:$AL$340,AQ342,$AS$293:$AS$340),"")</f>
        <v/>
      </c>
    </row>
    <row r="343" spans="15:45" ht="15" customHeight="1">
      <c r="O343" s="52"/>
      <c r="W343" s="52"/>
      <c r="AF343" s="52"/>
      <c r="AL343" s="242"/>
      <c r="AO343" s="52"/>
      <c r="AQ343" s="274">
        <v>4.4000000000000004</v>
      </c>
      <c r="AR343" s="240">
        <f>COUNTIF($AL$293:$AL$340,AQ343)</f>
        <v>9</v>
      </c>
      <c r="AS343" s="240" t="str">
        <f>IF($BL$5=1,SUMIF($AL$293:$AL$340,AQ343,$AS$293:$AS$340),"")</f>
        <v/>
      </c>
    </row>
  </sheetData>
  <sheetProtection sheet="1" objects="1" scenarios="1"/>
  <customSheetViews>
    <customSheetView guid="{B4419C5D-1877-4ABB-A46F-9E0AFFC75B59}" scale="85" showPageBreaks="1" showGridLines="0" printArea="1" view="pageBreakPreview">
      <pane ySplit="6" topLeftCell="A7" activePane="bottomLeft" state="frozen"/>
      <selection pane="bottomLeft" activeCell="AV26" sqref="AV26"/>
      <rowBreaks count="1" manualBreakCount="1">
        <brk id="137" min="77" max="144" man="1"/>
      </rowBreaks>
      <pageMargins left="0.7" right="0.7" top="0.75" bottom="0.75" header="0.3" footer="0.3"/>
      <pageSetup paperSize="9" scale="36" orientation="portrait" r:id="rId1"/>
    </customSheetView>
  </customSheetViews>
  <mergeCells count="1764">
    <mergeCell ref="A186:E186"/>
    <mergeCell ref="A90:E90"/>
    <mergeCell ref="A169:A171"/>
    <mergeCell ref="B169:G171"/>
    <mergeCell ref="H169:H171"/>
    <mergeCell ref="I169:I171"/>
    <mergeCell ref="A177:A179"/>
    <mergeCell ref="B177:G179"/>
    <mergeCell ref="H177:H179"/>
    <mergeCell ref="I177:I179"/>
    <mergeCell ref="A180:A182"/>
    <mergeCell ref="B180:G182"/>
    <mergeCell ref="H180:H182"/>
    <mergeCell ref="I180:I182"/>
    <mergeCell ref="A183:A185"/>
    <mergeCell ref="B183:G185"/>
    <mergeCell ref="H183:H185"/>
    <mergeCell ref="I183:I185"/>
    <mergeCell ref="B135:G137"/>
    <mergeCell ref="H135:H137"/>
    <mergeCell ref="I135:I137"/>
    <mergeCell ref="H142:H144"/>
    <mergeCell ref="I142:I144"/>
    <mergeCell ref="I166:I168"/>
    <mergeCell ref="A157:A159"/>
    <mergeCell ref="B157:G159"/>
    <mergeCell ref="H157:H159"/>
    <mergeCell ref="I157:I159"/>
    <mergeCell ref="J135:J137"/>
    <mergeCell ref="K135:K137"/>
    <mergeCell ref="L135:L137"/>
    <mergeCell ref="M135:M137"/>
    <mergeCell ref="A138:E138"/>
    <mergeCell ref="A74:A76"/>
    <mergeCell ref="B74:G76"/>
    <mergeCell ref="H74:H76"/>
    <mergeCell ref="I74:I76"/>
    <mergeCell ref="J74:J76"/>
    <mergeCell ref="K74:K76"/>
    <mergeCell ref="A82:A83"/>
    <mergeCell ref="B82:G83"/>
    <mergeCell ref="H82:H83"/>
    <mergeCell ref="I82:I83"/>
    <mergeCell ref="J82:J83"/>
    <mergeCell ref="K82:K83"/>
    <mergeCell ref="A84:A86"/>
    <mergeCell ref="B84:G86"/>
    <mergeCell ref="H84:H86"/>
    <mergeCell ref="I84:I86"/>
    <mergeCell ref="J84:J86"/>
    <mergeCell ref="K84:K86"/>
    <mergeCell ref="A87:A89"/>
    <mergeCell ref="B87:G89"/>
    <mergeCell ref="H87:H89"/>
    <mergeCell ref="I87:I89"/>
    <mergeCell ref="J87:J89"/>
    <mergeCell ref="K87:K89"/>
    <mergeCell ref="L130:L131"/>
    <mergeCell ref="M130:M131"/>
    <mergeCell ref="L132:L134"/>
    <mergeCell ref="A327:A329"/>
    <mergeCell ref="B327:G329"/>
    <mergeCell ref="H327:H329"/>
    <mergeCell ref="I327:I329"/>
    <mergeCell ref="J327:J329"/>
    <mergeCell ref="K327:K329"/>
    <mergeCell ref="A330:A332"/>
    <mergeCell ref="B330:G332"/>
    <mergeCell ref="H330:H332"/>
    <mergeCell ref="I330:I332"/>
    <mergeCell ref="J330:J332"/>
    <mergeCell ref="K330:K332"/>
    <mergeCell ref="A333:E333"/>
    <mergeCell ref="A122:A124"/>
    <mergeCell ref="B122:G124"/>
    <mergeCell ref="H122:H124"/>
    <mergeCell ref="I122:I124"/>
    <mergeCell ref="J122:J124"/>
    <mergeCell ref="K122:K124"/>
    <mergeCell ref="A130:A131"/>
    <mergeCell ref="B130:G131"/>
    <mergeCell ref="H130:H131"/>
    <mergeCell ref="I130:I131"/>
    <mergeCell ref="J130:J131"/>
    <mergeCell ref="K130:K131"/>
    <mergeCell ref="A132:A134"/>
    <mergeCell ref="B132:G134"/>
    <mergeCell ref="H132:H134"/>
    <mergeCell ref="I132:I134"/>
    <mergeCell ref="J132:J134"/>
    <mergeCell ref="K132:K134"/>
    <mergeCell ref="A135:A137"/>
    <mergeCell ref="A314:A316"/>
    <mergeCell ref="B314:G316"/>
    <mergeCell ref="H314:H316"/>
    <mergeCell ref="I314:I316"/>
    <mergeCell ref="J314:J316"/>
    <mergeCell ref="K314:K316"/>
    <mergeCell ref="A317:A319"/>
    <mergeCell ref="B317:G319"/>
    <mergeCell ref="H317:H319"/>
    <mergeCell ref="I317:I319"/>
    <mergeCell ref="J317:J319"/>
    <mergeCell ref="K317:K319"/>
    <mergeCell ref="A325:A326"/>
    <mergeCell ref="B325:G326"/>
    <mergeCell ref="H325:H326"/>
    <mergeCell ref="I325:I326"/>
    <mergeCell ref="J325:J326"/>
    <mergeCell ref="K325:K326"/>
    <mergeCell ref="A277:A279"/>
    <mergeCell ref="B277:G279"/>
    <mergeCell ref="H277:H279"/>
    <mergeCell ref="I277:I279"/>
    <mergeCell ref="J277:J279"/>
    <mergeCell ref="K277:K279"/>
    <mergeCell ref="L277:L279"/>
    <mergeCell ref="M277:M279"/>
    <mergeCell ref="A280:A282"/>
    <mergeCell ref="B280:G282"/>
    <mergeCell ref="H280:H282"/>
    <mergeCell ref="I280:I282"/>
    <mergeCell ref="J280:J282"/>
    <mergeCell ref="K280:K282"/>
    <mergeCell ref="L280:L282"/>
    <mergeCell ref="M280:M282"/>
    <mergeCell ref="A283:E283"/>
    <mergeCell ref="A264:A266"/>
    <mergeCell ref="B264:G266"/>
    <mergeCell ref="H264:H266"/>
    <mergeCell ref="I264:I266"/>
    <mergeCell ref="J264:J266"/>
    <mergeCell ref="K264:K266"/>
    <mergeCell ref="L264:L266"/>
    <mergeCell ref="M264:M266"/>
    <mergeCell ref="A267:A269"/>
    <mergeCell ref="B267:G269"/>
    <mergeCell ref="H267:H269"/>
    <mergeCell ref="I267:I269"/>
    <mergeCell ref="J267:J269"/>
    <mergeCell ref="K267:K269"/>
    <mergeCell ref="L267:L269"/>
    <mergeCell ref="M267:M269"/>
    <mergeCell ref="A275:A276"/>
    <mergeCell ref="B275:G276"/>
    <mergeCell ref="H275:H276"/>
    <mergeCell ref="I275:I276"/>
    <mergeCell ref="J275:J276"/>
    <mergeCell ref="K275:K276"/>
    <mergeCell ref="L275:L276"/>
    <mergeCell ref="M275:M276"/>
    <mergeCell ref="A214:A216"/>
    <mergeCell ref="B214:G216"/>
    <mergeCell ref="H214:H216"/>
    <mergeCell ref="I214:I216"/>
    <mergeCell ref="J214:J216"/>
    <mergeCell ref="K214:K216"/>
    <mergeCell ref="L214:L216"/>
    <mergeCell ref="M214:M216"/>
    <mergeCell ref="A217:A219"/>
    <mergeCell ref="B217:G219"/>
    <mergeCell ref="H217:H219"/>
    <mergeCell ref="I217:I219"/>
    <mergeCell ref="J217:J219"/>
    <mergeCell ref="K217:K219"/>
    <mergeCell ref="L217:L219"/>
    <mergeCell ref="M217:M219"/>
    <mergeCell ref="A225:A226"/>
    <mergeCell ref="B225:G226"/>
    <mergeCell ref="H225:H226"/>
    <mergeCell ref="I225:I226"/>
    <mergeCell ref="J225:J226"/>
    <mergeCell ref="K225:K226"/>
    <mergeCell ref="L225:L226"/>
    <mergeCell ref="M225:M226"/>
    <mergeCell ref="A288:BN289"/>
    <mergeCell ref="AL332:AL334"/>
    <mergeCell ref="AM332:AR334"/>
    <mergeCell ref="AS332:AS334"/>
    <mergeCell ref="AL335:AL337"/>
    <mergeCell ref="AM335:AR337"/>
    <mergeCell ref="AS335:AS337"/>
    <mergeCell ref="AL338:AL340"/>
    <mergeCell ref="AM338:AR340"/>
    <mergeCell ref="AS338:AS340"/>
    <mergeCell ref="BJ191:BO221"/>
    <mergeCell ref="N326:N328"/>
    <mergeCell ref="O326:T328"/>
    <mergeCell ref="U326:U328"/>
    <mergeCell ref="V326:V328"/>
    <mergeCell ref="W326:AB328"/>
    <mergeCell ref="AC326:AC328"/>
    <mergeCell ref="AD326:AD328"/>
    <mergeCell ref="AE326:AJ328"/>
    <mergeCell ref="AK326:AK328"/>
    <mergeCell ref="AL326:AL328"/>
    <mergeCell ref="AM326:AR328"/>
    <mergeCell ref="AS326:AS328"/>
    <mergeCell ref="N329:N331"/>
    <mergeCell ref="O329:T331"/>
    <mergeCell ref="U329:U331"/>
    <mergeCell ref="V329:V331"/>
    <mergeCell ref="W329:AB331"/>
    <mergeCell ref="AC329:AC331"/>
    <mergeCell ref="AL329:AL331"/>
    <mergeCell ref="AM329:AR331"/>
    <mergeCell ref="AS329:AS331"/>
    <mergeCell ref="N320:N322"/>
    <mergeCell ref="O320:T322"/>
    <mergeCell ref="U320:U322"/>
    <mergeCell ref="V320:V322"/>
    <mergeCell ref="W320:AB322"/>
    <mergeCell ref="AC320:AC322"/>
    <mergeCell ref="AD320:AD322"/>
    <mergeCell ref="AE320:AJ322"/>
    <mergeCell ref="AK320:AK322"/>
    <mergeCell ref="AL320:AL322"/>
    <mergeCell ref="AM320:AR322"/>
    <mergeCell ref="AS320:AS322"/>
    <mergeCell ref="N323:N325"/>
    <mergeCell ref="O323:T325"/>
    <mergeCell ref="U323:U325"/>
    <mergeCell ref="V323:V325"/>
    <mergeCell ref="W323:AB325"/>
    <mergeCell ref="AC323:AC325"/>
    <mergeCell ref="AD323:AD325"/>
    <mergeCell ref="AE323:AJ325"/>
    <mergeCell ref="AK323:AK325"/>
    <mergeCell ref="AL323:AL325"/>
    <mergeCell ref="AM323:AR325"/>
    <mergeCell ref="AS323:AS325"/>
    <mergeCell ref="AS311:AS313"/>
    <mergeCell ref="N314:N316"/>
    <mergeCell ref="O314:T316"/>
    <mergeCell ref="U314:U316"/>
    <mergeCell ref="V314:V316"/>
    <mergeCell ref="W314:AB316"/>
    <mergeCell ref="AC314:AC316"/>
    <mergeCell ref="AD314:AD316"/>
    <mergeCell ref="AE314:AJ316"/>
    <mergeCell ref="AK314:AK316"/>
    <mergeCell ref="AL314:AL316"/>
    <mergeCell ref="AM314:AR316"/>
    <mergeCell ref="AS314:AS316"/>
    <mergeCell ref="N317:N319"/>
    <mergeCell ref="O317:T319"/>
    <mergeCell ref="U317:U319"/>
    <mergeCell ref="V317:V319"/>
    <mergeCell ref="W317:AB319"/>
    <mergeCell ref="AC317:AC319"/>
    <mergeCell ref="AD317:AD319"/>
    <mergeCell ref="AE317:AJ319"/>
    <mergeCell ref="AK317:AK319"/>
    <mergeCell ref="AL317:AL319"/>
    <mergeCell ref="AM317:AR319"/>
    <mergeCell ref="AS317:AS319"/>
    <mergeCell ref="A311:A313"/>
    <mergeCell ref="B311:G313"/>
    <mergeCell ref="H311:H313"/>
    <mergeCell ref="I311:I313"/>
    <mergeCell ref="J311:J313"/>
    <mergeCell ref="K311:K313"/>
    <mergeCell ref="N311:N313"/>
    <mergeCell ref="O311:T313"/>
    <mergeCell ref="U311:U313"/>
    <mergeCell ref="V311:V313"/>
    <mergeCell ref="W311:AB313"/>
    <mergeCell ref="AC311:AC313"/>
    <mergeCell ref="AD311:AD313"/>
    <mergeCell ref="AE311:AJ313"/>
    <mergeCell ref="AK311:AK313"/>
    <mergeCell ref="AL311:AL313"/>
    <mergeCell ref="AM311:AR313"/>
    <mergeCell ref="AS305:AS307"/>
    <mergeCell ref="A308:A310"/>
    <mergeCell ref="B308:G310"/>
    <mergeCell ref="H308:H310"/>
    <mergeCell ref="I308:I310"/>
    <mergeCell ref="J308:J310"/>
    <mergeCell ref="K308:K310"/>
    <mergeCell ref="N308:N310"/>
    <mergeCell ref="O308:T310"/>
    <mergeCell ref="U308:U310"/>
    <mergeCell ref="V308:V310"/>
    <mergeCell ref="W308:AB310"/>
    <mergeCell ref="AC308:AC310"/>
    <mergeCell ref="AD308:AD310"/>
    <mergeCell ref="AE308:AJ310"/>
    <mergeCell ref="AK308:AK310"/>
    <mergeCell ref="AL308:AL310"/>
    <mergeCell ref="AM308:AR310"/>
    <mergeCell ref="AS308:AS310"/>
    <mergeCell ref="A305:A307"/>
    <mergeCell ref="B305:G307"/>
    <mergeCell ref="H305:H307"/>
    <mergeCell ref="I305:I307"/>
    <mergeCell ref="J305:J307"/>
    <mergeCell ref="K305:K307"/>
    <mergeCell ref="N305:N307"/>
    <mergeCell ref="O305:T307"/>
    <mergeCell ref="U305:U307"/>
    <mergeCell ref="V305:V307"/>
    <mergeCell ref="W305:AB307"/>
    <mergeCell ref="AC305:AC307"/>
    <mergeCell ref="AD305:AD307"/>
    <mergeCell ref="AE305:AJ307"/>
    <mergeCell ref="AK305:AK307"/>
    <mergeCell ref="AL305:AL307"/>
    <mergeCell ref="AM305:AR307"/>
    <mergeCell ref="AS299:AS301"/>
    <mergeCell ref="A302:A304"/>
    <mergeCell ref="B302:G304"/>
    <mergeCell ref="H302:H304"/>
    <mergeCell ref="I302:I304"/>
    <mergeCell ref="J302:J304"/>
    <mergeCell ref="K302:K304"/>
    <mergeCell ref="N302:N304"/>
    <mergeCell ref="O302:T304"/>
    <mergeCell ref="U302:U304"/>
    <mergeCell ref="V302:V304"/>
    <mergeCell ref="W302:AB304"/>
    <mergeCell ref="AC302:AC304"/>
    <mergeCell ref="AD302:AD304"/>
    <mergeCell ref="AE302:AJ304"/>
    <mergeCell ref="AK302:AK304"/>
    <mergeCell ref="AL302:AL304"/>
    <mergeCell ref="AM302:AR304"/>
    <mergeCell ref="AS302:AS304"/>
    <mergeCell ref="A299:A301"/>
    <mergeCell ref="B299:G301"/>
    <mergeCell ref="H299:H301"/>
    <mergeCell ref="I299:I301"/>
    <mergeCell ref="J299:J301"/>
    <mergeCell ref="K299:K301"/>
    <mergeCell ref="N299:N301"/>
    <mergeCell ref="O299:T301"/>
    <mergeCell ref="U299:U301"/>
    <mergeCell ref="V299:V301"/>
    <mergeCell ref="W299:AB301"/>
    <mergeCell ref="AC299:AC301"/>
    <mergeCell ref="AD299:AD301"/>
    <mergeCell ref="AE299:AJ301"/>
    <mergeCell ref="AK299:AK301"/>
    <mergeCell ref="AL299:AL301"/>
    <mergeCell ref="AM299:AR301"/>
    <mergeCell ref="AM293:AR295"/>
    <mergeCell ref="AS293:AS295"/>
    <mergeCell ref="A296:A298"/>
    <mergeCell ref="B296:G298"/>
    <mergeCell ref="H296:H298"/>
    <mergeCell ref="I296:I298"/>
    <mergeCell ref="J296:J298"/>
    <mergeCell ref="K296:K298"/>
    <mergeCell ref="N296:N298"/>
    <mergeCell ref="O296:T298"/>
    <mergeCell ref="U296:U298"/>
    <mergeCell ref="V296:V298"/>
    <mergeCell ref="W296:AB298"/>
    <mergeCell ref="AC296:AC298"/>
    <mergeCell ref="AD296:AD298"/>
    <mergeCell ref="AE296:AJ298"/>
    <mergeCell ref="AK296:AK298"/>
    <mergeCell ref="AL296:AL298"/>
    <mergeCell ref="AM296:AR298"/>
    <mergeCell ref="AS296:AS298"/>
    <mergeCell ref="A290:A292"/>
    <mergeCell ref="B290:G292"/>
    <mergeCell ref="H290:H292"/>
    <mergeCell ref="I290:I292"/>
    <mergeCell ref="J290:J292"/>
    <mergeCell ref="K290:K292"/>
    <mergeCell ref="N290:N292"/>
    <mergeCell ref="O290:U292"/>
    <mergeCell ref="V290:V292"/>
    <mergeCell ref="W290:AC292"/>
    <mergeCell ref="AD290:AD292"/>
    <mergeCell ref="AE290:AK292"/>
    <mergeCell ref="AL290:AL292"/>
    <mergeCell ref="AM290:AS292"/>
    <mergeCell ref="BJ290:BO290"/>
    <mergeCell ref="A293:A295"/>
    <mergeCell ref="B293:G295"/>
    <mergeCell ref="H293:H295"/>
    <mergeCell ref="I293:I295"/>
    <mergeCell ref="J293:J295"/>
    <mergeCell ref="K293:K295"/>
    <mergeCell ref="N293:N295"/>
    <mergeCell ref="O293:T295"/>
    <mergeCell ref="U293:U295"/>
    <mergeCell ref="V293:V295"/>
    <mergeCell ref="W293:AB295"/>
    <mergeCell ref="AC293:AC295"/>
    <mergeCell ref="AD293:AD295"/>
    <mergeCell ref="AE293:AJ295"/>
    <mergeCell ref="AK293:AK295"/>
    <mergeCell ref="AL293:AL295"/>
    <mergeCell ref="AT276:AT278"/>
    <mergeCell ref="AU276:AZ278"/>
    <mergeCell ref="BA276:BA278"/>
    <mergeCell ref="BB276:BB278"/>
    <mergeCell ref="BC276:BH278"/>
    <mergeCell ref="BI276:BI278"/>
    <mergeCell ref="AT279:AT281"/>
    <mergeCell ref="AU279:AZ281"/>
    <mergeCell ref="BA279:BA281"/>
    <mergeCell ref="BB279:BB281"/>
    <mergeCell ref="BC279:BH281"/>
    <mergeCell ref="BI279:BI281"/>
    <mergeCell ref="AT282:AT284"/>
    <mergeCell ref="AU282:AZ284"/>
    <mergeCell ref="BA282:BA284"/>
    <mergeCell ref="BB282:BB284"/>
    <mergeCell ref="BC282:BH284"/>
    <mergeCell ref="BI282:BI284"/>
    <mergeCell ref="N270:N272"/>
    <mergeCell ref="O270:T272"/>
    <mergeCell ref="U270:U272"/>
    <mergeCell ref="V270:V272"/>
    <mergeCell ref="W270:AB272"/>
    <mergeCell ref="AC270:AC272"/>
    <mergeCell ref="AD270:AD272"/>
    <mergeCell ref="AE270:AJ272"/>
    <mergeCell ref="AK270:AK272"/>
    <mergeCell ref="AT270:AT272"/>
    <mergeCell ref="AU270:AZ272"/>
    <mergeCell ref="BA270:BA272"/>
    <mergeCell ref="BB270:BB272"/>
    <mergeCell ref="BC270:BH272"/>
    <mergeCell ref="BI270:BI272"/>
    <mergeCell ref="N273:N275"/>
    <mergeCell ref="O273:T275"/>
    <mergeCell ref="U273:U275"/>
    <mergeCell ref="AT273:AT275"/>
    <mergeCell ref="AU273:AZ275"/>
    <mergeCell ref="BA273:BA275"/>
    <mergeCell ref="BB273:BB275"/>
    <mergeCell ref="BC273:BH275"/>
    <mergeCell ref="BI273:BI275"/>
    <mergeCell ref="N264:N266"/>
    <mergeCell ref="O264:T266"/>
    <mergeCell ref="U264:U266"/>
    <mergeCell ref="V264:V266"/>
    <mergeCell ref="W264:AB266"/>
    <mergeCell ref="AC264:AC266"/>
    <mergeCell ref="AD264:AD266"/>
    <mergeCell ref="AE264:AJ266"/>
    <mergeCell ref="AK264:AK266"/>
    <mergeCell ref="AT264:AT266"/>
    <mergeCell ref="AU264:AZ266"/>
    <mergeCell ref="BA264:BA266"/>
    <mergeCell ref="BB264:BB266"/>
    <mergeCell ref="BC264:BH266"/>
    <mergeCell ref="BI264:BI266"/>
    <mergeCell ref="N267:N269"/>
    <mergeCell ref="O267:T269"/>
    <mergeCell ref="U267:U269"/>
    <mergeCell ref="V267:V269"/>
    <mergeCell ref="W267:AB269"/>
    <mergeCell ref="AC267:AC269"/>
    <mergeCell ref="AD267:AD269"/>
    <mergeCell ref="AE267:AJ269"/>
    <mergeCell ref="AK267:AK269"/>
    <mergeCell ref="AT267:AT269"/>
    <mergeCell ref="AU267:AZ269"/>
    <mergeCell ref="BA267:BA269"/>
    <mergeCell ref="BB267:BB269"/>
    <mergeCell ref="BC267:BH269"/>
    <mergeCell ref="BI267:BI269"/>
    <mergeCell ref="AL264:AL266"/>
    <mergeCell ref="AM264:AR266"/>
    <mergeCell ref="A258:A260"/>
    <mergeCell ref="B258:G260"/>
    <mergeCell ref="H258:H260"/>
    <mergeCell ref="I258:I260"/>
    <mergeCell ref="J258:J260"/>
    <mergeCell ref="K258:K260"/>
    <mergeCell ref="L258:L260"/>
    <mergeCell ref="M258:M260"/>
    <mergeCell ref="AT258:AT260"/>
    <mergeCell ref="AU258:AZ260"/>
    <mergeCell ref="BA258:BA260"/>
    <mergeCell ref="BB258:BB260"/>
    <mergeCell ref="BC258:BH260"/>
    <mergeCell ref="BI258:BI260"/>
    <mergeCell ref="A261:A263"/>
    <mergeCell ref="B261:G263"/>
    <mergeCell ref="H261:H263"/>
    <mergeCell ref="I261:I263"/>
    <mergeCell ref="J261:J263"/>
    <mergeCell ref="K261:K263"/>
    <mergeCell ref="L261:L263"/>
    <mergeCell ref="M261:M263"/>
    <mergeCell ref="AD261:AD263"/>
    <mergeCell ref="AE261:AJ263"/>
    <mergeCell ref="AK261:AK263"/>
    <mergeCell ref="AT261:AT263"/>
    <mergeCell ref="AU261:AZ263"/>
    <mergeCell ref="BA261:BA263"/>
    <mergeCell ref="BB261:BB263"/>
    <mergeCell ref="BC261:BH263"/>
    <mergeCell ref="BI261:BI263"/>
    <mergeCell ref="U258:U260"/>
    <mergeCell ref="A252:A254"/>
    <mergeCell ref="B252:G254"/>
    <mergeCell ref="H252:H254"/>
    <mergeCell ref="I252:I254"/>
    <mergeCell ref="J252:J254"/>
    <mergeCell ref="K252:K254"/>
    <mergeCell ref="L252:L254"/>
    <mergeCell ref="M252:M254"/>
    <mergeCell ref="AT252:AT254"/>
    <mergeCell ref="AU252:AZ254"/>
    <mergeCell ref="BA252:BA254"/>
    <mergeCell ref="BB252:BB254"/>
    <mergeCell ref="BC252:BH254"/>
    <mergeCell ref="BI252:BI254"/>
    <mergeCell ref="A255:A257"/>
    <mergeCell ref="B255:G257"/>
    <mergeCell ref="H255:H257"/>
    <mergeCell ref="I255:I257"/>
    <mergeCell ref="J255:J257"/>
    <mergeCell ref="K255:K257"/>
    <mergeCell ref="L255:L257"/>
    <mergeCell ref="M255:M257"/>
    <mergeCell ref="AT255:AT257"/>
    <mergeCell ref="AU255:AZ257"/>
    <mergeCell ref="BA255:BA257"/>
    <mergeCell ref="BB255:BB257"/>
    <mergeCell ref="BC255:BH257"/>
    <mergeCell ref="BI255:BI257"/>
    <mergeCell ref="AK252:AK254"/>
    <mergeCell ref="AL252:AL254"/>
    <mergeCell ref="AM252:AR254"/>
    <mergeCell ref="AS252:AS254"/>
    <mergeCell ref="A246:A248"/>
    <mergeCell ref="B246:G248"/>
    <mergeCell ref="H246:H248"/>
    <mergeCell ref="I246:I248"/>
    <mergeCell ref="J246:J248"/>
    <mergeCell ref="K246:K248"/>
    <mergeCell ref="L246:L248"/>
    <mergeCell ref="M246:M248"/>
    <mergeCell ref="AT246:AT248"/>
    <mergeCell ref="AU246:AZ248"/>
    <mergeCell ref="BA246:BA248"/>
    <mergeCell ref="BB246:BB248"/>
    <mergeCell ref="BC246:BH248"/>
    <mergeCell ref="BI246:BI248"/>
    <mergeCell ref="A249:A251"/>
    <mergeCell ref="B249:G251"/>
    <mergeCell ref="H249:H251"/>
    <mergeCell ref="I249:I251"/>
    <mergeCell ref="J249:J251"/>
    <mergeCell ref="K249:K251"/>
    <mergeCell ref="L249:L251"/>
    <mergeCell ref="M249:M251"/>
    <mergeCell ref="AT249:AT251"/>
    <mergeCell ref="AU249:AZ251"/>
    <mergeCell ref="BA249:BA251"/>
    <mergeCell ref="BB249:BB251"/>
    <mergeCell ref="BC249:BH251"/>
    <mergeCell ref="BI249:BI251"/>
    <mergeCell ref="AK249:AK251"/>
    <mergeCell ref="AL249:AL251"/>
    <mergeCell ref="AM249:AR251"/>
    <mergeCell ref="AS249:AS251"/>
    <mergeCell ref="AT240:AT242"/>
    <mergeCell ref="AU240:BA242"/>
    <mergeCell ref="BB240:BB242"/>
    <mergeCell ref="BC240:BI242"/>
    <mergeCell ref="BJ240:BO240"/>
    <mergeCell ref="L243:L245"/>
    <mergeCell ref="M243:M245"/>
    <mergeCell ref="AT243:AT245"/>
    <mergeCell ref="AU243:AZ245"/>
    <mergeCell ref="BA243:BA245"/>
    <mergeCell ref="BB243:BB245"/>
    <mergeCell ref="BC243:BH245"/>
    <mergeCell ref="BI243:BI245"/>
    <mergeCell ref="W243:AB245"/>
    <mergeCell ref="AC243:AC245"/>
    <mergeCell ref="AD243:AD245"/>
    <mergeCell ref="AE243:AJ245"/>
    <mergeCell ref="AK243:AK245"/>
    <mergeCell ref="AL243:AL245"/>
    <mergeCell ref="AM243:AR245"/>
    <mergeCell ref="AT229:AT231"/>
    <mergeCell ref="AU229:AZ231"/>
    <mergeCell ref="BA229:BA231"/>
    <mergeCell ref="BB229:BB231"/>
    <mergeCell ref="BC229:BH231"/>
    <mergeCell ref="BI229:BI231"/>
    <mergeCell ref="AT232:AT234"/>
    <mergeCell ref="AU232:AZ234"/>
    <mergeCell ref="BA232:BA234"/>
    <mergeCell ref="BB232:BB234"/>
    <mergeCell ref="BC232:BH234"/>
    <mergeCell ref="BI232:BI234"/>
    <mergeCell ref="AD232:AD234"/>
    <mergeCell ref="AE232:AJ234"/>
    <mergeCell ref="AK232:AK234"/>
    <mergeCell ref="A238:BM239"/>
    <mergeCell ref="A227:A229"/>
    <mergeCell ref="B227:G229"/>
    <mergeCell ref="H227:H229"/>
    <mergeCell ref="I227:I229"/>
    <mergeCell ref="J227:J229"/>
    <mergeCell ref="K227:K229"/>
    <mergeCell ref="L227:L229"/>
    <mergeCell ref="M227:M229"/>
    <mergeCell ref="A230:A232"/>
    <mergeCell ref="B230:G232"/>
    <mergeCell ref="H230:H232"/>
    <mergeCell ref="I230:I232"/>
    <mergeCell ref="J230:J232"/>
    <mergeCell ref="K230:K232"/>
    <mergeCell ref="L230:L232"/>
    <mergeCell ref="N226:N228"/>
    <mergeCell ref="BI223:BI225"/>
    <mergeCell ref="N220:N222"/>
    <mergeCell ref="O220:T222"/>
    <mergeCell ref="U220:U222"/>
    <mergeCell ref="V220:V222"/>
    <mergeCell ref="W220:AB222"/>
    <mergeCell ref="AC220:AC222"/>
    <mergeCell ref="AD220:AD222"/>
    <mergeCell ref="AE220:AJ222"/>
    <mergeCell ref="AK220:AK222"/>
    <mergeCell ref="AL220:AL222"/>
    <mergeCell ref="AM220:AR222"/>
    <mergeCell ref="AS220:AS222"/>
    <mergeCell ref="AT220:AT222"/>
    <mergeCell ref="AS226:AS228"/>
    <mergeCell ref="AT226:AT228"/>
    <mergeCell ref="AU226:AZ228"/>
    <mergeCell ref="BA226:BA228"/>
    <mergeCell ref="BB226:BB228"/>
    <mergeCell ref="BC226:BH228"/>
    <mergeCell ref="BI226:BI228"/>
    <mergeCell ref="N223:N225"/>
    <mergeCell ref="O223:T225"/>
    <mergeCell ref="U223:U225"/>
    <mergeCell ref="V223:V225"/>
    <mergeCell ref="W223:AB225"/>
    <mergeCell ref="AC223:AC225"/>
    <mergeCell ref="AD223:AD225"/>
    <mergeCell ref="AE223:AJ225"/>
    <mergeCell ref="AK223:AK225"/>
    <mergeCell ref="AL223:AL225"/>
    <mergeCell ref="AM223:AR225"/>
    <mergeCell ref="AS223:AS225"/>
    <mergeCell ref="AT223:AT225"/>
    <mergeCell ref="AU223:AZ225"/>
    <mergeCell ref="BA223:BA225"/>
    <mergeCell ref="BB223:BB225"/>
    <mergeCell ref="BC223:BH225"/>
    <mergeCell ref="AU220:AZ222"/>
    <mergeCell ref="BA220:BA222"/>
    <mergeCell ref="BB220:BB222"/>
    <mergeCell ref="BC220:BH222"/>
    <mergeCell ref="AL214:AL216"/>
    <mergeCell ref="AM214:AR216"/>
    <mergeCell ref="AS214:AS216"/>
    <mergeCell ref="AT214:AT216"/>
    <mergeCell ref="AU214:AZ216"/>
    <mergeCell ref="BA214:BA216"/>
    <mergeCell ref="BB214:BB216"/>
    <mergeCell ref="BC214:BH216"/>
    <mergeCell ref="BI214:BI216"/>
    <mergeCell ref="N217:N219"/>
    <mergeCell ref="O217:T219"/>
    <mergeCell ref="U217:U219"/>
    <mergeCell ref="V217:V219"/>
    <mergeCell ref="W217:AB219"/>
    <mergeCell ref="AC217:AC219"/>
    <mergeCell ref="AD217:AD219"/>
    <mergeCell ref="AE217:AJ219"/>
    <mergeCell ref="AK217:AK219"/>
    <mergeCell ref="AL217:AL219"/>
    <mergeCell ref="AM217:AR219"/>
    <mergeCell ref="AS217:AS219"/>
    <mergeCell ref="AT217:AT219"/>
    <mergeCell ref="AU217:AZ219"/>
    <mergeCell ref="BA217:BA219"/>
    <mergeCell ref="BB217:BB219"/>
    <mergeCell ref="BC217:BH219"/>
    <mergeCell ref="BI217:BI219"/>
    <mergeCell ref="U214:U216"/>
    <mergeCell ref="V214:V216"/>
    <mergeCell ref="W214:AB216"/>
    <mergeCell ref="AC214:AC216"/>
    <mergeCell ref="AD214:AD216"/>
    <mergeCell ref="AE214:AJ216"/>
    <mergeCell ref="AK214:AK216"/>
    <mergeCell ref="BI220:BI222"/>
    <mergeCell ref="BB208:BB210"/>
    <mergeCell ref="BC208:BH210"/>
    <mergeCell ref="BI208:BI210"/>
    <mergeCell ref="A211:A213"/>
    <mergeCell ref="B211:G213"/>
    <mergeCell ref="H211:H213"/>
    <mergeCell ref="I211:I213"/>
    <mergeCell ref="J211:J213"/>
    <mergeCell ref="K211:K213"/>
    <mergeCell ref="L211:L213"/>
    <mergeCell ref="M211:M213"/>
    <mergeCell ref="N211:N213"/>
    <mergeCell ref="O211:T213"/>
    <mergeCell ref="U211:U213"/>
    <mergeCell ref="V211:V213"/>
    <mergeCell ref="W211:AB213"/>
    <mergeCell ref="AC211:AC213"/>
    <mergeCell ref="AD211:AD213"/>
    <mergeCell ref="AE211:AJ213"/>
    <mergeCell ref="AK211:AK213"/>
    <mergeCell ref="AL211:AL213"/>
    <mergeCell ref="AM211:AR213"/>
    <mergeCell ref="AS211:AS213"/>
    <mergeCell ref="AT211:AT213"/>
    <mergeCell ref="AU211:AZ213"/>
    <mergeCell ref="BA211:BA213"/>
    <mergeCell ref="BB211:BB213"/>
    <mergeCell ref="BC211:BH213"/>
    <mergeCell ref="BI211:BI213"/>
    <mergeCell ref="N214:N216"/>
    <mergeCell ref="O214:T216"/>
    <mergeCell ref="AM205:AR207"/>
    <mergeCell ref="AS205:AS207"/>
    <mergeCell ref="AT205:AT207"/>
    <mergeCell ref="AU205:AZ207"/>
    <mergeCell ref="BA205:BA207"/>
    <mergeCell ref="A208:A210"/>
    <mergeCell ref="B208:G210"/>
    <mergeCell ref="H208:H210"/>
    <mergeCell ref="I208:I210"/>
    <mergeCell ref="J208:J210"/>
    <mergeCell ref="K208:K210"/>
    <mergeCell ref="L208:L210"/>
    <mergeCell ref="M208:M210"/>
    <mergeCell ref="N208:N210"/>
    <mergeCell ref="O208:T210"/>
    <mergeCell ref="U208:U210"/>
    <mergeCell ref="V208:V210"/>
    <mergeCell ref="W208:AB210"/>
    <mergeCell ref="AC208:AC210"/>
    <mergeCell ref="AD208:AD210"/>
    <mergeCell ref="AE208:AJ210"/>
    <mergeCell ref="AK208:AK210"/>
    <mergeCell ref="AL208:AL210"/>
    <mergeCell ref="AM208:AR210"/>
    <mergeCell ref="AS208:AS210"/>
    <mergeCell ref="AT208:AT210"/>
    <mergeCell ref="AU208:AZ210"/>
    <mergeCell ref="BA208:BA210"/>
    <mergeCell ref="A205:A207"/>
    <mergeCell ref="B205:G207"/>
    <mergeCell ref="H205:H207"/>
    <mergeCell ref="A196:A198"/>
    <mergeCell ref="B196:G198"/>
    <mergeCell ref="A202:A204"/>
    <mergeCell ref="B202:G204"/>
    <mergeCell ref="H202:H204"/>
    <mergeCell ref="I202:I204"/>
    <mergeCell ref="J202:J204"/>
    <mergeCell ref="K202:K204"/>
    <mergeCell ref="L202:L204"/>
    <mergeCell ref="M202:M204"/>
    <mergeCell ref="N202:N204"/>
    <mergeCell ref="O202:T204"/>
    <mergeCell ref="U202:U204"/>
    <mergeCell ref="V202:V204"/>
    <mergeCell ref="W202:AB204"/>
    <mergeCell ref="AC202:AC204"/>
    <mergeCell ref="AL205:AL207"/>
    <mergeCell ref="A199:A201"/>
    <mergeCell ref="B199:G201"/>
    <mergeCell ref="H199:H201"/>
    <mergeCell ref="I199:I201"/>
    <mergeCell ref="J199:J201"/>
    <mergeCell ref="K199:K201"/>
    <mergeCell ref="L199:L201"/>
    <mergeCell ref="M199:M201"/>
    <mergeCell ref="N199:N201"/>
    <mergeCell ref="O199:T201"/>
    <mergeCell ref="U199:U201"/>
    <mergeCell ref="V199:V201"/>
    <mergeCell ref="W199:AB201"/>
    <mergeCell ref="AC199:AC201"/>
    <mergeCell ref="AD199:AD201"/>
    <mergeCell ref="BI202:BI204"/>
    <mergeCell ref="O193:T195"/>
    <mergeCell ref="U193:U195"/>
    <mergeCell ref="V193:V195"/>
    <mergeCell ref="W193:AB195"/>
    <mergeCell ref="AC193:AC195"/>
    <mergeCell ref="AD193:AD195"/>
    <mergeCell ref="AE193:AJ195"/>
    <mergeCell ref="AK193:AK195"/>
    <mergeCell ref="BA196:BA198"/>
    <mergeCell ref="BB196:BB198"/>
    <mergeCell ref="BC196:BH198"/>
    <mergeCell ref="BI196:BI198"/>
    <mergeCell ref="AL199:AL201"/>
    <mergeCell ref="AM199:AR201"/>
    <mergeCell ref="AS199:AS201"/>
    <mergeCell ref="I205:I207"/>
    <mergeCell ref="J205:J207"/>
    <mergeCell ref="K205:K207"/>
    <mergeCell ref="L205:L207"/>
    <mergeCell ref="M205:M207"/>
    <mergeCell ref="N205:N207"/>
    <mergeCell ref="O205:T207"/>
    <mergeCell ref="U205:U207"/>
    <mergeCell ref="V205:V207"/>
    <mergeCell ref="W205:AB207"/>
    <mergeCell ref="AC205:AC207"/>
    <mergeCell ref="AD205:AD207"/>
    <mergeCell ref="AE205:AJ207"/>
    <mergeCell ref="AK205:AK207"/>
    <mergeCell ref="BC199:BH201"/>
    <mergeCell ref="BI199:BI201"/>
    <mergeCell ref="AE199:AJ201"/>
    <mergeCell ref="AK199:AK201"/>
    <mergeCell ref="AS264:AS266"/>
    <mergeCell ref="AL267:AL269"/>
    <mergeCell ref="AM267:AR269"/>
    <mergeCell ref="AS267:AS269"/>
    <mergeCell ref="A188:BM189"/>
    <mergeCell ref="A190:A192"/>
    <mergeCell ref="B190:G192"/>
    <mergeCell ref="H190:H192"/>
    <mergeCell ref="I190:I192"/>
    <mergeCell ref="J190:J192"/>
    <mergeCell ref="K190:K192"/>
    <mergeCell ref="L190:L192"/>
    <mergeCell ref="M190:M192"/>
    <mergeCell ref="N190:N192"/>
    <mergeCell ref="O190:U192"/>
    <mergeCell ref="V190:V192"/>
    <mergeCell ref="W190:AC192"/>
    <mergeCell ref="AD190:AD192"/>
    <mergeCell ref="AE190:AK192"/>
    <mergeCell ref="AL190:AL192"/>
    <mergeCell ref="AM190:AS192"/>
    <mergeCell ref="AT190:AT192"/>
    <mergeCell ref="AU190:BA192"/>
    <mergeCell ref="H196:H198"/>
    <mergeCell ref="I196:I198"/>
    <mergeCell ref="J196:J198"/>
    <mergeCell ref="K196:K198"/>
    <mergeCell ref="L196:L198"/>
    <mergeCell ref="M196:M198"/>
    <mergeCell ref="N196:N198"/>
    <mergeCell ref="N258:N260"/>
    <mergeCell ref="O258:T260"/>
    <mergeCell ref="V258:V260"/>
    <mergeCell ref="W258:AB260"/>
    <mergeCell ref="AC258:AC260"/>
    <mergeCell ref="AD258:AD260"/>
    <mergeCell ref="AE258:AJ260"/>
    <mergeCell ref="AK258:AK260"/>
    <mergeCell ref="AL258:AL260"/>
    <mergeCell ref="AM258:AR260"/>
    <mergeCell ref="AS258:AS260"/>
    <mergeCell ref="N261:N263"/>
    <mergeCell ref="O261:T263"/>
    <mergeCell ref="U261:U263"/>
    <mergeCell ref="V261:V263"/>
    <mergeCell ref="W261:AB263"/>
    <mergeCell ref="AC261:AC263"/>
    <mergeCell ref="AL261:AL263"/>
    <mergeCell ref="AM261:AR263"/>
    <mergeCell ref="AS261:AS263"/>
    <mergeCell ref="AC249:AC251"/>
    <mergeCell ref="AD249:AD251"/>
    <mergeCell ref="AE249:AJ251"/>
    <mergeCell ref="N252:N254"/>
    <mergeCell ref="O252:T254"/>
    <mergeCell ref="U252:U254"/>
    <mergeCell ref="V252:V254"/>
    <mergeCell ref="W252:AB254"/>
    <mergeCell ref="AC252:AC254"/>
    <mergeCell ref="AD252:AD254"/>
    <mergeCell ref="AE252:AJ254"/>
    <mergeCell ref="N255:N257"/>
    <mergeCell ref="O255:T257"/>
    <mergeCell ref="U255:U257"/>
    <mergeCell ref="V255:V257"/>
    <mergeCell ref="W255:AB257"/>
    <mergeCell ref="AC255:AC257"/>
    <mergeCell ref="AD255:AD257"/>
    <mergeCell ref="AE255:AJ257"/>
    <mergeCell ref="AK255:AK257"/>
    <mergeCell ref="AL255:AL257"/>
    <mergeCell ref="AM255:AR257"/>
    <mergeCell ref="AS243:AS245"/>
    <mergeCell ref="A240:A242"/>
    <mergeCell ref="B240:G242"/>
    <mergeCell ref="H240:H242"/>
    <mergeCell ref="I240:I242"/>
    <mergeCell ref="J240:J242"/>
    <mergeCell ref="K240:K242"/>
    <mergeCell ref="N240:N242"/>
    <mergeCell ref="V240:V242"/>
    <mergeCell ref="AD240:AD242"/>
    <mergeCell ref="AL240:AL242"/>
    <mergeCell ref="AS255:AS257"/>
    <mergeCell ref="N246:N248"/>
    <mergeCell ref="O246:T248"/>
    <mergeCell ref="U246:U248"/>
    <mergeCell ref="V246:V248"/>
    <mergeCell ref="W246:AB248"/>
    <mergeCell ref="AC246:AC248"/>
    <mergeCell ref="AD246:AD248"/>
    <mergeCell ref="AE246:AJ248"/>
    <mergeCell ref="AK246:AK248"/>
    <mergeCell ref="AL246:AL248"/>
    <mergeCell ref="AM246:AR248"/>
    <mergeCell ref="AS246:AS248"/>
    <mergeCell ref="N249:N251"/>
    <mergeCell ref="O249:T251"/>
    <mergeCell ref="U249:U251"/>
    <mergeCell ref="V249:V251"/>
    <mergeCell ref="W249:AB251"/>
    <mergeCell ref="O226:T228"/>
    <mergeCell ref="U226:U228"/>
    <mergeCell ref="AD226:AD228"/>
    <mergeCell ref="AE226:AJ228"/>
    <mergeCell ref="AK226:AK228"/>
    <mergeCell ref="AL226:AL228"/>
    <mergeCell ref="AM226:AR228"/>
    <mergeCell ref="A243:A245"/>
    <mergeCell ref="B243:G245"/>
    <mergeCell ref="H243:H245"/>
    <mergeCell ref="I243:I245"/>
    <mergeCell ref="J243:J245"/>
    <mergeCell ref="K243:K245"/>
    <mergeCell ref="N243:N245"/>
    <mergeCell ref="O243:T245"/>
    <mergeCell ref="U243:U245"/>
    <mergeCell ref="V243:V245"/>
    <mergeCell ref="AD229:AD231"/>
    <mergeCell ref="AE229:AJ231"/>
    <mergeCell ref="AK229:AK231"/>
    <mergeCell ref="AL229:AL231"/>
    <mergeCell ref="AM229:AR231"/>
    <mergeCell ref="L240:L242"/>
    <mergeCell ref="M240:M242"/>
    <mergeCell ref="O240:U242"/>
    <mergeCell ref="W240:AC242"/>
    <mergeCell ref="AE240:AK242"/>
    <mergeCell ref="AM240:AS242"/>
    <mergeCell ref="M230:M232"/>
    <mergeCell ref="A233:E233"/>
    <mergeCell ref="AS229:AS231"/>
    <mergeCell ref="AV3:AV4"/>
    <mergeCell ref="BB205:BB207"/>
    <mergeCell ref="BC205:BH207"/>
    <mergeCell ref="BI205:BI207"/>
    <mergeCell ref="AL196:AL198"/>
    <mergeCell ref="AM196:AR198"/>
    <mergeCell ref="AS196:AS198"/>
    <mergeCell ref="AT196:AT198"/>
    <mergeCell ref="AU196:AZ198"/>
    <mergeCell ref="O196:T198"/>
    <mergeCell ref="U196:U198"/>
    <mergeCell ref="V196:V198"/>
    <mergeCell ref="W196:AB198"/>
    <mergeCell ref="AC196:AC198"/>
    <mergeCell ref="AD196:AD198"/>
    <mergeCell ref="AE196:AJ198"/>
    <mergeCell ref="AK196:AK198"/>
    <mergeCell ref="AT199:AT201"/>
    <mergeCell ref="AU199:AZ201"/>
    <mergeCell ref="BA199:BA201"/>
    <mergeCell ref="BB199:BB201"/>
    <mergeCell ref="AD202:AD204"/>
    <mergeCell ref="AE202:AJ204"/>
    <mergeCell ref="AK202:AK204"/>
    <mergeCell ref="AL202:AL204"/>
    <mergeCell ref="AM202:AR204"/>
    <mergeCell ref="AS202:AS204"/>
    <mergeCell ref="AT202:AT204"/>
    <mergeCell ref="AU202:AZ204"/>
    <mergeCell ref="BA202:BA204"/>
    <mergeCell ref="BB202:BB204"/>
    <mergeCell ref="BC202:BH204"/>
    <mergeCell ref="M193:M195"/>
    <mergeCell ref="N193:N195"/>
    <mergeCell ref="AV5:AV6"/>
    <mergeCell ref="AW5:AY6"/>
    <mergeCell ref="AZ5:AZ6"/>
    <mergeCell ref="W11:AC13"/>
    <mergeCell ref="AD11:AD13"/>
    <mergeCell ref="BL5:BL6"/>
    <mergeCell ref="AF5:AF6"/>
    <mergeCell ref="AG5:AI6"/>
    <mergeCell ref="L5:L6"/>
    <mergeCell ref="M5:O6"/>
    <mergeCell ref="P5:P6"/>
    <mergeCell ref="Q5:S6"/>
    <mergeCell ref="T5:T6"/>
    <mergeCell ref="U5:W6"/>
    <mergeCell ref="AF3:AF4"/>
    <mergeCell ref="AK3:AM4"/>
    <mergeCell ref="AN3:AN4"/>
    <mergeCell ref="T9:T10"/>
    <mergeCell ref="U9:U10"/>
    <mergeCell ref="V9:V10"/>
    <mergeCell ref="W9:AC10"/>
    <mergeCell ref="AD9:AD10"/>
    <mergeCell ref="BJ9:BO9"/>
    <mergeCell ref="BJ10:BO39"/>
    <mergeCell ref="T11:T13"/>
    <mergeCell ref="U11:U13"/>
    <mergeCell ref="V11:V13"/>
    <mergeCell ref="V14:V16"/>
    <mergeCell ref="W14:AC16"/>
    <mergeCell ref="AD14:AD16"/>
    <mergeCell ref="BC193:BH195"/>
    <mergeCell ref="BI193:BI195"/>
    <mergeCell ref="BA5:BC6"/>
    <mergeCell ref="BD5:BD6"/>
    <mergeCell ref="BE5:BG6"/>
    <mergeCell ref="BH5:BH6"/>
    <mergeCell ref="BI5:BK6"/>
    <mergeCell ref="BB190:BB192"/>
    <mergeCell ref="BC190:BI192"/>
    <mergeCell ref="BJ190:BO190"/>
    <mergeCell ref="AL193:AL195"/>
    <mergeCell ref="AM193:AR195"/>
    <mergeCell ref="AS193:AS195"/>
    <mergeCell ref="AT193:AT195"/>
    <mergeCell ref="AU193:AZ195"/>
    <mergeCell ref="BA193:BA195"/>
    <mergeCell ref="BB193:BB195"/>
    <mergeCell ref="BJ47:BO47"/>
    <mergeCell ref="AM50:AR52"/>
    <mergeCell ref="AS50:AS52"/>
    <mergeCell ref="AL59:AL61"/>
    <mergeCell ref="AM59:AR61"/>
    <mergeCell ref="AS59:AS61"/>
    <mergeCell ref="AT101:AT103"/>
    <mergeCell ref="AU101:AZ103"/>
    <mergeCell ref="BA101:BA103"/>
    <mergeCell ref="AT104:AT106"/>
    <mergeCell ref="AU104:AZ106"/>
    <mergeCell ref="BA104:BA106"/>
    <mergeCell ref="AT95:AT97"/>
    <mergeCell ref="AU95:AZ97"/>
    <mergeCell ref="AS62:AS64"/>
    <mergeCell ref="A5:C6"/>
    <mergeCell ref="D5:D6"/>
    <mergeCell ref="E5:G6"/>
    <mergeCell ref="H5:H6"/>
    <mergeCell ref="I5:K6"/>
    <mergeCell ref="T3:T4"/>
    <mergeCell ref="AO3:AQ4"/>
    <mergeCell ref="AR3:AR4"/>
    <mergeCell ref="AS3:AU4"/>
    <mergeCell ref="A3:D4"/>
    <mergeCell ref="E3:G4"/>
    <mergeCell ref="H3:H4"/>
    <mergeCell ref="I3:K4"/>
    <mergeCell ref="L3:L4"/>
    <mergeCell ref="Q3:S4"/>
    <mergeCell ref="M3:O4"/>
    <mergeCell ref="P3:P4"/>
    <mergeCell ref="U3:W4"/>
    <mergeCell ref="X3:X4"/>
    <mergeCell ref="Y3:AA4"/>
    <mergeCell ref="AB3:AB4"/>
    <mergeCell ref="AC3:AE4"/>
    <mergeCell ref="A9:A10"/>
    <mergeCell ref="B9:H10"/>
    <mergeCell ref="I9:I10"/>
    <mergeCell ref="J9:J10"/>
    <mergeCell ref="L9:L10"/>
    <mergeCell ref="M9:S10"/>
    <mergeCell ref="K9:K10"/>
    <mergeCell ref="K11:K13"/>
    <mergeCell ref="K14:K16"/>
    <mergeCell ref="BK1:BM2"/>
    <mergeCell ref="BN1:BP2"/>
    <mergeCell ref="A7:BP8"/>
    <mergeCell ref="AJ5:AJ6"/>
    <mergeCell ref="AK5:AM6"/>
    <mergeCell ref="AN5:AN6"/>
    <mergeCell ref="AO5:AQ6"/>
    <mergeCell ref="AR5:AR6"/>
    <mergeCell ref="AS5:AU6"/>
    <mergeCell ref="X5:X6"/>
    <mergeCell ref="Y5:AA6"/>
    <mergeCell ref="AB5:AB6"/>
    <mergeCell ref="AC5:AE6"/>
    <mergeCell ref="BL3:BL4"/>
    <mergeCell ref="BM3:BO4"/>
    <mergeCell ref="BP3:BP4"/>
    <mergeCell ref="AZ3:AZ4"/>
    <mergeCell ref="BA3:BC4"/>
    <mergeCell ref="BD3:BD4"/>
    <mergeCell ref="BE3:BG4"/>
    <mergeCell ref="BH3:BH4"/>
    <mergeCell ref="BI3:BK4"/>
    <mergeCell ref="AG3:AJ4"/>
    <mergeCell ref="A17:A19"/>
    <mergeCell ref="B17:H19"/>
    <mergeCell ref="I17:I19"/>
    <mergeCell ref="J17:J19"/>
    <mergeCell ref="L17:L19"/>
    <mergeCell ref="M17:S19"/>
    <mergeCell ref="T17:T19"/>
    <mergeCell ref="K17:K19"/>
    <mergeCell ref="A14:A16"/>
    <mergeCell ref="B14:H16"/>
    <mergeCell ref="I14:I16"/>
    <mergeCell ref="J14:J16"/>
    <mergeCell ref="L14:L16"/>
    <mergeCell ref="M14:S16"/>
    <mergeCell ref="T14:T16"/>
    <mergeCell ref="U14:U16"/>
    <mergeCell ref="A11:A13"/>
    <mergeCell ref="B11:H13"/>
    <mergeCell ref="I11:I13"/>
    <mergeCell ref="J11:J13"/>
    <mergeCell ref="L11:L13"/>
    <mergeCell ref="M11:S13"/>
    <mergeCell ref="A26:A28"/>
    <mergeCell ref="B26:H28"/>
    <mergeCell ref="I26:I28"/>
    <mergeCell ref="J26:J28"/>
    <mergeCell ref="L26:L28"/>
    <mergeCell ref="M26:M28"/>
    <mergeCell ref="N26:S28"/>
    <mergeCell ref="T26:T28"/>
    <mergeCell ref="U26:U28"/>
    <mergeCell ref="M23:M25"/>
    <mergeCell ref="N23:S25"/>
    <mergeCell ref="T23:T25"/>
    <mergeCell ref="U23:U25"/>
    <mergeCell ref="V23:V25"/>
    <mergeCell ref="W23:AC25"/>
    <mergeCell ref="T20:T22"/>
    <mergeCell ref="U20:U22"/>
    <mergeCell ref="V20:V22"/>
    <mergeCell ref="W20:AC22"/>
    <mergeCell ref="K20:K22"/>
    <mergeCell ref="K23:K25"/>
    <mergeCell ref="K26:K28"/>
    <mergeCell ref="A23:A25"/>
    <mergeCell ref="B23:H25"/>
    <mergeCell ref="I23:I25"/>
    <mergeCell ref="J23:J25"/>
    <mergeCell ref="L23:L25"/>
    <mergeCell ref="A20:A22"/>
    <mergeCell ref="B20:H22"/>
    <mergeCell ref="I20:I22"/>
    <mergeCell ref="J20:J22"/>
    <mergeCell ref="L20:L22"/>
    <mergeCell ref="A39:A41"/>
    <mergeCell ref="B39:H41"/>
    <mergeCell ref="I39:I41"/>
    <mergeCell ref="J39:J41"/>
    <mergeCell ref="V41:AA41"/>
    <mergeCell ref="A42:F42"/>
    <mergeCell ref="V35:V37"/>
    <mergeCell ref="W35:AC37"/>
    <mergeCell ref="AD35:AD37"/>
    <mergeCell ref="A37:A38"/>
    <mergeCell ref="B37:H38"/>
    <mergeCell ref="I37:I38"/>
    <mergeCell ref="J37:J38"/>
    <mergeCell ref="V38:V40"/>
    <mergeCell ref="W38:AC40"/>
    <mergeCell ref="AD38:AD40"/>
    <mergeCell ref="U29:U31"/>
    <mergeCell ref="V29:V31"/>
    <mergeCell ref="W29:AC31"/>
    <mergeCell ref="AD29:AD31"/>
    <mergeCell ref="A32:F32"/>
    <mergeCell ref="L32:Q32"/>
    <mergeCell ref="V32:V34"/>
    <mergeCell ref="W32:AC34"/>
    <mergeCell ref="AD32:AD34"/>
    <mergeCell ref="A29:A31"/>
    <mergeCell ref="B29:H31"/>
    <mergeCell ref="I29:I31"/>
    <mergeCell ref="J29:J31"/>
    <mergeCell ref="L29:L31"/>
    <mergeCell ref="M29:S31"/>
    <mergeCell ref="T29:T31"/>
    <mergeCell ref="AE47:AJ49"/>
    <mergeCell ref="AK47:AK49"/>
    <mergeCell ref="AL47:AL49"/>
    <mergeCell ref="AM47:AR49"/>
    <mergeCell ref="AS47:AS49"/>
    <mergeCell ref="O47:T49"/>
    <mergeCell ref="U47:U49"/>
    <mergeCell ref="V47:V49"/>
    <mergeCell ref="W47:AB49"/>
    <mergeCell ref="AC47:AC49"/>
    <mergeCell ref="AD47:AD49"/>
    <mergeCell ref="A45:BM46"/>
    <mergeCell ref="A47:A49"/>
    <mergeCell ref="B47:G49"/>
    <mergeCell ref="H47:H49"/>
    <mergeCell ref="I47:I49"/>
    <mergeCell ref="J47:J49"/>
    <mergeCell ref="K47:K49"/>
    <mergeCell ref="N47:N49"/>
    <mergeCell ref="BJ48:BO78"/>
    <mergeCell ref="AD50:AD52"/>
    <mergeCell ref="AE50:AJ52"/>
    <mergeCell ref="AK50:AK52"/>
    <mergeCell ref="AL50:AL52"/>
    <mergeCell ref="N50:N52"/>
    <mergeCell ref="O50:T52"/>
    <mergeCell ref="U50:U52"/>
    <mergeCell ref="AM53:AR55"/>
    <mergeCell ref="AS53:AS55"/>
    <mergeCell ref="W53:AB55"/>
    <mergeCell ref="AC53:AC55"/>
    <mergeCell ref="AD53:AD55"/>
    <mergeCell ref="AE53:AJ55"/>
    <mergeCell ref="AK53:AK55"/>
    <mergeCell ref="AL53:AL55"/>
    <mergeCell ref="N53:N55"/>
    <mergeCell ref="O53:T55"/>
    <mergeCell ref="U53:U55"/>
    <mergeCell ref="V53:V55"/>
    <mergeCell ref="AE56:AJ58"/>
    <mergeCell ref="AK56:AK58"/>
    <mergeCell ref="AL56:AL58"/>
    <mergeCell ref="AM56:AR58"/>
    <mergeCell ref="AS56:AS58"/>
    <mergeCell ref="O56:T58"/>
    <mergeCell ref="U56:U58"/>
    <mergeCell ref="V56:V58"/>
    <mergeCell ref="W56:AB58"/>
    <mergeCell ref="AC56:AC58"/>
    <mergeCell ref="AD56:AD58"/>
    <mergeCell ref="A56:A58"/>
    <mergeCell ref="B56:G58"/>
    <mergeCell ref="H56:H58"/>
    <mergeCell ref="I56:I58"/>
    <mergeCell ref="J56:J58"/>
    <mergeCell ref="K56:K58"/>
    <mergeCell ref="N56:N58"/>
    <mergeCell ref="AD59:AD61"/>
    <mergeCell ref="AE59:AJ61"/>
    <mergeCell ref="AK59:AK61"/>
    <mergeCell ref="K59:K61"/>
    <mergeCell ref="N59:N61"/>
    <mergeCell ref="O59:T61"/>
    <mergeCell ref="U59:U61"/>
    <mergeCell ref="A59:A61"/>
    <mergeCell ref="B59:G61"/>
    <mergeCell ref="H59:H61"/>
    <mergeCell ref="I59:I61"/>
    <mergeCell ref="J59:J61"/>
    <mergeCell ref="AC77:AC79"/>
    <mergeCell ref="AC80:AC82"/>
    <mergeCell ref="AD68:AD70"/>
    <mergeCell ref="AE68:AJ70"/>
    <mergeCell ref="AC62:AC64"/>
    <mergeCell ref="AD62:AD64"/>
    <mergeCell ref="AE62:AJ64"/>
    <mergeCell ref="AK62:AK64"/>
    <mergeCell ref="AL62:AL64"/>
    <mergeCell ref="AM62:AR64"/>
    <mergeCell ref="N62:N64"/>
    <mergeCell ref="O62:T64"/>
    <mergeCell ref="U62:U64"/>
    <mergeCell ref="V62:V64"/>
    <mergeCell ref="W62:AB64"/>
    <mergeCell ref="A62:A64"/>
    <mergeCell ref="B62:G64"/>
    <mergeCell ref="H62:H64"/>
    <mergeCell ref="I62:I64"/>
    <mergeCell ref="J62:J64"/>
    <mergeCell ref="AK71:AK73"/>
    <mergeCell ref="A71:A73"/>
    <mergeCell ref="B71:G73"/>
    <mergeCell ref="H71:H73"/>
    <mergeCell ref="I71:I73"/>
    <mergeCell ref="AK68:AK70"/>
    <mergeCell ref="AL68:AL70"/>
    <mergeCell ref="AM68:AR70"/>
    <mergeCell ref="AS68:AS70"/>
    <mergeCell ref="A68:A70"/>
    <mergeCell ref="B68:G70"/>
    <mergeCell ref="H68:H70"/>
    <mergeCell ref="I68:I70"/>
    <mergeCell ref="J68:J70"/>
    <mergeCell ref="K68:K70"/>
    <mergeCell ref="AM65:AR67"/>
    <mergeCell ref="AS65:AS67"/>
    <mergeCell ref="W65:AB67"/>
    <mergeCell ref="AC65:AC67"/>
    <mergeCell ref="AD65:AD67"/>
    <mergeCell ref="AE65:AJ67"/>
    <mergeCell ref="AK65:AK67"/>
    <mergeCell ref="AL65:AL67"/>
    <mergeCell ref="A65:A67"/>
    <mergeCell ref="B65:G67"/>
    <mergeCell ref="H65:H67"/>
    <mergeCell ref="I65:I67"/>
    <mergeCell ref="J65:J67"/>
    <mergeCell ref="K65:K67"/>
    <mergeCell ref="V65:V67"/>
    <mergeCell ref="AC68:AC70"/>
    <mergeCell ref="AC83:AC85"/>
    <mergeCell ref="L47:M82"/>
    <mergeCell ref="V50:V52"/>
    <mergeCell ref="A50:A52"/>
    <mergeCell ref="B50:G52"/>
    <mergeCell ref="H50:H52"/>
    <mergeCell ref="I50:I52"/>
    <mergeCell ref="J50:J52"/>
    <mergeCell ref="K50:K52"/>
    <mergeCell ref="K62:K64"/>
    <mergeCell ref="V59:V61"/>
    <mergeCell ref="W59:AB61"/>
    <mergeCell ref="AC59:AC61"/>
    <mergeCell ref="A53:A55"/>
    <mergeCell ref="B53:G55"/>
    <mergeCell ref="H53:H55"/>
    <mergeCell ref="I53:I55"/>
    <mergeCell ref="J53:J55"/>
    <mergeCell ref="K53:K55"/>
    <mergeCell ref="W50:AB52"/>
    <mergeCell ref="AC50:AC52"/>
    <mergeCell ref="V68:V70"/>
    <mergeCell ref="W68:AB70"/>
    <mergeCell ref="V71:V73"/>
    <mergeCell ref="W71:AB73"/>
    <mergeCell ref="V74:V76"/>
    <mergeCell ref="W74:AB76"/>
    <mergeCell ref="V77:V79"/>
    <mergeCell ref="W77:AB79"/>
    <mergeCell ref="V80:V82"/>
    <mergeCell ref="W80:AB82"/>
    <mergeCell ref="AC74:AC76"/>
    <mergeCell ref="AD98:AD100"/>
    <mergeCell ref="AE98:AJ100"/>
    <mergeCell ref="AK98:AK100"/>
    <mergeCell ref="AL98:AL100"/>
    <mergeCell ref="AM98:AR100"/>
    <mergeCell ref="AS98:AS100"/>
    <mergeCell ref="N98:N100"/>
    <mergeCell ref="O98:T100"/>
    <mergeCell ref="U98:U100"/>
    <mergeCell ref="V98:V100"/>
    <mergeCell ref="W98:AB100"/>
    <mergeCell ref="AC98:AC100"/>
    <mergeCell ref="A193:A195"/>
    <mergeCell ref="B193:G195"/>
    <mergeCell ref="H193:H195"/>
    <mergeCell ref="I193:I195"/>
    <mergeCell ref="J193:J195"/>
    <mergeCell ref="K193:K195"/>
    <mergeCell ref="L193:L195"/>
    <mergeCell ref="W101:AB103"/>
    <mergeCell ref="AD101:AD103"/>
    <mergeCell ref="N104:N106"/>
    <mergeCell ref="O104:T106"/>
    <mergeCell ref="U104:U106"/>
    <mergeCell ref="V104:V106"/>
    <mergeCell ref="W104:AB106"/>
    <mergeCell ref="AC104:AC106"/>
    <mergeCell ref="A104:A106"/>
    <mergeCell ref="B104:G106"/>
    <mergeCell ref="H104:H106"/>
    <mergeCell ref="I104:I106"/>
    <mergeCell ref="J104:J106"/>
    <mergeCell ref="W95:AB97"/>
    <mergeCell ref="AC95:AC97"/>
    <mergeCell ref="AE101:AJ103"/>
    <mergeCell ref="AK101:AK103"/>
    <mergeCell ref="AL101:AL103"/>
    <mergeCell ref="L101:L103"/>
    <mergeCell ref="M101:M103"/>
    <mergeCell ref="N101:N103"/>
    <mergeCell ref="O101:T103"/>
    <mergeCell ref="U101:U103"/>
    <mergeCell ref="V101:V103"/>
    <mergeCell ref="V83:V85"/>
    <mergeCell ref="W83:AB85"/>
    <mergeCell ref="V86:V88"/>
    <mergeCell ref="W86:AB88"/>
    <mergeCell ref="J71:J73"/>
    <mergeCell ref="K71:K73"/>
    <mergeCell ref="AC86:AC88"/>
    <mergeCell ref="A93:BM94"/>
    <mergeCell ref="A95:A97"/>
    <mergeCell ref="B95:G97"/>
    <mergeCell ref="H95:H97"/>
    <mergeCell ref="I95:I97"/>
    <mergeCell ref="J95:J97"/>
    <mergeCell ref="K95:K97"/>
    <mergeCell ref="L95:L97"/>
    <mergeCell ref="M95:M97"/>
    <mergeCell ref="AD74:AD76"/>
    <mergeCell ref="AE74:AJ76"/>
    <mergeCell ref="AK74:AK76"/>
    <mergeCell ref="AD71:AD73"/>
    <mergeCell ref="AE71:AJ73"/>
    <mergeCell ref="BA95:BA97"/>
    <mergeCell ref="AC71:AC73"/>
    <mergeCell ref="U107:U109"/>
    <mergeCell ref="V107:V109"/>
    <mergeCell ref="A107:A109"/>
    <mergeCell ref="B107:G109"/>
    <mergeCell ref="H107:H109"/>
    <mergeCell ref="I107:I109"/>
    <mergeCell ref="J107:J109"/>
    <mergeCell ref="K107:K109"/>
    <mergeCell ref="AD104:AD106"/>
    <mergeCell ref="AE104:AJ106"/>
    <mergeCell ref="AK104:AK106"/>
    <mergeCell ref="BJ95:BO95"/>
    <mergeCell ref="A98:A100"/>
    <mergeCell ref="B98:G100"/>
    <mergeCell ref="H98:H100"/>
    <mergeCell ref="I98:I100"/>
    <mergeCell ref="J98:J100"/>
    <mergeCell ref="K98:K100"/>
    <mergeCell ref="L98:L100"/>
    <mergeCell ref="M98:M100"/>
    <mergeCell ref="AD95:AD97"/>
    <mergeCell ref="AE95:AJ97"/>
    <mergeCell ref="AK95:AK97"/>
    <mergeCell ref="AL95:AL97"/>
    <mergeCell ref="AM95:AR97"/>
    <mergeCell ref="AS95:AS97"/>
    <mergeCell ref="N95:N97"/>
    <mergeCell ref="O95:T97"/>
    <mergeCell ref="U95:U97"/>
    <mergeCell ref="V95:V97"/>
    <mergeCell ref="K104:K106"/>
    <mergeCell ref="L104:L106"/>
    <mergeCell ref="M104:M106"/>
    <mergeCell ref="A101:A103"/>
    <mergeCell ref="B101:G103"/>
    <mergeCell ref="H101:H103"/>
    <mergeCell ref="I101:I103"/>
    <mergeCell ref="J101:J103"/>
    <mergeCell ref="K101:K103"/>
    <mergeCell ref="AC101:AC103"/>
    <mergeCell ref="AD110:AD112"/>
    <mergeCell ref="AE110:AJ112"/>
    <mergeCell ref="AK110:AK112"/>
    <mergeCell ref="AL110:AL112"/>
    <mergeCell ref="AM110:AR112"/>
    <mergeCell ref="AS110:AS112"/>
    <mergeCell ref="N110:N112"/>
    <mergeCell ref="O110:T112"/>
    <mergeCell ref="U110:U112"/>
    <mergeCell ref="V110:V112"/>
    <mergeCell ref="W110:AB112"/>
    <mergeCell ref="AC110:AC112"/>
    <mergeCell ref="AM107:AR109"/>
    <mergeCell ref="AS107:AS109"/>
    <mergeCell ref="A110:A112"/>
    <mergeCell ref="B110:G112"/>
    <mergeCell ref="H110:H112"/>
    <mergeCell ref="I110:I112"/>
    <mergeCell ref="J110:J112"/>
    <mergeCell ref="K110:K112"/>
    <mergeCell ref="L110:L112"/>
    <mergeCell ref="M110:M112"/>
    <mergeCell ref="W107:AB109"/>
    <mergeCell ref="AC107:AC109"/>
    <mergeCell ref="AD107:AD109"/>
    <mergeCell ref="AE107:AJ109"/>
    <mergeCell ref="AK107:AK109"/>
    <mergeCell ref="AL107:AL109"/>
    <mergeCell ref="L107:L109"/>
    <mergeCell ref="M107:M109"/>
    <mergeCell ref="N107:N109"/>
    <mergeCell ref="O107:T109"/>
    <mergeCell ref="AD116:AD118"/>
    <mergeCell ref="AE116:AJ118"/>
    <mergeCell ref="AK116:AK118"/>
    <mergeCell ref="K116:K118"/>
    <mergeCell ref="L116:L118"/>
    <mergeCell ref="M116:M118"/>
    <mergeCell ref="N122:N124"/>
    <mergeCell ref="O122:T124"/>
    <mergeCell ref="U116:U118"/>
    <mergeCell ref="U119:U121"/>
    <mergeCell ref="U122:U124"/>
    <mergeCell ref="AE113:AJ115"/>
    <mergeCell ref="AK113:AK115"/>
    <mergeCell ref="AL113:AL115"/>
    <mergeCell ref="L122:L124"/>
    <mergeCell ref="AM113:AR115"/>
    <mergeCell ref="AS113:AS115"/>
    <mergeCell ref="A116:A118"/>
    <mergeCell ref="B116:G118"/>
    <mergeCell ref="H116:H118"/>
    <mergeCell ref="I116:I118"/>
    <mergeCell ref="J116:J118"/>
    <mergeCell ref="L113:L115"/>
    <mergeCell ref="M113:M115"/>
    <mergeCell ref="AD113:AD115"/>
    <mergeCell ref="A113:A115"/>
    <mergeCell ref="B113:G115"/>
    <mergeCell ref="H113:H115"/>
    <mergeCell ref="I113:I115"/>
    <mergeCell ref="J113:J115"/>
    <mergeCell ref="K113:K115"/>
    <mergeCell ref="U113:U115"/>
    <mergeCell ref="N113:N115"/>
    <mergeCell ref="O113:T115"/>
    <mergeCell ref="N116:N118"/>
    <mergeCell ref="O116:T118"/>
    <mergeCell ref="O125:T127"/>
    <mergeCell ref="U125:U127"/>
    <mergeCell ref="AE119:AJ121"/>
    <mergeCell ref="AK119:AK121"/>
    <mergeCell ref="AD122:AD124"/>
    <mergeCell ref="AE122:AJ124"/>
    <mergeCell ref="AK122:AK124"/>
    <mergeCell ref="L119:L121"/>
    <mergeCell ref="M119:M121"/>
    <mergeCell ref="AD119:AD121"/>
    <mergeCell ref="O119:T121"/>
    <mergeCell ref="A119:A121"/>
    <mergeCell ref="B119:G121"/>
    <mergeCell ref="H119:H121"/>
    <mergeCell ref="I119:I121"/>
    <mergeCell ref="J119:J121"/>
    <mergeCell ref="K119:K121"/>
    <mergeCell ref="M122:M124"/>
    <mergeCell ref="N119:N121"/>
    <mergeCell ref="U148:U150"/>
    <mergeCell ref="V148:V150"/>
    <mergeCell ref="W148:AB150"/>
    <mergeCell ref="AC148:AC150"/>
    <mergeCell ref="A148:A150"/>
    <mergeCell ref="B148:G150"/>
    <mergeCell ref="H148:H150"/>
    <mergeCell ref="I148:I150"/>
    <mergeCell ref="A140:BM141"/>
    <mergeCell ref="W145:AB147"/>
    <mergeCell ref="AC145:AC147"/>
    <mergeCell ref="L145:L147"/>
    <mergeCell ref="M145:M147"/>
    <mergeCell ref="N145:N147"/>
    <mergeCell ref="O145:T147"/>
    <mergeCell ref="U145:U147"/>
    <mergeCell ref="V145:V147"/>
    <mergeCell ref="BJ142:BO142"/>
    <mergeCell ref="A145:A147"/>
    <mergeCell ref="B145:G147"/>
    <mergeCell ref="H145:H147"/>
    <mergeCell ref="I145:I147"/>
    <mergeCell ref="J145:J147"/>
    <mergeCell ref="K145:K147"/>
    <mergeCell ref="W142:AB144"/>
    <mergeCell ref="J157:J159"/>
    <mergeCell ref="K157:K159"/>
    <mergeCell ref="A154:A156"/>
    <mergeCell ref="B154:G156"/>
    <mergeCell ref="H154:H156"/>
    <mergeCell ref="I154:I156"/>
    <mergeCell ref="J154:J156"/>
    <mergeCell ref="K154:K156"/>
    <mergeCell ref="L154:L156"/>
    <mergeCell ref="N154:N156"/>
    <mergeCell ref="AC142:AC144"/>
    <mergeCell ref="L142:L144"/>
    <mergeCell ref="M142:M144"/>
    <mergeCell ref="N142:N144"/>
    <mergeCell ref="O142:T144"/>
    <mergeCell ref="U142:U144"/>
    <mergeCell ref="V142:V144"/>
    <mergeCell ref="A142:A144"/>
    <mergeCell ref="B142:G144"/>
    <mergeCell ref="A151:A153"/>
    <mergeCell ref="B151:G153"/>
    <mergeCell ref="H151:H153"/>
    <mergeCell ref="I151:I153"/>
    <mergeCell ref="J151:J153"/>
    <mergeCell ref="K151:K153"/>
    <mergeCell ref="J148:J150"/>
    <mergeCell ref="K148:K150"/>
    <mergeCell ref="L148:L150"/>
    <mergeCell ref="J142:J144"/>
    <mergeCell ref="K142:K144"/>
    <mergeCell ref="N148:N150"/>
    <mergeCell ref="O148:T150"/>
    <mergeCell ref="J166:J168"/>
    <mergeCell ref="K166:K168"/>
    <mergeCell ref="M163:M165"/>
    <mergeCell ref="V163:V165"/>
    <mergeCell ref="W163:AB165"/>
    <mergeCell ref="AC163:AC165"/>
    <mergeCell ref="A163:A165"/>
    <mergeCell ref="B163:G165"/>
    <mergeCell ref="H163:H165"/>
    <mergeCell ref="I163:I165"/>
    <mergeCell ref="J163:J165"/>
    <mergeCell ref="K163:K165"/>
    <mergeCell ref="L163:L165"/>
    <mergeCell ref="V160:V162"/>
    <mergeCell ref="W160:AB162"/>
    <mergeCell ref="AC160:AC162"/>
    <mergeCell ref="A160:A162"/>
    <mergeCell ref="B160:G162"/>
    <mergeCell ref="H160:H162"/>
    <mergeCell ref="I160:I162"/>
    <mergeCell ref="J160:J162"/>
    <mergeCell ref="K160:K162"/>
    <mergeCell ref="L160:L162"/>
    <mergeCell ref="M160:M162"/>
    <mergeCell ref="A166:A168"/>
    <mergeCell ref="B166:G168"/>
    <mergeCell ref="H166:H168"/>
    <mergeCell ref="V172:V174"/>
    <mergeCell ref="W172:AB174"/>
    <mergeCell ref="AC172:AC174"/>
    <mergeCell ref="V169:V171"/>
    <mergeCell ref="W169:AB171"/>
    <mergeCell ref="AC169:AC171"/>
    <mergeCell ref="L166:L168"/>
    <mergeCell ref="N163:N165"/>
    <mergeCell ref="O163:T165"/>
    <mergeCell ref="U160:U162"/>
    <mergeCell ref="U163:U165"/>
    <mergeCell ref="M166:M168"/>
    <mergeCell ref="V166:V168"/>
    <mergeCell ref="W166:AB168"/>
    <mergeCell ref="AC166:AC168"/>
    <mergeCell ref="M154:M156"/>
    <mergeCell ref="V151:V153"/>
    <mergeCell ref="W157:AB159"/>
    <mergeCell ref="AC157:AC159"/>
    <mergeCell ref="L157:L159"/>
    <mergeCell ref="M157:M159"/>
    <mergeCell ref="N157:N159"/>
    <mergeCell ref="O157:T159"/>
    <mergeCell ref="U157:U159"/>
    <mergeCell ref="V157:V159"/>
    <mergeCell ref="N151:N153"/>
    <mergeCell ref="O151:T153"/>
    <mergeCell ref="U151:U153"/>
    <mergeCell ref="M132:M134"/>
    <mergeCell ref="O154:T156"/>
    <mergeCell ref="U154:U156"/>
    <mergeCell ref="V154:V156"/>
    <mergeCell ref="W154:AB156"/>
    <mergeCell ref="AC154:AC156"/>
    <mergeCell ref="W151:AB153"/>
    <mergeCell ref="AC151:AC153"/>
    <mergeCell ref="L151:L153"/>
    <mergeCell ref="M151:M153"/>
    <mergeCell ref="AT98:AT100"/>
    <mergeCell ref="AU98:AZ100"/>
    <mergeCell ref="BA98:BA100"/>
    <mergeCell ref="AL119:AL121"/>
    <mergeCell ref="AM119:AR121"/>
    <mergeCell ref="AL122:AL124"/>
    <mergeCell ref="AM122:AR124"/>
    <mergeCell ref="AS119:AS121"/>
    <mergeCell ref="AS122:AS124"/>
    <mergeCell ref="AL116:AL118"/>
    <mergeCell ref="AM116:AR118"/>
    <mergeCell ref="AS116:AS118"/>
    <mergeCell ref="AM101:AR103"/>
    <mergeCell ref="AS101:AS103"/>
    <mergeCell ref="AT122:AT124"/>
    <mergeCell ref="AU122:AZ124"/>
    <mergeCell ref="BA122:BA124"/>
    <mergeCell ref="AL104:AL106"/>
    <mergeCell ref="AM104:AR106"/>
    <mergeCell ref="AS104:AS106"/>
    <mergeCell ref="M148:M150"/>
    <mergeCell ref="N125:N127"/>
    <mergeCell ref="BI116:BI118"/>
    <mergeCell ref="BB107:BB109"/>
    <mergeCell ref="BC107:BH109"/>
    <mergeCell ref="BI107:BI109"/>
    <mergeCell ref="BB110:BB112"/>
    <mergeCell ref="BC110:BH112"/>
    <mergeCell ref="BI110:BI112"/>
    <mergeCell ref="AT119:AT121"/>
    <mergeCell ref="AU119:AZ121"/>
    <mergeCell ref="BA119:BA121"/>
    <mergeCell ref="AT113:AT115"/>
    <mergeCell ref="AU113:AZ115"/>
    <mergeCell ref="BA113:BA115"/>
    <mergeCell ref="AT116:AT118"/>
    <mergeCell ref="AU116:AZ118"/>
    <mergeCell ref="BA116:BA118"/>
    <mergeCell ref="AT107:AT109"/>
    <mergeCell ref="AT110:AT112"/>
    <mergeCell ref="AU110:AZ112"/>
    <mergeCell ref="BA110:BA112"/>
    <mergeCell ref="AD17:AD19"/>
    <mergeCell ref="M20:S22"/>
    <mergeCell ref="AD20:AD22"/>
    <mergeCell ref="AW3:AY4"/>
    <mergeCell ref="N160:N162"/>
    <mergeCell ref="O160:T162"/>
    <mergeCell ref="BB101:BB103"/>
    <mergeCell ref="BC101:BH103"/>
    <mergeCell ref="BI101:BI103"/>
    <mergeCell ref="BB104:BB106"/>
    <mergeCell ref="BC104:BH106"/>
    <mergeCell ref="BI104:BI106"/>
    <mergeCell ref="BB95:BB97"/>
    <mergeCell ref="BC95:BH97"/>
    <mergeCell ref="BI95:BI97"/>
    <mergeCell ref="BB98:BB100"/>
    <mergeCell ref="BC98:BH100"/>
    <mergeCell ref="BI98:BI100"/>
    <mergeCell ref="AU107:AZ109"/>
    <mergeCell ref="BA107:BA109"/>
    <mergeCell ref="BB119:BB121"/>
    <mergeCell ref="AF26:AF28"/>
    <mergeCell ref="AG26:AM28"/>
    <mergeCell ref="AN26:AN28"/>
    <mergeCell ref="AF29:AK29"/>
    <mergeCell ref="BC119:BH121"/>
    <mergeCell ref="BI119:BI121"/>
    <mergeCell ref="BB113:BB115"/>
    <mergeCell ref="BC113:BH115"/>
    <mergeCell ref="BI113:BI115"/>
    <mergeCell ref="BB116:BB118"/>
    <mergeCell ref="BC116:BH118"/>
    <mergeCell ref="BJ96:BO126"/>
    <mergeCell ref="BJ143:BO173"/>
    <mergeCell ref="BJ241:BO271"/>
    <mergeCell ref="BJ291:BO321"/>
    <mergeCell ref="K29:K31"/>
    <mergeCell ref="K37:K38"/>
    <mergeCell ref="K39:K41"/>
    <mergeCell ref="AF9:AF10"/>
    <mergeCell ref="AG9:AM10"/>
    <mergeCell ref="AN9:AN10"/>
    <mergeCell ref="AF11:AF13"/>
    <mergeCell ref="AG11:AM13"/>
    <mergeCell ref="AN11:AN13"/>
    <mergeCell ref="AF14:AF16"/>
    <mergeCell ref="AG14:AM16"/>
    <mergeCell ref="AN14:AN16"/>
    <mergeCell ref="AF17:AF19"/>
    <mergeCell ref="AG17:AM19"/>
    <mergeCell ref="AN17:AN19"/>
    <mergeCell ref="AF20:AF22"/>
    <mergeCell ref="AG20:AM22"/>
    <mergeCell ref="AN20:AN22"/>
    <mergeCell ref="AF23:AF25"/>
    <mergeCell ref="AG23:AM25"/>
    <mergeCell ref="AN23:AN25"/>
    <mergeCell ref="V26:V28"/>
    <mergeCell ref="W26:AC28"/>
    <mergeCell ref="AD26:AD28"/>
    <mergeCell ref="AD23:AD25"/>
    <mergeCell ref="U17:U19"/>
    <mergeCell ref="V17:V19"/>
    <mergeCell ref="W17:AC19"/>
  </mergeCells>
  <conditionalFormatting sqref="U166:U168">
    <cfRule type="containsBlanks" dxfId="2911" priority="2860">
      <formula>LEN(TRIM(U166))=0</formula>
    </cfRule>
  </conditionalFormatting>
  <conditionalFormatting sqref="T3">
    <cfRule type="containsBlanks" dxfId="2910" priority="2852">
      <formula>LEN(TRIM(T3))=0</formula>
    </cfRule>
  </conditionalFormatting>
  <conditionalFormatting sqref="X3 AB3 AF3 AN3 AR3 AV3 AZ3 BD3 BH3 BL3 BP3">
    <cfRule type="containsBlanks" dxfId="2909" priority="2851">
      <formula>LEN(TRIM(X3))=0</formula>
    </cfRule>
  </conditionalFormatting>
  <conditionalFormatting sqref="U65:U68">
    <cfRule type="containsBlanks" dxfId="2908" priority="2818">
      <formula>LEN(TRIM(U65))=0</formula>
    </cfRule>
  </conditionalFormatting>
  <conditionalFormatting sqref="AK77:AK79">
    <cfRule type="containsBlanks" dxfId="2907" priority="2817">
      <formula>LEN(TRIM(AK77))=0</formula>
    </cfRule>
  </conditionalFormatting>
  <conditionalFormatting sqref="AS71:AS73">
    <cfRule type="containsBlanks" dxfId="2906" priority="2816">
      <formula>LEN(TRIM(AS71))=0</formula>
    </cfRule>
  </conditionalFormatting>
  <conditionalFormatting sqref="AC113:AC116">
    <cfRule type="containsBlanks" dxfId="2905" priority="2795">
      <formula>LEN(TRIM(AC113))=0</formula>
    </cfRule>
  </conditionalFormatting>
  <conditionalFormatting sqref="U50:U64">
    <cfRule type="containsBlanks" dxfId="2904" priority="2813">
      <formula>LEN(TRIM(U50))=0</formula>
    </cfRule>
  </conditionalFormatting>
  <conditionalFormatting sqref="AC50:AC88">
    <cfRule type="containsBlanks" dxfId="2903" priority="2812">
      <formula>LEN(TRIM(AC50))=0</formula>
    </cfRule>
  </conditionalFormatting>
  <conditionalFormatting sqref="AC89:AC92">
    <cfRule type="containsBlanks" dxfId="2902" priority="2807">
      <formula>LEN(TRIM(AC89))=0</formula>
    </cfRule>
  </conditionalFormatting>
  <conditionalFormatting sqref="U128:U130">
    <cfRule type="containsBlanks" dxfId="2901" priority="2802">
      <formula>LEN(TRIM(U128))=0</formula>
    </cfRule>
  </conditionalFormatting>
  <conditionalFormatting sqref="AS125:AS127">
    <cfRule type="containsBlanks" dxfId="2900" priority="2800">
      <formula>LEN(TRIM(AS125))=0</formula>
    </cfRule>
  </conditionalFormatting>
  <conditionalFormatting sqref="U98:U127">
    <cfRule type="containsBlanks" dxfId="2899" priority="2799">
      <formula>LEN(TRIM(U98))=0</formula>
    </cfRule>
  </conditionalFormatting>
  <conditionalFormatting sqref="H3:H4">
    <cfRule type="containsBlanks" dxfId="2898" priority="2859">
      <formula>LEN(TRIM(H3))=0</formula>
    </cfRule>
  </conditionalFormatting>
  <conditionalFormatting sqref="L3:L4">
    <cfRule type="containsBlanks" dxfId="2897" priority="2858">
      <formula>LEN(TRIM(L3))=0</formula>
    </cfRule>
  </conditionalFormatting>
  <conditionalFormatting sqref="U145:U165">
    <cfRule type="containsBlanks" dxfId="2896" priority="2787">
      <formula>LEN(TRIM(U145))=0</formula>
    </cfRule>
  </conditionalFormatting>
  <conditionalFormatting sqref="AC175:AC177">
    <cfRule type="containsBlanks" dxfId="2895" priority="2783">
      <formula>LEN(TRIM(AC175))=0</formula>
    </cfRule>
  </conditionalFormatting>
  <conditionalFormatting sqref="AC145:AC174">
    <cfRule type="containsBlanks" dxfId="2894" priority="2786">
      <formula>LEN(TRIM(AC145))=0</formula>
    </cfRule>
  </conditionalFormatting>
  <conditionalFormatting sqref="AK50:AK76">
    <cfRule type="containsBlanks" dxfId="2893" priority="2775">
      <formula>LEN(TRIM(AK50))=0</formula>
    </cfRule>
  </conditionalFormatting>
  <conditionalFormatting sqref="BI98:BI121">
    <cfRule type="containsBlanks" dxfId="2892" priority="2767">
      <formula>LEN(TRIM(BI98))=0</formula>
    </cfRule>
  </conditionalFormatting>
  <conditionalFormatting sqref="AS50:AS70">
    <cfRule type="containsBlanks" dxfId="2891" priority="2774">
      <formula>LEN(TRIM(AS50))=0</formula>
    </cfRule>
  </conditionalFormatting>
  <conditionalFormatting sqref="AC98:AC112">
    <cfRule type="containsBlanks" dxfId="2890" priority="2771">
      <formula>LEN(TRIM(AC98))=0</formula>
    </cfRule>
  </conditionalFormatting>
  <conditionalFormatting sqref="AK98:AK124">
    <cfRule type="containsBlanks" dxfId="2889" priority="2770">
      <formula>LEN(TRIM(AK98))=0</formula>
    </cfRule>
  </conditionalFormatting>
  <conditionalFormatting sqref="AS98:AS124">
    <cfRule type="containsBlanks" dxfId="2888" priority="2769">
      <formula>LEN(TRIM(AS98))=0</formula>
    </cfRule>
  </conditionalFormatting>
  <conditionalFormatting sqref="BA98:BA124">
    <cfRule type="containsBlanks" dxfId="2887" priority="2768">
      <formula>LEN(TRIM(BA98))=0</formula>
    </cfRule>
  </conditionalFormatting>
  <conditionalFormatting sqref="AK125:AK127">
    <cfRule type="containsBlanks" dxfId="2886" priority="2766">
      <formula>LEN(TRIM(AK125))=0</formula>
    </cfRule>
  </conditionalFormatting>
  <conditionalFormatting sqref="BA125:BA127">
    <cfRule type="containsBlanks" dxfId="2885" priority="2765">
      <formula>LEN(TRIM(BA125))=0</formula>
    </cfRule>
  </conditionalFormatting>
  <conditionalFormatting sqref="BI122:BI124">
    <cfRule type="containsBlanks" dxfId="2884" priority="2764">
      <formula>LEN(TRIM(BI122))=0</formula>
    </cfRule>
  </conditionalFormatting>
  <conditionalFormatting sqref="I42:J42">
    <cfRule type="containsBlanks" dxfId="2883" priority="2762">
      <formula>LEN(TRIM(I42))=0</formula>
    </cfRule>
  </conditionalFormatting>
  <conditionalFormatting sqref="AD41:AD44">
    <cfRule type="containsBlanks" dxfId="2882" priority="2761">
      <formula>LEN(TRIM(AD41))=0</formula>
    </cfRule>
  </conditionalFormatting>
  <conditionalFormatting sqref="I32:J35">
    <cfRule type="containsBlanks" dxfId="2881" priority="2760">
      <formula>LEN(TRIM(I32))=0</formula>
    </cfRule>
  </conditionalFormatting>
  <conditionalFormatting sqref="T32:T34">
    <cfRule type="containsBlanks" dxfId="2880" priority="2759">
      <formula>LEN(TRIM(T32))=0</formula>
    </cfRule>
  </conditionalFormatting>
  <conditionalFormatting sqref="I11:J31">
    <cfRule type="containsBlanks" dxfId="2879" priority="2758">
      <formula>LEN(TRIM(I11))=0</formula>
    </cfRule>
  </conditionalFormatting>
  <conditionalFormatting sqref="T11:T31">
    <cfRule type="containsBlanks" dxfId="2878" priority="2757">
      <formula>LEN(TRIM(T11))=0</formula>
    </cfRule>
  </conditionalFormatting>
  <conditionalFormatting sqref="AD11:AD40">
    <cfRule type="containsBlanks" dxfId="2877" priority="2756">
      <formula>LEN(TRIM(AD11))=0</formula>
    </cfRule>
  </conditionalFormatting>
  <conditionalFormatting sqref="I39:J41">
    <cfRule type="containsBlanks" dxfId="2876" priority="2755">
      <formula>LEN(TRIM(I39))=0</formula>
    </cfRule>
  </conditionalFormatting>
  <conditionalFormatting sqref="AD33:XFD40 AD9:AE32 AO9:XFD32 L9:U19 A32:J36 L41:XFD42 AF31:AK32 AL30:AN31 A39:J42 I37:J38 A92:XFD92 J178:J187 L23:U40 L20:L22 T20:U22 A7:XFD8 BM5:XFD6 A345:XFD1553 EK178:EO187 T178:BO187 A93:BO94 A1:XFD4 A43:XFD46 BQ93:BY93 BQ268:XFD344 A11:A31 I9:J31 J142:BO142 EK188:XFD267 N95:BO95 A140:BO141 EP93:XFD187 EO93:EO177 BQ94:BT267 L47:XFD47 L79:XFD91 L48:BJ48 L49:BI78 BP48:XFD78 N127:BO139 N96:BI126 J174:BO177 J143:BI173">
    <cfRule type="cellIs" dxfId="2875" priority="2698" operator="equal">
      <formula>4.4</formula>
    </cfRule>
    <cfRule type="cellIs" dxfId="2874" priority="2699" operator="equal">
      <formula>4.3</formula>
    </cfRule>
    <cfRule type="cellIs" dxfId="2873" priority="2700" operator="equal">
      <formula>4.2</formula>
    </cfRule>
    <cfRule type="cellIs" dxfId="2872" priority="2701" operator="equal">
      <formula>4.1</formula>
    </cfRule>
    <cfRule type="cellIs" dxfId="2871" priority="2702" operator="equal">
      <formula>3.4</formula>
    </cfRule>
    <cfRule type="cellIs" dxfId="2870" priority="2703" operator="equal">
      <formula>3.3</formula>
    </cfRule>
    <cfRule type="cellIs" dxfId="2869" priority="2704" operator="equal">
      <formula>3.2</formula>
    </cfRule>
    <cfRule type="cellIs" dxfId="2868" priority="2705" operator="equal">
      <formula>3.1</formula>
    </cfRule>
    <cfRule type="cellIs" dxfId="2867" priority="2706" operator="equal">
      <formula>2.4</formula>
    </cfRule>
    <cfRule type="cellIs" dxfId="2866" priority="2707" operator="equal">
      <formula>2.3</formula>
    </cfRule>
    <cfRule type="cellIs" dxfId="2865" priority="2708" operator="equal">
      <formula>2.2</formula>
    </cfRule>
    <cfRule type="cellIs" dxfId="2864" priority="2709" operator="equal">
      <formula>2.1</formula>
    </cfRule>
    <cfRule type="cellIs" dxfId="2863" priority="2710" operator="equal">
      <formula>1.5</formula>
    </cfRule>
    <cfRule type="cellIs" dxfId="2862" priority="2711" operator="equal">
      <formula>1.4</formula>
    </cfRule>
    <cfRule type="cellIs" dxfId="2861" priority="2712" operator="equal">
      <formula>1.3</formula>
    </cfRule>
    <cfRule type="cellIs" dxfId="2860" priority="2713" operator="equal">
      <formula>1.2</formula>
    </cfRule>
    <cfRule type="containsText" dxfId="2859" priority="2714" operator="containsText" text="1.1">
      <formula>NOT(ISERROR(SEARCH("1.1",A1)))</formula>
    </cfRule>
  </conditionalFormatting>
  <conditionalFormatting sqref="V9:AC10">
    <cfRule type="cellIs" dxfId="2858" priority="2681" operator="equal">
      <formula>4.4</formula>
    </cfRule>
    <cfRule type="cellIs" dxfId="2857" priority="2682" operator="equal">
      <formula>4.3</formula>
    </cfRule>
    <cfRule type="cellIs" dxfId="2856" priority="2683" operator="equal">
      <formula>4.2</formula>
    </cfRule>
    <cfRule type="cellIs" dxfId="2855" priority="2684" operator="equal">
      <formula>4.1</formula>
    </cfRule>
    <cfRule type="cellIs" dxfId="2854" priority="2685" operator="equal">
      <formula>3.4</formula>
    </cfRule>
    <cfRule type="cellIs" dxfId="2853" priority="2686" operator="equal">
      <formula>3.3</formula>
    </cfRule>
    <cfRule type="cellIs" dxfId="2852" priority="2687" operator="equal">
      <formula>3.2</formula>
    </cfRule>
    <cfRule type="cellIs" dxfId="2851" priority="2688" operator="equal">
      <formula>3.1</formula>
    </cfRule>
    <cfRule type="cellIs" dxfId="2850" priority="2689" operator="equal">
      <formula>2.4</formula>
    </cfRule>
    <cfRule type="cellIs" dxfId="2849" priority="2690" operator="equal">
      <formula>2.3</formula>
    </cfRule>
    <cfRule type="cellIs" dxfId="2848" priority="2691" operator="equal">
      <formula>2.2</formula>
    </cfRule>
    <cfRule type="cellIs" dxfId="2847" priority="2692" operator="equal">
      <formula>2.1</formula>
    </cfRule>
    <cfRule type="cellIs" dxfId="2846" priority="2693" operator="equal">
      <formula>1.5</formula>
    </cfRule>
    <cfRule type="cellIs" dxfId="2845" priority="2694" operator="equal">
      <formula>1.4</formula>
    </cfRule>
    <cfRule type="cellIs" dxfId="2844" priority="2695" operator="equal">
      <formula>1.3</formula>
    </cfRule>
    <cfRule type="cellIs" dxfId="2843" priority="2696" operator="equal">
      <formula>1.2</formula>
    </cfRule>
    <cfRule type="containsText" dxfId="2842" priority="2697" operator="containsText" text="1.1">
      <formula>NOT(ISERROR(SEARCH("1.1",V9)))</formula>
    </cfRule>
  </conditionalFormatting>
  <conditionalFormatting sqref="V11:V40">
    <cfRule type="cellIs" dxfId="2841" priority="2664" operator="equal">
      <formula>4.4</formula>
    </cfRule>
    <cfRule type="cellIs" dxfId="2840" priority="2665" operator="equal">
      <formula>4.3</formula>
    </cfRule>
    <cfRule type="cellIs" dxfId="2839" priority="2666" operator="equal">
      <formula>4.2</formula>
    </cfRule>
    <cfRule type="cellIs" dxfId="2838" priority="2667" operator="equal">
      <formula>4.1</formula>
    </cfRule>
    <cfRule type="cellIs" dxfId="2837" priority="2668" operator="equal">
      <formula>3.4</formula>
    </cfRule>
    <cfRule type="cellIs" dxfId="2836" priority="2669" operator="equal">
      <formula>3.3</formula>
    </cfRule>
    <cfRule type="cellIs" dxfId="2835" priority="2670" operator="equal">
      <formula>3.2</formula>
    </cfRule>
    <cfRule type="cellIs" dxfId="2834" priority="2671" operator="equal">
      <formula>3.1</formula>
    </cfRule>
    <cfRule type="cellIs" dxfId="2833" priority="2672" operator="equal">
      <formula>2.4</formula>
    </cfRule>
    <cfRule type="cellIs" dxfId="2832" priority="2673" operator="equal">
      <formula>2.3</formula>
    </cfRule>
    <cfRule type="cellIs" dxfId="2831" priority="2674" operator="equal">
      <formula>2.2</formula>
    </cfRule>
    <cfRule type="cellIs" dxfId="2830" priority="2675" operator="equal">
      <formula>2.1</formula>
    </cfRule>
    <cfRule type="cellIs" dxfId="2829" priority="2676" operator="equal">
      <formula>1.5</formula>
    </cfRule>
    <cfRule type="cellIs" dxfId="2828" priority="2677" operator="equal">
      <formula>1.4</formula>
    </cfRule>
    <cfRule type="cellIs" dxfId="2827" priority="2678" operator="equal">
      <formula>1.3</formula>
    </cfRule>
    <cfRule type="cellIs" dxfId="2826" priority="2679" operator="equal">
      <formula>1.2</formula>
    </cfRule>
    <cfRule type="containsText" dxfId="2825" priority="2680" operator="containsText" text="1.1">
      <formula>NOT(ISERROR(SEARCH("1.1",V11)))</formula>
    </cfRule>
  </conditionalFormatting>
  <conditionalFormatting sqref="P3:P4">
    <cfRule type="containsBlanks" dxfId="2824" priority="2663">
      <formula>LEN(TRIM(P3))=0</formula>
    </cfRule>
  </conditionalFormatting>
  <conditionalFormatting sqref="AN9:AN10 AF29:AN29 AF30:AK30">
    <cfRule type="cellIs" dxfId="2823" priority="2646" operator="equal">
      <formula>4.4</formula>
    </cfRule>
    <cfRule type="cellIs" dxfId="2822" priority="2647" operator="equal">
      <formula>4.3</formula>
    </cfRule>
    <cfRule type="cellIs" dxfId="2821" priority="2648" operator="equal">
      <formula>4.2</formula>
    </cfRule>
    <cfRule type="cellIs" dxfId="2820" priority="2649" operator="equal">
      <formula>4.1</formula>
    </cfRule>
    <cfRule type="cellIs" dxfId="2819" priority="2650" operator="equal">
      <formula>3.4</formula>
    </cfRule>
    <cfRule type="cellIs" dxfId="2818" priority="2651" operator="equal">
      <formula>3.3</formula>
    </cfRule>
    <cfRule type="cellIs" dxfId="2817" priority="2652" operator="equal">
      <formula>3.2</formula>
    </cfRule>
    <cfRule type="cellIs" dxfId="2816" priority="2653" operator="equal">
      <formula>3.1</formula>
    </cfRule>
    <cfRule type="cellIs" dxfId="2815" priority="2654" operator="equal">
      <formula>2.4</formula>
    </cfRule>
    <cfRule type="cellIs" dxfId="2814" priority="2655" operator="equal">
      <formula>2.3</formula>
    </cfRule>
    <cfRule type="cellIs" dxfId="2813" priority="2656" operator="equal">
      <formula>2.2</formula>
    </cfRule>
    <cfRule type="cellIs" dxfId="2812" priority="2657" operator="equal">
      <formula>2.1</formula>
    </cfRule>
    <cfRule type="cellIs" dxfId="2811" priority="2658" operator="equal">
      <formula>1.5</formula>
    </cfRule>
    <cfRule type="cellIs" dxfId="2810" priority="2659" operator="equal">
      <formula>1.4</formula>
    </cfRule>
    <cfRule type="cellIs" dxfId="2809" priority="2660" operator="equal">
      <formula>1.3</formula>
    </cfRule>
    <cfRule type="cellIs" dxfId="2808" priority="2661" operator="equal">
      <formula>1.2</formula>
    </cfRule>
    <cfRule type="containsText" dxfId="2807" priority="2662" operator="containsText" text="1.1">
      <formula>NOT(ISERROR(SEARCH("1.1",AF9)))</formula>
    </cfRule>
  </conditionalFormatting>
  <conditionalFormatting sqref="AF11:AF28">
    <cfRule type="cellIs" dxfId="2806" priority="2629" operator="equal">
      <formula>4.4</formula>
    </cfRule>
    <cfRule type="cellIs" dxfId="2805" priority="2630" operator="equal">
      <formula>4.3</formula>
    </cfRule>
    <cfRule type="cellIs" dxfId="2804" priority="2631" operator="equal">
      <formula>4.2</formula>
    </cfRule>
    <cfRule type="cellIs" dxfId="2803" priority="2632" operator="equal">
      <formula>4.1</formula>
    </cfRule>
    <cfRule type="cellIs" dxfId="2802" priority="2633" operator="equal">
      <formula>3.4</formula>
    </cfRule>
    <cfRule type="cellIs" dxfId="2801" priority="2634" operator="equal">
      <formula>3.3</formula>
    </cfRule>
    <cfRule type="cellIs" dxfId="2800" priority="2635" operator="equal">
      <formula>3.2</formula>
    </cfRule>
    <cfRule type="cellIs" dxfId="2799" priority="2636" operator="equal">
      <formula>3.1</formula>
    </cfRule>
    <cfRule type="cellIs" dxfId="2798" priority="2637" operator="equal">
      <formula>2.4</formula>
    </cfRule>
    <cfRule type="cellIs" dxfId="2797" priority="2638" operator="equal">
      <formula>2.3</formula>
    </cfRule>
    <cfRule type="cellIs" dxfId="2796" priority="2639" operator="equal">
      <formula>2.2</formula>
    </cfRule>
    <cfRule type="cellIs" dxfId="2795" priority="2640" operator="equal">
      <formula>2.1</formula>
    </cfRule>
    <cfRule type="cellIs" dxfId="2794" priority="2641" operator="equal">
      <formula>1.5</formula>
    </cfRule>
    <cfRule type="cellIs" dxfId="2793" priority="2642" operator="equal">
      <formula>1.4</formula>
    </cfRule>
    <cfRule type="cellIs" dxfId="2792" priority="2643" operator="equal">
      <formula>1.3</formula>
    </cfRule>
    <cfRule type="cellIs" dxfId="2791" priority="2644" operator="equal">
      <formula>1.2</formula>
    </cfRule>
    <cfRule type="containsText" dxfId="2790" priority="2645" operator="containsText" text="1.1">
      <formula>NOT(ISERROR(SEARCH("1.1",AF11)))</formula>
    </cfRule>
  </conditionalFormatting>
  <conditionalFormatting sqref="AN29:AN31">
    <cfRule type="containsBlanks" dxfId="2789" priority="2628">
      <formula>LEN(TRIM(AN29))=0</formula>
    </cfRule>
  </conditionalFormatting>
  <conditionalFormatting sqref="K42">
    <cfRule type="containsBlanks" dxfId="2788" priority="2627">
      <formula>LEN(TRIM(K42))=0</formula>
    </cfRule>
  </conditionalFormatting>
  <conditionalFormatting sqref="K32:K35">
    <cfRule type="containsBlanks" dxfId="2787" priority="2626">
      <formula>LEN(TRIM(K32))=0</formula>
    </cfRule>
  </conditionalFormatting>
  <conditionalFormatting sqref="K11:K31">
    <cfRule type="containsBlanks" dxfId="2786" priority="2625">
      <formula>LEN(TRIM(K11))=0</formula>
    </cfRule>
  </conditionalFormatting>
  <conditionalFormatting sqref="K39:K41">
    <cfRule type="containsBlanks" dxfId="2785" priority="2624">
      <formula>LEN(TRIM(K39))=0</formula>
    </cfRule>
  </conditionalFormatting>
  <conditionalFormatting sqref="K9:K42">
    <cfRule type="cellIs" dxfId="2784" priority="2607" operator="equal">
      <formula>4.4</formula>
    </cfRule>
    <cfRule type="cellIs" dxfId="2783" priority="2608" operator="equal">
      <formula>4.3</formula>
    </cfRule>
    <cfRule type="cellIs" dxfId="2782" priority="2609" operator="equal">
      <formula>4.2</formula>
    </cfRule>
    <cfRule type="cellIs" dxfId="2781" priority="2610" operator="equal">
      <formula>4.1</formula>
    </cfRule>
    <cfRule type="cellIs" dxfId="2780" priority="2611" operator="equal">
      <formula>3.4</formula>
    </cfRule>
    <cfRule type="cellIs" dxfId="2779" priority="2612" operator="equal">
      <formula>3.3</formula>
    </cfRule>
    <cfRule type="cellIs" dxfId="2778" priority="2613" operator="equal">
      <formula>3.2</formula>
    </cfRule>
    <cfRule type="cellIs" dxfId="2777" priority="2614" operator="equal">
      <formula>3.1</formula>
    </cfRule>
    <cfRule type="cellIs" dxfId="2776" priority="2615" operator="equal">
      <formula>2.4</formula>
    </cfRule>
    <cfRule type="cellIs" dxfId="2775" priority="2616" operator="equal">
      <formula>2.3</formula>
    </cfRule>
    <cfRule type="cellIs" dxfId="2774" priority="2617" operator="equal">
      <formula>2.2</formula>
    </cfRule>
    <cfRule type="cellIs" dxfId="2773" priority="2618" operator="equal">
      <formula>2.1</formula>
    </cfRule>
    <cfRule type="cellIs" dxfId="2772" priority="2619" operator="equal">
      <formula>1.5</formula>
    </cfRule>
    <cfRule type="cellIs" dxfId="2771" priority="2620" operator="equal">
      <formula>1.4</formula>
    </cfRule>
    <cfRule type="cellIs" dxfId="2770" priority="2621" operator="equal">
      <formula>1.3</formula>
    </cfRule>
    <cfRule type="cellIs" dxfId="2769" priority="2622" operator="equal">
      <formula>1.2</formula>
    </cfRule>
    <cfRule type="containsText" dxfId="2768" priority="2623" operator="containsText" text="1.1">
      <formula>NOT(ISERROR(SEARCH("1.1",K9)))</formula>
    </cfRule>
  </conditionalFormatting>
  <conditionalFormatting sqref="K39:K41">
    <cfRule type="containsBlanks" dxfId="2767" priority="2606">
      <formula>LEN(TRIM(K39))=0</formula>
    </cfRule>
  </conditionalFormatting>
  <conditionalFormatting sqref="AN11:AN28">
    <cfRule type="containsBlanks" dxfId="2766" priority="2605">
      <formula>LEN(TRIM(AN11))=0</formula>
    </cfRule>
  </conditionalFormatting>
  <conditionalFormatting sqref="AN11:AN28">
    <cfRule type="cellIs" dxfId="2765" priority="2588" operator="equal">
      <formula>4.4</formula>
    </cfRule>
    <cfRule type="cellIs" dxfId="2764" priority="2589" operator="equal">
      <formula>4.3</formula>
    </cfRule>
    <cfRule type="cellIs" dxfId="2763" priority="2590" operator="equal">
      <formula>4.2</formula>
    </cfRule>
    <cfRule type="cellIs" dxfId="2762" priority="2591" operator="equal">
      <formula>4.1</formula>
    </cfRule>
    <cfRule type="cellIs" dxfId="2761" priority="2592" operator="equal">
      <formula>3.4</formula>
    </cfRule>
    <cfRule type="cellIs" dxfId="2760" priority="2593" operator="equal">
      <formula>3.3</formula>
    </cfRule>
    <cfRule type="cellIs" dxfId="2759" priority="2594" operator="equal">
      <formula>3.2</formula>
    </cfRule>
    <cfRule type="cellIs" dxfId="2758" priority="2595" operator="equal">
      <formula>3.1</formula>
    </cfRule>
    <cfRule type="cellIs" dxfId="2757" priority="2596" operator="equal">
      <formula>2.4</formula>
    </cfRule>
    <cfRule type="cellIs" dxfId="2756" priority="2597" operator="equal">
      <formula>2.3</formula>
    </cfRule>
    <cfRule type="cellIs" dxfId="2755" priority="2598" operator="equal">
      <formula>2.2</formula>
    </cfRule>
    <cfRule type="cellIs" dxfId="2754" priority="2599" operator="equal">
      <formula>2.1</formula>
    </cfRule>
    <cfRule type="cellIs" dxfId="2753" priority="2600" operator="equal">
      <formula>1.5</formula>
    </cfRule>
    <cfRule type="cellIs" dxfId="2752" priority="2601" operator="equal">
      <formula>1.4</formula>
    </cfRule>
    <cfRule type="cellIs" dxfId="2751" priority="2602" operator="equal">
      <formula>1.3</formula>
    </cfRule>
    <cfRule type="cellIs" dxfId="2750" priority="2603" operator="equal">
      <formula>1.2</formula>
    </cfRule>
    <cfRule type="containsText" dxfId="2749" priority="2604" operator="containsText" text="1.1">
      <formula>NOT(ISERROR(SEARCH("1.1",AN11)))</formula>
    </cfRule>
  </conditionalFormatting>
  <conditionalFormatting sqref="A9:H10">
    <cfRule type="cellIs" dxfId="2748" priority="2571" operator="equal">
      <formula>4.4</formula>
    </cfRule>
    <cfRule type="cellIs" dxfId="2747" priority="2572" operator="equal">
      <formula>4.3</formula>
    </cfRule>
    <cfRule type="cellIs" dxfId="2746" priority="2573" operator="equal">
      <formula>4.2</formula>
    </cfRule>
    <cfRule type="cellIs" dxfId="2745" priority="2574" operator="equal">
      <formula>4.1</formula>
    </cfRule>
    <cfRule type="cellIs" dxfId="2744" priority="2575" operator="equal">
      <formula>3.4</formula>
    </cfRule>
    <cfRule type="cellIs" dxfId="2743" priority="2576" operator="equal">
      <formula>3.3</formula>
    </cfRule>
    <cfRule type="cellIs" dxfId="2742" priority="2577" operator="equal">
      <formula>3.2</formula>
    </cfRule>
    <cfRule type="cellIs" dxfId="2741" priority="2578" operator="equal">
      <formula>3.1</formula>
    </cfRule>
    <cfRule type="cellIs" dxfId="2740" priority="2579" operator="equal">
      <formula>2.4</formula>
    </cfRule>
    <cfRule type="cellIs" dxfId="2739" priority="2580" operator="equal">
      <formula>2.3</formula>
    </cfRule>
    <cfRule type="cellIs" dxfId="2738" priority="2581" operator="equal">
      <formula>2.2</formula>
    </cfRule>
    <cfRule type="cellIs" dxfId="2737" priority="2582" operator="equal">
      <formula>2.1</formula>
    </cfRule>
    <cfRule type="cellIs" dxfId="2736" priority="2583" operator="equal">
      <formula>1.5</formula>
    </cfRule>
    <cfRule type="cellIs" dxfId="2735" priority="2584" operator="equal">
      <formula>1.4</formula>
    </cfRule>
    <cfRule type="cellIs" dxfId="2734" priority="2585" operator="equal">
      <formula>1.3</formula>
    </cfRule>
    <cfRule type="cellIs" dxfId="2733" priority="2586" operator="equal">
      <formula>1.2</formula>
    </cfRule>
    <cfRule type="containsText" dxfId="2732" priority="2587" operator="containsText" text="1.1">
      <formula>NOT(ISERROR(SEARCH("1.1",A9)))</formula>
    </cfRule>
  </conditionalFormatting>
  <conditionalFormatting sqref="A37:H38">
    <cfRule type="cellIs" dxfId="2731" priority="2554" operator="equal">
      <formula>4.4</formula>
    </cfRule>
    <cfRule type="cellIs" dxfId="2730" priority="2555" operator="equal">
      <formula>4.3</formula>
    </cfRule>
    <cfRule type="cellIs" dxfId="2729" priority="2556" operator="equal">
      <formula>4.2</formula>
    </cfRule>
    <cfRule type="cellIs" dxfId="2728" priority="2557" operator="equal">
      <formula>4.1</formula>
    </cfRule>
    <cfRule type="cellIs" dxfId="2727" priority="2558" operator="equal">
      <formula>3.4</formula>
    </cfRule>
    <cfRule type="cellIs" dxfId="2726" priority="2559" operator="equal">
      <formula>3.3</formula>
    </cfRule>
    <cfRule type="cellIs" dxfId="2725" priority="2560" operator="equal">
      <formula>3.2</formula>
    </cfRule>
    <cfRule type="cellIs" dxfId="2724" priority="2561" operator="equal">
      <formula>3.1</formula>
    </cfRule>
    <cfRule type="cellIs" dxfId="2723" priority="2562" operator="equal">
      <formula>2.4</formula>
    </cfRule>
    <cfRule type="cellIs" dxfId="2722" priority="2563" operator="equal">
      <formula>2.3</formula>
    </cfRule>
    <cfRule type="cellIs" dxfId="2721" priority="2564" operator="equal">
      <formula>2.2</formula>
    </cfRule>
    <cfRule type="cellIs" dxfId="2720" priority="2565" operator="equal">
      <formula>2.1</formula>
    </cfRule>
    <cfRule type="cellIs" dxfId="2719" priority="2566" operator="equal">
      <formula>1.5</formula>
    </cfRule>
    <cfRule type="cellIs" dxfId="2718" priority="2567" operator="equal">
      <formula>1.4</formula>
    </cfRule>
    <cfRule type="cellIs" dxfId="2717" priority="2568" operator="equal">
      <formula>1.3</formula>
    </cfRule>
    <cfRule type="cellIs" dxfId="2716" priority="2569" operator="equal">
      <formula>1.2</formula>
    </cfRule>
    <cfRule type="containsText" dxfId="2715" priority="2570" operator="containsText" text="1.1">
      <formula>NOT(ISERROR(SEARCH("1.1",A37)))</formula>
    </cfRule>
  </conditionalFormatting>
  <conditionalFormatting sqref="M20:S22">
    <cfRule type="cellIs" dxfId="2714" priority="2384" operator="equal">
      <formula>4.4</formula>
    </cfRule>
    <cfRule type="cellIs" dxfId="2713" priority="2385" operator="equal">
      <formula>4.3</formula>
    </cfRule>
    <cfRule type="cellIs" dxfId="2712" priority="2386" operator="equal">
      <formula>4.2</formula>
    </cfRule>
    <cfRule type="cellIs" dxfId="2711" priority="2387" operator="equal">
      <formula>4.1</formula>
    </cfRule>
    <cfRule type="cellIs" dxfId="2710" priority="2388" operator="equal">
      <formula>3.4</formula>
    </cfRule>
    <cfRule type="cellIs" dxfId="2709" priority="2389" operator="equal">
      <formula>3.3</formula>
    </cfRule>
    <cfRule type="cellIs" dxfId="2708" priority="2390" operator="equal">
      <formula>3.2</formula>
    </cfRule>
    <cfRule type="cellIs" dxfId="2707" priority="2391" operator="equal">
      <formula>3.1</formula>
    </cfRule>
    <cfRule type="cellIs" dxfId="2706" priority="2392" operator="equal">
      <formula>2.4</formula>
    </cfRule>
    <cfRule type="cellIs" dxfId="2705" priority="2393" operator="equal">
      <formula>2.3</formula>
    </cfRule>
    <cfRule type="cellIs" dxfId="2704" priority="2394" operator="equal">
      <formula>2.2</formula>
    </cfRule>
    <cfRule type="cellIs" dxfId="2703" priority="2395" operator="equal">
      <formula>2.1</formula>
    </cfRule>
    <cfRule type="cellIs" dxfId="2702" priority="2396" operator="equal">
      <formula>1.5</formula>
    </cfRule>
    <cfRule type="cellIs" dxfId="2701" priority="2397" operator="equal">
      <formula>1.4</formula>
    </cfRule>
    <cfRule type="cellIs" dxfId="2700" priority="2398" operator="equal">
      <formula>1.3</formula>
    </cfRule>
    <cfRule type="cellIs" dxfId="2699" priority="2399" operator="equal">
      <formula>1.2</formula>
    </cfRule>
    <cfRule type="containsText" dxfId="2698" priority="2400" operator="containsText" text="1.1">
      <formula>NOT(ISERROR(SEARCH("1.1",M20)))</formula>
    </cfRule>
  </conditionalFormatting>
  <conditionalFormatting sqref="T5:T6 X5:X6 AB5:AB6 AF5:AF6 AJ5:AJ6 AN5:AN6 AR5:AR6 AZ5:AZ6 AV5:AV6 P5:P6 D5:D6 H5:H6 L5:L6">
    <cfRule type="containsBlanks" dxfId="2697" priority="2383">
      <formula>LEN(TRIM(D5))=0</formula>
    </cfRule>
  </conditionalFormatting>
  <conditionalFormatting sqref="A5:AZ6">
    <cfRule type="cellIs" dxfId="2696" priority="2366" operator="equal">
      <formula>4.4</formula>
    </cfRule>
    <cfRule type="cellIs" dxfId="2695" priority="2367" operator="equal">
      <formula>4.3</formula>
    </cfRule>
    <cfRule type="cellIs" dxfId="2694" priority="2368" operator="equal">
      <formula>4.2</formula>
    </cfRule>
    <cfRule type="cellIs" dxfId="2693" priority="2369" operator="equal">
      <formula>4.1</formula>
    </cfRule>
    <cfRule type="cellIs" dxfId="2692" priority="2370" operator="equal">
      <formula>3.4</formula>
    </cfRule>
    <cfRule type="cellIs" dxfId="2691" priority="2371" operator="equal">
      <formula>3.3</formula>
    </cfRule>
    <cfRule type="cellIs" dxfId="2690" priority="2372" operator="equal">
      <formula>3.2</formula>
    </cfRule>
    <cfRule type="cellIs" dxfId="2689" priority="2373" operator="equal">
      <formula>3.1</formula>
    </cfRule>
    <cfRule type="cellIs" dxfId="2688" priority="2374" operator="equal">
      <formula>2.4</formula>
    </cfRule>
    <cfRule type="cellIs" dxfId="2687" priority="2375" operator="equal">
      <formula>2.3</formula>
    </cfRule>
    <cfRule type="cellIs" dxfId="2686" priority="2376" operator="equal">
      <formula>2.2</formula>
    </cfRule>
    <cfRule type="cellIs" dxfId="2685" priority="2377" operator="equal">
      <formula>2.1</formula>
    </cfRule>
    <cfRule type="cellIs" dxfId="2684" priority="2378" operator="equal">
      <formula>1.5</formula>
    </cfRule>
    <cfRule type="cellIs" dxfId="2683" priority="2379" operator="equal">
      <formula>1.4</formula>
    </cfRule>
    <cfRule type="cellIs" dxfId="2682" priority="2380" operator="equal">
      <formula>1.3</formula>
    </cfRule>
    <cfRule type="cellIs" dxfId="2681" priority="2381" operator="equal">
      <formula>1.2</formula>
    </cfRule>
    <cfRule type="containsText" dxfId="2680" priority="2382" operator="containsText" text="1.1">
      <formula>NOT(ISERROR(SEARCH("1.1",A5)))</formula>
    </cfRule>
  </conditionalFormatting>
  <conditionalFormatting sqref="BI5:BL6">
    <cfRule type="cellIs" dxfId="2679" priority="2349" operator="equal">
      <formula>4.4</formula>
    </cfRule>
    <cfRule type="cellIs" dxfId="2678" priority="2350" operator="equal">
      <formula>4.3</formula>
    </cfRule>
    <cfRule type="cellIs" dxfId="2677" priority="2351" operator="equal">
      <formula>4.2</formula>
    </cfRule>
    <cfRule type="cellIs" dxfId="2676" priority="2352" operator="equal">
      <formula>4.1</formula>
    </cfRule>
    <cfRule type="cellIs" dxfId="2675" priority="2353" operator="equal">
      <formula>3.4</formula>
    </cfRule>
    <cfRule type="cellIs" dxfId="2674" priority="2354" operator="equal">
      <formula>3.3</formula>
    </cfRule>
    <cfRule type="cellIs" dxfId="2673" priority="2355" operator="equal">
      <formula>3.2</formula>
    </cfRule>
    <cfRule type="cellIs" dxfId="2672" priority="2356" operator="equal">
      <formula>3.1</formula>
    </cfRule>
    <cfRule type="cellIs" dxfId="2671" priority="2357" operator="equal">
      <formula>2.4</formula>
    </cfRule>
    <cfRule type="cellIs" dxfId="2670" priority="2358" operator="equal">
      <formula>2.3</formula>
    </cfRule>
    <cfRule type="cellIs" dxfId="2669" priority="2359" operator="equal">
      <formula>2.2</formula>
    </cfRule>
    <cfRule type="cellIs" dxfId="2668" priority="2360" operator="equal">
      <formula>2.1</formula>
    </cfRule>
    <cfRule type="cellIs" dxfId="2667" priority="2361" operator="equal">
      <formula>1.5</formula>
    </cfRule>
    <cfRule type="cellIs" dxfId="2666" priority="2362" operator="equal">
      <formula>1.4</formula>
    </cfRule>
    <cfRule type="cellIs" dxfId="2665" priority="2363" operator="equal">
      <formula>1.3</formula>
    </cfRule>
    <cfRule type="cellIs" dxfId="2664" priority="2364" operator="equal">
      <formula>1.2</formula>
    </cfRule>
    <cfRule type="containsText" dxfId="2663" priority="2365" operator="containsText" text="1.1">
      <formula>NOT(ISERROR(SEARCH("1.1",BI5)))</formula>
    </cfRule>
  </conditionalFormatting>
  <conditionalFormatting sqref="BD5:BD6">
    <cfRule type="containsBlanks" dxfId="2662" priority="2348">
      <formula>LEN(TRIM(BD5))=0</formula>
    </cfRule>
  </conditionalFormatting>
  <conditionalFormatting sqref="BA5:BD6">
    <cfRule type="cellIs" dxfId="2661" priority="2331" operator="equal">
      <formula>4.4</formula>
    </cfRule>
    <cfRule type="cellIs" dxfId="2660" priority="2332" operator="equal">
      <formula>4.3</formula>
    </cfRule>
    <cfRule type="cellIs" dxfId="2659" priority="2333" operator="equal">
      <formula>4.2</formula>
    </cfRule>
    <cfRule type="cellIs" dxfId="2658" priority="2334" operator="equal">
      <formula>4.1</formula>
    </cfRule>
    <cfRule type="cellIs" dxfId="2657" priority="2335" operator="equal">
      <formula>3.4</formula>
    </cfRule>
    <cfRule type="cellIs" dxfId="2656" priority="2336" operator="equal">
      <formula>3.3</formula>
    </cfRule>
    <cfRule type="cellIs" dxfId="2655" priority="2337" operator="equal">
      <formula>3.2</formula>
    </cfRule>
    <cfRule type="cellIs" dxfId="2654" priority="2338" operator="equal">
      <formula>3.1</formula>
    </cfRule>
    <cfRule type="cellIs" dxfId="2653" priority="2339" operator="equal">
      <formula>2.4</formula>
    </cfRule>
    <cfRule type="cellIs" dxfId="2652" priority="2340" operator="equal">
      <formula>2.3</formula>
    </cfRule>
    <cfRule type="cellIs" dxfId="2651" priority="2341" operator="equal">
      <formula>2.2</formula>
    </cfRule>
    <cfRule type="cellIs" dxfId="2650" priority="2342" operator="equal">
      <formula>2.1</formula>
    </cfRule>
    <cfRule type="cellIs" dxfId="2649" priority="2343" operator="equal">
      <formula>1.5</formula>
    </cfRule>
    <cfRule type="cellIs" dxfId="2648" priority="2344" operator="equal">
      <formula>1.4</formula>
    </cfRule>
    <cfRule type="cellIs" dxfId="2647" priority="2345" operator="equal">
      <formula>1.3</formula>
    </cfRule>
    <cfRule type="cellIs" dxfId="2646" priority="2346" operator="equal">
      <formula>1.2</formula>
    </cfRule>
    <cfRule type="containsText" dxfId="2645" priority="2347" operator="containsText" text="1.1">
      <formula>NOT(ISERROR(SEARCH("1.1",BA5)))</formula>
    </cfRule>
  </conditionalFormatting>
  <conditionalFormatting sqref="BH5:BH6">
    <cfRule type="containsBlanks" dxfId="2644" priority="2330">
      <formula>LEN(TRIM(BH5))=0</formula>
    </cfRule>
  </conditionalFormatting>
  <conditionalFormatting sqref="BE5:BH6">
    <cfRule type="cellIs" dxfId="2643" priority="2313" operator="equal">
      <formula>4.4</formula>
    </cfRule>
    <cfRule type="cellIs" dxfId="2642" priority="2314" operator="equal">
      <formula>4.3</formula>
    </cfRule>
    <cfRule type="cellIs" dxfId="2641" priority="2315" operator="equal">
      <formula>4.2</formula>
    </cfRule>
    <cfRule type="cellIs" dxfId="2640" priority="2316" operator="equal">
      <formula>4.1</formula>
    </cfRule>
    <cfRule type="cellIs" dxfId="2639" priority="2317" operator="equal">
      <formula>3.4</formula>
    </cfRule>
    <cfRule type="cellIs" dxfId="2638" priority="2318" operator="equal">
      <formula>3.3</formula>
    </cfRule>
    <cfRule type="cellIs" dxfId="2637" priority="2319" operator="equal">
      <formula>3.2</formula>
    </cfRule>
    <cfRule type="cellIs" dxfId="2636" priority="2320" operator="equal">
      <formula>3.1</formula>
    </cfRule>
    <cfRule type="cellIs" dxfId="2635" priority="2321" operator="equal">
      <formula>2.4</formula>
    </cfRule>
    <cfRule type="cellIs" dxfId="2634" priority="2322" operator="equal">
      <formula>2.3</formula>
    </cfRule>
    <cfRule type="cellIs" dxfId="2633" priority="2323" operator="equal">
      <formula>2.2</formula>
    </cfRule>
    <cfRule type="cellIs" dxfId="2632" priority="2324" operator="equal">
      <formula>2.1</formula>
    </cfRule>
    <cfRule type="cellIs" dxfId="2631" priority="2325" operator="equal">
      <formula>1.5</formula>
    </cfRule>
    <cfRule type="cellIs" dxfId="2630" priority="2326" operator="equal">
      <formula>1.4</formula>
    </cfRule>
    <cfRule type="cellIs" dxfId="2629" priority="2327" operator="equal">
      <formula>1.3</formula>
    </cfRule>
    <cfRule type="cellIs" dxfId="2628" priority="2328" operator="equal">
      <formula>1.2</formula>
    </cfRule>
    <cfRule type="containsText" dxfId="2627" priority="2329" operator="containsText" text="1.1">
      <formula>NOT(ISERROR(SEARCH("1.1",BE5)))</formula>
    </cfRule>
  </conditionalFormatting>
  <conditionalFormatting sqref="BL5:BL6">
    <cfRule type="containsBlanks" dxfId="2626" priority="2312">
      <formula>LEN(TRIM(BL5))=0</formula>
    </cfRule>
  </conditionalFormatting>
  <conditionalFormatting sqref="EJ94">
    <cfRule type="cellIs" dxfId="2625" priority="2038" operator="equal">
      <formula>4.4</formula>
    </cfRule>
    <cfRule type="cellIs" dxfId="2624" priority="2039" operator="equal">
      <formula>4.3</formula>
    </cfRule>
    <cfRule type="cellIs" dxfId="2623" priority="2040" operator="equal">
      <formula>4.2</formula>
    </cfRule>
    <cfRule type="cellIs" dxfId="2622" priority="2041" operator="equal">
      <formula>4.1</formula>
    </cfRule>
    <cfRule type="cellIs" dxfId="2621" priority="2042" operator="equal">
      <formula>3.4</formula>
    </cfRule>
    <cfRule type="cellIs" dxfId="2620" priority="2043" operator="equal">
      <formula>3.3</formula>
    </cfRule>
    <cfRule type="cellIs" dxfId="2619" priority="2044" operator="equal">
      <formula>3.2</formula>
    </cfRule>
    <cfRule type="cellIs" dxfId="2618" priority="2045" operator="equal">
      <formula>3.1</formula>
    </cfRule>
    <cfRule type="cellIs" dxfId="2617" priority="2046" operator="equal">
      <formula>2.4</formula>
    </cfRule>
    <cfRule type="cellIs" dxfId="2616" priority="2047" operator="equal">
      <formula>2.3</formula>
    </cfRule>
    <cfRule type="cellIs" dxfId="2615" priority="2048" operator="equal">
      <formula>2.2</formula>
    </cfRule>
    <cfRule type="cellIs" dxfId="2614" priority="2049" operator="equal">
      <formula>2.1</formula>
    </cfRule>
    <cfRule type="cellIs" dxfId="2613" priority="2050" operator="equal">
      <formula>1.5</formula>
    </cfRule>
    <cfRule type="cellIs" dxfId="2612" priority="2051" operator="equal">
      <formula>1.4</formula>
    </cfRule>
    <cfRule type="cellIs" dxfId="2611" priority="2052" operator="equal">
      <formula>1.3</formula>
    </cfRule>
    <cfRule type="cellIs" dxfId="2610" priority="2053" operator="equal">
      <formula>1.2</formula>
    </cfRule>
    <cfRule type="containsText" dxfId="2609" priority="2054" operator="containsText" text="1.1">
      <formula>NOT(ISERROR(SEARCH("1.1",EJ94)))</formula>
    </cfRule>
  </conditionalFormatting>
  <conditionalFormatting sqref="A188:BO189 A344:BO344 A238:BO239 BJ190:BO190 BJ240:BO240 AT290:BO290 A235:M237 BJ222:BO237 BJ191 A335:M343 A285:M287 A288 BO288:BO289 L290:M334 BJ272:BO287 AT322:BO343 AT291:BI321">
    <cfRule type="cellIs" dxfId="2608" priority="2017" operator="equal">
      <formula>4.4</formula>
    </cfRule>
    <cfRule type="cellIs" dxfId="2607" priority="2018" operator="equal">
      <formula>4.3</formula>
    </cfRule>
    <cfRule type="cellIs" dxfId="2606" priority="2019" operator="equal">
      <formula>4.2</formula>
    </cfRule>
    <cfRule type="cellIs" dxfId="2605" priority="2020" operator="equal">
      <formula>4.1</formula>
    </cfRule>
    <cfRule type="cellIs" dxfId="2604" priority="2021" operator="equal">
      <formula>3.4</formula>
    </cfRule>
    <cfRule type="cellIs" dxfId="2603" priority="2022" operator="equal">
      <formula>3.3</formula>
    </cfRule>
    <cfRule type="cellIs" dxfId="2602" priority="2023" operator="equal">
      <formula>3.2</formula>
    </cfRule>
    <cfRule type="cellIs" dxfId="2601" priority="2024" operator="equal">
      <formula>3.1</formula>
    </cfRule>
    <cfRule type="cellIs" dxfId="2600" priority="2025" operator="equal">
      <formula>2.4</formula>
    </cfRule>
    <cfRule type="cellIs" dxfId="2599" priority="2026" operator="equal">
      <formula>2.3</formula>
    </cfRule>
    <cfRule type="cellIs" dxfId="2598" priority="2027" operator="equal">
      <formula>2.2</formula>
    </cfRule>
    <cfRule type="cellIs" dxfId="2597" priority="2028" operator="equal">
      <formula>2.1</formula>
    </cfRule>
    <cfRule type="cellIs" dxfId="2596" priority="2029" operator="equal">
      <formula>1.5</formula>
    </cfRule>
    <cfRule type="cellIs" dxfId="2595" priority="2030" operator="equal">
      <formula>1.4</formula>
    </cfRule>
    <cfRule type="cellIs" dxfId="2594" priority="2031" operator="equal">
      <formula>1.3</formula>
    </cfRule>
    <cfRule type="cellIs" dxfId="2593" priority="2032" operator="equal">
      <formula>1.2</formula>
    </cfRule>
    <cfRule type="containsText" dxfId="2592" priority="2033" operator="containsText" text="1.1">
      <formula>NOT(ISERROR(SEARCH("1.1",A188)))</formula>
    </cfRule>
  </conditionalFormatting>
  <conditionalFormatting sqref="AS193:AS231 BA193:BA234 BI193:BI234 T229:U231 AB226:AC228 AJ235:AK237 AR232:AS234 AZ235:BA237 BH235:BI237">
    <cfRule type="containsBlanks" dxfId="2591" priority="1965">
      <formula>LEN(TRIM(T193))=0</formula>
    </cfRule>
  </conditionalFormatting>
  <conditionalFormatting sqref="AK193:AK234">
    <cfRule type="containsBlanks" dxfId="2590" priority="1964">
      <formula>LEN(TRIM(AK193))=0</formula>
    </cfRule>
  </conditionalFormatting>
  <conditionalFormatting sqref="AK243:AK272">
    <cfRule type="containsBlanks" dxfId="2589" priority="1888">
      <formula>LEN(TRIM(AK243))=0</formula>
    </cfRule>
  </conditionalFormatting>
  <conditionalFormatting sqref="N232:R232 V227:Z237 AA232:AC237 N190:AK192 N193:T228 V226:AJ226 V193:AB225 AD193:AK195 AD196:AJ225 AK196:AK234 N229:U231 AA227:AJ231 AD235:AK237 AL190:BI237">
    <cfRule type="cellIs" dxfId="2588" priority="1947" operator="equal">
      <formula>4.4</formula>
    </cfRule>
    <cfRule type="cellIs" dxfId="2587" priority="1948" operator="equal">
      <formula>4.3</formula>
    </cfRule>
    <cfRule type="cellIs" dxfId="2586" priority="1949" operator="equal">
      <formula>4.2</formula>
    </cfRule>
    <cfRule type="cellIs" dxfId="2585" priority="1950" operator="equal">
      <formula>4.1</formula>
    </cfRule>
    <cfRule type="cellIs" dxfId="2584" priority="1951" operator="equal">
      <formula>3.4</formula>
    </cfRule>
    <cfRule type="cellIs" dxfId="2583" priority="1952" operator="equal">
      <formula>3.3</formula>
    </cfRule>
    <cfRule type="cellIs" dxfId="2582" priority="1953" operator="equal">
      <formula>3.2</formula>
    </cfRule>
    <cfRule type="cellIs" dxfId="2581" priority="1954" operator="equal">
      <formula>3.1</formula>
    </cfRule>
    <cfRule type="cellIs" dxfId="2580" priority="1955" operator="equal">
      <formula>2.4</formula>
    </cfRule>
    <cfRule type="cellIs" dxfId="2579" priority="1956" operator="equal">
      <formula>2.3</formula>
    </cfRule>
    <cfRule type="cellIs" dxfId="2578" priority="1957" operator="equal">
      <formula>2.2</formula>
    </cfRule>
    <cfRule type="cellIs" dxfId="2577" priority="1958" operator="equal">
      <formula>2.1</formula>
    </cfRule>
    <cfRule type="cellIs" dxfId="2576" priority="1959" operator="equal">
      <formula>1.5</formula>
    </cfRule>
    <cfRule type="cellIs" dxfId="2575" priority="1960" operator="equal">
      <formula>1.4</formula>
    </cfRule>
    <cfRule type="cellIs" dxfId="2574" priority="1961" operator="equal">
      <formula>1.3</formula>
    </cfRule>
    <cfRule type="cellIs" dxfId="2573" priority="1962" operator="equal">
      <formula>1.2</formula>
    </cfRule>
    <cfRule type="containsText" dxfId="2572" priority="1963" operator="containsText" text="1.1">
      <formula>NOT(ISERROR(SEARCH("1.1",N190)))</formula>
    </cfRule>
  </conditionalFormatting>
  <conditionalFormatting sqref="AS243:AS269">
    <cfRule type="containsBlanks" dxfId="2571" priority="1887">
      <formula>LEN(TRIM(AS243))=0</formula>
    </cfRule>
  </conditionalFormatting>
  <conditionalFormatting sqref="AD232:AJ234">
    <cfRule type="cellIs" dxfId="2570" priority="1930" operator="equal">
      <formula>4.4</formula>
    </cfRule>
    <cfRule type="cellIs" dxfId="2569" priority="1931" operator="equal">
      <formula>4.3</formula>
    </cfRule>
    <cfRule type="cellIs" dxfId="2568" priority="1932" operator="equal">
      <formula>4.2</formula>
    </cfRule>
    <cfRule type="cellIs" dxfId="2567" priority="1933" operator="equal">
      <formula>4.1</formula>
    </cfRule>
    <cfRule type="cellIs" dxfId="2566" priority="1934" operator="equal">
      <formula>3.4</formula>
    </cfRule>
    <cfRule type="cellIs" dxfId="2565" priority="1935" operator="equal">
      <formula>3.3</formula>
    </cfRule>
    <cfRule type="cellIs" dxfId="2564" priority="1936" operator="equal">
      <formula>3.2</formula>
    </cfRule>
    <cfRule type="cellIs" dxfId="2563" priority="1937" operator="equal">
      <formula>3.1</formula>
    </cfRule>
    <cfRule type="cellIs" dxfId="2562" priority="1938" operator="equal">
      <formula>2.4</formula>
    </cfRule>
    <cfRule type="cellIs" dxfId="2561" priority="1939" operator="equal">
      <formula>2.3</formula>
    </cfRule>
    <cfRule type="cellIs" dxfId="2560" priority="1940" operator="equal">
      <formula>2.2</formula>
    </cfRule>
    <cfRule type="cellIs" dxfId="2559" priority="1941" operator="equal">
      <formula>2.1</formula>
    </cfRule>
    <cfRule type="cellIs" dxfId="2558" priority="1942" operator="equal">
      <formula>1.5</formula>
    </cfRule>
    <cfRule type="cellIs" dxfId="2557" priority="1943" operator="equal">
      <formula>1.4</formula>
    </cfRule>
    <cfRule type="cellIs" dxfId="2556" priority="1944" operator="equal">
      <formula>1.3</formula>
    </cfRule>
    <cfRule type="cellIs" dxfId="2555" priority="1945" operator="equal">
      <formula>1.2</formula>
    </cfRule>
    <cfRule type="containsText" dxfId="2554" priority="1946" operator="containsText" text="1.1">
      <formula>NOT(ISERROR(SEARCH("1.1",AD232)))</formula>
    </cfRule>
  </conditionalFormatting>
  <conditionalFormatting sqref="U193:U228">
    <cfRule type="containsBlanks" dxfId="2553" priority="1929">
      <formula>LEN(TRIM(U193))=0</formula>
    </cfRule>
  </conditionalFormatting>
  <conditionalFormatting sqref="U193:U228">
    <cfRule type="cellIs" dxfId="2552" priority="1912" operator="equal">
      <formula>4.4</formula>
    </cfRule>
    <cfRule type="cellIs" dxfId="2551" priority="1913" operator="equal">
      <formula>4.3</formula>
    </cfRule>
    <cfRule type="cellIs" dxfId="2550" priority="1914" operator="equal">
      <formula>4.2</formula>
    </cfRule>
    <cfRule type="cellIs" dxfId="2549" priority="1915" operator="equal">
      <formula>4.1</formula>
    </cfRule>
    <cfRule type="cellIs" dxfId="2548" priority="1916" operator="equal">
      <formula>3.4</formula>
    </cfRule>
    <cfRule type="cellIs" dxfId="2547" priority="1917" operator="equal">
      <formula>3.3</formula>
    </cfRule>
    <cfRule type="cellIs" dxfId="2546" priority="1918" operator="equal">
      <formula>3.2</formula>
    </cfRule>
    <cfRule type="cellIs" dxfId="2545" priority="1919" operator="equal">
      <formula>3.1</formula>
    </cfRule>
    <cfRule type="cellIs" dxfId="2544" priority="1920" operator="equal">
      <formula>2.4</formula>
    </cfRule>
    <cfRule type="cellIs" dxfId="2543" priority="1921" operator="equal">
      <formula>2.3</formula>
    </cfRule>
    <cfRule type="cellIs" dxfId="2542" priority="1922" operator="equal">
      <formula>2.2</formula>
    </cfRule>
    <cfRule type="cellIs" dxfId="2541" priority="1923" operator="equal">
      <formula>2.1</formula>
    </cfRule>
    <cfRule type="cellIs" dxfId="2540" priority="1924" operator="equal">
      <formula>1.5</formula>
    </cfRule>
    <cfRule type="cellIs" dxfId="2539" priority="1925" operator="equal">
      <formula>1.4</formula>
    </cfRule>
    <cfRule type="cellIs" dxfId="2538" priority="1926" operator="equal">
      <formula>1.3</formula>
    </cfRule>
    <cfRule type="cellIs" dxfId="2537" priority="1927" operator="equal">
      <formula>1.2</formula>
    </cfRule>
    <cfRule type="containsText" dxfId="2536" priority="1928" operator="containsText" text="1.1">
      <formula>NOT(ISERROR(SEARCH("1.1",U193)))</formula>
    </cfRule>
  </conditionalFormatting>
  <conditionalFormatting sqref="AC193:AC225">
    <cfRule type="containsBlanks" dxfId="2535" priority="1911">
      <formula>LEN(TRIM(AC193))=0</formula>
    </cfRule>
  </conditionalFormatting>
  <conditionalFormatting sqref="AC193:AC225">
    <cfRule type="cellIs" dxfId="2534" priority="1894" operator="equal">
      <formula>4.4</formula>
    </cfRule>
    <cfRule type="cellIs" dxfId="2533" priority="1895" operator="equal">
      <formula>4.3</formula>
    </cfRule>
    <cfRule type="cellIs" dxfId="2532" priority="1896" operator="equal">
      <formula>4.2</formula>
    </cfRule>
    <cfRule type="cellIs" dxfId="2531" priority="1897" operator="equal">
      <formula>4.1</formula>
    </cfRule>
    <cfRule type="cellIs" dxfId="2530" priority="1898" operator="equal">
      <formula>3.4</formula>
    </cfRule>
    <cfRule type="cellIs" dxfId="2529" priority="1899" operator="equal">
      <formula>3.3</formula>
    </cfRule>
    <cfRule type="cellIs" dxfId="2528" priority="1900" operator="equal">
      <formula>3.2</formula>
    </cfRule>
    <cfRule type="cellIs" dxfId="2527" priority="1901" operator="equal">
      <formula>3.1</formula>
    </cfRule>
    <cfRule type="cellIs" dxfId="2526" priority="1902" operator="equal">
      <formula>2.4</formula>
    </cfRule>
    <cfRule type="cellIs" dxfId="2525" priority="1903" operator="equal">
      <formula>2.3</formula>
    </cfRule>
    <cfRule type="cellIs" dxfId="2524" priority="1904" operator="equal">
      <formula>2.2</formula>
    </cfRule>
    <cfRule type="cellIs" dxfId="2523" priority="1905" operator="equal">
      <formula>2.1</formula>
    </cfRule>
    <cfRule type="cellIs" dxfId="2522" priority="1906" operator="equal">
      <formula>1.5</formula>
    </cfRule>
    <cfRule type="cellIs" dxfId="2521" priority="1907" operator="equal">
      <formula>1.4</formula>
    </cfRule>
    <cfRule type="cellIs" dxfId="2520" priority="1908" operator="equal">
      <formula>1.3</formula>
    </cfRule>
    <cfRule type="cellIs" dxfId="2519" priority="1909" operator="equal">
      <formula>1.2</formula>
    </cfRule>
    <cfRule type="containsText" dxfId="2518" priority="1910" operator="containsText" text="1.1">
      <formula>NOT(ISERROR(SEARCH("1.1",AC193)))</formula>
    </cfRule>
  </conditionalFormatting>
  <conditionalFormatting sqref="T276:U278 AB273:AC275 AJ273:AK275 AR270:AS272 AZ285:BA287 BH285:BI287">
    <cfRule type="containsBlanks" dxfId="2517" priority="1893">
      <formula>LEN(TRIM(T270))=0</formula>
    </cfRule>
  </conditionalFormatting>
  <conditionalFormatting sqref="BA243:BA284">
    <cfRule type="containsBlanks" dxfId="2516" priority="1892">
      <formula>LEN(TRIM(BA243))=0</formula>
    </cfRule>
  </conditionalFormatting>
  <conditionalFormatting sqref="BI243:BI284">
    <cfRule type="containsBlanks" dxfId="2515" priority="1891">
      <formula>LEN(TRIM(BI243))=0</formula>
    </cfRule>
  </conditionalFormatting>
  <conditionalFormatting sqref="U243:U275">
    <cfRule type="containsBlanks" dxfId="2514" priority="1890">
      <formula>LEN(TRIM(U243))=0</formula>
    </cfRule>
  </conditionalFormatting>
  <conditionalFormatting sqref="AC243:AC272">
    <cfRule type="containsBlanks" dxfId="2513" priority="1889">
      <formula>LEN(TRIM(AC243))=0</formula>
    </cfRule>
  </conditionalFormatting>
  <conditionalFormatting sqref="AT271:AZ281 N240:BI245 BB246:BH281 BA246:BA284 BI246:BI284 AL246:AZ270 N246:AK287 AL271:AS287 AT285:BI287">
    <cfRule type="cellIs" dxfId="2512" priority="1870" operator="equal">
      <formula>4.4</formula>
    </cfRule>
    <cfRule type="cellIs" dxfId="2511" priority="1871" operator="equal">
      <formula>4.3</formula>
    </cfRule>
    <cfRule type="cellIs" dxfId="2510" priority="1872" operator="equal">
      <formula>4.2</formula>
    </cfRule>
    <cfRule type="cellIs" dxfId="2509" priority="1873" operator="equal">
      <formula>4.1</formula>
    </cfRule>
    <cfRule type="cellIs" dxfId="2508" priority="1874" operator="equal">
      <formula>3.4</formula>
    </cfRule>
    <cfRule type="cellIs" dxfId="2507" priority="1875" operator="equal">
      <formula>3.3</formula>
    </cfRule>
    <cfRule type="cellIs" dxfId="2506" priority="1876" operator="equal">
      <formula>3.2</formula>
    </cfRule>
    <cfRule type="cellIs" dxfId="2505" priority="1877" operator="equal">
      <formula>3.1</formula>
    </cfRule>
    <cfRule type="cellIs" dxfId="2504" priority="1878" operator="equal">
      <formula>2.4</formula>
    </cfRule>
    <cfRule type="cellIs" dxfId="2503" priority="1879" operator="equal">
      <formula>2.3</formula>
    </cfRule>
    <cfRule type="cellIs" dxfId="2502" priority="1880" operator="equal">
      <formula>2.2</formula>
    </cfRule>
    <cfRule type="cellIs" dxfId="2501" priority="1881" operator="equal">
      <formula>2.1</formula>
    </cfRule>
    <cfRule type="cellIs" dxfId="2500" priority="1882" operator="equal">
      <formula>1.5</formula>
    </cfRule>
    <cfRule type="cellIs" dxfId="2499" priority="1883" operator="equal">
      <formula>1.4</formula>
    </cfRule>
    <cfRule type="cellIs" dxfId="2498" priority="1884" operator="equal">
      <formula>1.3</formula>
    </cfRule>
    <cfRule type="cellIs" dxfId="2497" priority="1885" operator="equal">
      <formula>1.2</formula>
    </cfRule>
    <cfRule type="containsText" dxfId="2496" priority="1886" operator="containsText" text="1.1">
      <formula>NOT(ISERROR(SEARCH("1.1",N240)))</formula>
    </cfRule>
  </conditionalFormatting>
  <conditionalFormatting sqref="AT282:AZ284">
    <cfRule type="cellIs" dxfId="2495" priority="1853" operator="equal">
      <formula>4.4</formula>
    </cfRule>
    <cfRule type="cellIs" dxfId="2494" priority="1854" operator="equal">
      <formula>4.3</formula>
    </cfRule>
    <cfRule type="cellIs" dxfId="2493" priority="1855" operator="equal">
      <formula>4.2</formula>
    </cfRule>
    <cfRule type="cellIs" dxfId="2492" priority="1856" operator="equal">
      <formula>4.1</formula>
    </cfRule>
    <cfRule type="cellIs" dxfId="2491" priority="1857" operator="equal">
      <formula>3.4</formula>
    </cfRule>
    <cfRule type="cellIs" dxfId="2490" priority="1858" operator="equal">
      <formula>3.3</formula>
    </cfRule>
    <cfRule type="cellIs" dxfId="2489" priority="1859" operator="equal">
      <formula>3.2</formula>
    </cfRule>
    <cfRule type="cellIs" dxfId="2488" priority="1860" operator="equal">
      <formula>3.1</formula>
    </cfRule>
    <cfRule type="cellIs" dxfId="2487" priority="1861" operator="equal">
      <formula>2.4</formula>
    </cfRule>
    <cfRule type="cellIs" dxfId="2486" priority="1862" operator="equal">
      <formula>2.3</formula>
    </cfRule>
    <cfRule type="cellIs" dxfId="2485" priority="1863" operator="equal">
      <formula>2.2</formula>
    </cfRule>
    <cfRule type="cellIs" dxfId="2484" priority="1864" operator="equal">
      <formula>2.1</formula>
    </cfRule>
    <cfRule type="cellIs" dxfId="2483" priority="1865" operator="equal">
      <formula>1.5</formula>
    </cfRule>
    <cfRule type="cellIs" dxfId="2482" priority="1866" operator="equal">
      <formula>1.4</formula>
    </cfRule>
    <cfRule type="cellIs" dxfId="2481" priority="1867" operator="equal">
      <formula>1.3</formula>
    </cfRule>
    <cfRule type="cellIs" dxfId="2480" priority="1868" operator="equal">
      <formula>1.2</formula>
    </cfRule>
    <cfRule type="containsText" dxfId="2479" priority="1869" operator="containsText" text="1.1">
      <formula>NOT(ISERROR(SEARCH("1.1",AT282)))</formula>
    </cfRule>
  </conditionalFormatting>
  <conditionalFormatting sqref="BB282:BH284">
    <cfRule type="cellIs" dxfId="2478" priority="1836" operator="equal">
      <formula>4.4</formula>
    </cfRule>
    <cfRule type="cellIs" dxfId="2477" priority="1837" operator="equal">
      <formula>4.3</formula>
    </cfRule>
    <cfRule type="cellIs" dxfId="2476" priority="1838" operator="equal">
      <formula>4.2</formula>
    </cfRule>
    <cfRule type="cellIs" dxfId="2475" priority="1839" operator="equal">
      <formula>4.1</formula>
    </cfRule>
    <cfRule type="cellIs" dxfId="2474" priority="1840" operator="equal">
      <formula>3.4</formula>
    </cfRule>
    <cfRule type="cellIs" dxfId="2473" priority="1841" operator="equal">
      <formula>3.3</formula>
    </cfRule>
    <cfRule type="cellIs" dxfId="2472" priority="1842" operator="equal">
      <formula>3.2</formula>
    </cfRule>
    <cfRule type="cellIs" dxfId="2471" priority="1843" operator="equal">
      <formula>3.1</formula>
    </cfRule>
    <cfRule type="cellIs" dxfId="2470" priority="1844" operator="equal">
      <formula>2.4</formula>
    </cfRule>
    <cfRule type="cellIs" dxfId="2469" priority="1845" operator="equal">
      <formula>2.3</formula>
    </cfRule>
    <cfRule type="cellIs" dxfId="2468" priority="1846" operator="equal">
      <formula>2.2</formula>
    </cfRule>
    <cfRule type="cellIs" dxfId="2467" priority="1847" operator="equal">
      <formula>2.1</formula>
    </cfRule>
    <cfRule type="cellIs" dxfId="2466" priority="1848" operator="equal">
      <formula>1.5</formula>
    </cfRule>
    <cfRule type="cellIs" dxfId="2465" priority="1849" operator="equal">
      <formula>1.4</formula>
    </cfRule>
    <cfRule type="cellIs" dxfId="2464" priority="1850" operator="equal">
      <formula>1.3</formula>
    </cfRule>
    <cfRule type="cellIs" dxfId="2463" priority="1851" operator="equal">
      <formula>1.2</formula>
    </cfRule>
    <cfRule type="containsText" dxfId="2462" priority="1852" operator="containsText" text="1.1">
      <formula>NOT(ISERROR(SEARCH("1.1",BB282)))</formula>
    </cfRule>
  </conditionalFormatting>
  <conditionalFormatting sqref="AS293:AS340 T332:U334 AR341:AS343 AB332:AC334 AJ329:AK331">
    <cfRule type="containsBlanks" dxfId="2461" priority="1835">
      <formula>LEN(TRIM(T293))=0</formula>
    </cfRule>
  </conditionalFormatting>
  <conditionalFormatting sqref="U293:U331">
    <cfRule type="containsBlanks" dxfId="2460" priority="1834">
      <formula>LEN(TRIM(U293))=0</formula>
    </cfRule>
  </conditionalFormatting>
  <conditionalFormatting sqref="AC293:AC331">
    <cfRule type="containsBlanks" dxfId="2459" priority="1833">
      <formula>LEN(TRIM(AC293))=0</formula>
    </cfRule>
  </conditionalFormatting>
  <conditionalFormatting sqref="AK293:AK328">
    <cfRule type="containsBlanks" dxfId="2458" priority="1832">
      <formula>LEN(TRIM(AK293))=0</formula>
    </cfRule>
  </conditionalFormatting>
  <conditionalFormatting sqref="AI343:AK343 AI333:AK341 N290:AS295 AL335:AR340 AS296:AS340 AL341:AS343 N332:AK332 N333:AH343 N296:AR331">
    <cfRule type="cellIs" dxfId="2457" priority="1815" operator="equal">
      <formula>4.4</formula>
    </cfRule>
    <cfRule type="cellIs" dxfId="2456" priority="1816" operator="equal">
      <formula>4.3</formula>
    </cfRule>
    <cfRule type="cellIs" dxfId="2455" priority="1817" operator="equal">
      <formula>4.2</formula>
    </cfRule>
    <cfRule type="cellIs" dxfId="2454" priority="1818" operator="equal">
      <formula>4.1</formula>
    </cfRule>
    <cfRule type="cellIs" dxfId="2453" priority="1819" operator="equal">
      <formula>3.4</formula>
    </cfRule>
    <cfRule type="cellIs" dxfId="2452" priority="1820" operator="equal">
      <formula>3.3</formula>
    </cfRule>
    <cfRule type="cellIs" dxfId="2451" priority="1821" operator="equal">
      <formula>3.2</formula>
    </cfRule>
    <cfRule type="cellIs" dxfId="2450" priority="1822" operator="equal">
      <formula>3.1</formula>
    </cfRule>
    <cfRule type="cellIs" dxfId="2449" priority="1823" operator="equal">
      <formula>2.4</formula>
    </cfRule>
    <cfRule type="cellIs" dxfId="2448" priority="1824" operator="equal">
      <formula>2.3</formula>
    </cfRule>
    <cfRule type="cellIs" dxfId="2447" priority="1825" operator="equal">
      <formula>2.2</formula>
    </cfRule>
    <cfRule type="cellIs" dxfId="2446" priority="1826" operator="equal">
      <formula>2.1</formula>
    </cfRule>
    <cfRule type="cellIs" dxfId="2445" priority="1827" operator="equal">
      <formula>1.5</formula>
    </cfRule>
    <cfRule type="cellIs" dxfId="2444" priority="1828" operator="equal">
      <formula>1.4</formula>
    </cfRule>
    <cfRule type="cellIs" dxfId="2443" priority="1829" operator="equal">
      <formula>1.3</formula>
    </cfRule>
    <cfRule type="cellIs" dxfId="2442" priority="1830" operator="equal">
      <formula>1.2</formula>
    </cfRule>
    <cfRule type="containsText" dxfId="2441" priority="1831" operator="containsText" text="1.1">
      <formula>NOT(ISERROR(SEARCH("1.1",N290)))</formula>
    </cfRule>
  </conditionalFormatting>
  <conditionalFormatting sqref="AL332:AR334">
    <cfRule type="cellIs" dxfId="2440" priority="1798" operator="equal">
      <formula>4.4</formula>
    </cfRule>
    <cfRule type="cellIs" dxfId="2439" priority="1799" operator="equal">
      <formula>4.3</formula>
    </cfRule>
    <cfRule type="cellIs" dxfId="2438" priority="1800" operator="equal">
      <formula>4.2</formula>
    </cfRule>
    <cfRule type="cellIs" dxfId="2437" priority="1801" operator="equal">
      <formula>4.1</formula>
    </cfRule>
    <cfRule type="cellIs" dxfId="2436" priority="1802" operator="equal">
      <formula>3.4</formula>
    </cfRule>
    <cfRule type="cellIs" dxfId="2435" priority="1803" operator="equal">
      <formula>3.3</formula>
    </cfRule>
    <cfRule type="cellIs" dxfId="2434" priority="1804" operator="equal">
      <formula>3.2</formula>
    </cfRule>
    <cfRule type="cellIs" dxfId="2433" priority="1805" operator="equal">
      <formula>3.1</formula>
    </cfRule>
    <cfRule type="cellIs" dxfId="2432" priority="1806" operator="equal">
      <formula>2.4</formula>
    </cfRule>
    <cfRule type="cellIs" dxfId="2431" priority="1807" operator="equal">
      <formula>2.3</formula>
    </cfRule>
    <cfRule type="cellIs" dxfId="2430" priority="1808" operator="equal">
      <formula>2.2</formula>
    </cfRule>
    <cfRule type="cellIs" dxfId="2429" priority="1809" operator="equal">
      <formula>2.1</formula>
    </cfRule>
    <cfRule type="cellIs" dxfId="2428" priority="1810" operator="equal">
      <formula>1.5</formula>
    </cfRule>
    <cfRule type="cellIs" dxfId="2427" priority="1811" operator="equal">
      <formula>1.4</formula>
    </cfRule>
    <cfRule type="cellIs" dxfId="2426" priority="1812" operator="equal">
      <formula>1.3</formula>
    </cfRule>
    <cfRule type="cellIs" dxfId="2425" priority="1813" operator="equal">
      <formula>1.2</formula>
    </cfRule>
    <cfRule type="containsText" dxfId="2424" priority="1814" operator="containsText" text="1.1">
      <formula>NOT(ISERROR(SEARCH("1.1",AL332)))</formula>
    </cfRule>
  </conditionalFormatting>
  <conditionalFormatting sqref="B11:H31">
    <cfRule type="cellIs" dxfId="2423" priority="1781" operator="equal">
      <formula>4.4</formula>
    </cfRule>
    <cfRule type="cellIs" dxfId="2422" priority="1782" operator="equal">
      <formula>4.3</formula>
    </cfRule>
    <cfRule type="cellIs" dxfId="2421" priority="1783" operator="equal">
      <formula>4.2</formula>
    </cfRule>
    <cfRule type="cellIs" dxfId="2420" priority="1784" operator="equal">
      <formula>4.1</formula>
    </cfRule>
    <cfRule type="cellIs" dxfId="2419" priority="1785" operator="equal">
      <formula>3.4</formula>
    </cfRule>
    <cfRule type="cellIs" dxfId="2418" priority="1786" operator="equal">
      <formula>3.3</formula>
    </cfRule>
    <cfRule type="cellIs" dxfId="2417" priority="1787" operator="equal">
      <formula>3.2</formula>
    </cfRule>
    <cfRule type="cellIs" dxfId="2416" priority="1788" operator="equal">
      <formula>3.1</formula>
    </cfRule>
    <cfRule type="cellIs" dxfId="2415" priority="1789" operator="equal">
      <formula>2.4</formula>
    </cfRule>
    <cfRule type="cellIs" dxfId="2414" priority="1790" operator="equal">
      <formula>2.3</formula>
    </cfRule>
    <cfRule type="cellIs" dxfId="2413" priority="1791" operator="equal">
      <formula>2.2</formula>
    </cfRule>
    <cfRule type="cellIs" dxfId="2412" priority="1792" operator="equal">
      <formula>2.1</formula>
    </cfRule>
    <cfRule type="cellIs" dxfId="2411" priority="1793" operator="equal">
      <formula>1.5</formula>
    </cfRule>
    <cfRule type="cellIs" dxfId="2410" priority="1794" operator="equal">
      <formula>1.4</formula>
    </cfRule>
    <cfRule type="cellIs" dxfId="2409" priority="1795" operator="equal">
      <formula>1.3</formula>
    </cfRule>
    <cfRule type="cellIs" dxfId="2408" priority="1796" operator="equal">
      <formula>1.2</formula>
    </cfRule>
    <cfRule type="containsText" dxfId="2407" priority="1797" operator="containsText" text="1.1">
      <formula>NOT(ISERROR(SEARCH("1.1",B11)))</formula>
    </cfRule>
  </conditionalFormatting>
  <conditionalFormatting sqref="M193:M219">
    <cfRule type="containsBlanks" dxfId="2406" priority="1712">
      <formula>LEN(TRIM(M193))=0</formula>
    </cfRule>
  </conditionalFormatting>
  <conditionalFormatting sqref="M224 M190:M219">
    <cfRule type="cellIs" dxfId="2405" priority="1695" operator="equal">
      <formula>4.4</formula>
    </cfRule>
    <cfRule type="cellIs" dxfId="2404" priority="1696" operator="equal">
      <formula>4.3</formula>
    </cfRule>
    <cfRule type="cellIs" dxfId="2403" priority="1697" operator="equal">
      <formula>4.2</formula>
    </cfRule>
    <cfRule type="cellIs" dxfId="2402" priority="1698" operator="equal">
      <formula>4.1</formula>
    </cfRule>
    <cfRule type="cellIs" dxfId="2401" priority="1699" operator="equal">
      <formula>3.4</formula>
    </cfRule>
    <cfRule type="cellIs" dxfId="2400" priority="1700" operator="equal">
      <formula>3.3</formula>
    </cfRule>
    <cfRule type="cellIs" dxfId="2399" priority="1701" operator="equal">
      <formula>3.2</formula>
    </cfRule>
    <cfRule type="cellIs" dxfId="2398" priority="1702" operator="equal">
      <formula>3.1</formula>
    </cfRule>
    <cfRule type="cellIs" dxfId="2397" priority="1703" operator="equal">
      <formula>2.4</formula>
    </cfRule>
    <cfRule type="cellIs" dxfId="2396" priority="1704" operator="equal">
      <formula>2.3</formula>
    </cfRule>
    <cfRule type="cellIs" dxfId="2395" priority="1705" operator="equal">
      <formula>2.2</formula>
    </cfRule>
    <cfRule type="cellIs" dxfId="2394" priority="1706" operator="equal">
      <formula>2.1</formula>
    </cfRule>
    <cfRule type="cellIs" dxfId="2393" priority="1707" operator="equal">
      <formula>1.5</formula>
    </cfRule>
    <cfRule type="cellIs" dxfId="2392" priority="1708" operator="equal">
      <formula>1.4</formula>
    </cfRule>
    <cfRule type="cellIs" dxfId="2391" priority="1709" operator="equal">
      <formula>1.3</formula>
    </cfRule>
    <cfRule type="cellIs" dxfId="2390" priority="1710" operator="equal">
      <formula>1.2</formula>
    </cfRule>
    <cfRule type="containsText" dxfId="2389" priority="1711" operator="containsText" text="1.1">
      <formula>NOT(ISERROR(SEARCH("1.1",M190)))</formula>
    </cfRule>
  </conditionalFormatting>
  <conditionalFormatting sqref="H193:L219 H220:M223">
    <cfRule type="containsBlanks" dxfId="2388" priority="1694">
      <formula>LEN(TRIM(H193))=0</formula>
    </cfRule>
  </conditionalFormatting>
  <conditionalFormatting sqref="H190:L192 A193:L195 A221:E222 A196:G213 H196:L219 A220:M220 F221:M223">
    <cfRule type="cellIs" dxfId="2387" priority="1677" operator="equal">
      <formula>4.4</formula>
    </cfRule>
    <cfRule type="cellIs" dxfId="2386" priority="1678" operator="equal">
      <formula>4.3</formula>
    </cfRule>
    <cfRule type="cellIs" dxfId="2385" priority="1679" operator="equal">
      <formula>4.2</formula>
    </cfRule>
    <cfRule type="cellIs" dxfId="2384" priority="1680" operator="equal">
      <formula>4.1</formula>
    </cfRule>
    <cfRule type="cellIs" dxfId="2383" priority="1681" operator="equal">
      <formula>3.4</formula>
    </cfRule>
    <cfRule type="cellIs" dxfId="2382" priority="1682" operator="equal">
      <formula>3.3</formula>
    </cfRule>
    <cfRule type="cellIs" dxfId="2381" priority="1683" operator="equal">
      <formula>3.2</formula>
    </cfRule>
    <cfRule type="cellIs" dxfId="2380" priority="1684" operator="equal">
      <formula>3.1</formula>
    </cfRule>
    <cfRule type="cellIs" dxfId="2379" priority="1685" operator="equal">
      <formula>2.4</formula>
    </cfRule>
    <cfRule type="cellIs" dxfId="2378" priority="1686" operator="equal">
      <formula>2.3</formula>
    </cfRule>
    <cfRule type="cellIs" dxfId="2377" priority="1687" operator="equal">
      <formula>2.2</formula>
    </cfRule>
    <cfRule type="cellIs" dxfId="2376" priority="1688" operator="equal">
      <formula>2.1</formula>
    </cfRule>
    <cfRule type="cellIs" dxfId="2375" priority="1689" operator="equal">
      <formula>1.5</formula>
    </cfRule>
    <cfRule type="cellIs" dxfId="2374" priority="1690" operator="equal">
      <formula>1.4</formula>
    </cfRule>
    <cfRule type="cellIs" dxfId="2373" priority="1691" operator="equal">
      <formula>1.3</formula>
    </cfRule>
    <cfRule type="cellIs" dxfId="2372" priority="1692" operator="equal">
      <formula>1.2</formula>
    </cfRule>
    <cfRule type="containsText" dxfId="2371" priority="1693" operator="containsText" text="1.1">
      <formula>NOT(ISERROR(SEARCH("1.1",A190)))</formula>
    </cfRule>
  </conditionalFormatting>
  <conditionalFormatting sqref="A227:A229 A233 A225:M226 F233:M234">
    <cfRule type="cellIs" dxfId="2370" priority="1660" operator="equal">
      <formula>4.4</formula>
    </cfRule>
    <cfRule type="cellIs" dxfId="2369" priority="1661" operator="equal">
      <formula>4.3</formula>
    </cfRule>
    <cfRule type="cellIs" dxfId="2368" priority="1662" operator="equal">
      <formula>4.2</formula>
    </cfRule>
    <cfRule type="cellIs" dxfId="2367" priority="1663" operator="equal">
      <formula>4.1</formula>
    </cfRule>
    <cfRule type="cellIs" dxfId="2366" priority="1664" operator="equal">
      <formula>3.4</formula>
    </cfRule>
    <cfRule type="cellIs" dxfId="2365" priority="1665" operator="equal">
      <formula>3.3</formula>
    </cfRule>
    <cfRule type="cellIs" dxfId="2364" priority="1666" operator="equal">
      <formula>3.2</formula>
    </cfRule>
    <cfRule type="cellIs" dxfId="2363" priority="1667" operator="equal">
      <formula>3.1</formula>
    </cfRule>
    <cfRule type="cellIs" dxfId="2362" priority="1668" operator="equal">
      <formula>2.4</formula>
    </cfRule>
    <cfRule type="cellIs" dxfId="2361" priority="1669" operator="equal">
      <formula>2.3</formula>
    </cfRule>
    <cfRule type="cellIs" dxfId="2360" priority="1670" operator="equal">
      <formula>2.2</formula>
    </cfRule>
    <cfRule type="cellIs" dxfId="2359" priority="1671" operator="equal">
      <formula>2.1</formula>
    </cfRule>
    <cfRule type="cellIs" dxfId="2358" priority="1672" operator="equal">
      <formula>1.5</formula>
    </cfRule>
    <cfRule type="cellIs" dxfId="2357" priority="1673" operator="equal">
      <formula>1.4</formula>
    </cfRule>
    <cfRule type="cellIs" dxfId="2356" priority="1674" operator="equal">
      <formula>1.3</formula>
    </cfRule>
    <cfRule type="cellIs" dxfId="2355" priority="1675" operator="equal">
      <formula>1.2</formula>
    </cfRule>
    <cfRule type="containsText" dxfId="2354" priority="1676" operator="containsText" text="1.1">
      <formula>NOT(ISERROR(SEARCH("1.1",A225)))</formula>
    </cfRule>
  </conditionalFormatting>
  <conditionalFormatting sqref="H233:M234">
    <cfRule type="containsBlanks" dxfId="2353" priority="1659">
      <formula>LEN(TRIM(H233))=0</formula>
    </cfRule>
  </conditionalFormatting>
  <conditionalFormatting sqref="B227:G229">
    <cfRule type="cellIs" dxfId="2352" priority="1642" operator="equal">
      <formula>4.4</formula>
    </cfRule>
    <cfRule type="cellIs" dxfId="2351" priority="1643" operator="equal">
      <formula>4.3</formula>
    </cfRule>
    <cfRule type="cellIs" dxfId="2350" priority="1644" operator="equal">
      <formula>4.2</formula>
    </cfRule>
    <cfRule type="cellIs" dxfId="2349" priority="1645" operator="equal">
      <formula>4.1</formula>
    </cfRule>
    <cfRule type="cellIs" dxfId="2348" priority="1646" operator="equal">
      <formula>3.4</formula>
    </cfRule>
    <cfRule type="cellIs" dxfId="2347" priority="1647" operator="equal">
      <formula>3.3</formula>
    </cfRule>
    <cfRule type="cellIs" dxfId="2346" priority="1648" operator="equal">
      <formula>3.2</formula>
    </cfRule>
    <cfRule type="cellIs" dxfId="2345" priority="1649" operator="equal">
      <formula>3.1</formula>
    </cfRule>
    <cfRule type="cellIs" dxfId="2344" priority="1650" operator="equal">
      <formula>2.4</formula>
    </cfRule>
    <cfRule type="cellIs" dxfId="2343" priority="1651" operator="equal">
      <formula>2.3</formula>
    </cfRule>
    <cfRule type="cellIs" dxfId="2342" priority="1652" operator="equal">
      <formula>2.2</formula>
    </cfRule>
    <cfRule type="cellIs" dxfId="2341" priority="1653" operator="equal">
      <formula>2.1</formula>
    </cfRule>
    <cfRule type="cellIs" dxfId="2340" priority="1654" operator="equal">
      <formula>1.5</formula>
    </cfRule>
    <cfRule type="cellIs" dxfId="2339" priority="1655" operator="equal">
      <formula>1.4</formula>
    </cfRule>
    <cfRule type="cellIs" dxfId="2338" priority="1656" operator="equal">
      <formula>1.3</formula>
    </cfRule>
    <cfRule type="cellIs" dxfId="2337" priority="1657" operator="equal">
      <formula>1.2</formula>
    </cfRule>
    <cfRule type="containsText" dxfId="2336" priority="1658" operator="containsText" text="1.1">
      <formula>NOT(ISERROR(SEARCH("1.1",B227)))</formula>
    </cfRule>
  </conditionalFormatting>
  <conditionalFormatting sqref="A190:G192">
    <cfRule type="cellIs" dxfId="2335" priority="1625" operator="equal">
      <formula>4.4</formula>
    </cfRule>
    <cfRule type="cellIs" dxfId="2334" priority="1626" operator="equal">
      <formula>4.3</formula>
    </cfRule>
    <cfRule type="cellIs" dxfId="2333" priority="1627" operator="equal">
      <formula>4.2</formula>
    </cfRule>
    <cfRule type="cellIs" dxfId="2332" priority="1628" operator="equal">
      <formula>4.1</formula>
    </cfRule>
    <cfRule type="cellIs" dxfId="2331" priority="1629" operator="equal">
      <formula>3.4</formula>
    </cfRule>
    <cfRule type="cellIs" dxfId="2330" priority="1630" operator="equal">
      <formula>3.3</formula>
    </cfRule>
    <cfRule type="cellIs" dxfId="2329" priority="1631" operator="equal">
      <formula>3.2</formula>
    </cfRule>
    <cfRule type="cellIs" dxfId="2328" priority="1632" operator="equal">
      <formula>3.1</formula>
    </cfRule>
    <cfRule type="cellIs" dxfId="2327" priority="1633" operator="equal">
      <formula>2.4</formula>
    </cfRule>
    <cfRule type="cellIs" dxfId="2326" priority="1634" operator="equal">
      <formula>2.3</formula>
    </cfRule>
    <cfRule type="cellIs" dxfId="2325" priority="1635" operator="equal">
      <formula>2.2</formula>
    </cfRule>
    <cfRule type="cellIs" dxfId="2324" priority="1636" operator="equal">
      <formula>2.1</formula>
    </cfRule>
    <cfRule type="cellIs" dxfId="2323" priority="1637" operator="equal">
      <formula>1.5</formula>
    </cfRule>
    <cfRule type="cellIs" dxfId="2322" priority="1638" operator="equal">
      <formula>1.4</formula>
    </cfRule>
    <cfRule type="cellIs" dxfId="2321" priority="1639" operator="equal">
      <formula>1.3</formula>
    </cfRule>
    <cfRule type="cellIs" dxfId="2320" priority="1640" operator="equal">
      <formula>1.2</formula>
    </cfRule>
    <cfRule type="containsText" dxfId="2319" priority="1641" operator="containsText" text="1.1">
      <formula>NOT(ISERROR(SEARCH("1.1",A190)))</formula>
    </cfRule>
  </conditionalFormatting>
  <conditionalFormatting sqref="A214:G216">
    <cfRule type="cellIs" dxfId="2318" priority="1608" operator="equal">
      <formula>4.4</formula>
    </cfRule>
    <cfRule type="cellIs" dxfId="2317" priority="1609" operator="equal">
      <formula>4.3</formula>
    </cfRule>
    <cfRule type="cellIs" dxfId="2316" priority="1610" operator="equal">
      <formula>4.2</formula>
    </cfRule>
    <cfRule type="cellIs" dxfId="2315" priority="1611" operator="equal">
      <formula>4.1</formula>
    </cfRule>
    <cfRule type="cellIs" dxfId="2314" priority="1612" operator="equal">
      <formula>3.4</formula>
    </cfRule>
    <cfRule type="cellIs" dxfId="2313" priority="1613" operator="equal">
      <formula>3.3</formula>
    </cfRule>
    <cfRule type="cellIs" dxfId="2312" priority="1614" operator="equal">
      <formula>3.2</formula>
    </cfRule>
    <cfRule type="cellIs" dxfId="2311" priority="1615" operator="equal">
      <formula>3.1</formula>
    </cfRule>
    <cfRule type="cellIs" dxfId="2310" priority="1616" operator="equal">
      <formula>2.4</formula>
    </cfRule>
    <cfRule type="cellIs" dxfId="2309" priority="1617" operator="equal">
      <formula>2.3</formula>
    </cfRule>
    <cfRule type="cellIs" dxfId="2308" priority="1618" operator="equal">
      <formula>2.2</formula>
    </cfRule>
    <cfRule type="cellIs" dxfId="2307" priority="1619" operator="equal">
      <formula>2.1</formula>
    </cfRule>
    <cfRule type="cellIs" dxfId="2306" priority="1620" operator="equal">
      <formula>1.5</formula>
    </cfRule>
    <cfRule type="cellIs" dxfId="2305" priority="1621" operator="equal">
      <formula>1.4</formula>
    </cfRule>
    <cfRule type="cellIs" dxfId="2304" priority="1622" operator="equal">
      <formula>1.3</formula>
    </cfRule>
    <cfRule type="cellIs" dxfId="2303" priority="1623" operator="equal">
      <formula>1.2</formula>
    </cfRule>
    <cfRule type="containsText" dxfId="2302" priority="1624" operator="containsText" text="1.1">
      <formula>NOT(ISERROR(SEARCH("1.1",A214)))</formula>
    </cfRule>
  </conditionalFormatting>
  <conditionalFormatting sqref="B217:G219">
    <cfRule type="cellIs" dxfId="2301" priority="1574" operator="equal">
      <formula>4.4</formula>
    </cfRule>
    <cfRule type="cellIs" dxfId="2300" priority="1575" operator="equal">
      <formula>4.3</formula>
    </cfRule>
    <cfRule type="cellIs" dxfId="2299" priority="1576" operator="equal">
      <formula>4.2</formula>
    </cfRule>
    <cfRule type="cellIs" dxfId="2298" priority="1577" operator="equal">
      <formula>4.1</formula>
    </cfRule>
    <cfRule type="cellIs" dxfId="2297" priority="1578" operator="equal">
      <formula>3.4</formula>
    </cfRule>
    <cfRule type="cellIs" dxfId="2296" priority="1579" operator="equal">
      <formula>3.3</formula>
    </cfRule>
    <cfRule type="cellIs" dxfId="2295" priority="1580" operator="equal">
      <formula>3.2</formula>
    </cfRule>
    <cfRule type="cellIs" dxfId="2294" priority="1581" operator="equal">
      <formula>3.1</formula>
    </cfRule>
    <cfRule type="cellIs" dxfId="2293" priority="1582" operator="equal">
      <formula>2.4</formula>
    </cfRule>
    <cfRule type="cellIs" dxfId="2292" priority="1583" operator="equal">
      <formula>2.3</formula>
    </cfRule>
    <cfRule type="cellIs" dxfId="2291" priority="1584" operator="equal">
      <formula>2.2</formula>
    </cfRule>
    <cfRule type="cellIs" dxfId="2290" priority="1585" operator="equal">
      <formula>2.1</formula>
    </cfRule>
    <cfRule type="cellIs" dxfId="2289" priority="1586" operator="equal">
      <formula>1.5</formula>
    </cfRule>
    <cfRule type="cellIs" dxfId="2288" priority="1587" operator="equal">
      <formula>1.4</formula>
    </cfRule>
    <cfRule type="cellIs" dxfId="2287" priority="1588" operator="equal">
      <formula>1.3</formula>
    </cfRule>
    <cfRule type="cellIs" dxfId="2286" priority="1589" operator="equal">
      <formula>1.2</formula>
    </cfRule>
    <cfRule type="containsText" dxfId="2285" priority="1590" operator="containsText" text="1.1">
      <formula>NOT(ISERROR(SEARCH("1.1",B217)))</formula>
    </cfRule>
  </conditionalFormatting>
  <conditionalFormatting sqref="A217:A219">
    <cfRule type="cellIs" dxfId="2284" priority="1591" operator="equal">
      <formula>4.4</formula>
    </cfRule>
    <cfRule type="cellIs" dxfId="2283" priority="1592" operator="equal">
      <formula>4.3</formula>
    </cfRule>
    <cfRule type="cellIs" dxfId="2282" priority="1593" operator="equal">
      <formula>4.2</formula>
    </cfRule>
    <cfRule type="cellIs" dxfId="2281" priority="1594" operator="equal">
      <formula>4.1</formula>
    </cfRule>
    <cfRule type="cellIs" dxfId="2280" priority="1595" operator="equal">
      <formula>3.4</formula>
    </cfRule>
    <cfRule type="cellIs" dxfId="2279" priority="1596" operator="equal">
      <formula>3.3</formula>
    </cfRule>
    <cfRule type="cellIs" dxfId="2278" priority="1597" operator="equal">
      <formula>3.2</formula>
    </cfRule>
    <cfRule type="cellIs" dxfId="2277" priority="1598" operator="equal">
      <formula>3.1</formula>
    </cfRule>
    <cfRule type="cellIs" dxfId="2276" priority="1599" operator="equal">
      <formula>2.4</formula>
    </cfRule>
    <cfRule type="cellIs" dxfId="2275" priority="1600" operator="equal">
      <formula>2.3</formula>
    </cfRule>
    <cfRule type="cellIs" dxfId="2274" priority="1601" operator="equal">
      <formula>2.2</formula>
    </cfRule>
    <cfRule type="cellIs" dxfId="2273" priority="1602" operator="equal">
      <formula>2.1</formula>
    </cfRule>
    <cfRule type="cellIs" dxfId="2272" priority="1603" operator="equal">
      <formula>1.5</formula>
    </cfRule>
    <cfRule type="cellIs" dxfId="2271" priority="1604" operator="equal">
      <formula>1.4</formula>
    </cfRule>
    <cfRule type="cellIs" dxfId="2270" priority="1605" operator="equal">
      <formula>1.3</formula>
    </cfRule>
    <cfRule type="cellIs" dxfId="2269" priority="1606" operator="equal">
      <formula>1.2</formula>
    </cfRule>
    <cfRule type="containsText" dxfId="2268" priority="1607" operator="containsText" text="1.1">
      <formula>NOT(ISERROR(SEARCH("1.1",A217)))</formula>
    </cfRule>
  </conditionalFormatting>
  <conditionalFormatting sqref="B230:G232">
    <cfRule type="cellIs" dxfId="2267" priority="1540" operator="equal">
      <formula>4.4</formula>
    </cfRule>
    <cfRule type="cellIs" dxfId="2266" priority="1541" operator="equal">
      <formula>4.3</formula>
    </cfRule>
    <cfRule type="cellIs" dxfId="2265" priority="1542" operator="equal">
      <formula>4.2</formula>
    </cfRule>
    <cfRule type="cellIs" dxfId="2264" priority="1543" operator="equal">
      <formula>4.1</formula>
    </cfRule>
    <cfRule type="cellIs" dxfId="2263" priority="1544" operator="equal">
      <formula>3.4</formula>
    </cfRule>
    <cfRule type="cellIs" dxfId="2262" priority="1545" operator="equal">
      <formula>3.3</formula>
    </cfRule>
    <cfRule type="cellIs" dxfId="2261" priority="1546" operator="equal">
      <formula>3.2</formula>
    </cfRule>
    <cfRule type="cellIs" dxfId="2260" priority="1547" operator="equal">
      <formula>3.1</formula>
    </cfRule>
    <cfRule type="cellIs" dxfId="2259" priority="1548" operator="equal">
      <formula>2.4</formula>
    </cfRule>
    <cfRule type="cellIs" dxfId="2258" priority="1549" operator="equal">
      <formula>2.3</formula>
    </cfRule>
    <cfRule type="cellIs" dxfId="2257" priority="1550" operator="equal">
      <formula>2.2</formula>
    </cfRule>
    <cfRule type="cellIs" dxfId="2256" priority="1551" operator="equal">
      <formula>2.1</formula>
    </cfRule>
    <cfRule type="cellIs" dxfId="2255" priority="1552" operator="equal">
      <formula>1.5</formula>
    </cfRule>
    <cfRule type="cellIs" dxfId="2254" priority="1553" operator="equal">
      <formula>1.4</formula>
    </cfRule>
    <cfRule type="cellIs" dxfId="2253" priority="1554" operator="equal">
      <formula>1.3</formula>
    </cfRule>
    <cfRule type="cellIs" dxfId="2252" priority="1555" operator="equal">
      <formula>1.2</formula>
    </cfRule>
    <cfRule type="containsText" dxfId="2251" priority="1556" operator="containsText" text="1.1">
      <formula>NOT(ISERROR(SEARCH("1.1",B230)))</formula>
    </cfRule>
  </conditionalFormatting>
  <conditionalFormatting sqref="A230:A232">
    <cfRule type="cellIs" dxfId="2250" priority="1557" operator="equal">
      <formula>4.4</formula>
    </cfRule>
    <cfRule type="cellIs" dxfId="2249" priority="1558" operator="equal">
      <formula>4.3</formula>
    </cfRule>
    <cfRule type="cellIs" dxfId="2248" priority="1559" operator="equal">
      <formula>4.2</formula>
    </cfRule>
    <cfRule type="cellIs" dxfId="2247" priority="1560" operator="equal">
      <formula>4.1</formula>
    </cfRule>
    <cfRule type="cellIs" dxfId="2246" priority="1561" operator="equal">
      <formula>3.4</formula>
    </cfRule>
    <cfRule type="cellIs" dxfId="2245" priority="1562" operator="equal">
      <formula>3.3</formula>
    </cfRule>
    <cfRule type="cellIs" dxfId="2244" priority="1563" operator="equal">
      <formula>3.2</formula>
    </cfRule>
    <cfRule type="cellIs" dxfId="2243" priority="1564" operator="equal">
      <formula>3.1</formula>
    </cfRule>
    <cfRule type="cellIs" dxfId="2242" priority="1565" operator="equal">
      <formula>2.4</formula>
    </cfRule>
    <cfRule type="cellIs" dxfId="2241" priority="1566" operator="equal">
      <formula>2.3</formula>
    </cfRule>
    <cfRule type="cellIs" dxfId="2240" priority="1567" operator="equal">
      <formula>2.2</formula>
    </cfRule>
    <cfRule type="cellIs" dxfId="2239" priority="1568" operator="equal">
      <formula>2.1</formula>
    </cfRule>
    <cfRule type="cellIs" dxfId="2238" priority="1569" operator="equal">
      <formula>1.5</formula>
    </cfRule>
    <cfRule type="cellIs" dxfId="2237" priority="1570" operator="equal">
      <formula>1.4</formula>
    </cfRule>
    <cfRule type="cellIs" dxfId="2236" priority="1571" operator="equal">
      <formula>1.3</formula>
    </cfRule>
    <cfRule type="cellIs" dxfId="2235" priority="1572" operator="equal">
      <formula>1.2</formula>
    </cfRule>
    <cfRule type="containsText" dxfId="2234" priority="1573" operator="containsText" text="1.1">
      <formula>NOT(ISERROR(SEARCH("1.1",A230)))</formula>
    </cfRule>
  </conditionalFormatting>
  <conditionalFormatting sqref="A277:A279 A283 A275:M276 F283:G284">
    <cfRule type="cellIs" dxfId="2233" priority="1417" operator="equal">
      <formula>4.4</formula>
    </cfRule>
    <cfRule type="cellIs" dxfId="2232" priority="1418" operator="equal">
      <formula>4.3</formula>
    </cfRule>
    <cfRule type="cellIs" dxfId="2231" priority="1419" operator="equal">
      <formula>4.2</formula>
    </cfRule>
    <cfRule type="cellIs" dxfId="2230" priority="1420" operator="equal">
      <formula>4.1</formula>
    </cfRule>
    <cfRule type="cellIs" dxfId="2229" priority="1421" operator="equal">
      <formula>3.4</formula>
    </cfRule>
    <cfRule type="cellIs" dxfId="2228" priority="1422" operator="equal">
      <formula>3.3</formula>
    </cfRule>
    <cfRule type="cellIs" dxfId="2227" priority="1423" operator="equal">
      <formula>3.2</formula>
    </cfRule>
    <cfRule type="cellIs" dxfId="2226" priority="1424" operator="equal">
      <formula>3.1</formula>
    </cfRule>
    <cfRule type="cellIs" dxfId="2225" priority="1425" operator="equal">
      <formula>2.4</formula>
    </cfRule>
    <cfRule type="cellIs" dxfId="2224" priority="1426" operator="equal">
      <formula>2.3</formula>
    </cfRule>
    <cfRule type="cellIs" dxfId="2223" priority="1427" operator="equal">
      <formula>2.2</formula>
    </cfRule>
    <cfRule type="cellIs" dxfId="2222" priority="1428" operator="equal">
      <formula>2.1</formula>
    </cfRule>
    <cfRule type="cellIs" dxfId="2221" priority="1429" operator="equal">
      <formula>1.5</formula>
    </cfRule>
    <cfRule type="cellIs" dxfId="2220" priority="1430" operator="equal">
      <formula>1.4</formula>
    </cfRule>
    <cfRule type="cellIs" dxfId="2219" priority="1431" operator="equal">
      <formula>1.3</formula>
    </cfRule>
    <cfRule type="cellIs" dxfId="2218" priority="1432" operator="equal">
      <formula>1.2</formula>
    </cfRule>
    <cfRule type="containsText" dxfId="2217" priority="1433" operator="containsText" text="1.1">
      <formula>NOT(ISERROR(SEARCH("1.1",A275)))</formula>
    </cfRule>
  </conditionalFormatting>
  <conditionalFormatting sqref="B277:G279">
    <cfRule type="cellIs" dxfId="2216" priority="1400" operator="equal">
      <formula>4.4</formula>
    </cfRule>
    <cfRule type="cellIs" dxfId="2215" priority="1401" operator="equal">
      <formula>4.3</formula>
    </cfRule>
    <cfRule type="cellIs" dxfId="2214" priority="1402" operator="equal">
      <formula>4.2</formula>
    </cfRule>
    <cfRule type="cellIs" dxfId="2213" priority="1403" operator="equal">
      <formula>4.1</formula>
    </cfRule>
    <cfRule type="cellIs" dxfId="2212" priority="1404" operator="equal">
      <formula>3.4</formula>
    </cfRule>
    <cfRule type="cellIs" dxfId="2211" priority="1405" operator="equal">
      <formula>3.3</formula>
    </cfRule>
    <cfRule type="cellIs" dxfId="2210" priority="1406" operator="equal">
      <formula>3.2</formula>
    </cfRule>
    <cfRule type="cellIs" dxfId="2209" priority="1407" operator="equal">
      <formula>3.1</formula>
    </cfRule>
    <cfRule type="cellIs" dxfId="2208" priority="1408" operator="equal">
      <formula>2.4</formula>
    </cfRule>
    <cfRule type="cellIs" dxfId="2207" priority="1409" operator="equal">
      <formula>2.3</formula>
    </cfRule>
    <cfRule type="cellIs" dxfId="2206" priority="1410" operator="equal">
      <formula>2.2</formula>
    </cfRule>
    <cfRule type="cellIs" dxfId="2205" priority="1411" operator="equal">
      <formula>2.1</formula>
    </cfRule>
    <cfRule type="cellIs" dxfId="2204" priority="1412" operator="equal">
      <formula>1.5</formula>
    </cfRule>
    <cfRule type="cellIs" dxfId="2203" priority="1413" operator="equal">
      <formula>1.4</formula>
    </cfRule>
    <cfRule type="cellIs" dxfId="2202" priority="1414" operator="equal">
      <formula>1.3</formula>
    </cfRule>
    <cfRule type="cellIs" dxfId="2201" priority="1415" operator="equal">
      <formula>1.2</formula>
    </cfRule>
    <cfRule type="containsText" dxfId="2200" priority="1416" operator="containsText" text="1.1">
      <formula>NOT(ISERROR(SEARCH("1.1",B277)))</formula>
    </cfRule>
  </conditionalFormatting>
  <conditionalFormatting sqref="A240:G242">
    <cfRule type="cellIs" dxfId="2199" priority="1383" operator="equal">
      <formula>4.4</formula>
    </cfRule>
    <cfRule type="cellIs" dxfId="2198" priority="1384" operator="equal">
      <formula>4.3</formula>
    </cfRule>
    <cfRule type="cellIs" dxfId="2197" priority="1385" operator="equal">
      <formula>4.2</formula>
    </cfRule>
    <cfRule type="cellIs" dxfId="2196" priority="1386" operator="equal">
      <formula>4.1</formula>
    </cfRule>
    <cfRule type="cellIs" dxfId="2195" priority="1387" operator="equal">
      <formula>3.4</formula>
    </cfRule>
    <cfRule type="cellIs" dxfId="2194" priority="1388" operator="equal">
      <formula>3.3</formula>
    </cfRule>
    <cfRule type="cellIs" dxfId="2193" priority="1389" operator="equal">
      <formula>3.2</formula>
    </cfRule>
    <cfRule type="cellIs" dxfId="2192" priority="1390" operator="equal">
      <formula>3.1</formula>
    </cfRule>
    <cfRule type="cellIs" dxfId="2191" priority="1391" operator="equal">
      <formula>2.4</formula>
    </cfRule>
    <cfRule type="cellIs" dxfId="2190" priority="1392" operator="equal">
      <formula>2.3</formula>
    </cfRule>
    <cfRule type="cellIs" dxfId="2189" priority="1393" operator="equal">
      <formula>2.2</formula>
    </cfRule>
    <cfRule type="cellIs" dxfId="2188" priority="1394" operator="equal">
      <formula>2.1</formula>
    </cfRule>
    <cfRule type="cellIs" dxfId="2187" priority="1395" operator="equal">
      <formula>1.5</formula>
    </cfRule>
    <cfRule type="cellIs" dxfId="2186" priority="1396" operator="equal">
      <formula>1.4</formula>
    </cfRule>
    <cfRule type="cellIs" dxfId="2185" priority="1397" operator="equal">
      <formula>1.3</formula>
    </cfRule>
    <cfRule type="cellIs" dxfId="2184" priority="1398" operator="equal">
      <formula>1.2</formula>
    </cfRule>
    <cfRule type="containsText" dxfId="2183" priority="1399" operator="containsText" text="1.1">
      <formula>NOT(ISERROR(SEARCH("1.1",A240)))</formula>
    </cfRule>
  </conditionalFormatting>
  <conditionalFormatting sqref="A264:G266">
    <cfRule type="cellIs" dxfId="2182" priority="1366" operator="equal">
      <formula>4.4</formula>
    </cfRule>
    <cfRule type="cellIs" dxfId="2181" priority="1367" operator="equal">
      <formula>4.3</formula>
    </cfRule>
    <cfRule type="cellIs" dxfId="2180" priority="1368" operator="equal">
      <formula>4.2</formula>
    </cfRule>
    <cfRule type="cellIs" dxfId="2179" priority="1369" operator="equal">
      <formula>4.1</formula>
    </cfRule>
    <cfRule type="cellIs" dxfId="2178" priority="1370" operator="equal">
      <formula>3.4</formula>
    </cfRule>
    <cfRule type="cellIs" dxfId="2177" priority="1371" operator="equal">
      <formula>3.3</formula>
    </cfRule>
    <cfRule type="cellIs" dxfId="2176" priority="1372" operator="equal">
      <formula>3.2</formula>
    </cfRule>
    <cfRule type="cellIs" dxfId="2175" priority="1373" operator="equal">
      <formula>3.1</formula>
    </cfRule>
    <cfRule type="cellIs" dxfId="2174" priority="1374" operator="equal">
      <formula>2.4</formula>
    </cfRule>
    <cfRule type="cellIs" dxfId="2173" priority="1375" operator="equal">
      <formula>2.3</formula>
    </cfRule>
    <cfRule type="cellIs" dxfId="2172" priority="1376" operator="equal">
      <formula>2.2</formula>
    </cfRule>
    <cfRule type="cellIs" dxfId="2171" priority="1377" operator="equal">
      <formula>2.1</formula>
    </cfRule>
    <cfRule type="cellIs" dxfId="2170" priority="1378" operator="equal">
      <formula>1.5</formula>
    </cfRule>
    <cfRule type="cellIs" dxfId="2169" priority="1379" operator="equal">
      <formula>1.4</formula>
    </cfRule>
    <cfRule type="cellIs" dxfId="2168" priority="1380" operator="equal">
      <formula>1.3</formula>
    </cfRule>
    <cfRule type="cellIs" dxfId="2167" priority="1381" operator="equal">
      <formula>1.2</formula>
    </cfRule>
    <cfRule type="containsText" dxfId="2166" priority="1382" operator="containsText" text="1.1">
      <formula>NOT(ISERROR(SEARCH("1.1",A264)))</formula>
    </cfRule>
  </conditionalFormatting>
  <conditionalFormatting sqref="A267:A269">
    <cfRule type="cellIs" dxfId="2165" priority="1349" operator="equal">
      <formula>4.4</formula>
    </cfRule>
    <cfRule type="cellIs" dxfId="2164" priority="1350" operator="equal">
      <formula>4.3</formula>
    </cfRule>
    <cfRule type="cellIs" dxfId="2163" priority="1351" operator="equal">
      <formula>4.2</formula>
    </cfRule>
    <cfRule type="cellIs" dxfId="2162" priority="1352" operator="equal">
      <formula>4.1</formula>
    </cfRule>
    <cfRule type="cellIs" dxfId="2161" priority="1353" operator="equal">
      <formula>3.4</formula>
    </cfRule>
    <cfRule type="cellIs" dxfId="2160" priority="1354" operator="equal">
      <formula>3.3</formula>
    </cfRule>
    <cfRule type="cellIs" dxfId="2159" priority="1355" operator="equal">
      <formula>3.2</formula>
    </cfRule>
    <cfRule type="cellIs" dxfId="2158" priority="1356" operator="equal">
      <formula>3.1</formula>
    </cfRule>
    <cfRule type="cellIs" dxfId="2157" priority="1357" operator="equal">
      <formula>2.4</formula>
    </cfRule>
    <cfRule type="cellIs" dxfId="2156" priority="1358" operator="equal">
      <formula>2.3</formula>
    </cfRule>
    <cfRule type="cellIs" dxfId="2155" priority="1359" operator="equal">
      <formula>2.2</formula>
    </cfRule>
    <cfRule type="cellIs" dxfId="2154" priority="1360" operator="equal">
      <formula>2.1</formula>
    </cfRule>
    <cfRule type="cellIs" dxfId="2153" priority="1361" operator="equal">
      <formula>1.5</formula>
    </cfRule>
    <cfRule type="cellIs" dxfId="2152" priority="1362" operator="equal">
      <formula>1.4</formula>
    </cfRule>
    <cfRule type="cellIs" dxfId="2151" priority="1363" operator="equal">
      <formula>1.3</formula>
    </cfRule>
    <cfRule type="cellIs" dxfId="2150" priority="1364" operator="equal">
      <formula>1.2</formula>
    </cfRule>
    <cfRule type="containsText" dxfId="2149" priority="1365" operator="containsText" text="1.1">
      <formula>NOT(ISERROR(SEARCH("1.1",A267)))</formula>
    </cfRule>
  </conditionalFormatting>
  <conditionalFormatting sqref="B267:G269">
    <cfRule type="cellIs" dxfId="2148" priority="1332" operator="equal">
      <formula>4.4</formula>
    </cfRule>
    <cfRule type="cellIs" dxfId="2147" priority="1333" operator="equal">
      <formula>4.3</formula>
    </cfRule>
    <cfRule type="cellIs" dxfId="2146" priority="1334" operator="equal">
      <formula>4.2</formula>
    </cfRule>
    <cfRule type="cellIs" dxfId="2145" priority="1335" operator="equal">
      <formula>4.1</formula>
    </cfRule>
    <cfRule type="cellIs" dxfId="2144" priority="1336" operator="equal">
      <formula>3.4</formula>
    </cfRule>
    <cfRule type="cellIs" dxfId="2143" priority="1337" operator="equal">
      <formula>3.3</formula>
    </cfRule>
    <cfRule type="cellIs" dxfId="2142" priority="1338" operator="equal">
      <formula>3.2</formula>
    </cfRule>
    <cfRule type="cellIs" dxfId="2141" priority="1339" operator="equal">
      <formula>3.1</formula>
    </cfRule>
    <cfRule type="cellIs" dxfId="2140" priority="1340" operator="equal">
      <formula>2.4</formula>
    </cfRule>
    <cfRule type="cellIs" dxfId="2139" priority="1341" operator="equal">
      <formula>2.3</formula>
    </cfRule>
    <cfRule type="cellIs" dxfId="2138" priority="1342" operator="equal">
      <formula>2.2</formula>
    </cfRule>
    <cfRule type="cellIs" dxfId="2137" priority="1343" operator="equal">
      <formula>2.1</formula>
    </cfRule>
    <cfRule type="cellIs" dxfId="2136" priority="1344" operator="equal">
      <formula>1.5</formula>
    </cfRule>
    <cfRule type="cellIs" dxfId="2135" priority="1345" operator="equal">
      <formula>1.4</formula>
    </cfRule>
    <cfRule type="cellIs" dxfId="2134" priority="1346" operator="equal">
      <formula>1.3</formula>
    </cfRule>
    <cfRule type="cellIs" dxfId="2133" priority="1347" operator="equal">
      <formula>1.2</formula>
    </cfRule>
    <cfRule type="containsText" dxfId="2132" priority="1348" operator="containsText" text="1.1">
      <formula>NOT(ISERROR(SEARCH("1.1",B267)))</formula>
    </cfRule>
  </conditionalFormatting>
  <conditionalFormatting sqref="B280:G282">
    <cfRule type="cellIs" dxfId="2131" priority="1298" operator="equal">
      <formula>4.4</formula>
    </cfRule>
    <cfRule type="cellIs" dxfId="2130" priority="1299" operator="equal">
      <formula>4.3</formula>
    </cfRule>
    <cfRule type="cellIs" dxfId="2129" priority="1300" operator="equal">
      <formula>4.2</formula>
    </cfRule>
    <cfRule type="cellIs" dxfId="2128" priority="1301" operator="equal">
      <formula>4.1</formula>
    </cfRule>
    <cfRule type="cellIs" dxfId="2127" priority="1302" operator="equal">
      <formula>3.4</formula>
    </cfRule>
    <cfRule type="cellIs" dxfId="2126" priority="1303" operator="equal">
      <formula>3.3</formula>
    </cfRule>
    <cfRule type="cellIs" dxfId="2125" priority="1304" operator="equal">
      <formula>3.2</formula>
    </cfRule>
    <cfRule type="cellIs" dxfId="2124" priority="1305" operator="equal">
      <formula>3.1</formula>
    </cfRule>
    <cfRule type="cellIs" dxfId="2123" priority="1306" operator="equal">
      <formula>2.4</formula>
    </cfRule>
    <cfRule type="cellIs" dxfId="2122" priority="1307" operator="equal">
      <formula>2.3</formula>
    </cfRule>
    <cfRule type="cellIs" dxfId="2121" priority="1308" operator="equal">
      <formula>2.2</formula>
    </cfRule>
    <cfRule type="cellIs" dxfId="2120" priority="1309" operator="equal">
      <formula>2.1</formula>
    </cfRule>
    <cfRule type="cellIs" dxfId="2119" priority="1310" operator="equal">
      <formula>1.5</formula>
    </cfRule>
    <cfRule type="cellIs" dxfId="2118" priority="1311" operator="equal">
      <formula>1.4</formula>
    </cfRule>
    <cfRule type="cellIs" dxfId="2117" priority="1312" operator="equal">
      <formula>1.3</formula>
    </cfRule>
    <cfRule type="cellIs" dxfId="2116" priority="1313" operator="equal">
      <formula>1.2</formula>
    </cfRule>
    <cfRule type="containsText" dxfId="2115" priority="1314" operator="containsText" text="1.1">
      <formula>NOT(ISERROR(SEARCH("1.1",B280)))</formula>
    </cfRule>
  </conditionalFormatting>
  <conditionalFormatting sqref="A280:A282">
    <cfRule type="cellIs" dxfId="2114" priority="1315" operator="equal">
      <formula>4.4</formula>
    </cfRule>
    <cfRule type="cellIs" dxfId="2113" priority="1316" operator="equal">
      <formula>4.3</formula>
    </cfRule>
    <cfRule type="cellIs" dxfId="2112" priority="1317" operator="equal">
      <formula>4.2</formula>
    </cfRule>
    <cfRule type="cellIs" dxfId="2111" priority="1318" operator="equal">
      <formula>4.1</formula>
    </cfRule>
    <cfRule type="cellIs" dxfId="2110" priority="1319" operator="equal">
      <formula>3.4</formula>
    </cfRule>
    <cfRule type="cellIs" dxfId="2109" priority="1320" operator="equal">
      <formula>3.3</formula>
    </cfRule>
    <cfRule type="cellIs" dxfId="2108" priority="1321" operator="equal">
      <formula>3.2</formula>
    </cfRule>
    <cfRule type="cellIs" dxfId="2107" priority="1322" operator="equal">
      <formula>3.1</formula>
    </cfRule>
    <cfRule type="cellIs" dxfId="2106" priority="1323" operator="equal">
      <formula>2.4</formula>
    </cfRule>
    <cfRule type="cellIs" dxfId="2105" priority="1324" operator="equal">
      <formula>2.3</formula>
    </cfRule>
    <cfRule type="cellIs" dxfId="2104" priority="1325" operator="equal">
      <formula>2.2</formula>
    </cfRule>
    <cfRule type="cellIs" dxfId="2103" priority="1326" operator="equal">
      <formula>2.1</formula>
    </cfRule>
    <cfRule type="cellIs" dxfId="2102" priority="1327" operator="equal">
      <formula>1.5</formula>
    </cfRule>
    <cfRule type="cellIs" dxfId="2101" priority="1328" operator="equal">
      <formula>1.4</formula>
    </cfRule>
    <cfRule type="cellIs" dxfId="2100" priority="1329" operator="equal">
      <formula>1.3</formula>
    </cfRule>
    <cfRule type="cellIs" dxfId="2099" priority="1330" operator="equal">
      <formula>1.2</formula>
    </cfRule>
    <cfRule type="containsText" dxfId="2098" priority="1331" operator="containsText" text="1.1">
      <formula>NOT(ISERROR(SEARCH("1.1",A280)))</formula>
    </cfRule>
  </conditionalFormatting>
  <conditionalFormatting sqref="M274">
    <cfRule type="cellIs" dxfId="2097" priority="1451" operator="equal">
      <formula>4.4</formula>
    </cfRule>
    <cfRule type="cellIs" dxfId="2096" priority="1452" operator="equal">
      <formula>4.3</formula>
    </cfRule>
    <cfRule type="cellIs" dxfId="2095" priority="1453" operator="equal">
      <formula>4.2</formula>
    </cfRule>
    <cfRule type="cellIs" dxfId="2094" priority="1454" operator="equal">
      <formula>4.1</formula>
    </cfRule>
    <cfRule type="cellIs" dxfId="2093" priority="1455" operator="equal">
      <formula>3.4</formula>
    </cfRule>
    <cfRule type="cellIs" dxfId="2092" priority="1456" operator="equal">
      <formula>3.3</formula>
    </cfRule>
    <cfRule type="cellIs" dxfId="2091" priority="1457" operator="equal">
      <formula>3.2</formula>
    </cfRule>
    <cfRule type="cellIs" dxfId="2090" priority="1458" operator="equal">
      <formula>3.1</formula>
    </cfRule>
    <cfRule type="cellIs" dxfId="2089" priority="1459" operator="equal">
      <formula>2.4</formula>
    </cfRule>
    <cfRule type="cellIs" dxfId="2088" priority="1460" operator="equal">
      <formula>2.3</formula>
    </cfRule>
    <cfRule type="cellIs" dxfId="2087" priority="1461" operator="equal">
      <formula>2.2</formula>
    </cfRule>
    <cfRule type="cellIs" dxfId="2086" priority="1462" operator="equal">
      <formula>2.1</formula>
    </cfRule>
    <cfRule type="cellIs" dxfId="2085" priority="1463" operator="equal">
      <formula>1.5</formula>
    </cfRule>
    <cfRule type="cellIs" dxfId="2084" priority="1464" operator="equal">
      <formula>1.4</formula>
    </cfRule>
    <cfRule type="cellIs" dxfId="2083" priority="1465" operator="equal">
      <formula>1.3</formula>
    </cfRule>
    <cfRule type="cellIs" dxfId="2082" priority="1466" operator="equal">
      <formula>1.2</formula>
    </cfRule>
    <cfRule type="containsText" dxfId="2081" priority="1467" operator="containsText" text="1.1">
      <formula>NOT(ISERROR(SEARCH("1.1",M274)))</formula>
    </cfRule>
  </conditionalFormatting>
  <conditionalFormatting sqref="A271:E272 A243:G263 A270:G270 H240:M242 F271:G273">
    <cfRule type="cellIs" dxfId="2080" priority="1434" operator="equal">
      <formula>4.4</formula>
    </cfRule>
    <cfRule type="cellIs" dxfId="2079" priority="1435" operator="equal">
      <formula>4.3</formula>
    </cfRule>
    <cfRule type="cellIs" dxfId="2078" priority="1436" operator="equal">
      <formula>4.2</formula>
    </cfRule>
    <cfRule type="cellIs" dxfId="2077" priority="1437" operator="equal">
      <formula>4.1</formula>
    </cfRule>
    <cfRule type="cellIs" dxfId="2076" priority="1438" operator="equal">
      <formula>3.4</formula>
    </cfRule>
    <cfRule type="cellIs" dxfId="2075" priority="1439" operator="equal">
      <formula>3.3</formula>
    </cfRule>
    <cfRule type="cellIs" dxfId="2074" priority="1440" operator="equal">
      <formula>3.2</formula>
    </cfRule>
    <cfRule type="cellIs" dxfId="2073" priority="1441" operator="equal">
      <formula>3.1</formula>
    </cfRule>
    <cfRule type="cellIs" dxfId="2072" priority="1442" operator="equal">
      <formula>2.4</formula>
    </cfRule>
    <cfRule type="cellIs" dxfId="2071" priority="1443" operator="equal">
      <formula>2.3</formula>
    </cfRule>
    <cfRule type="cellIs" dxfId="2070" priority="1444" operator="equal">
      <formula>2.2</formula>
    </cfRule>
    <cfRule type="cellIs" dxfId="2069" priority="1445" operator="equal">
      <formula>2.1</formula>
    </cfRule>
    <cfRule type="cellIs" dxfId="2068" priority="1446" operator="equal">
      <formula>1.5</formula>
    </cfRule>
    <cfRule type="cellIs" dxfId="2067" priority="1447" operator="equal">
      <formula>1.4</formula>
    </cfRule>
    <cfRule type="cellIs" dxfId="2066" priority="1448" operator="equal">
      <formula>1.3</formula>
    </cfRule>
    <cfRule type="cellIs" dxfId="2065" priority="1449" operator="equal">
      <formula>1.2</formula>
    </cfRule>
    <cfRule type="containsText" dxfId="2064" priority="1450" operator="containsText" text="1.1">
      <formula>NOT(ISERROR(SEARCH("1.1",A240)))</formula>
    </cfRule>
  </conditionalFormatting>
  <conditionalFormatting sqref="H243:M269">
    <cfRule type="cellIs" dxfId="2063" priority="1280" operator="equal">
      <formula>4.4</formula>
    </cfRule>
    <cfRule type="cellIs" dxfId="2062" priority="1281" operator="equal">
      <formula>4.3</formula>
    </cfRule>
    <cfRule type="cellIs" dxfId="2061" priority="1282" operator="equal">
      <formula>4.2</formula>
    </cfRule>
    <cfRule type="cellIs" dxfId="2060" priority="1283" operator="equal">
      <formula>4.1</formula>
    </cfRule>
    <cfRule type="cellIs" dxfId="2059" priority="1284" operator="equal">
      <formula>3.4</formula>
    </cfRule>
    <cfRule type="cellIs" dxfId="2058" priority="1285" operator="equal">
      <formula>3.3</formula>
    </cfRule>
    <cfRule type="cellIs" dxfId="2057" priority="1286" operator="equal">
      <formula>3.2</formula>
    </cfRule>
    <cfRule type="cellIs" dxfId="2056" priority="1287" operator="equal">
      <formula>3.1</formula>
    </cfRule>
    <cfRule type="cellIs" dxfId="2055" priority="1288" operator="equal">
      <formula>2.4</formula>
    </cfRule>
    <cfRule type="cellIs" dxfId="2054" priority="1289" operator="equal">
      <formula>2.3</formula>
    </cfRule>
    <cfRule type="cellIs" dxfId="2053" priority="1290" operator="equal">
      <formula>2.2</formula>
    </cfRule>
    <cfRule type="cellIs" dxfId="2052" priority="1291" operator="equal">
      <formula>2.1</formula>
    </cfRule>
    <cfRule type="cellIs" dxfId="2051" priority="1292" operator="equal">
      <formula>1.5</formula>
    </cfRule>
    <cfRule type="cellIs" dxfId="2050" priority="1293" operator="equal">
      <formula>1.4</formula>
    </cfRule>
    <cfRule type="cellIs" dxfId="2049" priority="1294" operator="equal">
      <formula>1.3</formula>
    </cfRule>
    <cfRule type="cellIs" dxfId="2048" priority="1295" operator="equal">
      <formula>1.2</formula>
    </cfRule>
    <cfRule type="containsText" dxfId="2047" priority="1296" operator="containsText" text="1.1">
      <formula>NOT(ISERROR(SEARCH("1.1",H243)))</formula>
    </cfRule>
  </conditionalFormatting>
  <conditionalFormatting sqref="H243:M269">
    <cfRule type="containsBlanks" dxfId="2046" priority="1297">
      <formula>LEN(TRIM(H243))=0</formula>
    </cfRule>
  </conditionalFormatting>
  <conditionalFormatting sqref="H293:K319">
    <cfRule type="containsBlanks" dxfId="2045" priority="1207">
      <formula>LEN(TRIM(H293))=0</formula>
    </cfRule>
  </conditionalFormatting>
  <conditionalFormatting sqref="A321:E322 A296:G313 A320:G320 H290:K292 A293:K295 H296:K319 F321:G323">
    <cfRule type="cellIs" dxfId="2044" priority="1190" operator="equal">
      <formula>4.4</formula>
    </cfRule>
    <cfRule type="cellIs" dxfId="2043" priority="1191" operator="equal">
      <formula>4.3</formula>
    </cfRule>
    <cfRule type="cellIs" dxfId="2042" priority="1192" operator="equal">
      <formula>4.2</formula>
    </cfRule>
    <cfRule type="cellIs" dxfId="2041" priority="1193" operator="equal">
      <formula>4.1</formula>
    </cfRule>
    <cfRule type="cellIs" dxfId="2040" priority="1194" operator="equal">
      <formula>3.4</formula>
    </cfRule>
    <cfRule type="cellIs" dxfId="2039" priority="1195" operator="equal">
      <formula>3.3</formula>
    </cfRule>
    <cfRule type="cellIs" dxfId="2038" priority="1196" operator="equal">
      <formula>3.2</formula>
    </cfRule>
    <cfRule type="cellIs" dxfId="2037" priority="1197" operator="equal">
      <formula>3.1</formula>
    </cfRule>
    <cfRule type="cellIs" dxfId="2036" priority="1198" operator="equal">
      <formula>2.4</formula>
    </cfRule>
    <cfRule type="cellIs" dxfId="2035" priority="1199" operator="equal">
      <formula>2.3</formula>
    </cfRule>
    <cfRule type="cellIs" dxfId="2034" priority="1200" operator="equal">
      <formula>2.2</formula>
    </cfRule>
    <cfRule type="cellIs" dxfId="2033" priority="1201" operator="equal">
      <formula>2.1</formula>
    </cfRule>
    <cfRule type="cellIs" dxfId="2032" priority="1202" operator="equal">
      <formula>1.5</formula>
    </cfRule>
    <cfRule type="cellIs" dxfId="2031" priority="1203" operator="equal">
      <formula>1.4</formula>
    </cfRule>
    <cfRule type="cellIs" dxfId="2030" priority="1204" operator="equal">
      <formula>1.3</formula>
    </cfRule>
    <cfRule type="cellIs" dxfId="2029" priority="1205" operator="equal">
      <formula>1.2</formula>
    </cfRule>
    <cfRule type="containsText" dxfId="2028" priority="1206" operator="containsText" text="1.1">
      <formula>NOT(ISERROR(SEARCH("1.1",A290)))</formula>
    </cfRule>
  </conditionalFormatting>
  <conditionalFormatting sqref="A327:A329 A333 A325:K326 F333:G334">
    <cfRule type="cellIs" dxfId="2027" priority="1173" operator="equal">
      <formula>4.4</formula>
    </cfRule>
    <cfRule type="cellIs" dxfId="2026" priority="1174" operator="equal">
      <formula>4.3</formula>
    </cfRule>
    <cfRule type="cellIs" dxfId="2025" priority="1175" operator="equal">
      <formula>4.2</formula>
    </cfRule>
    <cfRule type="cellIs" dxfId="2024" priority="1176" operator="equal">
      <formula>4.1</formula>
    </cfRule>
    <cfRule type="cellIs" dxfId="2023" priority="1177" operator="equal">
      <formula>3.4</formula>
    </cfRule>
    <cfRule type="cellIs" dxfId="2022" priority="1178" operator="equal">
      <formula>3.3</formula>
    </cfRule>
    <cfRule type="cellIs" dxfId="2021" priority="1179" operator="equal">
      <formula>3.2</formula>
    </cfRule>
    <cfRule type="cellIs" dxfId="2020" priority="1180" operator="equal">
      <formula>3.1</formula>
    </cfRule>
    <cfRule type="cellIs" dxfId="2019" priority="1181" operator="equal">
      <formula>2.4</formula>
    </cfRule>
    <cfRule type="cellIs" dxfId="2018" priority="1182" operator="equal">
      <formula>2.3</formula>
    </cfRule>
    <cfRule type="cellIs" dxfId="2017" priority="1183" operator="equal">
      <formula>2.2</formula>
    </cfRule>
    <cfRule type="cellIs" dxfId="2016" priority="1184" operator="equal">
      <formula>2.1</formula>
    </cfRule>
    <cfRule type="cellIs" dxfId="2015" priority="1185" operator="equal">
      <formula>1.5</formula>
    </cfRule>
    <cfRule type="cellIs" dxfId="2014" priority="1186" operator="equal">
      <formula>1.4</formula>
    </cfRule>
    <cfRule type="cellIs" dxfId="2013" priority="1187" operator="equal">
      <formula>1.3</formula>
    </cfRule>
    <cfRule type="cellIs" dxfId="2012" priority="1188" operator="equal">
      <formula>1.2</formula>
    </cfRule>
    <cfRule type="containsText" dxfId="2011" priority="1189" operator="containsText" text="1.1">
      <formula>NOT(ISERROR(SEARCH("1.1",A325)))</formula>
    </cfRule>
  </conditionalFormatting>
  <conditionalFormatting sqref="B327:G329">
    <cfRule type="cellIs" dxfId="2010" priority="1156" operator="equal">
      <formula>4.4</formula>
    </cfRule>
    <cfRule type="cellIs" dxfId="2009" priority="1157" operator="equal">
      <formula>4.3</formula>
    </cfRule>
    <cfRule type="cellIs" dxfId="2008" priority="1158" operator="equal">
      <formula>4.2</formula>
    </cfRule>
    <cfRule type="cellIs" dxfId="2007" priority="1159" operator="equal">
      <formula>4.1</formula>
    </cfRule>
    <cfRule type="cellIs" dxfId="2006" priority="1160" operator="equal">
      <formula>3.4</formula>
    </cfRule>
    <cfRule type="cellIs" dxfId="2005" priority="1161" operator="equal">
      <formula>3.3</formula>
    </cfRule>
    <cfRule type="cellIs" dxfId="2004" priority="1162" operator="equal">
      <formula>3.2</formula>
    </cfRule>
    <cfRule type="cellIs" dxfId="2003" priority="1163" operator="equal">
      <formula>3.1</formula>
    </cfRule>
    <cfRule type="cellIs" dxfId="2002" priority="1164" operator="equal">
      <formula>2.4</formula>
    </cfRule>
    <cfRule type="cellIs" dxfId="2001" priority="1165" operator="equal">
      <formula>2.3</formula>
    </cfRule>
    <cfRule type="cellIs" dxfId="2000" priority="1166" operator="equal">
      <formula>2.2</formula>
    </cfRule>
    <cfRule type="cellIs" dxfId="1999" priority="1167" operator="equal">
      <formula>2.1</formula>
    </cfRule>
    <cfRule type="cellIs" dxfId="1998" priority="1168" operator="equal">
      <formula>1.5</formula>
    </cfRule>
    <cfRule type="cellIs" dxfId="1997" priority="1169" operator="equal">
      <formula>1.4</formula>
    </cfRule>
    <cfRule type="cellIs" dxfId="1996" priority="1170" operator="equal">
      <formula>1.3</formula>
    </cfRule>
    <cfRule type="cellIs" dxfId="1995" priority="1171" operator="equal">
      <formula>1.2</formula>
    </cfRule>
    <cfRule type="containsText" dxfId="1994" priority="1172" operator="containsText" text="1.1">
      <formula>NOT(ISERROR(SEARCH("1.1",B327)))</formula>
    </cfRule>
  </conditionalFormatting>
  <conditionalFormatting sqref="A290:G292">
    <cfRule type="cellIs" dxfId="1993" priority="1139" operator="equal">
      <formula>4.4</formula>
    </cfRule>
    <cfRule type="cellIs" dxfId="1992" priority="1140" operator="equal">
      <formula>4.3</formula>
    </cfRule>
    <cfRule type="cellIs" dxfId="1991" priority="1141" operator="equal">
      <formula>4.2</formula>
    </cfRule>
    <cfRule type="cellIs" dxfId="1990" priority="1142" operator="equal">
      <formula>4.1</formula>
    </cfRule>
    <cfRule type="cellIs" dxfId="1989" priority="1143" operator="equal">
      <formula>3.4</formula>
    </cfRule>
    <cfRule type="cellIs" dxfId="1988" priority="1144" operator="equal">
      <formula>3.3</formula>
    </cfRule>
    <cfRule type="cellIs" dxfId="1987" priority="1145" operator="equal">
      <formula>3.2</formula>
    </cfRule>
    <cfRule type="cellIs" dxfId="1986" priority="1146" operator="equal">
      <formula>3.1</formula>
    </cfRule>
    <cfRule type="cellIs" dxfId="1985" priority="1147" operator="equal">
      <formula>2.4</formula>
    </cfRule>
    <cfRule type="cellIs" dxfId="1984" priority="1148" operator="equal">
      <formula>2.3</formula>
    </cfRule>
    <cfRule type="cellIs" dxfId="1983" priority="1149" operator="equal">
      <formula>2.2</formula>
    </cfRule>
    <cfRule type="cellIs" dxfId="1982" priority="1150" operator="equal">
      <formula>2.1</formula>
    </cfRule>
    <cfRule type="cellIs" dxfId="1981" priority="1151" operator="equal">
      <formula>1.5</formula>
    </cfRule>
    <cfRule type="cellIs" dxfId="1980" priority="1152" operator="equal">
      <formula>1.4</formula>
    </cfRule>
    <cfRule type="cellIs" dxfId="1979" priority="1153" operator="equal">
      <formula>1.3</formula>
    </cfRule>
    <cfRule type="cellIs" dxfId="1978" priority="1154" operator="equal">
      <formula>1.2</formula>
    </cfRule>
    <cfRule type="containsText" dxfId="1977" priority="1155" operator="containsText" text="1.1">
      <formula>NOT(ISERROR(SEARCH("1.1",A290)))</formula>
    </cfRule>
  </conditionalFormatting>
  <conditionalFormatting sqref="A314:G316">
    <cfRule type="cellIs" dxfId="1976" priority="1122" operator="equal">
      <formula>4.4</formula>
    </cfRule>
    <cfRule type="cellIs" dxfId="1975" priority="1123" operator="equal">
      <formula>4.3</formula>
    </cfRule>
    <cfRule type="cellIs" dxfId="1974" priority="1124" operator="equal">
      <formula>4.2</formula>
    </cfRule>
    <cfRule type="cellIs" dxfId="1973" priority="1125" operator="equal">
      <formula>4.1</formula>
    </cfRule>
    <cfRule type="cellIs" dxfId="1972" priority="1126" operator="equal">
      <formula>3.4</formula>
    </cfRule>
    <cfRule type="cellIs" dxfId="1971" priority="1127" operator="equal">
      <formula>3.3</formula>
    </cfRule>
    <cfRule type="cellIs" dxfId="1970" priority="1128" operator="equal">
      <formula>3.2</formula>
    </cfRule>
    <cfRule type="cellIs" dxfId="1969" priority="1129" operator="equal">
      <formula>3.1</formula>
    </cfRule>
    <cfRule type="cellIs" dxfId="1968" priority="1130" operator="equal">
      <formula>2.4</formula>
    </cfRule>
    <cfRule type="cellIs" dxfId="1967" priority="1131" operator="equal">
      <formula>2.3</formula>
    </cfRule>
    <cfRule type="cellIs" dxfId="1966" priority="1132" operator="equal">
      <formula>2.2</formula>
    </cfRule>
    <cfRule type="cellIs" dxfId="1965" priority="1133" operator="equal">
      <formula>2.1</formula>
    </cfRule>
    <cfRule type="cellIs" dxfId="1964" priority="1134" operator="equal">
      <formula>1.5</formula>
    </cfRule>
    <cfRule type="cellIs" dxfId="1963" priority="1135" operator="equal">
      <formula>1.4</formula>
    </cfRule>
    <cfRule type="cellIs" dxfId="1962" priority="1136" operator="equal">
      <formula>1.3</formula>
    </cfRule>
    <cfRule type="cellIs" dxfId="1961" priority="1137" operator="equal">
      <formula>1.2</formula>
    </cfRule>
    <cfRule type="containsText" dxfId="1960" priority="1138" operator="containsText" text="1.1">
      <formula>NOT(ISERROR(SEARCH("1.1",A314)))</formula>
    </cfRule>
  </conditionalFormatting>
  <conditionalFormatting sqref="B317:G319">
    <cfRule type="cellIs" dxfId="1959" priority="1088" operator="equal">
      <formula>4.4</formula>
    </cfRule>
    <cfRule type="cellIs" dxfId="1958" priority="1089" operator="equal">
      <formula>4.3</formula>
    </cfRule>
    <cfRule type="cellIs" dxfId="1957" priority="1090" operator="equal">
      <formula>4.2</formula>
    </cfRule>
    <cfRule type="cellIs" dxfId="1956" priority="1091" operator="equal">
      <formula>4.1</formula>
    </cfRule>
    <cfRule type="cellIs" dxfId="1955" priority="1092" operator="equal">
      <formula>3.4</formula>
    </cfRule>
    <cfRule type="cellIs" dxfId="1954" priority="1093" operator="equal">
      <formula>3.3</formula>
    </cfRule>
    <cfRule type="cellIs" dxfId="1953" priority="1094" operator="equal">
      <formula>3.2</formula>
    </cfRule>
    <cfRule type="cellIs" dxfId="1952" priority="1095" operator="equal">
      <formula>3.1</formula>
    </cfRule>
    <cfRule type="cellIs" dxfId="1951" priority="1096" operator="equal">
      <formula>2.4</formula>
    </cfRule>
    <cfRule type="cellIs" dxfId="1950" priority="1097" operator="equal">
      <formula>2.3</formula>
    </cfRule>
    <cfRule type="cellIs" dxfId="1949" priority="1098" operator="equal">
      <formula>2.2</formula>
    </cfRule>
    <cfRule type="cellIs" dxfId="1948" priority="1099" operator="equal">
      <formula>2.1</formula>
    </cfRule>
    <cfRule type="cellIs" dxfId="1947" priority="1100" operator="equal">
      <formula>1.5</formula>
    </cfRule>
    <cfRule type="cellIs" dxfId="1946" priority="1101" operator="equal">
      <formula>1.4</formula>
    </cfRule>
    <cfRule type="cellIs" dxfId="1945" priority="1102" operator="equal">
      <formula>1.3</formula>
    </cfRule>
    <cfRule type="cellIs" dxfId="1944" priority="1103" operator="equal">
      <formula>1.2</formula>
    </cfRule>
    <cfRule type="containsText" dxfId="1943" priority="1104" operator="containsText" text="1.1">
      <formula>NOT(ISERROR(SEARCH("1.1",B317)))</formula>
    </cfRule>
  </conditionalFormatting>
  <conditionalFormatting sqref="A317:A319">
    <cfRule type="cellIs" dxfId="1942" priority="1105" operator="equal">
      <formula>4.4</formula>
    </cfRule>
    <cfRule type="cellIs" dxfId="1941" priority="1106" operator="equal">
      <formula>4.3</formula>
    </cfRule>
    <cfRule type="cellIs" dxfId="1940" priority="1107" operator="equal">
      <formula>4.2</formula>
    </cfRule>
    <cfRule type="cellIs" dxfId="1939" priority="1108" operator="equal">
      <formula>4.1</formula>
    </cfRule>
    <cfRule type="cellIs" dxfId="1938" priority="1109" operator="equal">
      <formula>3.4</formula>
    </cfRule>
    <cfRule type="cellIs" dxfId="1937" priority="1110" operator="equal">
      <formula>3.3</formula>
    </cfRule>
    <cfRule type="cellIs" dxfId="1936" priority="1111" operator="equal">
      <formula>3.2</formula>
    </cfRule>
    <cfRule type="cellIs" dxfId="1935" priority="1112" operator="equal">
      <formula>3.1</formula>
    </cfRule>
    <cfRule type="cellIs" dxfId="1934" priority="1113" operator="equal">
      <formula>2.4</formula>
    </cfRule>
    <cfRule type="cellIs" dxfId="1933" priority="1114" operator="equal">
      <formula>2.3</formula>
    </cfRule>
    <cfRule type="cellIs" dxfId="1932" priority="1115" operator="equal">
      <formula>2.2</formula>
    </cfRule>
    <cfRule type="cellIs" dxfId="1931" priority="1116" operator="equal">
      <formula>2.1</formula>
    </cfRule>
    <cfRule type="cellIs" dxfId="1930" priority="1117" operator="equal">
      <formula>1.5</formula>
    </cfRule>
    <cfRule type="cellIs" dxfId="1929" priority="1118" operator="equal">
      <formula>1.4</formula>
    </cfRule>
    <cfRule type="cellIs" dxfId="1928" priority="1119" operator="equal">
      <formula>1.3</formula>
    </cfRule>
    <cfRule type="cellIs" dxfId="1927" priority="1120" operator="equal">
      <formula>1.2</formula>
    </cfRule>
    <cfRule type="containsText" dxfId="1926" priority="1121" operator="containsText" text="1.1">
      <formula>NOT(ISERROR(SEARCH("1.1",A317)))</formula>
    </cfRule>
  </conditionalFormatting>
  <conditionalFormatting sqref="B330:G332">
    <cfRule type="cellIs" dxfId="1925" priority="1054" operator="equal">
      <formula>4.4</formula>
    </cfRule>
    <cfRule type="cellIs" dxfId="1924" priority="1055" operator="equal">
      <formula>4.3</formula>
    </cfRule>
    <cfRule type="cellIs" dxfId="1923" priority="1056" operator="equal">
      <formula>4.2</formula>
    </cfRule>
    <cfRule type="cellIs" dxfId="1922" priority="1057" operator="equal">
      <formula>4.1</formula>
    </cfRule>
    <cfRule type="cellIs" dxfId="1921" priority="1058" operator="equal">
      <formula>3.4</formula>
    </cfRule>
    <cfRule type="cellIs" dxfId="1920" priority="1059" operator="equal">
      <formula>3.3</formula>
    </cfRule>
    <cfRule type="cellIs" dxfId="1919" priority="1060" operator="equal">
      <formula>3.2</formula>
    </cfRule>
    <cfRule type="cellIs" dxfId="1918" priority="1061" operator="equal">
      <formula>3.1</formula>
    </cfRule>
    <cfRule type="cellIs" dxfId="1917" priority="1062" operator="equal">
      <formula>2.4</formula>
    </cfRule>
    <cfRule type="cellIs" dxfId="1916" priority="1063" operator="equal">
      <formula>2.3</formula>
    </cfRule>
    <cfRule type="cellIs" dxfId="1915" priority="1064" operator="equal">
      <formula>2.2</formula>
    </cfRule>
    <cfRule type="cellIs" dxfId="1914" priority="1065" operator="equal">
      <formula>2.1</formula>
    </cfRule>
    <cfRule type="cellIs" dxfId="1913" priority="1066" operator="equal">
      <formula>1.5</formula>
    </cfRule>
    <cfRule type="cellIs" dxfId="1912" priority="1067" operator="equal">
      <formula>1.4</formula>
    </cfRule>
    <cfRule type="cellIs" dxfId="1911" priority="1068" operator="equal">
      <formula>1.3</formula>
    </cfRule>
    <cfRule type="cellIs" dxfId="1910" priority="1069" operator="equal">
      <formula>1.2</formula>
    </cfRule>
    <cfRule type="containsText" dxfId="1909" priority="1070" operator="containsText" text="1.1">
      <formula>NOT(ISERROR(SEARCH("1.1",B330)))</formula>
    </cfRule>
  </conditionalFormatting>
  <conditionalFormatting sqref="A330:A332">
    <cfRule type="cellIs" dxfId="1908" priority="1071" operator="equal">
      <formula>4.4</formula>
    </cfRule>
    <cfRule type="cellIs" dxfId="1907" priority="1072" operator="equal">
      <formula>4.3</formula>
    </cfRule>
    <cfRule type="cellIs" dxfId="1906" priority="1073" operator="equal">
      <formula>4.2</formula>
    </cfRule>
    <cfRule type="cellIs" dxfId="1905" priority="1074" operator="equal">
      <formula>4.1</formula>
    </cfRule>
    <cfRule type="cellIs" dxfId="1904" priority="1075" operator="equal">
      <formula>3.4</formula>
    </cfRule>
    <cfRule type="cellIs" dxfId="1903" priority="1076" operator="equal">
      <formula>3.3</formula>
    </cfRule>
    <cfRule type="cellIs" dxfId="1902" priority="1077" operator="equal">
      <formula>3.2</formula>
    </cfRule>
    <cfRule type="cellIs" dxfId="1901" priority="1078" operator="equal">
      <formula>3.1</formula>
    </cfRule>
    <cfRule type="cellIs" dxfId="1900" priority="1079" operator="equal">
      <formula>2.4</formula>
    </cfRule>
    <cfRule type="cellIs" dxfId="1899" priority="1080" operator="equal">
      <formula>2.3</formula>
    </cfRule>
    <cfRule type="cellIs" dxfId="1898" priority="1081" operator="equal">
      <formula>2.2</formula>
    </cfRule>
    <cfRule type="cellIs" dxfId="1897" priority="1082" operator="equal">
      <formula>2.1</formula>
    </cfRule>
    <cfRule type="cellIs" dxfId="1896" priority="1083" operator="equal">
      <formula>1.5</formula>
    </cfRule>
    <cfRule type="cellIs" dxfId="1895" priority="1084" operator="equal">
      <formula>1.4</formula>
    </cfRule>
    <cfRule type="cellIs" dxfId="1894" priority="1085" operator="equal">
      <formula>1.3</formula>
    </cfRule>
    <cfRule type="cellIs" dxfId="1893" priority="1086" operator="equal">
      <formula>1.2</formula>
    </cfRule>
    <cfRule type="containsText" dxfId="1892" priority="1087" operator="containsText" text="1.1">
      <formula>NOT(ISERROR(SEARCH("1.1",A330)))</formula>
    </cfRule>
  </conditionalFormatting>
  <conditionalFormatting sqref="M98:M124">
    <cfRule type="containsBlanks" dxfId="1891" priority="927">
      <formula>LEN(TRIM(M98))=0</formula>
    </cfRule>
  </conditionalFormatting>
  <conditionalFormatting sqref="M129 M95:M124">
    <cfRule type="cellIs" dxfId="1890" priority="910" operator="equal">
      <formula>4.4</formula>
    </cfRule>
    <cfRule type="cellIs" dxfId="1889" priority="911" operator="equal">
      <formula>4.3</formula>
    </cfRule>
    <cfRule type="cellIs" dxfId="1888" priority="912" operator="equal">
      <formula>4.2</formula>
    </cfRule>
    <cfRule type="cellIs" dxfId="1887" priority="913" operator="equal">
      <formula>4.1</formula>
    </cfRule>
    <cfRule type="cellIs" dxfId="1886" priority="914" operator="equal">
      <formula>3.4</formula>
    </cfRule>
    <cfRule type="cellIs" dxfId="1885" priority="915" operator="equal">
      <formula>3.3</formula>
    </cfRule>
    <cfRule type="cellIs" dxfId="1884" priority="916" operator="equal">
      <formula>3.2</formula>
    </cfRule>
    <cfRule type="cellIs" dxfId="1883" priority="917" operator="equal">
      <formula>3.1</formula>
    </cfRule>
    <cfRule type="cellIs" dxfId="1882" priority="918" operator="equal">
      <formula>2.4</formula>
    </cfRule>
    <cfRule type="cellIs" dxfId="1881" priority="919" operator="equal">
      <formula>2.3</formula>
    </cfRule>
    <cfRule type="cellIs" dxfId="1880" priority="920" operator="equal">
      <formula>2.2</formula>
    </cfRule>
    <cfRule type="cellIs" dxfId="1879" priority="921" operator="equal">
      <formula>2.1</formula>
    </cfRule>
    <cfRule type="cellIs" dxfId="1878" priority="922" operator="equal">
      <formula>1.5</formula>
    </cfRule>
    <cfRule type="cellIs" dxfId="1877" priority="923" operator="equal">
      <formula>1.4</formula>
    </cfRule>
    <cfRule type="cellIs" dxfId="1876" priority="924" operator="equal">
      <formula>1.3</formula>
    </cfRule>
    <cfRule type="cellIs" dxfId="1875" priority="925" operator="equal">
      <formula>1.2</formula>
    </cfRule>
    <cfRule type="containsText" dxfId="1874" priority="926" operator="containsText" text="1.1">
      <formula>NOT(ISERROR(SEARCH("1.1",M95)))</formula>
    </cfRule>
  </conditionalFormatting>
  <conditionalFormatting sqref="H98:L124 H125:M128">
    <cfRule type="containsBlanks" dxfId="1873" priority="909">
      <formula>LEN(TRIM(H98))=0</formula>
    </cfRule>
  </conditionalFormatting>
  <conditionalFormatting sqref="H95:L97 A98:L100 A126:E127 A101:G118 H101:L124 A125:M125 F126:M128">
    <cfRule type="cellIs" dxfId="1872" priority="892" operator="equal">
      <formula>4.4</formula>
    </cfRule>
    <cfRule type="cellIs" dxfId="1871" priority="893" operator="equal">
      <formula>4.3</formula>
    </cfRule>
    <cfRule type="cellIs" dxfId="1870" priority="894" operator="equal">
      <formula>4.2</formula>
    </cfRule>
    <cfRule type="cellIs" dxfId="1869" priority="895" operator="equal">
      <formula>4.1</formula>
    </cfRule>
    <cfRule type="cellIs" dxfId="1868" priority="896" operator="equal">
      <formula>3.4</formula>
    </cfRule>
    <cfRule type="cellIs" dxfId="1867" priority="897" operator="equal">
      <formula>3.3</formula>
    </cfRule>
    <cfRule type="cellIs" dxfId="1866" priority="898" operator="equal">
      <formula>3.2</formula>
    </cfRule>
    <cfRule type="cellIs" dxfId="1865" priority="899" operator="equal">
      <formula>3.1</formula>
    </cfRule>
    <cfRule type="cellIs" dxfId="1864" priority="900" operator="equal">
      <formula>2.4</formula>
    </cfRule>
    <cfRule type="cellIs" dxfId="1863" priority="901" operator="equal">
      <formula>2.3</formula>
    </cfRule>
    <cfRule type="cellIs" dxfId="1862" priority="902" operator="equal">
      <formula>2.2</formula>
    </cfRule>
    <cfRule type="cellIs" dxfId="1861" priority="903" operator="equal">
      <formula>2.1</formula>
    </cfRule>
    <cfRule type="cellIs" dxfId="1860" priority="904" operator="equal">
      <formula>1.5</formula>
    </cfRule>
    <cfRule type="cellIs" dxfId="1859" priority="905" operator="equal">
      <formula>1.4</formula>
    </cfRule>
    <cfRule type="cellIs" dxfId="1858" priority="906" operator="equal">
      <formula>1.3</formula>
    </cfRule>
    <cfRule type="cellIs" dxfId="1857" priority="907" operator="equal">
      <formula>1.2</formula>
    </cfRule>
    <cfRule type="containsText" dxfId="1856" priority="908" operator="containsText" text="1.1">
      <formula>NOT(ISERROR(SEARCH("1.1",A95)))</formula>
    </cfRule>
  </conditionalFormatting>
  <conditionalFormatting sqref="A132:A134 A138 A130:M131 F138:M139">
    <cfRule type="cellIs" dxfId="1855" priority="875" operator="equal">
      <formula>4.4</formula>
    </cfRule>
    <cfRule type="cellIs" dxfId="1854" priority="876" operator="equal">
      <formula>4.3</formula>
    </cfRule>
    <cfRule type="cellIs" dxfId="1853" priority="877" operator="equal">
      <formula>4.2</formula>
    </cfRule>
    <cfRule type="cellIs" dxfId="1852" priority="878" operator="equal">
      <formula>4.1</formula>
    </cfRule>
    <cfRule type="cellIs" dxfId="1851" priority="879" operator="equal">
      <formula>3.4</formula>
    </cfRule>
    <cfRule type="cellIs" dxfId="1850" priority="880" operator="equal">
      <formula>3.3</formula>
    </cfRule>
    <cfRule type="cellIs" dxfId="1849" priority="881" operator="equal">
      <formula>3.2</formula>
    </cfRule>
    <cfRule type="cellIs" dxfId="1848" priority="882" operator="equal">
      <formula>3.1</formula>
    </cfRule>
    <cfRule type="cellIs" dxfId="1847" priority="883" operator="equal">
      <formula>2.4</formula>
    </cfRule>
    <cfRule type="cellIs" dxfId="1846" priority="884" operator="equal">
      <formula>2.3</formula>
    </cfRule>
    <cfRule type="cellIs" dxfId="1845" priority="885" operator="equal">
      <formula>2.2</formula>
    </cfRule>
    <cfRule type="cellIs" dxfId="1844" priority="886" operator="equal">
      <formula>2.1</formula>
    </cfRule>
    <cfRule type="cellIs" dxfId="1843" priority="887" operator="equal">
      <formula>1.5</formula>
    </cfRule>
    <cfRule type="cellIs" dxfId="1842" priority="888" operator="equal">
      <formula>1.4</formula>
    </cfRule>
    <cfRule type="cellIs" dxfId="1841" priority="889" operator="equal">
      <formula>1.3</formula>
    </cfRule>
    <cfRule type="cellIs" dxfId="1840" priority="890" operator="equal">
      <formula>1.2</formula>
    </cfRule>
    <cfRule type="containsText" dxfId="1839" priority="891" operator="containsText" text="1.1">
      <formula>NOT(ISERROR(SEARCH("1.1",A130)))</formula>
    </cfRule>
  </conditionalFormatting>
  <conditionalFormatting sqref="H138:M139">
    <cfRule type="containsBlanks" dxfId="1838" priority="874">
      <formula>LEN(TRIM(H138))=0</formula>
    </cfRule>
  </conditionalFormatting>
  <conditionalFormatting sqref="B132:G134">
    <cfRule type="cellIs" dxfId="1837" priority="857" operator="equal">
      <formula>4.4</formula>
    </cfRule>
    <cfRule type="cellIs" dxfId="1836" priority="858" operator="equal">
      <formula>4.3</formula>
    </cfRule>
    <cfRule type="cellIs" dxfId="1835" priority="859" operator="equal">
      <formula>4.2</formula>
    </cfRule>
    <cfRule type="cellIs" dxfId="1834" priority="860" operator="equal">
      <formula>4.1</formula>
    </cfRule>
    <cfRule type="cellIs" dxfId="1833" priority="861" operator="equal">
      <formula>3.4</formula>
    </cfRule>
    <cfRule type="cellIs" dxfId="1832" priority="862" operator="equal">
      <formula>3.3</formula>
    </cfRule>
    <cfRule type="cellIs" dxfId="1831" priority="863" operator="equal">
      <formula>3.2</formula>
    </cfRule>
    <cfRule type="cellIs" dxfId="1830" priority="864" operator="equal">
      <formula>3.1</formula>
    </cfRule>
    <cfRule type="cellIs" dxfId="1829" priority="865" operator="equal">
      <formula>2.4</formula>
    </cfRule>
    <cfRule type="cellIs" dxfId="1828" priority="866" operator="equal">
      <formula>2.3</formula>
    </cfRule>
    <cfRule type="cellIs" dxfId="1827" priority="867" operator="equal">
      <formula>2.2</formula>
    </cfRule>
    <cfRule type="cellIs" dxfId="1826" priority="868" operator="equal">
      <formula>2.1</formula>
    </cfRule>
    <cfRule type="cellIs" dxfId="1825" priority="869" operator="equal">
      <formula>1.5</formula>
    </cfRule>
    <cfRule type="cellIs" dxfId="1824" priority="870" operator="equal">
      <formula>1.4</formula>
    </cfRule>
    <cfRule type="cellIs" dxfId="1823" priority="871" operator="equal">
      <formula>1.3</formula>
    </cfRule>
    <cfRule type="cellIs" dxfId="1822" priority="872" operator="equal">
      <formula>1.2</formula>
    </cfRule>
    <cfRule type="containsText" dxfId="1821" priority="873" operator="containsText" text="1.1">
      <formula>NOT(ISERROR(SEARCH("1.1",B132)))</formula>
    </cfRule>
  </conditionalFormatting>
  <conditionalFormatting sqref="A95:G97">
    <cfRule type="cellIs" dxfId="1820" priority="840" operator="equal">
      <formula>4.4</formula>
    </cfRule>
    <cfRule type="cellIs" dxfId="1819" priority="841" operator="equal">
      <formula>4.3</formula>
    </cfRule>
    <cfRule type="cellIs" dxfId="1818" priority="842" operator="equal">
      <formula>4.2</formula>
    </cfRule>
    <cfRule type="cellIs" dxfId="1817" priority="843" operator="equal">
      <formula>4.1</formula>
    </cfRule>
    <cfRule type="cellIs" dxfId="1816" priority="844" operator="equal">
      <formula>3.4</formula>
    </cfRule>
    <cfRule type="cellIs" dxfId="1815" priority="845" operator="equal">
      <formula>3.3</formula>
    </cfRule>
    <cfRule type="cellIs" dxfId="1814" priority="846" operator="equal">
      <formula>3.2</formula>
    </cfRule>
    <cfRule type="cellIs" dxfId="1813" priority="847" operator="equal">
      <formula>3.1</formula>
    </cfRule>
    <cfRule type="cellIs" dxfId="1812" priority="848" operator="equal">
      <formula>2.4</formula>
    </cfRule>
    <cfRule type="cellIs" dxfId="1811" priority="849" operator="equal">
      <formula>2.3</formula>
    </cfRule>
    <cfRule type="cellIs" dxfId="1810" priority="850" operator="equal">
      <formula>2.2</formula>
    </cfRule>
    <cfRule type="cellIs" dxfId="1809" priority="851" operator="equal">
      <formula>2.1</formula>
    </cfRule>
    <cfRule type="cellIs" dxfId="1808" priority="852" operator="equal">
      <formula>1.5</formula>
    </cfRule>
    <cfRule type="cellIs" dxfId="1807" priority="853" operator="equal">
      <formula>1.4</formula>
    </cfRule>
    <cfRule type="cellIs" dxfId="1806" priority="854" operator="equal">
      <formula>1.3</formula>
    </cfRule>
    <cfRule type="cellIs" dxfId="1805" priority="855" operator="equal">
      <formula>1.2</formula>
    </cfRule>
    <cfRule type="containsText" dxfId="1804" priority="856" operator="containsText" text="1.1">
      <formula>NOT(ISERROR(SEARCH("1.1",A95)))</formula>
    </cfRule>
  </conditionalFormatting>
  <conditionalFormatting sqref="A119:G121">
    <cfRule type="cellIs" dxfId="1803" priority="823" operator="equal">
      <formula>4.4</formula>
    </cfRule>
    <cfRule type="cellIs" dxfId="1802" priority="824" operator="equal">
      <formula>4.3</formula>
    </cfRule>
    <cfRule type="cellIs" dxfId="1801" priority="825" operator="equal">
      <formula>4.2</formula>
    </cfRule>
    <cfRule type="cellIs" dxfId="1800" priority="826" operator="equal">
      <formula>4.1</formula>
    </cfRule>
    <cfRule type="cellIs" dxfId="1799" priority="827" operator="equal">
      <formula>3.4</formula>
    </cfRule>
    <cfRule type="cellIs" dxfId="1798" priority="828" operator="equal">
      <formula>3.3</formula>
    </cfRule>
    <cfRule type="cellIs" dxfId="1797" priority="829" operator="equal">
      <formula>3.2</formula>
    </cfRule>
    <cfRule type="cellIs" dxfId="1796" priority="830" operator="equal">
      <formula>3.1</formula>
    </cfRule>
    <cfRule type="cellIs" dxfId="1795" priority="831" operator="equal">
      <formula>2.4</formula>
    </cfRule>
    <cfRule type="cellIs" dxfId="1794" priority="832" operator="equal">
      <formula>2.3</formula>
    </cfRule>
    <cfRule type="cellIs" dxfId="1793" priority="833" operator="equal">
      <formula>2.2</formula>
    </cfRule>
    <cfRule type="cellIs" dxfId="1792" priority="834" operator="equal">
      <formula>2.1</formula>
    </cfRule>
    <cfRule type="cellIs" dxfId="1791" priority="835" operator="equal">
      <formula>1.5</formula>
    </cfRule>
    <cfRule type="cellIs" dxfId="1790" priority="836" operator="equal">
      <formula>1.4</formula>
    </cfRule>
    <cfRule type="cellIs" dxfId="1789" priority="837" operator="equal">
      <formula>1.3</formula>
    </cfRule>
    <cfRule type="cellIs" dxfId="1788" priority="838" operator="equal">
      <formula>1.2</formula>
    </cfRule>
    <cfRule type="containsText" dxfId="1787" priority="839" operator="containsText" text="1.1">
      <formula>NOT(ISERROR(SEARCH("1.1",A119)))</formula>
    </cfRule>
  </conditionalFormatting>
  <conditionalFormatting sqref="B122:G124">
    <cfRule type="cellIs" dxfId="1786" priority="789" operator="equal">
      <formula>4.4</formula>
    </cfRule>
    <cfRule type="cellIs" dxfId="1785" priority="790" operator="equal">
      <formula>4.3</formula>
    </cfRule>
    <cfRule type="cellIs" dxfId="1784" priority="791" operator="equal">
      <formula>4.2</formula>
    </cfRule>
    <cfRule type="cellIs" dxfId="1783" priority="792" operator="equal">
      <formula>4.1</formula>
    </cfRule>
    <cfRule type="cellIs" dxfId="1782" priority="793" operator="equal">
      <formula>3.4</formula>
    </cfRule>
    <cfRule type="cellIs" dxfId="1781" priority="794" operator="equal">
      <formula>3.3</formula>
    </cfRule>
    <cfRule type="cellIs" dxfId="1780" priority="795" operator="equal">
      <formula>3.2</formula>
    </cfRule>
    <cfRule type="cellIs" dxfId="1779" priority="796" operator="equal">
      <formula>3.1</formula>
    </cfRule>
    <cfRule type="cellIs" dxfId="1778" priority="797" operator="equal">
      <formula>2.4</formula>
    </cfRule>
    <cfRule type="cellIs" dxfId="1777" priority="798" operator="equal">
      <formula>2.3</formula>
    </cfRule>
    <cfRule type="cellIs" dxfId="1776" priority="799" operator="equal">
      <formula>2.2</formula>
    </cfRule>
    <cfRule type="cellIs" dxfId="1775" priority="800" operator="equal">
      <formula>2.1</formula>
    </cfRule>
    <cfRule type="cellIs" dxfId="1774" priority="801" operator="equal">
      <formula>1.5</formula>
    </cfRule>
    <cfRule type="cellIs" dxfId="1773" priority="802" operator="equal">
      <formula>1.4</formula>
    </cfRule>
    <cfRule type="cellIs" dxfId="1772" priority="803" operator="equal">
      <formula>1.3</formula>
    </cfRule>
    <cfRule type="cellIs" dxfId="1771" priority="804" operator="equal">
      <formula>1.2</formula>
    </cfRule>
    <cfRule type="containsText" dxfId="1770" priority="805" operator="containsText" text="1.1">
      <formula>NOT(ISERROR(SEARCH("1.1",B122)))</formula>
    </cfRule>
  </conditionalFormatting>
  <conditionalFormatting sqref="A122:A124">
    <cfRule type="cellIs" dxfId="1769" priority="806" operator="equal">
      <formula>4.4</formula>
    </cfRule>
    <cfRule type="cellIs" dxfId="1768" priority="807" operator="equal">
      <formula>4.3</formula>
    </cfRule>
    <cfRule type="cellIs" dxfId="1767" priority="808" operator="equal">
      <formula>4.2</formula>
    </cfRule>
    <cfRule type="cellIs" dxfId="1766" priority="809" operator="equal">
      <formula>4.1</formula>
    </cfRule>
    <cfRule type="cellIs" dxfId="1765" priority="810" operator="equal">
      <formula>3.4</formula>
    </cfRule>
    <cfRule type="cellIs" dxfId="1764" priority="811" operator="equal">
      <formula>3.3</formula>
    </cfRule>
    <cfRule type="cellIs" dxfId="1763" priority="812" operator="equal">
      <formula>3.2</formula>
    </cfRule>
    <cfRule type="cellIs" dxfId="1762" priority="813" operator="equal">
      <formula>3.1</formula>
    </cfRule>
    <cfRule type="cellIs" dxfId="1761" priority="814" operator="equal">
      <formula>2.4</formula>
    </cfRule>
    <cfRule type="cellIs" dxfId="1760" priority="815" operator="equal">
      <formula>2.3</formula>
    </cfRule>
    <cfRule type="cellIs" dxfId="1759" priority="816" operator="equal">
      <formula>2.2</formula>
    </cfRule>
    <cfRule type="cellIs" dxfId="1758" priority="817" operator="equal">
      <formula>2.1</formula>
    </cfRule>
    <cfRule type="cellIs" dxfId="1757" priority="818" operator="equal">
      <formula>1.5</formula>
    </cfRule>
    <cfRule type="cellIs" dxfId="1756" priority="819" operator="equal">
      <formula>1.4</formula>
    </cfRule>
    <cfRule type="cellIs" dxfId="1755" priority="820" operator="equal">
      <formula>1.3</formula>
    </cfRule>
    <cfRule type="cellIs" dxfId="1754" priority="821" operator="equal">
      <formula>1.2</formula>
    </cfRule>
    <cfRule type="containsText" dxfId="1753" priority="822" operator="containsText" text="1.1">
      <formula>NOT(ISERROR(SEARCH("1.1",A122)))</formula>
    </cfRule>
  </conditionalFormatting>
  <conditionalFormatting sqref="B135:G137">
    <cfRule type="cellIs" dxfId="1752" priority="755" operator="equal">
      <formula>4.4</formula>
    </cfRule>
    <cfRule type="cellIs" dxfId="1751" priority="756" operator="equal">
      <formula>4.3</formula>
    </cfRule>
    <cfRule type="cellIs" dxfId="1750" priority="757" operator="equal">
      <formula>4.2</formula>
    </cfRule>
    <cfRule type="cellIs" dxfId="1749" priority="758" operator="equal">
      <formula>4.1</formula>
    </cfRule>
    <cfRule type="cellIs" dxfId="1748" priority="759" operator="equal">
      <formula>3.4</formula>
    </cfRule>
    <cfRule type="cellIs" dxfId="1747" priority="760" operator="equal">
      <formula>3.3</formula>
    </cfRule>
    <cfRule type="cellIs" dxfId="1746" priority="761" operator="equal">
      <formula>3.2</formula>
    </cfRule>
    <cfRule type="cellIs" dxfId="1745" priority="762" operator="equal">
      <formula>3.1</formula>
    </cfRule>
    <cfRule type="cellIs" dxfId="1744" priority="763" operator="equal">
      <formula>2.4</formula>
    </cfRule>
    <cfRule type="cellIs" dxfId="1743" priority="764" operator="equal">
      <formula>2.3</formula>
    </cfRule>
    <cfRule type="cellIs" dxfId="1742" priority="765" operator="equal">
      <formula>2.2</formula>
    </cfRule>
    <cfRule type="cellIs" dxfId="1741" priority="766" operator="equal">
      <formula>2.1</formula>
    </cfRule>
    <cfRule type="cellIs" dxfId="1740" priority="767" operator="equal">
      <formula>1.5</formula>
    </cfRule>
    <cfRule type="cellIs" dxfId="1739" priority="768" operator="equal">
      <formula>1.4</formula>
    </cfRule>
    <cfRule type="cellIs" dxfId="1738" priority="769" operator="equal">
      <formula>1.3</formula>
    </cfRule>
    <cfRule type="cellIs" dxfId="1737" priority="770" operator="equal">
      <formula>1.2</formula>
    </cfRule>
    <cfRule type="containsText" dxfId="1736" priority="771" operator="containsText" text="1.1">
      <formula>NOT(ISERROR(SEARCH("1.1",B135)))</formula>
    </cfRule>
  </conditionalFormatting>
  <conditionalFormatting sqref="A135:A137">
    <cfRule type="cellIs" dxfId="1735" priority="772" operator="equal">
      <formula>4.4</formula>
    </cfRule>
    <cfRule type="cellIs" dxfId="1734" priority="773" operator="equal">
      <formula>4.3</formula>
    </cfRule>
    <cfRule type="cellIs" dxfId="1733" priority="774" operator="equal">
      <formula>4.2</formula>
    </cfRule>
    <cfRule type="cellIs" dxfId="1732" priority="775" operator="equal">
      <formula>4.1</formula>
    </cfRule>
    <cfRule type="cellIs" dxfId="1731" priority="776" operator="equal">
      <formula>3.4</formula>
    </cfRule>
    <cfRule type="cellIs" dxfId="1730" priority="777" operator="equal">
      <formula>3.3</formula>
    </cfRule>
    <cfRule type="cellIs" dxfId="1729" priority="778" operator="equal">
      <formula>3.2</formula>
    </cfRule>
    <cfRule type="cellIs" dxfId="1728" priority="779" operator="equal">
      <formula>3.1</formula>
    </cfRule>
    <cfRule type="cellIs" dxfId="1727" priority="780" operator="equal">
      <formula>2.4</formula>
    </cfRule>
    <cfRule type="cellIs" dxfId="1726" priority="781" operator="equal">
      <formula>2.3</formula>
    </cfRule>
    <cfRule type="cellIs" dxfId="1725" priority="782" operator="equal">
      <formula>2.2</formula>
    </cfRule>
    <cfRule type="cellIs" dxfId="1724" priority="783" operator="equal">
      <formula>2.1</formula>
    </cfRule>
    <cfRule type="cellIs" dxfId="1723" priority="784" operator="equal">
      <formula>1.5</formula>
    </cfRule>
    <cfRule type="cellIs" dxfId="1722" priority="785" operator="equal">
      <formula>1.4</formula>
    </cfRule>
    <cfRule type="cellIs" dxfId="1721" priority="786" operator="equal">
      <formula>1.3</formula>
    </cfRule>
    <cfRule type="cellIs" dxfId="1720" priority="787" operator="equal">
      <formula>1.2</formula>
    </cfRule>
    <cfRule type="containsText" dxfId="1719" priority="788" operator="containsText" text="1.1">
      <formula>NOT(ISERROR(SEARCH("1.1",A135)))</formula>
    </cfRule>
  </conditionalFormatting>
  <conditionalFormatting sqref="H50:K76">
    <cfRule type="containsBlanks" dxfId="1718" priority="682">
      <formula>LEN(TRIM(H50))=0</formula>
    </cfRule>
  </conditionalFormatting>
  <conditionalFormatting sqref="A50:K52 A53:G70 H47:K49 H53:K76 A77:G79 F80:G80">
    <cfRule type="cellIs" dxfId="1717" priority="665" operator="equal">
      <formula>4.4</formula>
    </cfRule>
    <cfRule type="cellIs" dxfId="1716" priority="666" operator="equal">
      <formula>4.3</formula>
    </cfRule>
    <cfRule type="cellIs" dxfId="1715" priority="667" operator="equal">
      <formula>4.2</formula>
    </cfRule>
    <cfRule type="cellIs" dxfId="1714" priority="668" operator="equal">
      <formula>4.1</formula>
    </cfRule>
    <cfRule type="cellIs" dxfId="1713" priority="669" operator="equal">
      <formula>3.4</formula>
    </cfRule>
    <cfRule type="cellIs" dxfId="1712" priority="670" operator="equal">
      <formula>3.3</formula>
    </cfRule>
    <cfRule type="cellIs" dxfId="1711" priority="671" operator="equal">
      <formula>3.2</formula>
    </cfRule>
    <cfRule type="cellIs" dxfId="1710" priority="672" operator="equal">
      <formula>3.1</formula>
    </cfRule>
    <cfRule type="cellIs" dxfId="1709" priority="673" operator="equal">
      <formula>2.4</formula>
    </cfRule>
    <cfRule type="cellIs" dxfId="1708" priority="674" operator="equal">
      <formula>2.3</formula>
    </cfRule>
    <cfRule type="cellIs" dxfId="1707" priority="675" operator="equal">
      <formula>2.2</formula>
    </cfRule>
    <cfRule type="cellIs" dxfId="1706" priority="676" operator="equal">
      <formula>2.1</formula>
    </cfRule>
    <cfRule type="cellIs" dxfId="1705" priority="677" operator="equal">
      <formula>1.5</formula>
    </cfRule>
    <cfRule type="cellIs" dxfId="1704" priority="678" operator="equal">
      <formula>1.4</formula>
    </cfRule>
    <cfRule type="cellIs" dxfId="1703" priority="679" operator="equal">
      <formula>1.3</formula>
    </cfRule>
    <cfRule type="cellIs" dxfId="1702" priority="680" operator="equal">
      <formula>1.2</formula>
    </cfRule>
    <cfRule type="containsText" dxfId="1701" priority="681" operator="containsText" text="1.1">
      <formula>NOT(ISERROR(SEARCH("1.1",A47)))</formula>
    </cfRule>
  </conditionalFormatting>
  <conditionalFormatting sqref="H132:L137">
    <cfRule type="cellIs" dxfId="1700" priority="421" operator="equal">
      <formula>4.4</formula>
    </cfRule>
    <cfRule type="cellIs" dxfId="1699" priority="422" operator="equal">
      <formula>4.3</formula>
    </cfRule>
    <cfRule type="cellIs" dxfId="1698" priority="423" operator="equal">
      <formula>4.2</formula>
    </cfRule>
    <cfRule type="cellIs" dxfId="1697" priority="424" operator="equal">
      <formula>4.1</formula>
    </cfRule>
    <cfRule type="cellIs" dxfId="1696" priority="425" operator="equal">
      <formula>3.4</formula>
    </cfRule>
    <cfRule type="cellIs" dxfId="1695" priority="426" operator="equal">
      <formula>3.3</formula>
    </cfRule>
    <cfRule type="cellIs" dxfId="1694" priority="427" operator="equal">
      <formula>3.2</formula>
    </cfRule>
    <cfRule type="cellIs" dxfId="1693" priority="428" operator="equal">
      <formula>3.1</formula>
    </cfRule>
    <cfRule type="cellIs" dxfId="1692" priority="429" operator="equal">
      <formula>2.4</formula>
    </cfRule>
    <cfRule type="cellIs" dxfId="1691" priority="430" operator="equal">
      <formula>2.3</formula>
    </cfRule>
    <cfRule type="cellIs" dxfId="1690" priority="431" operator="equal">
      <formula>2.2</formula>
    </cfRule>
    <cfRule type="cellIs" dxfId="1689" priority="432" operator="equal">
      <formula>2.1</formula>
    </cfRule>
    <cfRule type="cellIs" dxfId="1688" priority="433" operator="equal">
      <formula>1.5</formula>
    </cfRule>
    <cfRule type="cellIs" dxfId="1687" priority="434" operator="equal">
      <formula>1.4</formula>
    </cfRule>
    <cfRule type="cellIs" dxfId="1686" priority="435" operator="equal">
      <formula>1.3</formula>
    </cfRule>
    <cfRule type="cellIs" dxfId="1685" priority="436" operator="equal">
      <formula>1.2</formula>
    </cfRule>
    <cfRule type="containsText" dxfId="1684" priority="437" operator="containsText" text="1.1">
      <formula>NOT(ISERROR(SEARCH("1.1",H132)))</formula>
    </cfRule>
  </conditionalFormatting>
  <conditionalFormatting sqref="H90:K91">
    <cfRule type="cellIs" dxfId="1683" priority="493" operator="equal">
      <formula>4.4</formula>
    </cfRule>
    <cfRule type="cellIs" dxfId="1682" priority="494" operator="equal">
      <formula>4.3</formula>
    </cfRule>
    <cfRule type="cellIs" dxfId="1681" priority="495" operator="equal">
      <formula>4.2</formula>
    </cfRule>
    <cfRule type="cellIs" dxfId="1680" priority="496" operator="equal">
      <formula>4.1</formula>
    </cfRule>
    <cfRule type="cellIs" dxfId="1679" priority="497" operator="equal">
      <formula>3.4</formula>
    </cfRule>
    <cfRule type="cellIs" dxfId="1678" priority="498" operator="equal">
      <formula>3.3</formula>
    </cfRule>
    <cfRule type="cellIs" dxfId="1677" priority="499" operator="equal">
      <formula>3.2</formula>
    </cfRule>
    <cfRule type="cellIs" dxfId="1676" priority="500" operator="equal">
      <formula>3.1</formula>
    </cfRule>
    <cfRule type="cellIs" dxfId="1675" priority="501" operator="equal">
      <formula>2.4</formula>
    </cfRule>
    <cfRule type="cellIs" dxfId="1674" priority="502" operator="equal">
      <formula>2.3</formula>
    </cfRule>
    <cfRule type="cellIs" dxfId="1673" priority="503" operator="equal">
      <formula>2.2</formula>
    </cfRule>
    <cfRule type="cellIs" dxfId="1672" priority="504" operator="equal">
      <formula>2.1</formula>
    </cfRule>
    <cfRule type="cellIs" dxfId="1671" priority="505" operator="equal">
      <formula>1.5</formula>
    </cfRule>
    <cfRule type="cellIs" dxfId="1670" priority="506" operator="equal">
      <formula>1.4</formula>
    </cfRule>
    <cfRule type="cellIs" dxfId="1669" priority="507" operator="equal">
      <formula>1.3</formula>
    </cfRule>
    <cfRule type="cellIs" dxfId="1668" priority="508" operator="equal">
      <formula>1.2</formula>
    </cfRule>
    <cfRule type="containsText" dxfId="1667" priority="509" operator="containsText" text="1.1">
      <formula>NOT(ISERROR(SEARCH("1.1",H90)))</formula>
    </cfRule>
  </conditionalFormatting>
  <conditionalFormatting sqref="A84:A86 A90 A82:K83 F90:G91">
    <cfRule type="cellIs" dxfId="1666" priority="648" operator="equal">
      <formula>4.4</formula>
    </cfRule>
    <cfRule type="cellIs" dxfId="1665" priority="649" operator="equal">
      <formula>4.3</formula>
    </cfRule>
    <cfRule type="cellIs" dxfId="1664" priority="650" operator="equal">
      <formula>4.2</formula>
    </cfRule>
    <cfRule type="cellIs" dxfId="1663" priority="651" operator="equal">
      <formula>4.1</formula>
    </cfRule>
    <cfRule type="cellIs" dxfId="1662" priority="652" operator="equal">
      <formula>3.4</formula>
    </cfRule>
    <cfRule type="cellIs" dxfId="1661" priority="653" operator="equal">
      <formula>3.3</formula>
    </cfRule>
    <cfRule type="cellIs" dxfId="1660" priority="654" operator="equal">
      <formula>3.2</formula>
    </cfRule>
    <cfRule type="cellIs" dxfId="1659" priority="655" operator="equal">
      <formula>3.1</formula>
    </cfRule>
    <cfRule type="cellIs" dxfId="1658" priority="656" operator="equal">
      <formula>2.4</formula>
    </cfRule>
    <cfRule type="cellIs" dxfId="1657" priority="657" operator="equal">
      <formula>2.3</formula>
    </cfRule>
    <cfRule type="cellIs" dxfId="1656" priority="658" operator="equal">
      <formula>2.2</formula>
    </cfRule>
    <cfRule type="cellIs" dxfId="1655" priority="659" operator="equal">
      <formula>2.1</formula>
    </cfRule>
    <cfRule type="cellIs" dxfId="1654" priority="660" operator="equal">
      <formula>1.5</formula>
    </cfRule>
    <cfRule type="cellIs" dxfId="1653" priority="661" operator="equal">
      <formula>1.4</formula>
    </cfRule>
    <cfRule type="cellIs" dxfId="1652" priority="662" operator="equal">
      <formula>1.3</formula>
    </cfRule>
    <cfRule type="cellIs" dxfId="1651" priority="663" operator="equal">
      <formula>1.2</formula>
    </cfRule>
    <cfRule type="containsText" dxfId="1650" priority="664" operator="containsText" text="1.1">
      <formula>NOT(ISERROR(SEARCH("1.1",A82)))</formula>
    </cfRule>
  </conditionalFormatting>
  <conditionalFormatting sqref="B84:G86">
    <cfRule type="cellIs" dxfId="1649" priority="631" operator="equal">
      <formula>4.4</formula>
    </cfRule>
    <cfRule type="cellIs" dxfId="1648" priority="632" operator="equal">
      <formula>4.3</formula>
    </cfRule>
    <cfRule type="cellIs" dxfId="1647" priority="633" operator="equal">
      <formula>4.2</formula>
    </cfRule>
    <cfRule type="cellIs" dxfId="1646" priority="634" operator="equal">
      <formula>4.1</formula>
    </cfRule>
    <cfRule type="cellIs" dxfId="1645" priority="635" operator="equal">
      <formula>3.4</formula>
    </cfRule>
    <cfRule type="cellIs" dxfId="1644" priority="636" operator="equal">
      <formula>3.3</formula>
    </cfRule>
    <cfRule type="cellIs" dxfId="1643" priority="637" operator="equal">
      <formula>3.2</formula>
    </cfRule>
    <cfRule type="cellIs" dxfId="1642" priority="638" operator="equal">
      <formula>3.1</formula>
    </cfRule>
    <cfRule type="cellIs" dxfId="1641" priority="639" operator="equal">
      <formula>2.4</formula>
    </cfRule>
    <cfRule type="cellIs" dxfId="1640" priority="640" operator="equal">
      <formula>2.3</formula>
    </cfRule>
    <cfRule type="cellIs" dxfId="1639" priority="641" operator="equal">
      <formula>2.2</formula>
    </cfRule>
    <cfRule type="cellIs" dxfId="1638" priority="642" operator="equal">
      <formula>2.1</formula>
    </cfRule>
    <cfRule type="cellIs" dxfId="1637" priority="643" operator="equal">
      <formula>1.5</formula>
    </cfRule>
    <cfRule type="cellIs" dxfId="1636" priority="644" operator="equal">
      <formula>1.4</formula>
    </cfRule>
    <cfRule type="cellIs" dxfId="1635" priority="645" operator="equal">
      <formula>1.3</formula>
    </cfRule>
    <cfRule type="cellIs" dxfId="1634" priority="646" operator="equal">
      <formula>1.2</formula>
    </cfRule>
    <cfRule type="containsText" dxfId="1633" priority="647" operator="containsText" text="1.1">
      <formula>NOT(ISERROR(SEARCH("1.1",B84)))</formula>
    </cfRule>
  </conditionalFormatting>
  <conditionalFormatting sqref="A47:G49">
    <cfRule type="cellIs" dxfId="1632" priority="614" operator="equal">
      <formula>4.4</formula>
    </cfRule>
    <cfRule type="cellIs" dxfId="1631" priority="615" operator="equal">
      <formula>4.3</formula>
    </cfRule>
    <cfRule type="cellIs" dxfId="1630" priority="616" operator="equal">
      <formula>4.2</formula>
    </cfRule>
    <cfRule type="cellIs" dxfId="1629" priority="617" operator="equal">
      <formula>4.1</formula>
    </cfRule>
    <cfRule type="cellIs" dxfId="1628" priority="618" operator="equal">
      <formula>3.4</formula>
    </cfRule>
    <cfRule type="cellIs" dxfId="1627" priority="619" operator="equal">
      <formula>3.3</formula>
    </cfRule>
    <cfRule type="cellIs" dxfId="1626" priority="620" operator="equal">
      <formula>3.2</formula>
    </cfRule>
    <cfRule type="cellIs" dxfId="1625" priority="621" operator="equal">
      <formula>3.1</formula>
    </cfRule>
    <cfRule type="cellIs" dxfId="1624" priority="622" operator="equal">
      <formula>2.4</formula>
    </cfRule>
    <cfRule type="cellIs" dxfId="1623" priority="623" operator="equal">
      <formula>2.3</formula>
    </cfRule>
    <cfRule type="cellIs" dxfId="1622" priority="624" operator="equal">
      <formula>2.2</formula>
    </cfRule>
    <cfRule type="cellIs" dxfId="1621" priority="625" operator="equal">
      <formula>2.1</formula>
    </cfRule>
    <cfRule type="cellIs" dxfId="1620" priority="626" operator="equal">
      <formula>1.5</formula>
    </cfRule>
    <cfRule type="cellIs" dxfId="1619" priority="627" operator="equal">
      <formula>1.4</formula>
    </cfRule>
    <cfRule type="cellIs" dxfId="1618" priority="628" operator="equal">
      <formula>1.3</formula>
    </cfRule>
    <cfRule type="cellIs" dxfId="1617" priority="629" operator="equal">
      <formula>1.2</formula>
    </cfRule>
    <cfRule type="containsText" dxfId="1616" priority="630" operator="containsText" text="1.1">
      <formula>NOT(ISERROR(SEARCH("1.1",A47)))</formula>
    </cfRule>
  </conditionalFormatting>
  <conditionalFormatting sqref="A71:G73">
    <cfRule type="cellIs" dxfId="1615" priority="597" operator="equal">
      <formula>4.4</formula>
    </cfRule>
    <cfRule type="cellIs" dxfId="1614" priority="598" operator="equal">
      <formula>4.3</formula>
    </cfRule>
    <cfRule type="cellIs" dxfId="1613" priority="599" operator="equal">
      <formula>4.2</formula>
    </cfRule>
    <cfRule type="cellIs" dxfId="1612" priority="600" operator="equal">
      <formula>4.1</formula>
    </cfRule>
    <cfRule type="cellIs" dxfId="1611" priority="601" operator="equal">
      <formula>3.4</formula>
    </cfRule>
    <cfRule type="cellIs" dxfId="1610" priority="602" operator="equal">
      <formula>3.3</formula>
    </cfRule>
    <cfRule type="cellIs" dxfId="1609" priority="603" operator="equal">
      <formula>3.2</formula>
    </cfRule>
    <cfRule type="cellIs" dxfId="1608" priority="604" operator="equal">
      <formula>3.1</formula>
    </cfRule>
    <cfRule type="cellIs" dxfId="1607" priority="605" operator="equal">
      <formula>2.4</formula>
    </cfRule>
    <cfRule type="cellIs" dxfId="1606" priority="606" operator="equal">
      <formula>2.3</formula>
    </cfRule>
    <cfRule type="cellIs" dxfId="1605" priority="607" operator="equal">
      <formula>2.2</formula>
    </cfRule>
    <cfRule type="cellIs" dxfId="1604" priority="608" operator="equal">
      <formula>2.1</formula>
    </cfRule>
    <cfRule type="cellIs" dxfId="1603" priority="609" operator="equal">
      <formula>1.5</formula>
    </cfRule>
    <cfRule type="cellIs" dxfId="1602" priority="610" operator="equal">
      <formula>1.4</formula>
    </cfRule>
    <cfRule type="cellIs" dxfId="1601" priority="611" operator="equal">
      <formula>1.3</formula>
    </cfRule>
    <cfRule type="cellIs" dxfId="1600" priority="612" operator="equal">
      <formula>1.2</formula>
    </cfRule>
    <cfRule type="containsText" dxfId="1599" priority="613" operator="containsText" text="1.1">
      <formula>NOT(ISERROR(SEARCH("1.1",A71)))</formula>
    </cfRule>
  </conditionalFormatting>
  <conditionalFormatting sqref="B74:G76">
    <cfRule type="cellIs" dxfId="1598" priority="563" operator="equal">
      <formula>4.4</formula>
    </cfRule>
    <cfRule type="cellIs" dxfId="1597" priority="564" operator="equal">
      <formula>4.3</formula>
    </cfRule>
    <cfRule type="cellIs" dxfId="1596" priority="565" operator="equal">
      <formula>4.2</formula>
    </cfRule>
    <cfRule type="cellIs" dxfId="1595" priority="566" operator="equal">
      <formula>4.1</formula>
    </cfRule>
    <cfRule type="cellIs" dxfId="1594" priority="567" operator="equal">
      <formula>3.4</formula>
    </cfRule>
    <cfRule type="cellIs" dxfId="1593" priority="568" operator="equal">
      <formula>3.3</formula>
    </cfRule>
    <cfRule type="cellIs" dxfId="1592" priority="569" operator="equal">
      <formula>3.2</formula>
    </cfRule>
    <cfRule type="cellIs" dxfId="1591" priority="570" operator="equal">
      <formula>3.1</formula>
    </cfRule>
    <cfRule type="cellIs" dxfId="1590" priority="571" operator="equal">
      <formula>2.4</formula>
    </cfRule>
    <cfRule type="cellIs" dxfId="1589" priority="572" operator="equal">
      <formula>2.3</formula>
    </cfRule>
    <cfRule type="cellIs" dxfId="1588" priority="573" operator="equal">
      <formula>2.2</formula>
    </cfRule>
    <cfRule type="cellIs" dxfId="1587" priority="574" operator="equal">
      <formula>2.1</formula>
    </cfRule>
    <cfRule type="cellIs" dxfId="1586" priority="575" operator="equal">
      <formula>1.5</formula>
    </cfRule>
    <cfRule type="cellIs" dxfId="1585" priority="576" operator="equal">
      <formula>1.4</formula>
    </cfRule>
    <cfRule type="cellIs" dxfId="1584" priority="577" operator="equal">
      <formula>1.3</formula>
    </cfRule>
    <cfRule type="cellIs" dxfId="1583" priority="578" operator="equal">
      <formula>1.2</formula>
    </cfRule>
    <cfRule type="containsText" dxfId="1582" priority="579" operator="containsText" text="1.1">
      <formula>NOT(ISERROR(SEARCH("1.1",B74)))</formula>
    </cfRule>
  </conditionalFormatting>
  <conditionalFormatting sqref="A74:A76">
    <cfRule type="cellIs" dxfId="1581" priority="580" operator="equal">
      <formula>4.4</formula>
    </cfRule>
    <cfRule type="cellIs" dxfId="1580" priority="581" operator="equal">
      <formula>4.3</formula>
    </cfRule>
    <cfRule type="cellIs" dxfId="1579" priority="582" operator="equal">
      <formula>4.2</formula>
    </cfRule>
    <cfRule type="cellIs" dxfId="1578" priority="583" operator="equal">
      <formula>4.1</formula>
    </cfRule>
    <cfRule type="cellIs" dxfId="1577" priority="584" operator="equal">
      <formula>3.4</formula>
    </cfRule>
    <cfRule type="cellIs" dxfId="1576" priority="585" operator="equal">
      <formula>3.3</formula>
    </cfRule>
    <cfRule type="cellIs" dxfId="1575" priority="586" operator="equal">
      <formula>3.2</formula>
    </cfRule>
    <cfRule type="cellIs" dxfId="1574" priority="587" operator="equal">
      <formula>3.1</formula>
    </cfRule>
    <cfRule type="cellIs" dxfId="1573" priority="588" operator="equal">
      <formula>2.4</formula>
    </cfRule>
    <cfRule type="cellIs" dxfId="1572" priority="589" operator="equal">
      <formula>2.3</formula>
    </cfRule>
    <cfRule type="cellIs" dxfId="1571" priority="590" operator="equal">
      <formula>2.2</formula>
    </cfRule>
    <cfRule type="cellIs" dxfId="1570" priority="591" operator="equal">
      <formula>2.1</formula>
    </cfRule>
    <cfRule type="cellIs" dxfId="1569" priority="592" operator="equal">
      <formula>1.5</formula>
    </cfRule>
    <cfRule type="cellIs" dxfId="1568" priority="593" operator="equal">
      <formula>1.4</formula>
    </cfRule>
    <cfRule type="cellIs" dxfId="1567" priority="594" operator="equal">
      <formula>1.3</formula>
    </cfRule>
    <cfRule type="cellIs" dxfId="1566" priority="595" operator="equal">
      <formula>1.2</formula>
    </cfRule>
    <cfRule type="containsText" dxfId="1565" priority="596" operator="containsText" text="1.1">
      <formula>NOT(ISERROR(SEARCH("1.1",A74)))</formula>
    </cfRule>
  </conditionalFormatting>
  <conditionalFormatting sqref="B87:G89">
    <cfRule type="cellIs" dxfId="1564" priority="529" operator="equal">
      <formula>4.4</formula>
    </cfRule>
    <cfRule type="cellIs" dxfId="1563" priority="530" operator="equal">
      <formula>4.3</formula>
    </cfRule>
    <cfRule type="cellIs" dxfId="1562" priority="531" operator="equal">
      <formula>4.2</formula>
    </cfRule>
    <cfRule type="cellIs" dxfId="1561" priority="532" operator="equal">
      <formula>4.1</formula>
    </cfRule>
    <cfRule type="cellIs" dxfId="1560" priority="533" operator="equal">
      <formula>3.4</formula>
    </cfRule>
    <cfRule type="cellIs" dxfId="1559" priority="534" operator="equal">
      <formula>3.3</formula>
    </cfRule>
    <cfRule type="cellIs" dxfId="1558" priority="535" operator="equal">
      <formula>3.2</formula>
    </cfRule>
    <cfRule type="cellIs" dxfId="1557" priority="536" operator="equal">
      <formula>3.1</formula>
    </cfRule>
    <cfRule type="cellIs" dxfId="1556" priority="537" operator="equal">
      <formula>2.4</formula>
    </cfRule>
    <cfRule type="cellIs" dxfId="1555" priority="538" operator="equal">
      <formula>2.3</formula>
    </cfRule>
    <cfRule type="cellIs" dxfId="1554" priority="539" operator="equal">
      <formula>2.2</formula>
    </cfRule>
    <cfRule type="cellIs" dxfId="1553" priority="540" operator="equal">
      <formula>2.1</formula>
    </cfRule>
    <cfRule type="cellIs" dxfId="1552" priority="541" operator="equal">
      <formula>1.5</formula>
    </cfRule>
    <cfRule type="cellIs" dxfId="1551" priority="542" operator="equal">
      <formula>1.4</formula>
    </cfRule>
    <cfRule type="cellIs" dxfId="1550" priority="543" operator="equal">
      <formula>1.3</formula>
    </cfRule>
    <cfRule type="cellIs" dxfId="1549" priority="544" operator="equal">
      <formula>1.2</formula>
    </cfRule>
    <cfRule type="containsText" dxfId="1548" priority="545" operator="containsText" text="1.1">
      <formula>NOT(ISERROR(SEARCH("1.1",B87)))</formula>
    </cfRule>
  </conditionalFormatting>
  <conditionalFormatting sqref="A87:A89">
    <cfRule type="cellIs" dxfId="1547" priority="546" operator="equal">
      <formula>4.4</formula>
    </cfRule>
    <cfRule type="cellIs" dxfId="1546" priority="547" operator="equal">
      <formula>4.3</formula>
    </cfRule>
    <cfRule type="cellIs" dxfId="1545" priority="548" operator="equal">
      <formula>4.2</formula>
    </cfRule>
    <cfRule type="cellIs" dxfId="1544" priority="549" operator="equal">
      <formula>4.1</formula>
    </cfRule>
    <cfRule type="cellIs" dxfId="1543" priority="550" operator="equal">
      <formula>3.4</formula>
    </cfRule>
    <cfRule type="cellIs" dxfId="1542" priority="551" operator="equal">
      <formula>3.3</formula>
    </cfRule>
    <cfRule type="cellIs" dxfId="1541" priority="552" operator="equal">
      <formula>3.2</formula>
    </cfRule>
    <cfRule type="cellIs" dxfId="1540" priority="553" operator="equal">
      <formula>3.1</formula>
    </cfRule>
    <cfRule type="cellIs" dxfId="1539" priority="554" operator="equal">
      <formula>2.4</formula>
    </cfRule>
    <cfRule type="cellIs" dxfId="1538" priority="555" operator="equal">
      <formula>2.3</formula>
    </cfRule>
    <cfRule type="cellIs" dxfId="1537" priority="556" operator="equal">
      <formula>2.2</formula>
    </cfRule>
    <cfRule type="cellIs" dxfId="1536" priority="557" operator="equal">
      <formula>2.1</formula>
    </cfRule>
    <cfRule type="cellIs" dxfId="1535" priority="558" operator="equal">
      <formula>1.5</formula>
    </cfRule>
    <cfRule type="cellIs" dxfId="1534" priority="559" operator="equal">
      <formula>1.4</formula>
    </cfRule>
    <cfRule type="cellIs" dxfId="1533" priority="560" operator="equal">
      <formula>1.3</formula>
    </cfRule>
    <cfRule type="cellIs" dxfId="1532" priority="561" operator="equal">
      <formula>1.2</formula>
    </cfRule>
    <cfRule type="containsText" dxfId="1531" priority="562" operator="containsText" text="1.1">
      <formula>NOT(ISERROR(SEARCH("1.1",A87)))</formula>
    </cfRule>
  </conditionalFormatting>
  <conditionalFormatting sqref="H90:K91">
    <cfRule type="containsBlanks" dxfId="1530" priority="510">
      <formula>LEN(TRIM(H90))=0</formula>
    </cfRule>
  </conditionalFormatting>
  <conditionalFormatting sqref="H77:K80">
    <cfRule type="containsBlanks" dxfId="1529" priority="528">
      <formula>LEN(TRIM(H77))=0</formula>
    </cfRule>
  </conditionalFormatting>
  <conditionalFormatting sqref="H77:K80">
    <cfRule type="cellIs" dxfId="1528" priority="511" operator="equal">
      <formula>4.4</formula>
    </cfRule>
    <cfRule type="cellIs" dxfId="1527" priority="512" operator="equal">
      <formula>4.3</formula>
    </cfRule>
    <cfRule type="cellIs" dxfId="1526" priority="513" operator="equal">
      <formula>4.2</formula>
    </cfRule>
    <cfRule type="cellIs" dxfId="1525" priority="514" operator="equal">
      <formula>4.1</formula>
    </cfRule>
    <cfRule type="cellIs" dxfId="1524" priority="515" operator="equal">
      <formula>3.4</formula>
    </cfRule>
    <cfRule type="cellIs" dxfId="1523" priority="516" operator="equal">
      <formula>3.3</formula>
    </cfRule>
    <cfRule type="cellIs" dxfId="1522" priority="517" operator="equal">
      <formula>3.2</formula>
    </cfRule>
    <cfRule type="cellIs" dxfId="1521" priority="518" operator="equal">
      <formula>3.1</formula>
    </cfRule>
    <cfRule type="cellIs" dxfId="1520" priority="519" operator="equal">
      <formula>2.4</formula>
    </cfRule>
    <cfRule type="cellIs" dxfId="1519" priority="520" operator="equal">
      <formula>2.3</formula>
    </cfRule>
    <cfRule type="cellIs" dxfId="1518" priority="521" operator="equal">
      <formula>2.2</formula>
    </cfRule>
    <cfRule type="cellIs" dxfId="1517" priority="522" operator="equal">
      <formula>2.1</formula>
    </cfRule>
    <cfRule type="cellIs" dxfId="1516" priority="523" operator="equal">
      <formula>1.5</formula>
    </cfRule>
    <cfRule type="cellIs" dxfId="1515" priority="524" operator="equal">
      <formula>1.4</formula>
    </cfRule>
    <cfRule type="cellIs" dxfId="1514" priority="525" operator="equal">
      <formula>1.3</formula>
    </cfRule>
    <cfRule type="cellIs" dxfId="1513" priority="526" operator="equal">
      <formula>1.2</formula>
    </cfRule>
    <cfRule type="containsText" dxfId="1512" priority="527" operator="containsText" text="1.1">
      <formula>NOT(ISERROR(SEARCH("1.1",H77)))</formula>
    </cfRule>
  </conditionalFormatting>
  <conditionalFormatting sqref="H132:L137">
    <cfRule type="containsBlanks" dxfId="1511" priority="438">
      <formula>LEN(TRIM(H132))=0</formula>
    </cfRule>
  </conditionalFormatting>
  <conditionalFormatting sqref="H84:K89">
    <cfRule type="containsBlanks" dxfId="1510" priority="474">
      <formula>LEN(TRIM(H84))=0</formula>
    </cfRule>
  </conditionalFormatting>
  <conditionalFormatting sqref="H84:K89">
    <cfRule type="cellIs" dxfId="1509" priority="457" operator="equal">
      <formula>4.4</formula>
    </cfRule>
    <cfRule type="cellIs" dxfId="1508" priority="458" operator="equal">
      <formula>4.3</formula>
    </cfRule>
    <cfRule type="cellIs" dxfId="1507" priority="459" operator="equal">
      <formula>4.2</formula>
    </cfRule>
    <cfRule type="cellIs" dxfId="1506" priority="460" operator="equal">
      <formula>4.1</formula>
    </cfRule>
    <cfRule type="cellIs" dxfId="1505" priority="461" operator="equal">
      <formula>3.4</formula>
    </cfRule>
    <cfRule type="cellIs" dxfId="1504" priority="462" operator="equal">
      <formula>3.3</formula>
    </cfRule>
    <cfRule type="cellIs" dxfId="1503" priority="463" operator="equal">
      <formula>3.2</formula>
    </cfRule>
    <cfRule type="cellIs" dxfId="1502" priority="464" operator="equal">
      <formula>3.1</formula>
    </cfRule>
    <cfRule type="cellIs" dxfId="1501" priority="465" operator="equal">
      <formula>2.4</formula>
    </cfRule>
    <cfRule type="cellIs" dxfId="1500" priority="466" operator="equal">
      <formula>2.3</formula>
    </cfRule>
    <cfRule type="cellIs" dxfId="1499" priority="467" operator="equal">
      <formula>2.2</formula>
    </cfRule>
    <cfRule type="cellIs" dxfId="1498" priority="468" operator="equal">
      <formula>2.1</formula>
    </cfRule>
    <cfRule type="cellIs" dxfId="1497" priority="469" operator="equal">
      <formula>1.5</formula>
    </cfRule>
    <cfRule type="cellIs" dxfId="1496" priority="470" operator="equal">
      <formula>1.4</formula>
    </cfRule>
    <cfRule type="cellIs" dxfId="1495" priority="471" operator="equal">
      <formula>1.3</formula>
    </cfRule>
    <cfRule type="cellIs" dxfId="1494" priority="472" operator="equal">
      <formula>1.2</formula>
    </cfRule>
    <cfRule type="containsText" dxfId="1493" priority="473" operator="containsText" text="1.1">
      <formula>NOT(ISERROR(SEARCH("1.1",H84)))</formula>
    </cfRule>
  </conditionalFormatting>
  <conditionalFormatting sqref="M132:M137">
    <cfRule type="containsBlanks" dxfId="1492" priority="456">
      <formula>LEN(TRIM(M132))=0</formula>
    </cfRule>
  </conditionalFormatting>
  <conditionalFormatting sqref="M132:M137">
    <cfRule type="cellIs" dxfId="1491" priority="439" operator="equal">
      <formula>4.4</formula>
    </cfRule>
    <cfRule type="cellIs" dxfId="1490" priority="440" operator="equal">
      <formula>4.3</formula>
    </cfRule>
    <cfRule type="cellIs" dxfId="1489" priority="441" operator="equal">
      <formula>4.2</formula>
    </cfRule>
    <cfRule type="cellIs" dxfId="1488" priority="442" operator="equal">
      <formula>4.1</formula>
    </cfRule>
    <cfRule type="cellIs" dxfId="1487" priority="443" operator="equal">
      <formula>3.4</formula>
    </cfRule>
    <cfRule type="cellIs" dxfId="1486" priority="444" operator="equal">
      <formula>3.3</formula>
    </cfRule>
    <cfRule type="cellIs" dxfId="1485" priority="445" operator="equal">
      <formula>3.2</formula>
    </cfRule>
    <cfRule type="cellIs" dxfId="1484" priority="446" operator="equal">
      <formula>3.1</formula>
    </cfRule>
    <cfRule type="cellIs" dxfId="1483" priority="447" operator="equal">
      <formula>2.4</formula>
    </cfRule>
    <cfRule type="cellIs" dxfId="1482" priority="448" operator="equal">
      <formula>2.3</formula>
    </cfRule>
    <cfRule type="cellIs" dxfId="1481" priority="449" operator="equal">
      <formula>2.2</formula>
    </cfRule>
    <cfRule type="cellIs" dxfId="1480" priority="450" operator="equal">
      <formula>2.1</formula>
    </cfRule>
    <cfRule type="cellIs" dxfId="1479" priority="451" operator="equal">
      <formula>1.5</formula>
    </cfRule>
    <cfRule type="cellIs" dxfId="1478" priority="452" operator="equal">
      <formula>1.4</formula>
    </cfRule>
    <cfRule type="cellIs" dxfId="1477" priority="453" operator="equal">
      <formula>1.3</formula>
    </cfRule>
    <cfRule type="cellIs" dxfId="1476" priority="454" operator="equal">
      <formula>1.2</formula>
    </cfRule>
    <cfRule type="containsText" dxfId="1475" priority="455" operator="containsText" text="1.1">
      <formula>NOT(ISERROR(SEARCH("1.1",M132)))</formula>
    </cfRule>
  </conditionalFormatting>
  <conditionalFormatting sqref="H145:I175">
    <cfRule type="containsBlanks" dxfId="1474" priority="420">
      <formula>LEN(TRIM(H145))=0</formula>
    </cfRule>
  </conditionalFormatting>
  <conditionalFormatting sqref="A145:I147 A172:I172 A173:E174 A148:G165 H148:I171 F173:I175">
    <cfRule type="cellIs" dxfId="1473" priority="403" operator="equal">
      <formula>4.4</formula>
    </cfRule>
    <cfRule type="cellIs" dxfId="1472" priority="404" operator="equal">
      <formula>4.3</formula>
    </cfRule>
    <cfRule type="cellIs" dxfId="1471" priority="405" operator="equal">
      <formula>4.2</formula>
    </cfRule>
    <cfRule type="cellIs" dxfId="1470" priority="406" operator="equal">
      <formula>4.1</formula>
    </cfRule>
    <cfRule type="cellIs" dxfId="1469" priority="407" operator="equal">
      <formula>3.4</formula>
    </cfRule>
    <cfRule type="cellIs" dxfId="1468" priority="408" operator="equal">
      <formula>3.3</formula>
    </cfRule>
    <cfRule type="cellIs" dxfId="1467" priority="409" operator="equal">
      <formula>3.2</formula>
    </cfRule>
    <cfRule type="cellIs" dxfId="1466" priority="410" operator="equal">
      <formula>3.1</formula>
    </cfRule>
    <cfRule type="cellIs" dxfId="1465" priority="411" operator="equal">
      <formula>2.4</formula>
    </cfRule>
    <cfRule type="cellIs" dxfId="1464" priority="412" operator="equal">
      <formula>2.3</formula>
    </cfRule>
    <cfRule type="cellIs" dxfId="1463" priority="413" operator="equal">
      <formula>2.2</formula>
    </cfRule>
    <cfRule type="cellIs" dxfId="1462" priority="414" operator="equal">
      <formula>2.1</formula>
    </cfRule>
    <cfRule type="cellIs" dxfId="1461" priority="415" operator="equal">
      <formula>1.5</formula>
    </cfRule>
    <cfRule type="cellIs" dxfId="1460" priority="416" operator="equal">
      <formula>1.4</formula>
    </cfRule>
    <cfRule type="cellIs" dxfId="1459" priority="417" operator="equal">
      <formula>1.3</formula>
    </cfRule>
    <cfRule type="cellIs" dxfId="1458" priority="418" operator="equal">
      <formula>1.2</formula>
    </cfRule>
    <cfRule type="containsText" dxfId="1457" priority="419" operator="containsText" text="1.1">
      <formula>NOT(ISERROR(SEARCH("1.1",A145)))</formula>
    </cfRule>
  </conditionalFormatting>
  <conditionalFormatting sqref="A180:A182 A186 A177:I179 F186:I187">
    <cfRule type="cellIs" dxfId="1456" priority="386" operator="equal">
      <formula>4.4</formula>
    </cfRule>
    <cfRule type="cellIs" dxfId="1455" priority="387" operator="equal">
      <formula>4.3</formula>
    </cfRule>
    <cfRule type="cellIs" dxfId="1454" priority="388" operator="equal">
      <formula>4.2</formula>
    </cfRule>
    <cfRule type="cellIs" dxfId="1453" priority="389" operator="equal">
      <formula>4.1</formula>
    </cfRule>
    <cfRule type="cellIs" dxfId="1452" priority="390" operator="equal">
      <formula>3.4</formula>
    </cfRule>
    <cfRule type="cellIs" dxfId="1451" priority="391" operator="equal">
      <formula>3.3</formula>
    </cfRule>
    <cfRule type="cellIs" dxfId="1450" priority="392" operator="equal">
      <formula>3.2</formula>
    </cfRule>
    <cfRule type="cellIs" dxfId="1449" priority="393" operator="equal">
      <formula>3.1</formula>
    </cfRule>
    <cfRule type="cellIs" dxfId="1448" priority="394" operator="equal">
      <formula>2.4</formula>
    </cfRule>
    <cfRule type="cellIs" dxfId="1447" priority="395" operator="equal">
      <formula>2.3</formula>
    </cfRule>
    <cfRule type="cellIs" dxfId="1446" priority="396" operator="equal">
      <formula>2.2</formula>
    </cfRule>
    <cfRule type="cellIs" dxfId="1445" priority="397" operator="equal">
      <formula>2.1</formula>
    </cfRule>
    <cfRule type="cellIs" dxfId="1444" priority="398" operator="equal">
      <formula>1.5</formula>
    </cfRule>
    <cfRule type="cellIs" dxfId="1443" priority="399" operator="equal">
      <formula>1.4</formula>
    </cfRule>
    <cfRule type="cellIs" dxfId="1442" priority="400" operator="equal">
      <formula>1.3</formula>
    </cfRule>
    <cfRule type="cellIs" dxfId="1441" priority="401" operator="equal">
      <formula>1.2</formula>
    </cfRule>
    <cfRule type="containsText" dxfId="1440" priority="402" operator="containsText" text="1.1">
      <formula>NOT(ISERROR(SEARCH("1.1",A177)))</formula>
    </cfRule>
  </conditionalFormatting>
  <conditionalFormatting sqref="H186:I187">
    <cfRule type="containsBlanks" dxfId="1439" priority="385">
      <formula>LEN(TRIM(H186))=0</formula>
    </cfRule>
  </conditionalFormatting>
  <conditionalFormatting sqref="B180:G182">
    <cfRule type="cellIs" dxfId="1438" priority="368" operator="equal">
      <formula>4.4</formula>
    </cfRule>
    <cfRule type="cellIs" dxfId="1437" priority="369" operator="equal">
      <formula>4.3</formula>
    </cfRule>
    <cfRule type="cellIs" dxfId="1436" priority="370" operator="equal">
      <formula>4.2</formula>
    </cfRule>
    <cfRule type="cellIs" dxfId="1435" priority="371" operator="equal">
      <formula>4.1</formula>
    </cfRule>
    <cfRule type="cellIs" dxfId="1434" priority="372" operator="equal">
      <formula>3.4</formula>
    </cfRule>
    <cfRule type="cellIs" dxfId="1433" priority="373" operator="equal">
      <formula>3.3</formula>
    </cfRule>
    <cfRule type="cellIs" dxfId="1432" priority="374" operator="equal">
      <formula>3.2</formula>
    </cfRule>
    <cfRule type="cellIs" dxfId="1431" priority="375" operator="equal">
      <formula>3.1</formula>
    </cfRule>
    <cfRule type="cellIs" dxfId="1430" priority="376" operator="equal">
      <formula>2.4</formula>
    </cfRule>
    <cfRule type="cellIs" dxfId="1429" priority="377" operator="equal">
      <formula>2.3</formula>
    </cfRule>
    <cfRule type="cellIs" dxfId="1428" priority="378" operator="equal">
      <formula>2.2</formula>
    </cfRule>
    <cfRule type="cellIs" dxfId="1427" priority="379" operator="equal">
      <formula>2.1</formula>
    </cfRule>
    <cfRule type="cellIs" dxfId="1426" priority="380" operator="equal">
      <formula>1.5</formula>
    </cfRule>
    <cfRule type="cellIs" dxfId="1425" priority="381" operator="equal">
      <formula>1.4</formula>
    </cfRule>
    <cfRule type="cellIs" dxfId="1424" priority="382" operator="equal">
      <formula>1.3</formula>
    </cfRule>
    <cfRule type="cellIs" dxfId="1423" priority="383" operator="equal">
      <formula>1.2</formula>
    </cfRule>
    <cfRule type="containsText" dxfId="1422" priority="384" operator="containsText" text="1.1">
      <formula>NOT(ISERROR(SEARCH("1.1",B180)))</formula>
    </cfRule>
  </conditionalFormatting>
  <conditionalFormatting sqref="A166:G168">
    <cfRule type="cellIs" dxfId="1421" priority="351" operator="equal">
      <formula>4.4</formula>
    </cfRule>
    <cfRule type="cellIs" dxfId="1420" priority="352" operator="equal">
      <formula>4.3</formula>
    </cfRule>
    <cfRule type="cellIs" dxfId="1419" priority="353" operator="equal">
      <formula>4.2</formula>
    </cfRule>
    <cfRule type="cellIs" dxfId="1418" priority="354" operator="equal">
      <formula>4.1</formula>
    </cfRule>
    <cfRule type="cellIs" dxfId="1417" priority="355" operator="equal">
      <formula>3.4</formula>
    </cfRule>
    <cfRule type="cellIs" dxfId="1416" priority="356" operator="equal">
      <formula>3.3</formula>
    </cfRule>
    <cfRule type="cellIs" dxfId="1415" priority="357" operator="equal">
      <formula>3.2</formula>
    </cfRule>
    <cfRule type="cellIs" dxfId="1414" priority="358" operator="equal">
      <formula>3.1</formula>
    </cfRule>
    <cfRule type="cellIs" dxfId="1413" priority="359" operator="equal">
      <formula>2.4</formula>
    </cfRule>
    <cfRule type="cellIs" dxfId="1412" priority="360" operator="equal">
      <formula>2.3</formula>
    </cfRule>
    <cfRule type="cellIs" dxfId="1411" priority="361" operator="equal">
      <formula>2.2</formula>
    </cfRule>
    <cfRule type="cellIs" dxfId="1410" priority="362" operator="equal">
      <formula>2.1</formula>
    </cfRule>
    <cfRule type="cellIs" dxfId="1409" priority="363" operator="equal">
      <formula>1.5</formula>
    </cfRule>
    <cfRule type="cellIs" dxfId="1408" priority="364" operator="equal">
      <formula>1.4</formula>
    </cfRule>
    <cfRule type="cellIs" dxfId="1407" priority="365" operator="equal">
      <formula>1.3</formula>
    </cfRule>
    <cfRule type="cellIs" dxfId="1406" priority="366" operator="equal">
      <formula>1.2</formula>
    </cfRule>
    <cfRule type="containsText" dxfId="1405" priority="367" operator="containsText" text="1.1">
      <formula>NOT(ISERROR(SEARCH("1.1",A166)))</formula>
    </cfRule>
  </conditionalFormatting>
  <conditionalFormatting sqref="B169:G171">
    <cfRule type="cellIs" dxfId="1404" priority="317" operator="equal">
      <formula>4.4</formula>
    </cfRule>
    <cfRule type="cellIs" dxfId="1403" priority="318" operator="equal">
      <formula>4.3</formula>
    </cfRule>
    <cfRule type="cellIs" dxfId="1402" priority="319" operator="equal">
      <formula>4.2</formula>
    </cfRule>
    <cfRule type="cellIs" dxfId="1401" priority="320" operator="equal">
      <formula>4.1</formula>
    </cfRule>
    <cfRule type="cellIs" dxfId="1400" priority="321" operator="equal">
      <formula>3.4</formula>
    </cfRule>
    <cfRule type="cellIs" dxfId="1399" priority="322" operator="equal">
      <formula>3.3</formula>
    </cfRule>
    <cfRule type="cellIs" dxfId="1398" priority="323" operator="equal">
      <formula>3.2</formula>
    </cfRule>
    <cfRule type="cellIs" dxfId="1397" priority="324" operator="equal">
      <formula>3.1</formula>
    </cfRule>
    <cfRule type="cellIs" dxfId="1396" priority="325" operator="equal">
      <formula>2.4</formula>
    </cfRule>
    <cfRule type="cellIs" dxfId="1395" priority="326" operator="equal">
      <formula>2.3</formula>
    </cfRule>
    <cfRule type="cellIs" dxfId="1394" priority="327" operator="equal">
      <formula>2.2</formula>
    </cfRule>
    <cfRule type="cellIs" dxfId="1393" priority="328" operator="equal">
      <formula>2.1</formula>
    </cfRule>
    <cfRule type="cellIs" dxfId="1392" priority="329" operator="equal">
      <formula>1.5</formula>
    </cfRule>
    <cfRule type="cellIs" dxfId="1391" priority="330" operator="equal">
      <formula>1.4</formula>
    </cfRule>
    <cfRule type="cellIs" dxfId="1390" priority="331" operator="equal">
      <formula>1.3</formula>
    </cfRule>
    <cfRule type="cellIs" dxfId="1389" priority="332" operator="equal">
      <formula>1.2</formula>
    </cfRule>
    <cfRule type="containsText" dxfId="1388" priority="333" operator="containsText" text="1.1">
      <formula>NOT(ISERROR(SEARCH("1.1",B169)))</formula>
    </cfRule>
  </conditionalFormatting>
  <conditionalFormatting sqref="A169:A171">
    <cfRule type="cellIs" dxfId="1387" priority="334" operator="equal">
      <formula>4.4</formula>
    </cfRule>
    <cfRule type="cellIs" dxfId="1386" priority="335" operator="equal">
      <formula>4.3</formula>
    </cfRule>
    <cfRule type="cellIs" dxfId="1385" priority="336" operator="equal">
      <formula>4.2</formula>
    </cfRule>
    <cfRule type="cellIs" dxfId="1384" priority="337" operator="equal">
      <formula>4.1</formula>
    </cfRule>
    <cfRule type="cellIs" dxfId="1383" priority="338" operator="equal">
      <formula>3.4</formula>
    </cfRule>
    <cfRule type="cellIs" dxfId="1382" priority="339" operator="equal">
      <formula>3.3</formula>
    </cfRule>
    <cfRule type="cellIs" dxfId="1381" priority="340" operator="equal">
      <formula>3.2</formula>
    </cfRule>
    <cfRule type="cellIs" dxfId="1380" priority="341" operator="equal">
      <formula>3.1</formula>
    </cfRule>
    <cfRule type="cellIs" dxfId="1379" priority="342" operator="equal">
      <formula>2.4</formula>
    </cfRule>
    <cfRule type="cellIs" dxfId="1378" priority="343" operator="equal">
      <formula>2.3</formula>
    </cfRule>
    <cfRule type="cellIs" dxfId="1377" priority="344" operator="equal">
      <formula>2.2</formula>
    </cfRule>
    <cfRule type="cellIs" dxfId="1376" priority="345" operator="equal">
      <formula>2.1</formula>
    </cfRule>
    <cfRule type="cellIs" dxfId="1375" priority="346" operator="equal">
      <formula>1.5</formula>
    </cfRule>
    <cfRule type="cellIs" dxfId="1374" priority="347" operator="equal">
      <formula>1.4</formula>
    </cfRule>
    <cfRule type="cellIs" dxfId="1373" priority="348" operator="equal">
      <formula>1.3</formula>
    </cfRule>
    <cfRule type="cellIs" dxfId="1372" priority="349" operator="equal">
      <formula>1.2</formula>
    </cfRule>
    <cfRule type="containsText" dxfId="1371" priority="350" operator="containsText" text="1.1">
      <formula>NOT(ISERROR(SEARCH("1.1",A169)))</formula>
    </cfRule>
  </conditionalFormatting>
  <conditionalFormatting sqref="B183:G185">
    <cfRule type="cellIs" dxfId="1370" priority="283" operator="equal">
      <formula>4.4</formula>
    </cfRule>
    <cfRule type="cellIs" dxfId="1369" priority="284" operator="equal">
      <formula>4.3</formula>
    </cfRule>
    <cfRule type="cellIs" dxfId="1368" priority="285" operator="equal">
      <formula>4.2</formula>
    </cfRule>
    <cfRule type="cellIs" dxfId="1367" priority="286" operator="equal">
      <formula>4.1</formula>
    </cfRule>
    <cfRule type="cellIs" dxfId="1366" priority="287" operator="equal">
      <formula>3.4</formula>
    </cfRule>
    <cfRule type="cellIs" dxfId="1365" priority="288" operator="equal">
      <formula>3.3</formula>
    </cfRule>
    <cfRule type="cellIs" dxfId="1364" priority="289" operator="equal">
      <formula>3.2</formula>
    </cfRule>
    <cfRule type="cellIs" dxfId="1363" priority="290" operator="equal">
      <formula>3.1</formula>
    </cfRule>
    <cfRule type="cellIs" dxfId="1362" priority="291" operator="equal">
      <formula>2.4</formula>
    </cfRule>
    <cfRule type="cellIs" dxfId="1361" priority="292" operator="equal">
      <formula>2.3</formula>
    </cfRule>
    <cfRule type="cellIs" dxfId="1360" priority="293" operator="equal">
      <formula>2.2</formula>
    </cfRule>
    <cfRule type="cellIs" dxfId="1359" priority="294" operator="equal">
      <formula>2.1</formula>
    </cfRule>
    <cfRule type="cellIs" dxfId="1358" priority="295" operator="equal">
      <formula>1.5</formula>
    </cfRule>
    <cfRule type="cellIs" dxfId="1357" priority="296" operator="equal">
      <formula>1.4</formula>
    </cfRule>
    <cfRule type="cellIs" dxfId="1356" priority="297" operator="equal">
      <formula>1.3</formula>
    </cfRule>
    <cfRule type="cellIs" dxfId="1355" priority="298" operator="equal">
      <formula>1.2</formula>
    </cfRule>
    <cfRule type="containsText" dxfId="1354" priority="299" operator="containsText" text="1.1">
      <formula>NOT(ISERROR(SEARCH("1.1",B183)))</formula>
    </cfRule>
  </conditionalFormatting>
  <conditionalFormatting sqref="A183:A185">
    <cfRule type="cellIs" dxfId="1353" priority="300" operator="equal">
      <formula>4.4</formula>
    </cfRule>
    <cfRule type="cellIs" dxfId="1352" priority="301" operator="equal">
      <formula>4.3</formula>
    </cfRule>
    <cfRule type="cellIs" dxfId="1351" priority="302" operator="equal">
      <formula>4.2</formula>
    </cfRule>
    <cfRule type="cellIs" dxfId="1350" priority="303" operator="equal">
      <formula>4.1</formula>
    </cfRule>
    <cfRule type="cellIs" dxfId="1349" priority="304" operator="equal">
      <formula>3.4</formula>
    </cfRule>
    <cfRule type="cellIs" dxfId="1348" priority="305" operator="equal">
      <formula>3.3</formula>
    </cfRule>
    <cfRule type="cellIs" dxfId="1347" priority="306" operator="equal">
      <formula>3.2</formula>
    </cfRule>
    <cfRule type="cellIs" dxfId="1346" priority="307" operator="equal">
      <formula>3.1</formula>
    </cfRule>
    <cfRule type="cellIs" dxfId="1345" priority="308" operator="equal">
      <formula>2.4</formula>
    </cfRule>
    <cfRule type="cellIs" dxfId="1344" priority="309" operator="equal">
      <formula>2.3</formula>
    </cfRule>
    <cfRule type="cellIs" dxfId="1343" priority="310" operator="equal">
      <formula>2.2</formula>
    </cfRule>
    <cfRule type="cellIs" dxfId="1342" priority="311" operator="equal">
      <formula>2.1</formula>
    </cfRule>
    <cfRule type="cellIs" dxfId="1341" priority="312" operator="equal">
      <formula>1.5</formula>
    </cfRule>
    <cfRule type="cellIs" dxfId="1340" priority="313" operator="equal">
      <formula>1.4</formula>
    </cfRule>
    <cfRule type="cellIs" dxfId="1339" priority="314" operator="equal">
      <formula>1.3</formula>
    </cfRule>
    <cfRule type="cellIs" dxfId="1338" priority="315" operator="equal">
      <formula>1.2</formula>
    </cfRule>
    <cfRule type="containsText" dxfId="1337" priority="316" operator="containsText" text="1.1">
      <formula>NOT(ISERROR(SEARCH("1.1",A183)))</formula>
    </cfRule>
  </conditionalFormatting>
  <conditionalFormatting sqref="H142:I144">
    <cfRule type="cellIs" dxfId="1336" priority="266" operator="equal">
      <formula>4.4</formula>
    </cfRule>
    <cfRule type="cellIs" dxfId="1335" priority="267" operator="equal">
      <formula>4.3</formula>
    </cfRule>
    <cfRule type="cellIs" dxfId="1334" priority="268" operator="equal">
      <formula>4.2</formula>
    </cfRule>
    <cfRule type="cellIs" dxfId="1333" priority="269" operator="equal">
      <formula>4.1</formula>
    </cfRule>
    <cfRule type="cellIs" dxfId="1332" priority="270" operator="equal">
      <formula>3.4</formula>
    </cfRule>
    <cfRule type="cellIs" dxfId="1331" priority="271" operator="equal">
      <formula>3.3</formula>
    </cfRule>
    <cfRule type="cellIs" dxfId="1330" priority="272" operator="equal">
      <formula>3.2</formula>
    </cfRule>
    <cfRule type="cellIs" dxfId="1329" priority="273" operator="equal">
      <formula>3.1</formula>
    </cfRule>
    <cfRule type="cellIs" dxfId="1328" priority="274" operator="equal">
      <formula>2.4</formula>
    </cfRule>
    <cfRule type="cellIs" dxfId="1327" priority="275" operator="equal">
      <formula>2.3</formula>
    </cfRule>
    <cfRule type="cellIs" dxfId="1326" priority="276" operator="equal">
      <formula>2.2</formula>
    </cfRule>
    <cfRule type="cellIs" dxfId="1325" priority="277" operator="equal">
      <formula>2.1</formula>
    </cfRule>
    <cfRule type="cellIs" dxfId="1324" priority="278" operator="equal">
      <formula>1.5</formula>
    </cfRule>
    <cfRule type="cellIs" dxfId="1323" priority="279" operator="equal">
      <formula>1.4</formula>
    </cfRule>
    <cfRule type="cellIs" dxfId="1322" priority="280" operator="equal">
      <formula>1.3</formula>
    </cfRule>
    <cfRule type="cellIs" dxfId="1321" priority="281" operator="equal">
      <formula>1.2</formula>
    </cfRule>
    <cfRule type="containsText" dxfId="1320" priority="282" operator="containsText" text="1.1">
      <formula>NOT(ISERROR(SEARCH("1.1",H142)))</formula>
    </cfRule>
  </conditionalFormatting>
  <conditionalFormatting sqref="A142:G144">
    <cfRule type="cellIs" dxfId="1319" priority="249" operator="equal">
      <formula>4.4</formula>
    </cfRule>
    <cfRule type="cellIs" dxfId="1318" priority="250" operator="equal">
      <formula>4.3</formula>
    </cfRule>
    <cfRule type="cellIs" dxfId="1317" priority="251" operator="equal">
      <formula>4.2</formula>
    </cfRule>
    <cfRule type="cellIs" dxfId="1316" priority="252" operator="equal">
      <formula>4.1</formula>
    </cfRule>
    <cfRule type="cellIs" dxfId="1315" priority="253" operator="equal">
      <formula>3.4</formula>
    </cfRule>
    <cfRule type="cellIs" dxfId="1314" priority="254" operator="equal">
      <formula>3.3</formula>
    </cfRule>
    <cfRule type="cellIs" dxfId="1313" priority="255" operator="equal">
      <formula>3.2</formula>
    </cfRule>
    <cfRule type="cellIs" dxfId="1312" priority="256" operator="equal">
      <formula>3.1</formula>
    </cfRule>
    <cfRule type="cellIs" dxfId="1311" priority="257" operator="equal">
      <formula>2.4</formula>
    </cfRule>
    <cfRule type="cellIs" dxfId="1310" priority="258" operator="equal">
      <formula>2.3</formula>
    </cfRule>
    <cfRule type="cellIs" dxfId="1309" priority="259" operator="equal">
      <formula>2.2</formula>
    </cfRule>
    <cfRule type="cellIs" dxfId="1308" priority="260" operator="equal">
      <formula>2.1</formula>
    </cfRule>
    <cfRule type="cellIs" dxfId="1307" priority="261" operator="equal">
      <formula>1.5</formula>
    </cfRule>
    <cfRule type="cellIs" dxfId="1306" priority="262" operator="equal">
      <formula>1.4</formula>
    </cfRule>
    <cfRule type="cellIs" dxfId="1305" priority="263" operator="equal">
      <formula>1.3</formula>
    </cfRule>
    <cfRule type="cellIs" dxfId="1304" priority="264" operator="equal">
      <formula>1.2</formula>
    </cfRule>
    <cfRule type="containsText" dxfId="1303" priority="265" operator="containsText" text="1.1">
      <formula>NOT(ISERROR(SEARCH("1.1",A142)))</formula>
    </cfRule>
  </conditionalFormatting>
  <conditionalFormatting sqref="H180:I185">
    <cfRule type="containsBlanks" dxfId="1302" priority="230">
      <formula>LEN(TRIM(H180))=0</formula>
    </cfRule>
  </conditionalFormatting>
  <conditionalFormatting sqref="H180:I185">
    <cfRule type="cellIs" dxfId="1301" priority="213" operator="equal">
      <formula>4.4</formula>
    </cfRule>
    <cfRule type="cellIs" dxfId="1300" priority="214" operator="equal">
      <formula>4.3</formula>
    </cfRule>
    <cfRule type="cellIs" dxfId="1299" priority="215" operator="equal">
      <formula>4.2</formula>
    </cfRule>
    <cfRule type="cellIs" dxfId="1298" priority="216" operator="equal">
      <formula>4.1</formula>
    </cfRule>
    <cfRule type="cellIs" dxfId="1297" priority="217" operator="equal">
      <formula>3.4</formula>
    </cfRule>
    <cfRule type="cellIs" dxfId="1296" priority="218" operator="equal">
      <formula>3.3</formula>
    </cfRule>
    <cfRule type="cellIs" dxfId="1295" priority="219" operator="equal">
      <formula>3.2</formula>
    </cfRule>
    <cfRule type="cellIs" dxfId="1294" priority="220" operator="equal">
      <formula>3.1</formula>
    </cfRule>
    <cfRule type="cellIs" dxfId="1293" priority="221" operator="equal">
      <formula>2.4</formula>
    </cfRule>
    <cfRule type="cellIs" dxfId="1292" priority="222" operator="equal">
      <formula>2.3</formula>
    </cfRule>
    <cfRule type="cellIs" dxfId="1291" priority="223" operator="equal">
      <formula>2.2</formula>
    </cfRule>
    <cfRule type="cellIs" dxfId="1290" priority="224" operator="equal">
      <formula>2.1</formula>
    </cfRule>
    <cfRule type="cellIs" dxfId="1289" priority="225" operator="equal">
      <formula>1.5</formula>
    </cfRule>
    <cfRule type="cellIs" dxfId="1288" priority="226" operator="equal">
      <formula>1.4</formula>
    </cfRule>
    <cfRule type="cellIs" dxfId="1287" priority="227" operator="equal">
      <formula>1.3</formula>
    </cfRule>
    <cfRule type="cellIs" dxfId="1286" priority="228" operator="equal">
      <formula>1.2</formula>
    </cfRule>
    <cfRule type="containsText" dxfId="1285" priority="229" operator="containsText" text="1.1">
      <formula>NOT(ISERROR(SEARCH("1.1",H180)))</formula>
    </cfRule>
  </conditionalFormatting>
  <conditionalFormatting sqref="M227:M232">
    <cfRule type="containsBlanks" dxfId="1284" priority="212">
      <formula>LEN(TRIM(M227))=0</formula>
    </cfRule>
  </conditionalFormatting>
  <conditionalFormatting sqref="M227:M232">
    <cfRule type="cellIs" dxfId="1283" priority="195" operator="equal">
      <formula>4.4</formula>
    </cfRule>
    <cfRule type="cellIs" dxfId="1282" priority="196" operator="equal">
      <formula>4.3</formula>
    </cfRule>
    <cfRule type="cellIs" dxfId="1281" priority="197" operator="equal">
      <formula>4.2</formula>
    </cfRule>
    <cfRule type="cellIs" dxfId="1280" priority="198" operator="equal">
      <formula>4.1</formula>
    </cfRule>
    <cfRule type="cellIs" dxfId="1279" priority="199" operator="equal">
      <formula>3.4</formula>
    </cfRule>
    <cfRule type="cellIs" dxfId="1278" priority="200" operator="equal">
      <formula>3.3</formula>
    </cfRule>
    <cfRule type="cellIs" dxfId="1277" priority="201" operator="equal">
      <formula>3.2</formula>
    </cfRule>
    <cfRule type="cellIs" dxfId="1276" priority="202" operator="equal">
      <formula>3.1</formula>
    </cfRule>
    <cfRule type="cellIs" dxfId="1275" priority="203" operator="equal">
      <formula>2.4</formula>
    </cfRule>
    <cfRule type="cellIs" dxfId="1274" priority="204" operator="equal">
      <formula>2.3</formula>
    </cfRule>
    <cfRule type="cellIs" dxfId="1273" priority="205" operator="equal">
      <formula>2.2</formula>
    </cfRule>
    <cfRule type="cellIs" dxfId="1272" priority="206" operator="equal">
      <formula>2.1</formula>
    </cfRule>
    <cfRule type="cellIs" dxfId="1271" priority="207" operator="equal">
      <formula>1.5</formula>
    </cfRule>
    <cfRule type="cellIs" dxfId="1270" priority="208" operator="equal">
      <formula>1.4</formula>
    </cfRule>
    <cfRule type="cellIs" dxfId="1269" priority="209" operator="equal">
      <formula>1.3</formula>
    </cfRule>
    <cfRule type="cellIs" dxfId="1268" priority="210" operator="equal">
      <formula>1.2</formula>
    </cfRule>
    <cfRule type="containsText" dxfId="1267" priority="211" operator="containsText" text="1.1">
      <formula>NOT(ISERROR(SEARCH("1.1",M227)))</formula>
    </cfRule>
  </conditionalFormatting>
  <conditionalFormatting sqref="H227:L232">
    <cfRule type="containsBlanks" dxfId="1266" priority="194">
      <formula>LEN(TRIM(H227))=0</formula>
    </cfRule>
  </conditionalFormatting>
  <conditionalFormatting sqref="H227:L232">
    <cfRule type="cellIs" dxfId="1265" priority="177" operator="equal">
      <formula>4.4</formula>
    </cfRule>
    <cfRule type="cellIs" dxfId="1264" priority="178" operator="equal">
      <formula>4.3</formula>
    </cfRule>
    <cfRule type="cellIs" dxfId="1263" priority="179" operator="equal">
      <formula>4.2</formula>
    </cfRule>
    <cfRule type="cellIs" dxfId="1262" priority="180" operator="equal">
      <formula>4.1</formula>
    </cfRule>
    <cfRule type="cellIs" dxfId="1261" priority="181" operator="equal">
      <formula>3.4</formula>
    </cfRule>
    <cfRule type="cellIs" dxfId="1260" priority="182" operator="equal">
      <formula>3.3</formula>
    </cfRule>
    <cfRule type="cellIs" dxfId="1259" priority="183" operator="equal">
      <formula>3.2</formula>
    </cfRule>
    <cfRule type="cellIs" dxfId="1258" priority="184" operator="equal">
      <formula>3.1</formula>
    </cfRule>
    <cfRule type="cellIs" dxfId="1257" priority="185" operator="equal">
      <formula>2.4</formula>
    </cfRule>
    <cfRule type="cellIs" dxfId="1256" priority="186" operator="equal">
      <formula>2.3</formula>
    </cfRule>
    <cfRule type="cellIs" dxfId="1255" priority="187" operator="equal">
      <formula>2.2</formula>
    </cfRule>
    <cfRule type="cellIs" dxfId="1254" priority="188" operator="equal">
      <formula>2.1</formula>
    </cfRule>
    <cfRule type="cellIs" dxfId="1253" priority="189" operator="equal">
      <formula>1.5</formula>
    </cfRule>
    <cfRule type="cellIs" dxfId="1252" priority="190" operator="equal">
      <formula>1.4</formula>
    </cfRule>
    <cfRule type="cellIs" dxfId="1251" priority="191" operator="equal">
      <formula>1.3</formula>
    </cfRule>
    <cfRule type="cellIs" dxfId="1250" priority="192" operator="equal">
      <formula>1.2</formula>
    </cfRule>
    <cfRule type="containsText" dxfId="1249" priority="193" operator="containsText" text="1.1">
      <formula>NOT(ISERROR(SEARCH("1.1",H227)))</formula>
    </cfRule>
  </conditionalFormatting>
  <conditionalFormatting sqref="H277:M282">
    <cfRule type="cellIs" dxfId="1248" priority="159" operator="equal">
      <formula>4.4</formula>
    </cfRule>
    <cfRule type="cellIs" dxfId="1247" priority="160" operator="equal">
      <formula>4.3</formula>
    </cfRule>
    <cfRule type="cellIs" dxfId="1246" priority="161" operator="equal">
      <formula>4.2</formula>
    </cfRule>
    <cfRule type="cellIs" dxfId="1245" priority="162" operator="equal">
      <formula>4.1</formula>
    </cfRule>
    <cfRule type="cellIs" dxfId="1244" priority="163" operator="equal">
      <formula>3.4</formula>
    </cfRule>
    <cfRule type="cellIs" dxfId="1243" priority="164" operator="equal">
      <formula>3.3</formula>
    </cfRule>
    <cfRule type="cellIs" dxfId="1242" priority="165" operator="equal">
      <formula>3.2</formula>
    </cfRule>
    <cfRule type="cellIs" dxfId="1241" priority="166" operator="equal">
      <formula>3.1</formula>
    </cfRule>
    <cfRule type="cellIs" dxfId="1240" priority="167" operator="equal">
      <formula>2.4</formula>
    </cfRule>
    <cfRule type="cellIs" dxfId="1239" priority="168" operator="equal">
      <formula>2.3</formula>
    </cfRule>
    <cfRule type="cellIs" dxfId="1238" priority="169" operator="equal">
      <formula>2.2</formula>
    </cfRule>
    <cfRule type="cellIs" dxfId="1237" priority="170" operator="equal">
      <formula>2.1</formula>
    </cfRule>
    <cfRule type="cellIs" dxfId="1236" priority="171" operator="equal">
      <formula>1.5</formula>
    </cfRule>
    <cfRule type="cellIs" dxfId="1235" priority="172" operator="equal">
      <formula>1.4</formula>
    </cfRule>
    <cfRule type="cellIs" dxfId="1234" priority="173" operator="equal">
      <formula>1.3</formula>
    </cfRule>
    <cfRule type="cellIs" dxfId="1233" priority="174" operator="equal">
      <formula>1.2</formula>
    </cfRule>
    <cfRule type="containsText" dxfId="1232" priority="175" operator="containsText" text="1.1">
      <formula>NOT(ISERROR(SEARCH("1.1",H277)))</formula>
    </cfRule>
  </conditionalFormatting>
  <conditionalFormatting sqref="H277:M282">
    <cfRule type="containsBlanks" dxfId="1231" priority="176">
      <formula>LEN(TRIM(H277))=0</formula>
    </cfRule>
  </conditionalFormatting>
  <conditionalFormatting sqref="H270:M273">
    <cfRule type="containsBlanks" dxfId="1230" priority="158">
      <formula>LEN(TRIM(H270))=0</formula>
    </cfRule>
  </conditionalFormatting>
  <conditionalFormatting sqref="H270:M273">
    <cfRule type="cellIs" dxfId="1229" priority="141" operator="equal">
      <formula>4.4</formula>
    </cfRule>
    <cfRule type="cellIs" dxfId="1228" priority="142" operator="equal">
      <formula>4.3</formula>
    </cfRule>
    <cfRule type="cellIs" dxfId="1227" priority="143" operator="equal">
      <formula>4.2</formula>
    </cfRule>
    <cfRule type="cellIs" dxfId="1226" priority="144" operator="equal">
      <formula>4.1</formula>
    </cfRule>
    <cfRule type="cellIs" dxfId="1225" priority="145" operator="equal">
      <formula>3.4</formula>
    </cfRule>
    <cfRule type="cellIs" dxfId="1224" priority="146" operator="equal">
      <formula>3.3</formula>
    </cfRule>
    <cfRule type="cellIs" dxfId="1223" priority="147" operator="equal">
      <formula>3.2</formula>
    </cfRule>
    <cfRule type="cellIs" dxfId="1222" priority="148" operator="equal">
      <formula>3.1</formula>
    </cfRule>
    <cfRule type="cellIs" dxfId="1221" priority="149" operator="equal">
      <formula>2.4</formula>
    </cfRule>
    <cfRule type="cellIs" dxfId="1220" priority="150" operator="equal">
      <formula>2.3</formula>
    </cfRule>
    <cfRule type="cellIs" dxfId="1219" priority="151" operator="equal">
      <formula>2.2</formula>
    </cfRule>
    <cfRule type="cellIs" dxfId="1218" priority="152" operator="equal">
      <formula>2.1</formula>
    </cfRule>
    <cfRule type="cellIs" dxfId="1217" priority="153" operator="equal">
      <formula>1.5</formula>
    </cfRule>
    <cfRule type="cellIs" dxfId="1216" priority="154" operator="equal">
      <formula>1.4</formula>
    </cfRule>
    <cfRule type="cellIs" dxfId="1215" priority="155" operator="equal">
      <formula>1.3</formula>
    </cfRule>
    <cfRule type="cellIs" dxfId="1214" priority="156" operator="equal">
      <formula>1.2</formula>
    </cfRule>
    <cfRule type="containsText" dxfId="1213" priority="157" operator="containsText" text="1.1">
      <formula>NOT(ISERROR(SEARCH("1.1",H270)))</formula>
    </cfRule>
  </conditionalFormatting>
  <conditionalFormatting sqref="H283:M284">
    <cfRule type="cellIs" dxfId="1212" priority="124" operator="equal">
      <formula>4.4</formula>
    </cfRule>
    <cfRule type="cellIs" dxfId="1211" priority="125" operator="equal">
      <formula>4.3</formula>
    </cfRule>
    <cfRule type="cellIs" dxfId="1210" priority="126" operator="equal">
      <formula>4.2</formula>
    </cfRule>
    <cfRule type="cellIs" dxfId="1209" priority="127" operator="equal">
      <formula>4.1</formula>
    </cfRule>
    <cfRule type="cellIs" dxfId="1208" priority="128" operator="equal">
      <formula>3.4</formula>
    </cfRule>
    <cfRule type="cellIs" dxfId="1207" priority="129" operator="equal">
      <formula>3.3</formula>
    </cfRule>
    <cfRule type="cellIs" dxfId="1206" priority="130" operator="equal">
      <formula>3.2</formula>
    </cfRule>
    <cfRule type="cellIs" dxfId="1205" priority="131" operator="equal">
      <formula>3.1</formula>
    </cfRule>
    <cfRule type="cellIs" dxfId="1204" priority="132" operator="equal">
      <formula>2.4</formula>
    </cfRule>
    <cfRule type="cellIs" dxfId="1203" priority="133" operator="equal">
      <formula>2.3</formula>
    </cfRule>
    <cfRule type="cellIs" dxfId="1202" priority="134" operator="equal">
      <formula>2.2</formula>
    </cfRule>
    <cfRule type="cellIs" dxfId="1201" priority="135" operator="equal">
      <formula>2.1</formula>
    </cfRule>
    <cfRule type="cellIs" dxfId="1200" priority="136" operator="equal">
      <formula>1.5</formula>
    </cfRule>
    <cfRule type="cellIs" dxfId="1199" priority="137" operator="equal">
      <formula>1.4</formula>
    </cfRule>
    <cfRule type="cellIs" dxfId="1198" priority="138" operator="equal">
      <formula>1.3</formula>
    </cfRule>
    <cfRule type="cellIs" dxfId="1197" priority="139" operator="equal">
      <formula>1.2</formula>
    </cfRule>
    <cfRule type="containsText" dxfId="1196" priority="140" operator="containsText" text="1.1">
      <formula>NOT(ISERROR(SEARCH("1.1",H283)))</formula>
    </cfRule>
  </conditionalFormatting>
  <conditionalFormatting sqref="H283:M284">
    <cfRule type="containsBlanks" dxfId="1195" priority="123">
      <formula>LEN(TRIM(H283))=0</formula>
    </cfRule>
  </conditionalFormatting>
  <conditionalFormatting sqref="H320:K323">
    <cfRule type="containsBlanks" dxfId="1194" priority="122">
      <formula>LEN(TRIM(H320))=0</formula>
    </cfRule>
  </conditionalFormatting>
  <conditionalFormatting sqref="H320:K323">
    <cfRule type="cellIs" dxfId="1193" priority="105" operator="equal">
      <formula>4.4</formula>
    </cfRule>
    <cfRule type="cellIs" dxfId="1192" priority="106" operator="equal">
      <formula>4.3</formula>
    </cfRule>
    <cfRule type="cellIs" dxfId="1191" priority="107" operator="equal">
      <formula>4.2</formula>
    </cfRule>
    <cfRule type="cellIs" dxfId="1190" priority="108" operator="equal">
      <formula>4.1</formula>
    </cfRule>
    <cfRule type="cellIs" dxfId="1189" priority="109" operator="equal">
      <formula>3.4</formula>
    </cfRule>
    <cfRule type="cellIs" dxfId="1188" priority="110" operator="equal">
      <formula>3.3</formula>
    </cfRule>
    <cfRule type="cellIs" dxfId="1187" priority="111" operator="equal">
      <formula>3.2</formula>
    </cfRule>
    <cfRule type="cellIs" dxfId="1186" priority="112" operator="equal">
      <formula>3.1</formula>
    </cfRule>
    <cfRule type="cellIs" dxfId="1185" priority="113" operator="equal">
      <formula>2.4</formula>
    </cfRule>
    <cfRule type="cellIs" dxfId="1184" priority="114" operator="equal">
      <formula>2.3</formula>
    </cfRule>
    <cfRule type="cellIs" dxfId="1183" priority="115" operator="equal">
      <formula>2.2</formula>
    </cfRule>
    <cfRule type="cellIs" dxfId="1182" priority="116" operator="equal">
      <formula>2.1</formula>
    </cfRule>
    <cfRule type="cellIs" dxfId="1181" priority="117" operator="equal">
      <formula>1.5</formula>
    </cfRule>
    <cfRule type="cellIs" dxfId="1180" priority="118" operator="equal">
      <formula>1.4</formula>
    </cfRule>
    <cfRule type="cellIs" dxfId="1179" priority="119" operator="equal">
      <formula>1.3</formula>
    </cfRule>
    <cfRule type="cellIs" dxfId="1178" priority="120" operator="equal">
      <formula>1.2</formula>
    </cfRule>
    <cfRule type="containsText" dxfId="1177" priority="121" operator="containsText" text="1.1">
      <formula>NOT(ISERROR(SEARCH("1.1",H320)))</formula>
    </cfRule>
  </conditionalFormatting>
  <conditionalFormatting sqref="H327:K332">
    <cfRule type="containsBlanks" dxfId="1176" priority="104">
      <formula>LEN(TRIM(H327))=0</formula>
    </cfRule>
  </conditionalFormatting>
  <conditionalFormatting sqref="H327:K332">
    <cfRule type="cellIs" dxfId="1175" priority="87" operator="equal">
      <formula>4.4</formula>
    </cfRule>
    <cfRule type="cellIs" dxfId="1174" priority="88" operator="equal">
      <formula>4.3</formula>
    </cfRule>
    <cfRule type="cellIs" dxfId="1173" priority="89" operator="equal">
      <formula>4.2</formula>
    </cfRule>
    <cfRule type="cellIs" dxfId="1172" priority="90" operator="equal">
      <formula>4.1</formula>
    </cfRule>
    <cfRule type="cellIs" dxfId="1171" priority="91" operator="equal">
      <formula>3.4</formula>
    </cfRule>
    <cfRule type="cellIs" dxfId="1170" priority="92" operator="equal">
      <formula>3.3</formula>
    </cfRule>
    <cfRule type="cellIs" dxfId="1169" priority="93" operator="equal">
      <formula>3.2</formula>
    </cfRule>
    <cfRule type="cellIs" dxfId="1168" priority="94" operator="equal">
      <formula>3.1</formula>
    </cfRule>
    <cfRule type="cellIs" dxfId="1167" priority="95" operator="equal">
      <formula>2.4</formula>
    </cfRule>
    <cfRule type="cellIs" dxfId="1166" priority="96" operator="equal">
      <formula>2.3</formula>
    </cfRule>
    <cfRule type="cellIs" dxfId="1165" priority="97" operator="equal">
      <formula>2.2</formula>
    </cfRule>
    <cfRule type="cellIs" dxfId="1164" priority="98" operator="equal">
      <formula>2.1</formula>
    </cfRule>
    <cfRule type="cellIs" dxfId="1163" priority="99" operator="equal">
      <formula>1.5</formula>
    </cfRule>
    <cfRule type="cellIs" dxfId="1162" priority="100" operator="equal">
      <formula>1.4</formula>
    </cfRule>
    <cfRule type="cellIs" dxfId="1161" priority="101" operator="equal">
      <formula>1.3</formula>
    </cfRule>
    <cfRule type="cellIs" dxfId="1160" priority="102" operator="equal">
      <formula>1.2</formula>
    </cfRule>
    <cfRule type="containsText" dxfId="1159" priority="103" operator="containsText" text="1.1">
      <formula>NOT(ISERROR(SEARCH("1.1",H327)))</formula>
    </cfRule>
  </conditionalFormatting>
  <conditionalFormatting sqref="H333:K334">
    <cfRule type="cellIs" dxfId="1158" priority="70" operator="equal">
      <formula>4.4</formula>
    </cfRule>
    <cfRule type="cellIs" dxfId="1157" priority="71" operator="equal">
      <formula>4.3</formula>
    </cfRule>
    <cfRule type="cellIs" dxfId="1156" priority="72" operator="equal">
      <formula>4.2</formula>
    </cfRule>
    <cfRule type="cellIs" dxfId="1155" priority="73" operator="equal">
      <formula>4.1</formula>
    </cfRule>
    <cfRule type="cellIs" dxfId="1154" priority="74" operator="equal">
      <formula>3.4</formula>
    </cfRule>
    <cfRule type="cellIs" dxfId="1153" priority="75" operator="equal">
      <formula>3.3</formula>
    </cfRule>
    <cfRule type="cellIs" dxfId="1152" priority="76" operator="equal">
      <formula>3.2</formula>
    </cfRule>
    <cfRule type="cellIs" dxfId="1151" priority="77" operator="equal">
      <formula>3.1</formula>
    </cfRule>
    <cfRule type="cellIs" dxfId="1150" priority="78" operator="equal">
      <formula>2.4</formula>
    </cfRule>
    <cfRule type="cellIs" dxfId="1149" priority="79" operator="equal">
      <formula>2.3</formula>
    </cfRule>
    <cfRule type="cellIs" dxfId="1148" priority="80" operator="equal">
      <formula>2.2</formula>
    </cfRule>
    <cfRule type="cellIs" dxfId="1147" priority="81" operator="equal">
      <formula>2.1</formula>
    </cfRule>
    <cfRule type="cellIs" dxfId="1146" priority="82" operator="equal">
      <formula>1.5</formula>
    </cfRule>
    <cfRule type="cellIs" dxfId="1145" priority="83" operator="equal">
      <formula>1.4</formula>
    </cfRule>
    <cfRule type="cellIs" dxfId="1144" priority="84" operator="equal">
      <formula>1.3</formula>
    </cfRule>
    <cfRule type="cellIs" dxfId="1143" priority="85" operator="equal">
      <formula>1.2</formula>
    </cfRule>
    <cfRule type="containsText" dxfId="1142" priority="86" operator="containsText" text="1.1">
      <formula>NOT(ISERROR(SEARCH("1.1",H333)))</formula>
    </cfRule>
  </conditionalFormatting>
  <conditionalFormatting sqref="H333:K334">
    <cfRule type="containsBlanks" dxfId="1141" priority="69">
      <formula>LEN(TRIM(H333))=0</formula>
    </cfRule>
  </conditionalFormatting>
  <conditionalFormatting sqref="BJ96">
    <cfRule type="cellIs" dxfId="1140" priority="52" operator="equal">
      <formula>4.4</formula>
    </cfRule>
    <cfRule type="cellIs" dxfId="1139" priority="53" operator="equal">
      <formula>4.3</formula>
    </cfRule>
    <cfRule type="cellIs" dxfId="1138" priority="54" operator="equal">
      <formula>4.2</formula>
    </cfRule>
    <cfRule type="cellIs" dxfId="1137" priority="55" operator="equal">
      <formula>4.1</formula>
    </cfRule>
    <cfRule type="cellIs" dxfId="1136" priority="56" operator="equal">
      <formula>3.4</formula>
    </cfRule>
    <cfRule type="cellIs" dxfId="1135" priority="57" operator="equal">
      <formula>3.3</formula>
    </cfRule>
    <cfRule type="cellIs" dxfId="1134" priority="58" operator="equal">
      <formula>3.2</formula>
    </cfRule>
    <cfRule type="cellIs" dxfId="1133" priority="59" operator="equal">
      <formula>3.1</formula>
    </cfRule>
    <cfRule type="cellIs" dxfId="1132" priority="60" operator="equal">
      <formula>2.4</formula>
    </cfRule>
    <cfRule type="cellIs" dxfId="1131" priority="61" operator="equal">
      <formula>2.3</formula>
    </cfRule>
    <cfRule type="cellIs" dxfId="1130" priority="62" operator="equal">
      <formula>2.2</formula>
    </cfRule>
    <cfRule type="cellIs" dxfId="1129" priority="63" operator="equal">
      <formula>2.1</formula>
    </cfRule>
    <cfRule type="cellIs" dxfId="1128" priority="64" operator="equal">
      <formula>1.5</formula>
    </cfRule>
    <cfRule type="cellIs" dxfId="1127" priority="65" operator="equal">
      <formula>1.4</formula>
    </cfRule>
    <cfRule type="cellIs" dxfId="1126" priority="66" operator="equal">
      <formula>1.3</formula>
    </cfRule>
    <cfRule type="cellIs" dxfId="1125" priority="67" operator="equal">
      <formula>1.2</formula>
    </cfRule>
    <cfRule type="containsText" dxfId="1124" priority="68" operator="containsText" text="1.1">
      <formula>NOT(ISERROR(SEARCH("1.1",BJ96)))</formula>
    </cfRule>
  </conditionalFormatting>
  <conditionalFormatting sqref="BJ143">
    <cfRule type="cellIs" dxfId="1123" priority="35" operator="equal">
      <formula>4.4</formula>
    </cfRule>
    <cfRule type="cellIs" dxfId="1122" priority="36" operator="equal">
      <formula>4.3</formula>
    </cfRule>
    <cfRule type="cellIs" dxfId="1121" priority="37" operator="equal">
      <formula>4.2</formula>
    </cfRule>
    <cfRule type="cellIs" dxfId="1120" priority="38" operator="equal">
      <formula>4.1</formula>
    </cfRule>
    <cfRule type="cellIs" dxfId="1119" priority="39" operator="equal">
      <formula>3.4</formula>
    </cfRule>
    <cfRule type="cellIs" dxfId="1118" priority="40" operator="equal">
      <formula>3.3</formula>
    </cfRule>
    <cfRule type="cellIs" dxfId="1117" priority="41" operator="equal">
      <formula>3.2</formula>
    </cfRule>
    <cfRule type="cellIs" dxfId="1116" priority="42" operator="equal">
      <formula>3.1</formula>
    </cfRule>
    <cfRule type="cellIs" dxfId="1115" priority="43" operator="equal">
      <formula>2.4</formula>
    </cfRule>
    <cfRule type="cellIs" dxfId="1114" priority="44" operator="equal">
      <formula>2.3</formula>
    </cfRule>
    <cfRule type="cellIs" dxfId="1113" priority="45" operator="equal">
      <formula>2.2</formula>
    </cfRule>
    <cfRule type="cellIs" dxfId="1112" priority="46" operator="equal">
      <formula>2.1</formula>
    </cfRule>
    <cfRule type="cellIs" dxfId="1111" priority="47" operator="equal">
      <formula>1.5</formula>
    </cfRule>
    <cfRule type="cellIs" dxfId="1110" priority="48" operator="equal">
      <formula>1.4</formula>
    </cfRule>
    <cfRule type="cellIs" dxfId="1109" priority="49" operator="equal">
      <formula>1.3</formula>
    </cfRule>
    <cfRule type="cellIs" dxfId="1108" priority="50" operator="equal">
      <formula>1.2</formula>
    </cfRule>
    <cfRule type="containsText" dxfId="1107" priority="51" operator="containsText" text="1.1">
      <formula>NOT(ISERROR(SEARCH("1.1",BJ143)))</formula>
    </cfRule>
  </conditionalFormatting>
  <conditionalFormatting sqref="BJ241">
    <cfRule type="cellIs" dxfId="1106" priority="18" operator="equal">
      <formula>4.4</formula>
    </cfRule>
    <cfRule type="cellIs" dxfId="1105" priority="19" operator="equal">
      <formula>4.3</formula>
    </cfRule>
    <cfRule type="cellIs" dxfId="1104" priority="20" operator="equal">
      <formula>4.2</formula>
    </cfRule>
    <cfRule type="cellIs" dxfId="1103" priority="21" operator="equal">
      <formula>4.1</formula>
    </cfRule>
    <cfRule type="cellIs" dxfId="1102" priority="22" operator="equal">
      <formula>3.4</formula>
    </cfRule>
    <cfRule type="cellIs" dxfId="1101" priority="23" operator="equal">
      <formula>3.3</formula>
    </cfRule>
    <cfRule type="cellIs" dxfId="1100" priority="24" operator="equal">
      <formula>3.2</formula>
    </cfRule>
    <cfRule type="cellIs" dxfId="1099" priority="25" operator="equal">
      <formula>3.1</formula>
    </cfRule>
    <cfRule type="cellIs" dxfId="1098" priority="26" operator="equal">
      <formula>2.4</formula>
    </cfRule>
    <cfRule type="cellIs" dxfId="1097" priority="27" operator="equal">
      <formula>2.3</formula>
    </cfRule>
    <cfRule type="cellIs" dxfId="1096" priority="28" operator="equal">
      <formula>2.2</formula>
    </cfRule>
    <cfRule type="cellIs" dxfId="1095" priority="29" operator="equal">
      <formula>2.1</formula>
    </cfRule>
    <cfRule type="cellIs" dxfId="1094" priority="30" operator="equal">
      <formula>1.5</formula>
    </cfRule>
    <cfRule type="cellIs" dxfId="1093" priority="31" operator="equal">
      <formula>1.4</formula>
    </cfRule>
    <cfRule type="cellIs" dxfId="1092" priority="32" operator="equal">
      <formula>1.3</formula>
    </cfRule>
    <cfRule type="cellIs" dxfId="1091" priority="33" operator="equal">
      <formula>1.2</formula>
    </cfRule>
    <cfRule type="containsText" dxfId="1090" priority="34" operator="containsText" text="1.1">
      <formula>NOT(ISERROR(SEARCH("1.1",BJ241)))</formula>
    </cfRule>
  </conditionalFormatting>
  <conditionalFormatting sqref="BJ291">
    <cfRule type="cellIs" dxfId="1089" priority="1" operator="equal">
      <formula>4.4</formula>
    </cfRule>
    <cfRule type="cellIs" dxfId="1088" priority="2" operator="equal">
      <formula>4.3</formula>
    </cfRule>
    <cfRule type="cellIs" dxfId="1087" priority="3" operator="equal">
      <formula>4.2</formula>
    </cfRule>
    <cfRule type="cellIs" dxfId="1086" priority="4" operator="equal">
      <formula>4.1</formula>
    </cfRule>
    <cfRule type="cellIs" dxfId="1085" priority="5" operator="equal">
      <formula>3.4</formula>
    </cfRule>
    <cfRule type="cellIs" dxfId="1084" priority="6" operator="equal">
      <formula>3.3</formula>
    </cfRule>
    <cfRule type="cellIs" dxfId="1083" priority="7" operator="equal">
      <formula>3.2</formula>
    </cfRule>
    <cfRule type="cellIs" dxfId="1082" priority="8" operator="equal">
      <formula>3.1</formula>
    </cfRule>
    <cfRule type="cellIs" dxfId="1081" priority="9" operator="equal">
      <formula>2.4</formula>
    </cfRule>
    <cfRule type="cellIs" dxfId="1080" priority="10" operator="equal">
      <formula>2.3</formula>
    </cfRule>
    <cfRule type="cellIs" dxfId="1079" priority="11" operator="equal">
      <formula>2.2</formula>
    </cfRule>
    <cfRule type="cellIs" dxfId="1078" priority="12" operator="equal">
      <formula>2.1</formula>
    </cfRule>
    <cfRule type="cellIs" dxfId="1077" priority="13" operator="equal">
      <formula>1.5</formula>
    </cfRule>
    <cfRule type="cellIs" dxfId="1076" priority="14" operator="equal">
      <formula>1.4</formula>
    </cfRule>
    <cfRule type="cellIs" dxfId="1075" priority="15" operator="equal">
      <formula>1.3</formula>
    </cfRule>
    <cfRule type="cellIs" dxfId="1074" priority="16" operator="equal">
      <formula>1.2</formula>
    </cfRule>
    <cfRule type="containsText" dxfId="1073" priority="17" operator="containsText" text="1.1">
      <formula>NOT(ISERROR(SEARCH("1.1",BJ291)))</formula>
    </cfRule>
  </conditionalFormatting>
  <hyperlinks>
    <hyperlink ref="BK1:BN2" location="CustomerProfiles" display="CustomerProfiles" xr:uid="{00000000-0004-0000-0D00-000000000000}"/>
    <hyperlink ref="BN1:BP2" location="CustomerScenariors" display="CustomerScenariors" xr:uid="{00000000-0004-0000-0D00-000001000000}"/>
    <hyperlink ref="E3:G4" location="Welcome_Services_DEL" display="Welcome_Services_DEL" xr:uid="{00000000-0004-0000-0D00-000002000000}"/>
    <hyperlink ref="I3:K4" location="Welcome_Services_DEL" display="Welcome_Services_DEL" xr:uid="{00000000-0004-0000-0D00-000003000000}"/>
    <hyperlink ref="Q3:S4" location="Lunch__CAT_3_DEL" display="Lunch__CAT_3_DEL" xr:uid="{00000000-0004-0000-0D00-000004000000}"/>
    <hyperlink ref="U3:W4" location="Lunch__CAT_3_DEL" display="Lunch__CAT_3_DEL" xr:uid="{00000000-0004-0000-0D00-000005000000}"/>
    <hyperlink ref="Y3:AA4" location="Lunch__CAT_3_DEL" display="Lunch__CAT_3_DEL" xr:uid="{00000000-0004-0000-0D00-000006000000}"/>
    <hyperlink ref="AC3:AE4" location="Lunch__CAT_3_DEL" display="Lunch__CAT_3_DEL" xr:uid="{00000000-0004-0000-0D00-000007000000}"/>
    <hyperlink ref="AK3:AM4" location="JFK_BF_2" display="JFK_BF_2" xr:uid="{00000000-0004-0000-0D00-000008000000}"/>
    <hyperlink ref="M3:O4" location="Drinks3" display="Drinks3" xr:uid="{00000000-0004-0000-0D00-000009000000}"/>
    <hyperlink ref="Y5:AA6" location="Drinks2" display="Drinks2" xr:uid="{00000000-0004-0000-0D00-00000A000000}"/>
    <hyperlink ref="AC5:AE6" location="Drinks2" display="Drinks2" xr:uid="{00000000-0004-0000-0D00-00000B000000}"/>
    <hyperlink ref="AG5:AI6" location="Drinks2" display="Drinks2" xr:uid="{00000000-0004-0000-0D00-00000C000000}"/>
    <hyperlink ref="AK5:AM6" location="Drinks2" display="Drinks2" xr:uid="{00000000-0004-0000-0D00-00000D000000}"/>
    <hyperlink ref="AO5:AQ6" location="Drinks2" display="Drinks2" xr:uid="{00000000-0004-0000-0D00-00000E000000}"/>
    <hyperlink ref="AS5:AU6" location="Drinks2" display="Drinks2" xr:uid="{00000000-0004-0000-0D00-00000F000000}"/>
    <hyperlink ref="AW5:AY6" location="Drinks3" display="Drinks3" xr:uid="{00000000-0004-0000-0D00-000010000000}"/>
    <hyperlink ref="U5:W6" location="Drinks1" display="Drinks1" xr:uid="{00000000-0004-0000-0D00-000011000000}"/>
    <hyperlink ref="Q5:S6" location="Drinks1" display="Drinks1" xr:uid="{00000000-0004-0000-0D00-000012000000}"/>
    <hyperlink ref="M5:O6" location="Drinks1" display="Drinks1" xr:uid="{00000000-0004-0000-0D00-000013000000}"/>
    <hyperlink ref="I5:K6" location="Drinks1" display="Drinks1" xr:uid="{00000000-0004-0000-0D00-000014000000}"/>
    <hyperlink ref="E5:G6" location="Drinks1" display="Drinks1" xr:uid="{00000000-0004-0000-0D00-000015000000}"/>
    <hyperlink ref="A5:C6" location="Drinks1" display="Drinks1" xr:uid="{00000000-0004-0000-0D00-000016000000}"/>
    <hyperlink ref="BA5:BC6" location="Drinks3" display="Drinks3" xr:uid="{00000000-0004-0000-0D00-000017000000}"/>
    <hyperlink ref="BE5:BG6" location="Drinks3" display="Drinks3" xr:uid="{00000000-0004-0000-0D00-000018000000}"/>
    <hyperlink ref="BI5:BK6" location="Drinks3" display="Drinks3" xr:uid="{00000000-0004-0000-0D00-000019000000}"/>
    <hyperlink ref="AO3:AQ4" location="JFK_BF_2" display="JFK_BF_2" xr:uid="{00000000-0004-0000-0D00-00001A000000}"/>
    <hyperlink ref="AS3:AU4" location="JFK_BF_2" display="JFK_BF_2" xr:uid="{00000000-0004-0000-0D00-00001B000000}"/>
    <hyperlink ref="AW3:AY4" location="JFK_BF_2" display="JFK_BF_2" xr:uid="{00000000-0004-0000-0D00-00001C000000}"/>
    <hyperlink ref="BA3:BC4" location="JFK_BF_2" display="JFK_BF_2" xr:uid="{00000000-0004-0000-0D00-00001D000000}"/>
    <hyperlink ref="BE3:BG4" location="JFK_BF_2" display="JFK_BF_2" xr:uid="{00000000-0004-0000-0D00-00001E000000}"/>
    <hyperlink ref="BI3:BK4" location="JFK_BF_3" display="JFK_BF_3" xr:uid="{00000000-0004-0000-0D00-00001F000000}"/>
    <hyperlink ref="BM3:BO4" location="JFK_BF_3" display="JFK_BF_3" xr:uid="{00000000-0004-0000-0D00-000020000000}"/>
  </hyperlinks>
  <pageMargins left="0.70866141732283472" right="0.70866141732283472" top="0" bottom="0.74803149606299213" header="0.31496062992125984" footer="0.31496062992125984"/>
  <pageSetup paperSize="9" scale="62" fitToHeight="0" orientation="landscape" r:id="rId2"/>
  <rowBreaks count="9" manualBreakCount="9">
    <brk id="44" max="67" man="1"/>
    <brk id="92" max="67" man="1"/>
    <brk id="139" max="67" man="1"/>
    <brk id="93" min="72" max="139" man="1"/>
    <brk id="151" min="72" max="139" man="1"/>
    <brk id="187" max="67" man="1"/>
    <brk id="210" min="72" max="139" man="1"/>
    <brk id="237" max="67" man="1"/>
    <brk id="287" max="67"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3">
    <pageSetUpPr fitToPage="1"/>
  </sheetPr>
  <dimension ref="A1:AS232"/>
  <sheetViews>
    <sheetView zoomScale="75" zoomScaleNormal="75" workbookViewId="0">
      <selection activeCell="M26" sqref="M26"/>
    </sheetView>
  </sheetViews>
  <sheetFormatPr baseColWidth="10" defaultColWidth="9.1640625" defaultRowHeight="15"/>
  <cols>
    <col min="1" max="1" width="9.1640625" style="32" customWidth="1"/>
    <col min="2" max="2" width="39.6640625" style="32" customWidth="1"/>
    <col min="3" max="5" width="5.6640625" style="32" customWidth="1"/>
    <col min="6" max="11" width="5.6640625" style="32" hidden="1" customWidth="1"/>
    <col min="12" max="17" width="5.6640625" style="32" customWidth="1"/>
    <col min="18" max="19" width="5.6640625" style="32" hidden="1" customWidth="1"/>
    <col min="20" max="23" width="5.6640625" style="32" customWidth="1"/>
    <col min="24" max="31" width="5.6640625" style="32" hidden="1" customWidth="1"/>
    <col min="32" max="45" width="5.6640625" style="32" customWidth="1"/>
    <col min="46" max="46" width="2.6640625" style="32" customWidth="1"/>
    <col min="47" max="16384" width="9.1640625" style="32"/>
  </cols>
  <sheetData>
    <row r="1" spans="1:45"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row>
    <row r="2" spans="1:45"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row>
    <row r="3" spans="1:45" ht="30.75" customHeight="1" thickBot="1">
      <c r="A3" s="64" t="s">
        <v>102</v>
      </c>
      <c r="B3" s="158"/>
      <c r="C3" s="445"/>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1870"/>
      <c r="AK3" s="1870"/>
      <c r="AL3" s="1857"/>
      <c r="AM3" s="1857"/>
      <c r="AN3" s="1857"/>
      <c r="AO3" s="1857"/>
      <c r="AP3" s="1857"/>
      <c r="AQ3" s="1857"/>
      <c r="AR3" s="1857"/>
      <c r="AS3" s="1857"/>
    </row>
    <row r="4" spans="1:45" ht="20" customHeight="1">
      <c r="A4" s="498" t="s">
        <v>760</v>
      </c>
      <c r="B4" s="158"/>
      <c r="C4" s="446"/>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45" ht="20" customHeight="1">
      <c r="A5" s="1871" t="s">
        <v>15</v>
      </c>
      <c r="B5" s="418" t="s">
        <v>662</v>
      </c>
      <c r="C5" s="444"/>
      <c r="D5" s="422" t="str">
        <f>IF($C$5=1,E5,"")</f>
        <v/>
      </c>
      <c r="E5" s="447"/>
      <c r="F5" s="422" t="str">
        <f>IF($C$5=1,G5,"")</f>
        <v/>
      </c>
      <c r="G5" s="447" t="str">
        <f>""</f>
        <v/>
      </c>
      <c r="H5" s="422" t="str">
        <f>IF($C$5=1,I5,"")</f>
        <v/>
      </c>
      <c r="I5" s="447" t="str">
        <f>""</f>
        <v/>
      </c>
      <c r="J5" s="422" t="str">
        <f>IF($C$5=1,K5,"")</f>
        <v/>
      </c>
      <c r="K5" s="447" t="str">
        <f>""</f>
        <v/>
      </c>
      <c r="L5" s="422" t="str">
        <f>'PRC | KHI'!T32</f>
        <v/>
      </c>
      <c r="M5" s="447">
        <v>2</v>
      </c>
      <c r="N5" s="422" t="str">
        <f>IF($C$5=1,O5,"")</f>
        <v/>
      </c>
      <c r="O5" s="449" t="str">
        <f>""</f>
        <v/>
      </c>
      <c r="P5" s="422" t="str">
        <f>IF($C$5=1,Q5,"")</f>
        <v/>
      </c>
      <c r="Q5" s="449" t="str">
        <f>""</f>
        <v/>
      </c>
      <c r="R5" s="422" t="str">
        <f>IF($C$5=1,S5,"")</f>
        <v/>
      </c>
      <c r="S5" s="449" t="str">
        <f>""</f>
        <v/>
      </c>
      <c r="T5" s="422" t="str">
        <f>IF($C$5=1,U5,"")</f>
        <v/>
      </c>
      <c r="U5" s="449" t="str">
        <f>""</f>
        <v/>
      </c>
      <c r="V5" s="422" t="str">
        <f>IF($C$5=1,W5,"")</f>
        <v/>
      </c>
      <c r="W5" s="450" t="str">
        <f>""</f>
        <v/>
      </c>
      <c r="X5" s="422" t="str">
        <f>IF($C$5=1,Y5,"")</f>
        <v/>
      </c>
      <c r="Y5" s="450" t="str">
        <f>""</f>
        <v/>
      </c>
      <c r="Z5" s="422" t="str">
        <f>IF($C$5=1,AA5,"")</f>
        <v/>
      </c>
      <c r="AA5" s="450" t="str">
        <f>""</f>
        <v/>
      </c>
      <c r="AB5" s="422" t="str">
        <f>IF($C$5=1,AC5,"")</f>
        <v/>
      </c>
      <c r="AC5" s="451" t="str">
        <f>""</f>
        <v/>
      </c>
      <c r="AD5" s="422" t="str">
        <f>IF($C$5=1,AE5,"")</f>
        <v/>
      </c>
      <c r="AE5" s="451" t="str">
        <f>""</f>
        <v/>
      </c>
      <c r="AF5" s="422" t="str">
        <f>'PRC | KHI'!T33</f>
        <v/>
      </c>
      <c r="AG5" s="451">
        <v>2</v>
      </c>
      <c r="AH5" s="422" t="str">
        <f>'PRC | KHI'!T34</f>
        <v/>
      </c>
      <c r="AI5" s="451">
        <v>3</v>
      </c>
    </row>
    <row r="6" spans="1:45" ht="20" customHeight="1">
      <c r="A6" s="1871"/>
      <c r="B6" s="418" t="s">
        <v>638</v>
      </c>
      <c r="C6" s="444"/>
      <c r="D6" s="422" t="str">
        <f>IF($C$6=1,E6,"")</f>
        <v/>
      </c>
      <c r="E6" s="447" t="str">
        <f>""</f>
        <v/>
      </c>
      <c r="F6" s="422" t="str">
        <f>IF($C$6=1,G6,"")</f>
        <v/>
      </c>
      <c r="G6" s="447" t="str">
        <f>""</f>
        <v/>
      </c>
      <c r="H6" s="422" t="str">
        <f>IF($C$6=1,I6,"")</f>
        <v/>
      </c>
      <c r="I6" s="447" t="str">
        <f>""</f>
        <v/>
      </c>
      <c r="J6" s="422" t="str">
        <f>IF($C$6=1,K6,"")</f>
        <v/>
      </c>
      <c r="K6" s="447" t="str">
        <f>""</f>
        <v/>
      </c>
      <c r="L6" s="422" t="str">
        <f>'PRC | KHI'!AD38</f>
        <v/>
      </c>
      <c r="M6" s="447">
        <v>1</v>
      </c>
      <c r="N6" s="422" t="str">
        <f>IF($C$6=1,O6,"")</f>
        <v/>
      </c>
      <c r="O6" s="449" t="str">
        <f>""</f>
        <v/>
      </c>
      <c r="P6" s="422" t="str">
        <f>IF($C$6=1,Q6,"")</f>
        <v/>
      </c>
      <c r="Q6" s="449" t="str">
        <f>""</f>
        <v/>
      </c>
      <c r="R6" s="422" t="str">
        <f>IF($C$6=1,S6,"")</f>
        <v/>
      </c>
      <c r="S6" s="449" t="str">
        <f>""</f>
        <v/>
      </c>
      <c r="T6" s="422" t="str">
        <f>'PRC | KHI'!AD39</f>
        <v/>
      </c>
      <c r="U6" s="449">
        <v>2</v>
      </c>
      <c r="V6" s="422" t="str">
        <f>IF($C$6=1,W6,"")</f>
        <v/>
      </c>
      <c r="W6" s="450" t="str">
        <f>""</f>
        <v/>
      </c>
      <c r="X6" s="422" t="str">
        <f>IF($C$6=1,Y6,"")</f>
        <v/>
      </c>
      <c r="Y6" s="450" t="str">
        <f>""</f>
        <v/>
      </c>
      <c r="Z6" s="422" t="str">
        <f>IF($C$6=1,AA6,"")</f>
        <v/>
      </c>
      <c r="AA6" s="450" t="str">
        <f>""</f>
        <v/>
      </c>
      <c r="AB6" s="422" t="str">
        <f>IF($C$6=1,AC6,"")</f>
        <v/>
      </c>
      <c r="AC6" s="451" t="str">
        <f>""</f>
        <v/>
      </c>
      <c r="AD6" s="422" t="str">
        <f>IF($C$6=1,AE6,"")</f>
        <v/>
      </c>
      <c r="AE6" s="451" t="str">
        <f>""</f>
        <v/>
      </c>
      <c r="AF6" s="422" t="str">
        <f>IF($C$6=1,AG6,"")</f>
        <v/>
      </c>
      <c r="AG6" s="451" t="str">
        <f>""</f>
        <v/>
      </c>
      <c r="AH6" s="422" t="str">
        <f>'PRC | KHI'!AD40</f>
        <v/>
      </c>
      <c r="AI6" s="451">
        <v>6</v>
      </c>
    </row>
    <row r="7" spans="1:45" ht="20" customHeight="1">
      <c r="A7" s="1871"/>
      <c r="B7" s="418" t="s">
        <v>697</v>
      </c>
      <c r="C7" s="444"/>
      <c r="D7" s="422" t="str">
        <f>'PRC | KHI'!I32</f>
        <v/>
      </c>
      <c r="E7" s="447">
        <v>4</v>
      </c>
      <c r="F7" s="422" t="str">
        <f>IF($C$7=1,G7,"")</f>
        <v/>
      </c>
      <c r="G7" s="447" t="str">
        <f>""</f>
        <v/>
      </c>
      <c r="H7" s="422" t="str">
        <f>IF($C$7=1,I7,"")</f>
        <v/>
      </c>
      <c r="I7" s="447" t="str">
        <f>""</f>
        <v/>
      </c>
      <c r="J7" s="422" t="str">
        <f>IF($C$7=1,K7,"")</f>
        <v/>
      </c>
      <c r="K7" s="447" t="str">
        <f>""</f>
        <v/>
      </c>
      <c r="L7" s="422" t="str">
        <f>'PRC | KHI'!I33</f>
        <v/>
      </c>
      <c r="M7" s="447">
        <v>1</v>
      </c>
      <c r="N7" s="422" t="str">
        <f>'PRC | KHI'!I34</f>
        <v/>
      </c>
      <c r="O7" s="449">
        <v>1</v>
      </c>
      <c r="P7" s="422" t="str">
        <f>IF($C$7=1,Q7,"")</f>
        <v/>
      </c>
      <c r="Q7" s="449" t="str">
        <f>""</f>
        <v/>
      </c>
      <c r="R7" s="422" t="str">
        <f>IF($C$7=1,S7,"")</f>
        <v/>
      </c>
      <c r="S7" s="449" t="str">
        <f>""</f>
        <v/>
      </c>
      <c r="T7" s="422" t="str">
        <f>'PRC | KHI'!I35</f>
        <v/>
      </c>
      <c r="U7" s="449">
        <v>1</v>
      </c>
      <c r="V7" s="422" t="str">
        <f>IF($C$7=1,W7,"")</f>
        <v/>
      </c>
      <c r="W7" s="450" t="str">
        <f>""</f>
        <v/>
      </c>
      <c r="X7" s="422" t="str">
        <f>IF($C$7=1,Y7,"")</f>
        <v/>
      </c>
      <c r="Y7" s="450" t="str">
        <f>""</f>
        <v/>
      </c>
      <c r="Z7" s="422" t="str">
        <f>IF($C$7=1,AA7,"")</f>
        <v/>
      </c>
      <c r="AA7" s="450" t="str">
        <f>""</f>
        <v/>
      </c>
      <c r="AB7" s="422" t="str">
        <f>IF($C$7=1,AC7,"")</f>
        <v/>
      </c>
      <c r="AC7" s="451" t="str">
        <f>""</f>
        <v/>
      </c>
      <c r="AD7" s="422" t="str">
        <f>IF($C$7=1,AE7,"")</f>
        <v/>
      </c>
      <c r="AE7" s="451" t="str">
        <f>""</f>
        <v/>
      </c>
      <c r="AF7" s="422" t="str">
        <f>IF($C$7=1,AG7,"")</f>
        <v/>
      </c>
      <c r="AG7" s="451" t="str">
        <f>""</f>
        <v/>
      </c>
      <c r="AH7" s="422" t="str">
        <f>IF($C$7=1,AI7,"")</f>
        <v/>
      </c>
      <c r="AI7" s="451" t="str">
        <f>""</f>
        <v/>
      </c>
    </row>
    <row r="8" spans="1:45" ht="20" customHeight="1">
      <c r="A8" s="1871"/>
      <c r="B8" s="418" t="s">
        <v>752</v>
      </c>
      <c r="C8" s="444"/>
      <c r="D8" s="422" t="str">
        <f>'PRC | KHI'!J32</f>
        <v/>
      </c>
      <c r="E8" s="447">
        <v>4</v>
      </c>
      <c r="F8" s="422" t="str">
        <f>IF($C$8=1,G8,"")</f>
        <v/>
      </c>
      <c r="G8" s="447" t="str">
        <f>""</f>
        <v/>
      </c>
      <c r="H8" s="422" t="str">
        <f>IF($C$8=1,I8,"")</f>
        <v/>
      </c>
      <c r="I8" s="447" t="str">
        <f>""</f>
        <v/>
      </c>
      <c r="J8" s="422" t="str">
        <f>IF($C$8=1,K8,"")</f>
        <v/>
      </c>
      <c r="K8" s="447" t="str">
        <f>""</f>
        <v/>
      </c>
      <c r="L8" s="422" t="str">
        <f>'PRC | KHI'!J33</f>
        <v/>
      </c>
      <c r="M8" s="447">
        <v>1</v>
      </c>
      <c r="N8" s="422" t="str">
        <f>'PRC | KHI'!J34</f>
        <v/>
      </c>
      <c r="O8" s="449">
        <v>1</v>
      </c>
      <c r="P8" s="422" t="str">
        <f>IF($C$8=1,Q8,"")</f>
        <v/>
      </c>
      <c r="Q8" s="449" t="str">
        <f>""</f>
        <v/>
      </c>
      <c r="R8" s="422" t="str">
        <f>IF($C$8=1,S8,"")</f>
        <v/>
      </c>
      <c r="S8" s="449" t="str">
        <f>""</f>
        <v/>
      </c>
      <c r="T8" s="422" t="str">
        <f>'PRC | KHI'!J35</f>
        <v/>
      </c>
      <c r="U8" s="449">
        <v>1</v>
      </c>
      <c r="V8" s="422" t="str">
        <f>IF($C$8=1,W8,"")</f>
        <v/>
      </c>
      <c r="W8" s="450" t="str">
        <f>""</f>
        <v/>
      </c>
      <c r="X8" s="422" t="str">
        <f>IF($C$8=1,Y8,"")</f>
        <v/>
      </c>
      <c r="Y8" s="450" t="str">
        <f>""</f>
        <v/>
      </c>
      <c r="Z8" s="422" t="str">
        <f>IF($C$8=1,AA8,"")</f>
        <v/>
      </c>
      <c r="AA8" s="450" t="str">
        <f>""</f>
        <v/>
      </c>
      <c r="AB8" s="422" t="str">
        <f>IF($C$8=1,AC8,"")</f>
        <v/>
      </c>
      <c r="AC8" s="451" t="str">
        <f>""</f>
        <v/>
      </c>
      <c r="AD8" s="422" t="str">
        <f>IF($C$8=1,AE8,"")</f>
        <v/>
      </c>
      <c r="AE8" s="451" t="str">
        <f>""</f>
        <v/>
      </c>
      <c r="AF8" s="422" t="str">
        <f>IF($C$8=1,AG8,"")</f>
        <v/>
      </c>
      <c r="AG8" s="451" t="str">
        <f>""</f>
        <v/>
      </c>
      <c r="AH8" s="422" t="str">
        <f>IF($C$8=1,AI8,"")</f>
        <v/>
      </c>
      <c r="AI8" s="451" t="str">
        <f>""</f>
        <v/>
      </c>
    </row>
    <row r="9" spans="1:45" ht="20" customHeight="1">
      <c r="A9" s="1871"/>
      <c r="B9" s="418" t="s">
        <v>716</v>
      </c>
      <c r="C9" s="444"/>
      <c r="D9" s="422" t="str">
        <f>IF($C$9=1,E9,"")</f>
        <v/>
      </c>
      <c r="E9" s="447" t="str">
        <f>""</f>
        <v/>
      </c>
      <c r="F9" s="422" t="str">
        <f>IF($C$9=1,G9,"")</f>
        <v/>
      </c>
      <c r="G9" s="447" t="str">
        <f>""</f>
        <v/>
      </c>
      <c r="H9" s="422" t="str">
        <f>IF($C$9=1,I9,"")</f>
        <v/>
      </c>
      <c r="I9" s="447" t="str">
        <f>""</f>
        <v/>
      </c>
      <c r="J9" s="422" t="str">
        <f>IF($C$9=1,K9,"")</f>
        <v/>
      </c>
      <c r="K9" s="447" t="str">
        <f>""</f>
        <v/>
      </c>
      <c r="L9" s="422" t="str">
        <f>IF($C$9=1,M9,"")</f>
        <v/>
      </c>
      <c r="M9" s="447" t="str">
        <f>""</f>
        <v/>
      </c>
      <c r="N9" s="422" t="str">
        <f>IF($C$9=1,O9,"")</f>
        <v/>
      </c>
      <c r="O9" s="449" t="str">
        <f>""</f>
        <v/>
      </c>
      <c r="P9" s="422" t="str">
        <f>IF($C$9=1,Q9,"")</f>
        <v/>
      </c>
      <c r="Q9" s="449" t="str">
        <f>""</f>
        <v/>
      </c>
      <c r="R9" s="422" t="str">
        <f>IF($C$9=1,S9,"")</f>
        <v/>
      </c>
      <c r="S9" s="449" t="str">
        <f>""</f>
        <v/>
      </c>
      <c r="T9" s="422" t="str">
        <f>IF($C$9=1,U9,"")</f>
        <v/>
      </c>
      <c r="U9" s="449" t="str">
        <f>""</f>
        <v/>
      </c>
      <c r="V9" s="422" t="str">
        <f>'PRC | KHI'!I42</f>
        <v/>
      </c>
      <c r="W9" s="450">
        <v>1</v>
      </c>
      <c r="X9" s="422" t="str">
        <f>IF($C$9=1,Y9,"")</f>
        <v/>
      </c>
      <c r="Y9" s="450" t="str">
        <f>""</f>
        <v/>
      </c>
      <c r="Z9" s="422" t="str">
        <f>IF($C$9=1,AA9,"")</f>
        <v/>
      </c>
      <c r="AA9" s="450" t="str">
        <f>""</f>
        <v/>
      </c>
      <c r="AB9" s="422" t="str">
        <f>IF($C$9=1,AC9,"")</f>
        <v/>
      </c>
      <c r="AC9" s="451" t="str">
        <f>""</f>
        <v/>
      </c>
      <c r="AD9" s="422" t="str">
        <f>IF($C$9=1,AE9,"")</f>
        <v/>
      </c>
      <c r="AE9" s="451" t="str">
        <f>""</f>
        <v/>
      </c>
      <c r="AF9" s="422" t="str">
        <f>IF($C$9=1,AG9,"")</f>
        <v/>
      </c>
      <c r="AG9" s="451" t="str">
        <f>""</f>
        <v/>
      </c>
      <c r="AH9" s="422" t="str">
        <f>IF($C$9=1,AI9,"")</f>
        <v/>
      </c>
      <c r="AI9" s="451" t="str">
        <f>""</f>
        <v/>
      </c>
    </row>
    <row r="10" spans="1:45" ht="20" customHeight="1">
      <c r="A10" s="1871"/>
      <c r="B10" s="418" t="s">
        <v>753</v>
      </c>
      <c r="C10" s="444"/>
      <c r="D10" s="422" t="str">
        <f>IF($C$10=1,E10,"")</f>
        <v/>
      </c>
      <c r="E10" s="447" t="str">
        <f>""</f>
        <v/>
      </c>
      <c r="F10" s="422" t="str">
        <f>IF($C$10=1,G10,"")</f>
        <v/>
      </c>
      <c r="G10" s="447" t="str">
        <f>""</f>
        <v/>
      </c>
      <c r="H10" s="422" t="str">
        <f>IF($C$10=1,I10,"")</f>
        <v/>
      </c>
      <c r="I10" s="447" t="str">
        <f>""</f>
        <v/>
      </c>
      <c r="J10" s="422" t="str">
        <f>IF($C$10=1,K10,"")</f>
        <v/>
      </c>
      <c r="K10" s="447" t="str">
        <f>""</f>
        <v/>
      </c>
      <c r="L10" s="422" t="str">
        <f>IF($C$10=1,M10,"")</f>
        <v/>
      </c>
      <c r="M10" s="447" t="str">
        <f>""</f>
        <v/>
      </c>
      <c r="N10" s="422" t="str">
        <f>IF($C$10=1,O10,"")</f>
        <v/>
      </c>
      <c r="O10" s="449" t="str">
        <f>""</f>
        <v/>
      </c>
      <c r="P10" s="422" t="str">
        <f>IF($C$10=1,Q10,"")</f>
        <v/>
      </c>
      <c r="Q10" s="449" t="str">
        <f>""</f>
        <v/>
      </c>
      <c r="R10" s="422" t="str">
        <f>IF($C$10=1,S10,"")</f>
        <v/>
      </c>
      <c r="S10" s="449" t="str">
        <f>""</f>
        <v/>
      </c>
      <c r="T10" s="422" t="str">
        <f>IF($C$10=1,U10,"")</f>
        <v/>
      </c>
      <c r="U10" s="449" t="str">
        <f>""</f>
        <v/>
      </c>
      <c r="V10" s="422" t="str">
        <f>'PRC | KHI'!J42</f>
        <v/>
      </c>
      <c r="W10" s="450">
        <v>1</v>
      </c>
      <c r="X10" s="422" t="str">
        <f>IF($C$10=1,Y10,"")</f>
        <v/>
      </c>
      <c r="Y10" s="450" t="str">
        <f>""</f>
        <v/>
      </c>
      <c r="Z10" s="422" t="str">
        <f>IF($C$10=1,AA10,"")</f>
        <v/>
      </c>
      <c r="AA10" s="450" t="str">
        <f>""</f>
        <v/>
      </c>
      <c r="AB10" s="422" t="str">
        <f>IF($C$10=1,AC10,"")</f>
        <v/>
      </c>
      <c r="AC10" s="451" t="str">
        <f>""</f>
        <v/>
      </c>
      <c r="AD10" s="422" t="str">
        <f>IF($C$10=1,AE10,"")</f>
        <v/>
      </c>
      <c r="AE10" s="451" t="str">
        <f>""</f>
        <v/>
      </c>
      <c r="AF10" s="422" t="str">
        <f>IF($C$10=1,AG10,"")</f>
        <v/>
      </c>
      <c r="AG10" s="451" t="str">
        <f>""</f>
        <v/>
      </c>
      <c r="AH10" s="422" t="str">
        <f>IF($C$10=1,AI10,"")</f>
        <v/>
      </c>
      <c r="AI10" s="451" t="str">
        <f>""</f>
        <v/>
      </c>
    </row>
    <row r="11" spans="1:45" ht="20" customHeight="1">
      <c r="A11" s="429"/>
      <c r="B11" s="429"/>
      <c r="C11" s="429"/>
      <c r="D11" s="513"/>
      <c r="E11" s="448"/>
      <c r="F11" s="429"/>
      <c r="G11" s="448"/>
      <c r="H11" s="429"/>
      <c r="I11" s="448"/>
      <c r="J11" s="429"/>
      <c r="K11" s="448"/>
      <c r="L11" s="513"/>
      <c r="M11" s="448"/>
      <c r="N11" s="513"/>
      <c r="O11" s="448"/>
      <c r="P11" s="513"/>
      <c r="Q11" s="448"/>
      <c r="R11" s="429"/>
      <c r="S11" s="448"/>
      <c r="T11" s="513"/>
      <c r="U11" s="448"/>
      <c r="V11" s="513"/>
      <c r="W11" s="448"/>
      <c r="X11" s="429"/>
      <c r="Y11" s="448"/>
      <c r="Z11" s="429"/>
      <c r="AA11" s="448"/>
      <c r="AB11" s="429"/>
      <c r="AC11" s="448"/>
      <c r="AD11" s="429"/>
      <c r="AE11" s="448"/>
      <c r="AF11" s="513"/>
      <c r="AG11" s="448"/>
      <c r="AH11" s="513"/>
      <c r="AI11" s="448"/>
      <c r="AM11" s="414"/>
      <c r="AN11" s="415"/>
      <c r="AO11" s="415"/>
      <c r="AP11" s="415"/>
      <c r="AQ11" s="52"/>
    </row>
    <row r="12" spans="1:45" ht="20" customHeight="1">
      <c r="A12" s="1871" t="s">
        <v>17</v>
      </c>
      <c r="B12" s="418" t="s">
        <v>432</v>
      </c>
      <c r="C12" s="444"/>
      <c r="D12" s="422" t="str">
        <f>IF($C$12=1,E12,"")</f>
        <v/>
      </c>
      <c r="E12" s="447" t="str">
        <f>""</f>
        <v/>
      </c>
      <c r="F12" s="422" t="str">
        <f>IF($C$12=1,G12,"")</f>
        <v/>
      </c>
      <c r="G12" s="447" t="str">
        <f>""</f>
        <v/>
      </c>
      <c r="H12" s="422" t="str">
        <f>IF($C$12=1,I12,"")</f>
        <v/>
      </c>
      <c r="I12" s="447" t="str">
        <f>""</f>
        <v/>
      </c>
      <c r="J12" s="422" t="str">
        <f>IF($C$12=1,K12,"")</f>
        <v/>
      </c>
      <c r="K12" s="447" t="str">
        <f>""</f>
        <v/>
      </c>
      <c r="L12" s="422" t="str">
        <f>'PRC | KHI'!U86</f>
        <v/>
      </c>
      <c r="M12" s="447">
        <v>1</v>
      </c>
      <c r="N12" s="422" t="str">
        <f>IF($C$12=1,O12,"")</f>
        <v/>
      </c>
      <c r="O12" s="449" t="str">
        <f>""</f>
        <v/>
      </c>
      <c r="P12" s="422" t="str">
        <f>'PRC | KHI'!U87</f>
        <v/>
      </c>
      <c r="Q12" s="449">
        <v>2</v>
      </c>
      <c r="R12" s="422" t="str">
        <f>IF($C$12=1,S12,"")</f>
        <v/>
      </c>
      <c r="S12" s="449" t="str">
        <f>""</f>
        <v/>
      </c>
      <c r="T12" s="422" t="str">
        <f>'PRC | KHI'!U88</f>
        <v/>
      </c>
      <c r="U12" s="449">
        <v>3</v>
      </c>
      <c r="V12" s="422" t="str">
        <f>IF($C$12=1,W12,"")</f>
        <v/>
      </c>
      <c r="W12" s="450" t="str">
        <f>""</f>
        <v/>
      </c>
      <c r="X12" s="422" t="str">
        <f>IF($C$12=1,Y12,"")</f>
        <v/>
      </c>
      <c r="Y12" s="450" t="str">
        <f>""</f>
        <v/>
      </c>
      <c r="Z12" s="422" t="str">
        <f>IF($C$12=1,AA12,"")</f>
        <v/>
      </c>
      <c r="AA12" s="450" t="str">
        <f>""</f>
        <v/>
      </c>
      <c r="AB12" s="422" t="str">
        <f>IF($C$12=1,AC12,"")</f>
        <v/>
      </c>
      <c r="AC12" s="451" t="str">
        <f>""</f>
        <v/>
      </c>
      <c r="AD12" s="422" t="str">
        <f>IF($C$12=1,AE12,"")</f>
        <v/>
      </c>
      <c r="AE12" s="451" t="str">
        <f>""</f>
        <v/>
      </c>
      <c r="AF12" s="422" t="str">
        <f>'PRC | KHI'!U89</f>
        <v/>
      </c>
      <c r="AG12" s="451">
        <v>2</v>
      </c>
      <c r="AH12" s="422" t="str">
        <f>'PRC | KHI'!U90</f>
        <v/>
      </c>
      <c r="AI12" s="451">
        <v>4</v>
      </c>
    </row>
    <row r="13" spans="1:45" ht="20" customHeight="1">
      <c r="A13" s="1871"/>
      <c r="B13" s="418" t="s">
        <v>433</v>
      </c>
      <c r="C13" s="444"/>
      <c r="D13" s="422" t="str">
        <f>IF($C$13=1,E13,"")</f>
        <v/>
      </c>
      <c r="E13" s="447" t="str">
        <f>""</f>
        <v/>
      </c>
      <c r="F13" s="422" t="str">
        <f>IF($C$13=1,G13,"")</f>
        <v/>
      </c>
      <c r="G13" s="447" t="str">
        <f>""</f>
        <v/>
      </c>
      <c r="H13" s="422" t="str">
        <f>IF($C$13=1,I13,"")</f>
        <v/>
      </c>
      <c r="I13" s="447" t="str">
        <f>""</f>
        <v/>
      </c>
      <c r="J13" s="422" t="str">
        <f>IF($C$13=1,K13,"")</f>
        <v/>
      </c>
      <c r="K13" s="447" t="str">
        <f>""</f>
        <v/>
      </c>
      <c r="L13" s="422" t="str">
        <f>'PRC | KHI'!AC83</f>
        <v/>
      </c>
      <c r="M13" s="447">
        <v>1</v>
      </c>
      <c r="N13" s="422" t="str">
        <f>IF($C$13=1,O13,"")</f>
        <v/>
      </c>
      <c r="O13" s="449" t="str">
        <f>""</f>
        <v/>
      </c>
      <c r="P13" s="422" t="str">
        <f>IF($C$13=1,Q13,"")</f>
        <v/>
      </c>
      <c r="Q13" s="449" t="str">
        <f>""</f>
        <v/>
      </c>
      <c r="R13" s="422" t="str">
        <f>IF($C$13=1,S13,"")</f>
        <v/>
      </c>
      <c r="S13" s="449" t="str">
        <f>""</f>
        <v/>
      </c>
      <c r="T13" s="422" t="str">
        <f>'PRC | KHI'!AC84</f>
        <v/>
      </c>
      <c r="U13" s="449">
        <v>3</v>
      </c>
      <c r="V13" s="422" t="str">
        <f>IF($C$13=1,W13,"")</f>
        <v/>
      </c>
      <c r="W13" s="450" t="str">
        <f>""</f>
        <v/>
      </c>
      <c r="X13" s="422" t="str">
        <f>IF($C$13=1,Y13,"")</f>
        <v/>
      </c>
      <c r="Y13" s="450" t="str">
        <f>""</f>
        <v/>
      </c>
      <c r="Z13" s="422" t="str">
        <f>IF($C$13=1,AA13,"")</f>
        <v/>
      </c>
      <c r="AA13" s="450" t="str">
        <f>""</f>
        <v/>
      </c>
      <c r="AB13" s="422" t="str">
        <f>IF($C$13=1,AC13,"")</f>
        <v/>
      </c>
      <c r="AC13" s="451" t="str">
        <f>""</f>
        <v/>
      </c>
      <c r="AD13" s="422" t="str">
        <f>IF($C$13=1,AE13,"")</f>
        <v/>
      </c>
      <c r="AE13" s="451" t="str">
        <f>""</f>
        <v/>
      </c>
      <c r="AF13" s="422" t="str">
        <f>'PRC | KHI'!AC85</f>
        <v/>
      </c>
      <c r="AG13" s="451">
        <v>3</v>
      </c>
      <c r="AH13" s="422" t="str">
        <f>'PRC | KHI'!AC86</f>
        <v/>
      </c>
      <c r="AI13" s="451">
        <v>4</v>
      </c>
    </row>
    <row r="14" spans="1:45" ht="20" customHeight="1">
      <c r="A14" s="1871"/>
      <c r="B14" s="418" t="s">
        <v>434</v>
      </c>
      <c r="C14" s="444"/>
      <c r="D14" s="422" t="str">
        <f>IF($C$14=1,E14,"")</f>
        <v/>
      </c>
      <c r="E14" s="447" t="str">
        <f>""</f>
        <v/>
      </c>
      <c r="F14" s="422" t="str">
        <f>IF($C$14=1,G14,"")</f>
        <v/>
      </c>
      <c r="G14" s="447" t="str">
        <f>""</f>
        <v/>
      </c>
      <c r="H14" s="422" t="str">
        <f>IF($C$14=1,I14,"")</f>
        <v/>
      </c>
      <c r="I14" s="447" t="str">
        <f>""</f>
        <v/>
      </c>
      <c r="J14" s="422" t="str">
        <f>IF($C$14=1,K14,"")</f>
        <v/>
      </c>
      <c r="K14" s="447" t="str">
        <f>""</f>
        <v/>
      </c>
      <c r="L14" s="422" t="str">
        <f>'PRC | KHI'!AK83</f>
        <v/>
      </c>
      <c r="M14" s="447">
        <v>1</v>
      </c>
      <c r="N14" s="422" t="str">
        <f>IF($C$14=1,O14,"")</f>
        <v/>
      </c>
      <c r="O14" s="449" t="str">
        <f>""</f>
        <v/>
      </c>
      <c r="P14" s="422" t="str">
        <f>'PRC | KHI'!AK84</f>
        <v/>
      </c>
      <c r="Q14" s="449">
        <v>1</v>
      </c>
      <c r="R14" s="422" t="str">
        <f>IF($C$14=1,S14,"")</f>
        <v/>
      </c>
      <c r="S14" s="449" t="str">
        <f>""</f>
        <v/>
      </c>
      <c r="T14" s="422" t="str">
        <f>'PRC | KHI'!AK85</f>
        <v/>
      </c>
      <c r="U14" s="449">
        <v>2</v>
      </c>
      <c r="V14" s="422" t="str">
        <f>IF($C$14=1,W14,"")</f>
        <v/>
      </c>
      <c r="W14" s="450" t="str">
        <f>""</f>
        <v/>
      </c>
      <c r="X14" s="422" t="str">
        <f>IF($C$14=1,Y14,"")</f>
        <v/>
      </c>
      <c r="Y14" s="450" t="str">
        <f>""</f>
        <v/>
      </c>
      <c r="Z14" s="422" t="str">
        <f>IF($C$14=1,AA14,"")</f>
        <v/>
      </c>
      <c r="AA14" s="450" t="str">
        <f>""</f>
        <v/>
      </c>
      <c r="AB14" s="422" t="str">
        <f>IF($C$14=1,AC14,"")</f>
        <v/>
      </c>
      <c r="AC14" s="451" t="str">
        <f>""</f>
        <v/>
      </c>
      <c r="AD14" s="422" t="str">
        <f>IF($C$14=1,AE14,"")</f>
        <v/>
      </c>
      <c r="AE14" s="451" t="str">
        <f>""</f>
        <v/>
      </c>
      <c r="AF14" s="422" t="str">
        <f>'PRC | KHI'!AK86</f>
        <v/>
      </c>
      <c r="AG14" s="451">
        <v>3</v>
      </c>
      <c r="AH14" s="422" t="str">
        <f>'PRC | KHI'!AK87</f>
        <v/>
      </c>
      <c r="AI14" s="451">
        <v>4</v>
      </c>
    </row>
    <row r="15" spans="1:45" ht="20" customHeight="1">
      <c r="A15" s="1871"/>
      <c r="B15" s="418" t="s">
        <v>435</v>
      </c>
      <c r="C15" s="444"/>
      <c r="D15" s="422" t="str">
        <f>IF($C$15=1,E15,"")</f>
        <v/>
      </c>
      <c r="E15" s="447" t="str">
        <f>""</f>
        <v/>
      </c>
      <c r="F15" s="422" t="str">
        <f>IF($C$15=1,G15,"")</f>
        <v/>
      </c>
      <c r="G15" s="447" t="str">
        <f>""</f>
        <v/>
      </c>
      <c r="H15" s="422" t="str">
        <f>IF($C$15=1,I15,"")</f>
        <v/>
      </c>
      <c r="I15" s="447" t="str">
        <f>""</f>
        <v/>
      </c>
      <c r="J15" s="422" t="str">
        <f>IF($C$15=1,K15,"")</f>
        <v/>
      </c>
      <c r="K15" s="447" t="str">
        <f>""</f>
        <v/>
      </c>
      <c r="L15" s="422" t="str">
        <f>'PRC | KHI'!AS80</f>
        <v/>
      </c>
      <c r="M15" s="447">
        <v>1</v>
      </c>
      <c r="N15" s="422" t="str">
        <f>IF($C$15=1,O15,"")</f>
        <v/>
      </c>
      <c r="O15" s="449" t="str">
        <f>""</f>
        <v/>
      </c>
      <c r="P15" s="422" t="str">
        <f>'PRC | KHI'!AS81</f>
        <v/>
      </c>
      <c r="Q15" s="449">
        <v>2</v>
      </c>
      <c r="R15" s="422" t="str">
        <f>IF($C$15=1,S15,"")</f>
        <v/>
      </c>
      <c r="S15" s="449" t="str">
        <f>""</f>
        <v/>
      </c>
      <c r="T15" s="422" t="str">
        <f>IF($C$15=1,U15,"")</f>
        <v/>
      </c>
      <c r="U15" s="449" t="str">
        <f>""</f>
        <v/>
      </c>
      <c r="V15" s="422" t="str">
        <f>IF($C$15=1,W15,"")</f>
        <v/>
      </c>
      <c r="W15" s="450" t="str">
        <f>""</f>
        <v/>
      </c>
      <c r="X15" s="422" t="str">
        <f>IF($C$15=1,Y15,"")</f>
        <v/>
      </c>
      <c r="Y15" s="450" t="str">
        <f>""</f>
        <v/>
      </c>
      <c r="Z15" s="422" t="str">
        <f>IF($C$15=1,AA15,"")</f>
        <v/>
      </c>
      <c r="AA15" s="450" t="str">
        <f>""</f>
        <v/>
      </c>
      <c r="AB15" s="422" t="str">
        <f>IF($C$15=1,AC15,"")</f>
        <v/>
      </c>
      <c r="AC15" s="451" t="str">
        <f>""</f>
        <v/>
      </c>
      <c r="AD15" s="422" t="str">
        <f>IF($C$15=1,AE15,"")</f>
        <v/>
      </c>
      <c r="AE15" s="451" t="str">
        <f>""</f>
        <v/>
      </c>
      <c r="AF15" s="422" t="str">
        <f>'PRC | KHI'!AS82</f>
        <v/>
      </c>
      <c r="AG15" s="451">
        <v>3</v>
      </c>
      <c r="AH15" s="422" t="str">
        <f>'PRC | KHI'!AS83</f>
        <v/>
      </c>
      <c r="AI15" s="451">
        <v>4</v>
      </c>
    </row>
    <row r="16" spans="1:45" ht="20" customHeight="1">
      <c r="A16" s="1871"/>
      <c r="B16" s="418" t="s">
        <v>436</v>
      </c>
      <c r="C16" s="444"/>
      <c r="D16" s="422" t="str">
        <f>IF($C$16=1,E16,"")</f>
        <v/>
      </c>
      <c r="E16" s="447" t="str">
        <f>""</f>
        <v/>
      </c>
      <c r="F16" s="422" t="str">
        <f>IF($C$16=1,G16,"")</f>
        <v/>
      </c>
      <c r="G16" s="447" t="str">
        <f>""</f>
        <v/>
      </c>
      <c r="H16" s="422" t="str">
        <f>IF($C$16=1,I16,"")</f>
        <v/>
      </c>
      <c r="I16" s="447" t="str">
        <f>""</f>
        <v/>
      </c>
      <c r="J16" s="422" t="str">
        <f>IF($C$16=1,K16,"")</f>
        <v/>
      </c>
      <c r="K16" s="447" t="str">
        <f>""</f>
        <v/>
      </c>
      <c r="L16" s="422" t="str">
        <f>'PRC | KHI'!BA80</f>
        <v/>
      </c>
      <c r="M16" s="447">
        <v>1</v>
      </c>
      <c r="N16" s="422" t="str">
        <f>IF($C$16=1,O16,"")</f>
        <v/>
      </c>
      <c r="O16" s="449" t="str">
        <f>""</f>
        <v/>
      </c>
      <c r="P16" s="422" t="str">
        <f>'PRC | KHI'!BA81</f>
        <v/>
      </c>
      <c r="Q16" s="449">
        <v>1</v>
      </c>
      <c r="R16" s="422" t="str">
        <f>IF($C$16=1,S16,"")</f>
        <v/>
      </c>
      <c r="S16" s="449" t="str">
        <f>""</f>
        <v/>
      </c>
      <c r="T16" s="422" t="str">
        <f>IF($C$16=1,U16,"")</f>
        <v/>
      </c>
      <c r="U16" s="449" t="str">
        <f>""</f>
        <v/>
      </c>
      <c r="V16" s="422" t="str">
        <f>IF($C$16=1,W16,"")</f>
        <v/>
      </c>
      <c r="W16" s="450" t="str">
        <f>""</f>
        <v/>
      </c>
      <c r="X16" s="422" t="str">
        <f>IF($C$16=1,Y16,"")</f>
        <v/>
      </c>
      <c r="Y16" s="450" t="str">
        <f>""</f>
        <v/>
      </c>
      <c r="Z16" s="422" t="str">
        <f>IF($C$16=1,AA16,"")</f>
        <v/>
      </c>
      <c r="AA16" s="450" t="str">
        <f>""</f>
        <v/>
      </c>
      <c r="AB16" s="422" t="str">
        <f>IF($C$16=1,AC16,"")</f>
        <v/>
      </c>
      <c r="AC16" s="451" t="str">
        <f>""</f>
        <v/>
      </c>
      <c r="AD16" s="422" t="str">
        <f>IF($C$16=1,AE16,"")</f>
        <v/>
      </c>
      <c r="AE16" s="451" t="str">
        <f>""</f>
        <v/>
      </c>
      <c r="AF16" s="422" t="str">
        <f>'PRC | KHI'!BA82</f>
        <v/>
      </c>
      <c r="AG16" s="451">
        <v>1</v>
      </c>
      <c r="AH16" s="422" t="str">
        <f>'PRC | KHI'!BA83</f>
        <v/>
      </c>
      <c r="AI16" s="451">
        <v>7</v>
      </c>
      <c r="AJ16" s="186"/>
    </row>
    <row r="17" spans="1:36" ht="20" customHeight="1">
      <c r="A17" s="1871"/>
      <c r="B17" s="418" t="s">
        <v>437</v>
      </c>
      <c r="C17" s="444"/>
      <c r="D17" s="422" t="str">
        <f>IF($C$17=1,E17,"")</f>
        <v/>
      </c>
      <c r="E17" s="447" t="str">
        <f>""</f>
        <v/>
      </c>
      <c r="F17" s="422" t="str">
        <f>IF($C$17=1,G17,"")</f>
        <v/>
      </c>
      <c r="G17" s="447" t="str">
        <f>""</f>
        <v/>
      </c>
      <c r="H17" s="422" t="str">
        <f>IF($C$17=1,I17,"")</f>
        <v/>
      </c>
      <c r="I17" s="447" t="str">
        <f>""</f>
        <v/>
      </c>
      <c r="J17" s="422" t="str">
        <f>IF($C$17=1,K17,"")</f>
        <v/>
      </c>
      <c r="K17" s="447" t="str">
        <f>""</f>
        <v/>
      </c>
      <c r="L17" s="422" t="str">
        <f>'PRC | KHI'!BI77</f>
        <v/>
      </c>
      <c r="M17" s="447">
        <v>1</v>
      </c>
      <c r="N17" s="422" t="str">
        <f>IF($C$17=1,O17,"")</f>
        <v/>
      </c>
      <c r="O17" s="449" t="str">
        <f>""</f>
        <v/>
      </c>
      <c r="P17" s="422" t="str">
        <f>IF($C$17=1,Q17,"")</f>
        <v/>
      </c>
      <c r="Q17" s="449" t="str">
        <f>""</f>
        <v/>
      </c>
      <c r="R17" s="422" t="str">
        <f>IF($C$17=1,S17,"")</f>
        <v/>
      </c>
      <c r="S17" s="449" t="str">
        <f>""</f>
        <v/>
      </c>
      <c r="T17" s="422" t="str">
        <f>'PRC | KHI'!BI78</f>
        <v/>
      </c>
      <c r="U17" s="449">
        <v>2</v>
      </c>
      <c r="V17" s="422" t="str">
        <f>IF($C$17=1,W17,"")</f>
        <v/>
      </c>
      <c r="W17" s="450" t="str">
        <f>""</f>
        <v/>
      </c>
      <c r="X17" s="422" t="str">
        <f>IF($C$17=1,Y17,"")</f>
        <v/>
      </c>
      <c r="Y17" s="450" t="str">
        <f>""</f>
        <v/>
      </c>
      <c r="Z17" s="422" t="str">
        <f>IF($C$17=1,AA17,"")</f>
        <v/>
      </c>
      <c r="AA17" s="450" t="str">
        <f>""</f>
        <v/>
      </c>
      <c r="AB17" s="422" t="str">
        <f>IF($C$17=1,AC17,"")</f>
        <v/>
      </c>
      <c r="AC17" s="451" t="str">
        <f>""</f>
        <v/>
      </c>
      <c r="AD17" s="422" t="str">
        <f>IF($C$17=1,AE17,"")</f>
        <v/>
      </c>
      <c r="AE17" s="451" t="str">
        <f>""</f>
        <v/>
      </c>
      <c r="AF17" s="422" t="str">
        <f>'PRC | KHI'!BI79</f>
        <v/>
      </c>
      <c r="AG17" s="451">
        <v>2</v>
      </c>
      <c r="AH17" s="422" t="str">
        <f>'PRC | KHI'!BI80</f>
        <v/>
      </c>
      <c r="AI17" s="451">
        <v>4</v>
      </c>
      <c r="AJ17" s="186"/>
    </row>
    <row r="18" spans="1:36" ht="20" customHeight="1">
      <c r="A18" s="1871"/>
      <c r="B18" s="418" t="s">
        <v>438</v>
      </c>
      <c r="C18" s="444"/>
      <c r="D18" s="422" t="str">
        <f>IF($C$18=1,E18,"")</f>
        <v/>
      </c>
      <c r="E18" s="447" t="str">
        <f>""</f>
        <v/>
      </c>
      <c r="F18" s="422" t="str">
        <f>IF($C$18=1,G18,"")</f>
        <v/>
      </c>
      <c r="G18" s="447" t="str">
        <f>""</f>
        <v/>
      </c>
      <c r="H18" s="422" t="str">
        <f>IF($C$18=1,I18,"")</f>
        <v/>
      </c>
      <c r="I18" s="447" t="str">
        <f>""</f>
        <v/>
      </c>
      <c r="J18" s="422" t="str">
        <f>IF($C$18=1,K18,"")</f>
        <v/>
      </c>
      <c r="K18" s="447" t="str">
        <f>""</f>
        <v/>
      </c>
      <c r="L18" s="422" t="str">
        <f>'PRC | KHI'!U137</f>
        <v/>
      </c>
      <c r="M18" s="447">
        <v>1</v>
      </c>
      <c r="N18" s="422" t="str">
        <f>IF($C$18=1,O18,"")</f>
        <v/>
      </c>
      <c r="O18" s="449" t="str">
        <f>""</f>
        <v/>
      </c>
      <c r="P18" s="422" t="str">
        <f>'PRC | KHI'!U138</f>
        <v/>
      </c>
      <c r="Q18" s="449">
        <v>1</v>
      </c>
      <c r="R18" s="422" t="str">
        <f>IF($C$18=1,S18,"")</f>
        <v/>
      </c>
      <c r="S18" s="449" t="str">
        <f>""</f>
        <v/>
      </c>
      <c r="T18" s="422" t="str">
        <f>'PRC | KHI'!U139</f>
        <v/>
      </c>
      <c r="U18" s="449">
        <v>3</v>
      </c>
      <c r="V18" s="422" t="str">
        <f>IF($C$18=1,W18,"")</f>
        <v/>
      </c>
      <c r="W18" s="450" t="str">
        <f>""</f>
        <v/>
      </c>
      <c r="X18" s="422" t="str">
        <f>IF($C$18=1,Y18,"")</f>
        <v/>
      </c>
      <c r="Y18" s="450" t="str">
        <f>""</f>
        <v/>
      </c>
      <c r="Z18" s="422" t="str">
        <f>IF($C$18=1,AA18,"")</f>
        <v/>
      </c>
      <c r="AA18" s="450" t="str">
        <f>""</f>
        <v/>
      </c>
      <c r="AB18" s="422" t="str">
        <f>IF($C$18=1,AC18,"")</f>
        <v/>
      </c>
      <c r="AC18" s="451" t="str">
        <f>""</f>
        <v/>
      </c>
      <c r="AD18" s="422" t="str">
        <f>IF($C$18=1,AE18,"")</f>
        <v/>
      </c>
      <c r="AE18" s="451" t="str">
        <f>""</f>
        <v/>
      </c>
      <c r="AF18" s="422" t="str">
        <f>'PRC | KHI'!U140</f>
        <v/>
      </c>
      <c r="AG18" s="451">
        <v>4</v>
      </c>
      <c r="AH18" s="422" t="str">
        <f>'PRC | KHI'!U141</f>
        <v/>
      </c>
      <c r="AI18" s="451">
        <v>5</v>
      </c>
    </row>
    <row r="19" spans="1:36" ht="20" customHeight="1">
      <c r="A19" s="1871"/>
      <c r="B19" s="418" t="s">
        <v>439</v>
      </c>
      <c r="C19" s="444"/>
      <c r="D19" s="422" t="str">
        <f>IF($C$19=1,E19,"")</f>
        <v/>
      </c>
      <c r="E19" s="447" t="str">
        <f>""</f>
        <v/>
      </c>
      <c r="F19" s="422" t="str">
        <f>IF($C$19=1,G19,"")</f>
        <v/>
      </c>
      <c r="G19" s="447" t="str">
        <f>""</f>
        <v/>
      </c>
      <c r="H19" s="422" t="str">
        <f>IF($C$19=1,I19,"")</f>
        <v/>
      </c>
      <c r="I19" s="447" t="str">
        <f>""</f>
        <v/>
      </c>
      <c r="J19" s="422" t="str">
        <f>IF($C$19=1,K19,"")</f>
        <v/>
      </c>
      <c r="K19" s="447" t="str">
        <f>""</f>
        <v/>
      </c>
      <c r="L19" s="422" t="str">
        <f>'PRC | KHI'!AC137</f>
        <v/>
      </c>
      <c r="M19" s="447">
        <v>1</v>
      </c>
      <c r="N19" s="422" t="str">
        <f>IF($C$19=1,O19,"")</f>
        <v/>
      </c>
      <c r="O19" s="449" t="str">
        <f>""</f>
        <v/>
      </c>
      <c r="P19" s="422" t="str">
        <f>'PRC | KHI'!AC138</f>
        <v/>
      </c>
      <c r="Q19" s="449">
        <v>1</v>
      </c>
      <c r="R19" s="422" t="str">
        <f>IF($C$19=1,S19,"")</f>
        <v/>
      </c>
      <c r="S19" s="449" t="str">
        <f>""</f>
        <v/>
      </c>
      <c r="T19" s="422" t="str">
        <f>'PRC | KHI'!AC139</f>
        <v/>
      </c>
      <c r="U19" s="449">
        <v>2</v>
      </c>
      <c r="V19" s="422" t="str">
        <f>IF($C$19=1,W19,"")</f>
        <v/>
      </c>
      <c r="W19" s="450" t="str">
        <f>""</f>
        <v/>
      </c>
      <c r="X19" s="422" t="str">
        <f>IF($C$19=1,Y19,"")</f>
        <v/>
      </c>
      <c r="Y19" s="450" t="str">
        <f>""</f>
        <v/>
      </c>
      <c r="Z19" s="422" t="str">
        <f>IF($C$19=1,AA19,"")</f>
        <v/>
      </c>
      <c r="AA19" s="450" t="str">
        <f>""</f>
        <v/>
      </c>
      <c r="AB19" s="422" t="str">
        <f>IF($C$19=1,AC19,"")</f>
        <v/>
      </c>
      <c r="AC19" s="451" t="str">
        <f>""</f>
        <v/>
      </c>
      <c r="AD19" s="422" t="str">
        <f>IF($C$19=1,AE19,"")</f>
        <v/>
      </c>
      <c r="AE19" s="451" t="str">
        <f>""</f>
        <v/>
      </c>
      <c r="AF19" s="422" t="str">
        <f>'PRC | KHI'!AC140</f>
        <v/>
      </c>
      <c r="AG19" s="451">
        <v>3</v>
      </c>
      <c r="AH19" s="422" t="str">
        <f>'PRC | KHI'!AC141</f>
        <v/>
      </c>
      <c r="AI19" s="451">
        <v>7</v>
      </c>
    </row>
    <row r="20" spans="1:36" ht="20" customHeight="1">
      <c r="A20" s="1871"/>
      <c r="B20" s="418" t="s">
        <v>634</v>
      </c>
      <c r="C20" s="444"/>
      <c r="D20" s="422" t="str">
        <f>IF($C$20=1,E20,"")</f>
        <v/>
      </c>
      <c r="E20" s="447" t="str">
        <f>""</f>
        <v/>
      </c>
      <c r="F20" s="422" t="str">
        <f>IF($C$20=1,G20,"")</f>
        <v/>
      </c>
      <c r="G20" s="447" t="str">
        <f>""</f>
        <v/>
      </c>
      <c r="H20" s="422" t="str">
        <f>IF($C$20=1,I20,"")</f>
        <v/>
      </c>
      <c r="I20" s="447" t="str">
        <f>""</f>
        <v/>
      </c>
      <c r="J20" s="422" t="str">
        <f>IF($C$20=1,K20,"")</f>
        <v/>
      </c>
      <c r="K20" s="447" t="str">
        <f>""</f>
        <v/>
      </c>
      <c r="L20" s="422" t="str">
        <f>'PRC | KHI'!AK137</f>
        <v/>
      </c>
      <c r="M20" s="447">
        <v>1</v>
      </c>
      <c r="N20" s="422" t="str">
        <f>IF($C$20=1,O20,"")</f>
        <v/>
      </c>
      <c r="O20" s="449" t="str">
        <f>""</f>
        <v/>
      </c>
      <c r="P20" s="422" t="str">
        <f>'PRC | KHI'!AK138</f>
        <v/>
      </c>
      <c r="Q20" s="449">
        <v>1</v>
      </c>
      <c r="R20" s="422" t="str">
        <f>IF($C$20=1,S20,"")</f>
        <v/>
      </c>
      <c r="S20" s="449" t="str">
        <f>""</f>
        <v/>
      </c>
      <c r="T20" s="422" t="str">
        <f>'PRC | KHI'!AK139</f>
        <v/>
      </c>
      <c r="U20" s="449">
        <v>2</v>
      </c>
      <c r="V20" s="422" t="str">
        <f>IF($C$20=1,W20,"")</f>
        <v/>
      </c>
      <c r="W20" s="450" t="str">
        <f>""</f>
        <v/>
      </c>
      <c r="X20" s="422" t="str">
        <f>IF($C$20=1,Y20,"")</f>
        <v/>
      </c>
      <c r="Y20" s="450" t="str">
        <f>""</f>
        <v/>
      </c>
      <c r="Z20" s="422" t="str">
        <f>IF($C$20=1,AA20,"")</f>
        <v/>
      </c>
      <c r="AA20" s="450" t="str">
        <f>""</f>
        <v/>
      </c>
      <c r="AB20" s="422" t="str">
        <f>IF($C$20=1,AC20,"")</f>
        <v/>
      </c>
      <c r="AC20" s="451" t="str">
        <f>""</f>
        <v/>
      </c>
      <c r="AD20" s="422" t="str">
        <f>IF($C$20=1,AE20,"")</f>
        <v/>
      </c>
      <c r="AE20" s="451" t="str">
        <f>""</f>
        <v/>
      </c>
      <c r="AF20" s="422" t="str">
        <f>'PRC | KHI'!AK140</f>
        <v/>
      </c>
      <c r="AG20" s="451">
        <v>4</v>
      </c>
      <c r="AH20" s="422" t="str">
        <f>'PRC | KHI'!AK141</f>
        <v/>
      </c>
      <c r="AI20" s="451">
        <v>6</v>
      </c>
    </row>
    <row r="21" spans="1:36" ht="20" customHeight="1">
      <c r="A21" s="1871"/>
      <c r="B21" s="418" t="s">
        <v>440</v>
      </c>
      <c r="C21" s="444"/>
      <c r="D21" s="422" t="str">
        <f>IF($C$21=1,E21,"")</f>
        <v/>
      </c>
      <c r="E21" s="447" t="str">
        <f>""</f>
        <v/>
      </c>
      <c r="F21" s="422" t="str">
        <f>IF($C$21=1,G21,"")</f>
        <v/>
      </c>
      <c r="G21" s="447" t="str">
        <f>""</f>
        <v/>
      </c>
      <c r="H21" s="422" t="str">
        <f>IF($C$21=1,I21,"")</f>
        <v/>
      </c>
      <c r="I21" s="447" t="str">
        <f>""</f>
        <v/>
      </c>
      <c r="J21" s="422" t="str">
        <f>IF($C$21=1,K21,"")</f>
        <v/>
      </c>
      <c r="K21" s="447" t="str">
        <f>""</f>
        <v/>
      </c>
      <c r="L21" s="422" t="str">
        <f>'PRC | KHI'!AS134</f>
        <v/>
      </c>
      <c r="M21" s="447">
        <v>1</v>
      </c>
      <c r="N21" s="422" t="str">
        <f>IF($C$21=1,O21,"")</f>
        <v/>
      </c>
      <c r="O21" s="449" t="str">
        <f>""</f>
        <v/>
      </c>
      <c r="P21" s="422" t="str">
        <f>'PRC | KHI'!AS135</f>
        <v/>
      </c>
      <c r="Q21" s="449">
        <v>2</v>
      </c>
      <c r="R21" s="422" t="str">
        <f>IF($C$21=1,S21,"")</f>
        <v/>
      </c>
      <c r="S21" s="449" t="str">
        <f>""</f>
        <v/>
      </c>
      <c r="T21" s="422" t="str">
        <f>'PRC | KHI'!AS136</f>
        <v/>
      </c>
      <c r="U21" s="449">
        <v>2</v>
      </c>
      <c r="V21" s="422" t="str">
        <f>IF($C$21=1,W21,"")</f>
        <v/>
      </c>
      <c r="W21" s="450" t="str">
        <f>""</f>
        <v/>
      </c>
      <c r="X21" s="422" t="str">
        <f>IF($C$21=1,Y21,"")</f>
        <v/>
      </c>
      <c r="Y21" s="450" t="str">
        <f>""</f>
        <v/>
      </c>
      <c r="Z21" s="422" t="str">
        <f>IF($C$21=1,AA21,"")</f>
        <v/>
      </c>
      <c r="AA21" s="450" t="str">
        <f>""</f>
        <v/>
      </c>
      <c r="AB21" s="422" t="str">
        <f>IF($C$21=1,AC21,"")</f>
        <v/>
      </c>
      <c r="AC21" s="451" t="str">
        <f>""</f>
        <v/>
      </c>
      <c r="AD21" s="422" t="str">
        <f>IF($C$21=1,AE21,"")</f>
        <v/>
      </c>
      <c r="AE21" s="451" t="str">
        <f>""</f>
        <v/>
      </c>
      <c r="AF21" s="422" t="str">
        <f>'PRC | KHI'!AS137</f>
        <v/>
      </c>
      <c r="AG21" s="451">
        <v>3</v>
      </c>
      <c r="AH21" s="422" t="str">
        <f>'PRC | KHI'!AS138</f>
        <v/>
      </c>
      <c r="AI21" s="451">
        <v>5</v>
      </c>
    </row>
    <row r="22" spans="1:36" ht="20" customHeight="1">
      <c r="A22" s="1871"/>
      <c r="B22" s="418" t="s">
        <v>441</v>
      </c>
      <c r="C22" s="444"/>
      <c r="D22" s="422" t="str">
        <f>IF($C$22=1,E22,"")</f>
        <v/>
      </c>
      <c r="E22" s="447" t="str">
        <f>""</f>
        <v/>
      </c>
      <c r="F22" s="422" t="str">
        <f>IF($C$22=1,G22,"")</f>
        <v/>
      </c>
      <c r="G22" s="447" t="str">
        <f>""</f>
        <v/>
      </c>
      <c r="H22" s="422" t="str">
        <f>IF($C$22=1,I22,"")</f>
        <v/>
      </c>
      <c r="I22" s="447" t="str">
        <f>""</f>
        <v/>
      </c>
      <c r="J22" s="422" t="str">
        <f>IF($C$22=1,K22,"")</f>
        <v/>
      </c>
      <c r="K22" s="447" t="str">
        <f>""</f>
        <v/>
      </c>
      <c r="L22" s="422" t="str">
        <f>'PRC | KHI'!BA134</f>
        <v/>
      </c>
      <c r="M22" s="447">
        <v>1</v>
      </c>
      <c r="N22" s="422" t="str">
        <f>IF($C$22=1,O22,"")</f>
        <v/>
      </c>
      <c r="O22" s="449" t="str">
        <f>""</f>
        <v/>
      </c>
      <c r="P22" s="509" t="str">
        <f>'PRC | KHI'!BA135</f>
        <v/>
      </c>
      <c r="Q22" s="449">
        <v>2</v>
      </c>
      <c r="R22" s="422" t="str">
        <f>IF($C$22=1,S22,"")</f>
        <v/>
      </c>
      <c r="S22" s="449" t="str">
        <f>""</f>
        <v/>
      </c>
      <c r="T22" s="509" t="str">
        <f>'PRC | KHI'!BA136</f>
        <v/>
      </c>
      <c r="U22" s="449">
        <v>2</v>
      </c>
      <c r="V22" s="422" t="str">
        <f>IF($C$22=1,W22,"")</f>
        <v/>
      </c>
      <c r="W22" s="450" t="str">
        <f>""</f>
        <v/>
      </c>
      <c r="X22" s="422" t="str">
        <f>IF($C$22=1,Y22,"")</f>
        <v/>
      </c>
      <c r="Y22" s="450" t="str">
        <f>""</f>
        <v/>
      </c>
      <c r="Z22" s="422" t="str">
        <f>IF($C$22=1,AA22,"")</f>
        <v/>
      </c>
      <c r="AA22" s="450" t="str">
        <f>""</f>
        <v/>
      </c>
      <c r="AB22" s="422" t="str">
        <f>IF($C$22=1,AC22,"")</f>
        <v/>
      </c>
      <c r="AC22" s="451" t="str">
        <f>""</f>
        <v/>
      </c>
      <c r="AD22" s="422" t="str">
        <f>IF($C$22=1,AE22,"")</f>
        <v/>
      </c>
      <c r="AE22" s="451" t="str">
        <f>""</f>
        <v/>
      </c>
      <c r="AF22" s="509" t="str">
        <f>'PRC | KHI'!BA137</f>
        <v/>
      </c>
      <c r="AG22" s="451">
        <v>4</v>
      </c>
      <c r="AH22" s="509" t="str">
        <f>'PRC | KHI'!BA138</f>
        <v/>
      </c>
      <c r="AI22" s="451">
        <v>4</v>
      </c>
    </row>
    <row r="23" spans="1:36" ht="20" customHeight="1">
      <c r="A23" s="1871"/>
      <c r="B23" s="418" t="s">
        <v>442</v>
      </c>
      <c r="C23" s="444"/>
      <c r="D23" s="422" t="str">
        <f>IF($C$23=1,E23,"")</f>
        <v/>
      </c>
      <c r="E23" s="447" t="str">
        <f>""</f>
        <v/>
      </c>
      <c r="F23" s="422" t="str">
        <f>IF($C$23=1,G23,"")</f>
        <v/>
      </c>
      <c r="G23" s="447" t="str">
        <f>""</f>
        <v/>
      </c>
      <c r="H23" s="422" t="str">
        <f>IF($C$23=1,I23,"")</f>
        <v/>
      </c>
      <c r="I23" s="447" t="str">
        <f>""</f>
        <v/>
      </c>
      <c r="J23" s="422" t="str">
        <f>IF($C$23=1,K23,"")</f>
        <v/>
      </c>
      <c r="K23" s="447" t="str">
        <f>""</f>
        <v/>
      </c>
      <c r="L23" s="422" t="str">
        <f>'PRC | KHI'!BI131</f>
        <v/>
      </c>
      <c r="M23" s="447">
        <v>1</v>
      </c>
      <c r="N23" s="422" t="str">
        <f>IF($C$23=1,O23,"")</f>
        <v/>
      </c>
      <c r="O23" s="449" t="str">
        <f>""</f>
        <v/>
      </c>
      <c r="P23" s="422" t="str">
        <f>'PRC | KHI'!BI132</f>
        <v/>
      </c>
      <c r="Q23" s="449">
        <v>1</v>
      </c>
      <c r="R23" s="422" t="str">
        <f>IF($C$23=1,S23,"")</f>
        <v/>
      </c>
      <c r="S23" s="449" t="str">
        <f>""</f>
        <v/>
      </c>
      <c r="T23" s="422" t="str">
        <f>'PRC | KHI'!BI133</f>
        <v/>
      </c>
      <c r="U23" s="449">
        <v>2</v>
      </c>
      <c r="V23" s="422" t="str">
        <f>IF($C$23=1,W23,"")</f>
        <v/>
      </c>
      <c r="W23" s="450" t="str">
        <f>""</f>
        <v/>
      </c>
      <c r="X23" s="422" t="str">
        <f>IF($C$23=1,Y23,"")</f>
        <v/>
      </c>
      <c r="Y23" s="450" t="str">
        <f>""</f>
        <v/>
      </c>
      <c r="Z23" s="422" t="str">
        <f>IF($C$23=1,AA23,"")</f>
        <v/>
      </c>
      <c r="AA23" s="450" t="str">
        <f>""</f>
        <v/>
      </c>
      <c r="AB23" s="422" t="str">
        <f>IF($C$23=1,AC23,"")</f>
        <v/>
      </c>
      <c r="AC23" s="451" t="str">
        <f>""</f>
        <v/>
      </c>
      <c r="AD23" s="422" t="str">
        <f>IF($C$23=1,AE23,"")</f>
        <v/>
      </c>
      <c r="AE23" s="451" t="str">
        <f>""</f>
        <v/>
      </c>
      <c r="AF23" s="422" t="str">
        <f>'PRC | KHI'!BI134</f>
        <v/>
      </c>
      <c r="AG23" s="451">
        <v>3</v>
      </c>
      <c r="AH23" s="422" t="str">
        <f>'PRC | KHI'!BI135</f>
        <v/>
      </c>
      <c r="AI23" s="451">
        <v>5</v>
      </c>
    </row>
    <row r="24" spans="1:36" ht="20" customHeight="1">
      <c r="A24" s="1871"/>
      <c r="B24" s="418" t="s">
        <v>443</v>
      </c>
      <c r="C24" s="444"/>
      <c r="D24" s="422" t="str">
        <f>IF($C$24=1,E24,"")</f>
        <v/>
      </c>
      <c r="E24" s="447" t="str">
        <f>""</f>
        <v/>
      </c>
      <c r="F24" s="422" t="str">
        <f>IF($C$24=1,G24,"")</f>
        <v/>
      </c>
      <c r="G24" s="447" t="str">
        <f>""</f>
        <v/>
      </c>
      <c r="H24" s="422" t="str">
        <f>IF($C$24=1,I24,"")</f>
        <v/>
      </c>
      <c r="I24" s="447" t="str">
        <f>""</f>
        <v/>
      </c>
      <c r="J24" s="422" t="str">
        <f>IF($C$24=1,K24,"")</f>
        <v/>
      </c>
      <c r="K24" s="447" t="str">
        <f>""</f>
        <v/>
      </c>
      <c r="L24" s="422" t="str">
        <f>'PRC | KHI'!U194</f>
        <v/>
      </c>
      <c r="M24" s="447">
        <v>1</v>
      </c>
      <c r="N24" s="422" t="str">
        <f>IF($C$24=1,O24,"")</f>
        <v/>
      </c>
      <c r="O24" s="449" t="str">
        <f>""</f>
        <v/>
      </c>
      <c r="P24" s="422" t="str">
        <f>'PRC | KHI'!U195</f>
        <v/>
      </c>
      <c r="Q24" s="449">
        <v>2</v>
      </c>
      <c r="R24" s="422" t="str">
        <f>IF($C$24=1,S24,"")</f>
        <v/>
      </c>
      <c r="S24" s="449" t="str">
        <f>""</f>
        <v/>
      </c>
      <c r="T24" s="422" t="str">
        <f>'PRC | KHI'!U196</f>
        <v/>
      </c>
      <c r="U24" s="449">
        <v>2</v>
      </c>
      <c r="V24" s="422" t="str">
        <f>IF($C$24=1,W24,"")</f>
        <v/>
      </c>
      <c r="W24" s="450" t="str">
        <f>""</f>
        <v/>
      </c>
      <c r="X24" s="422" t="str">
        <f>IF($C$24=1,Y24,"")</f>
        <v/>
      </c>
      <c r="Y24" s="450" t="str">
        <f>""</f>
        <v/>
      </c>
      <c r="Z24" s="422" t="str">
        <f>IF($C$24=1,AA24,"")</f>
        <v/>
      </c>
      <c r="AA24" s="450" t="str">
        <f>""</f>
        <v/>
      </c>
      <c r="AB24" s="422" t="str">
        <f>IF($C$24=1,AC24,"")</f>
        <v/>
      </c>
      <c r="AC24" s="451" t="str">
        <f>""</f>
        <v/>
      </c>
      <c r="AD24" s="422" t="str">
        <f>IF($C$24=1,AE24,"")</f>
        <v/>
      </c>
      <c r="AE24" s="451" t="str">
        <f>""</f>
        <v/>
      </c>
      <c r="AF24" s="422" t="str">
        <f>'PRC | KHI'!U197</f>
        <v/>
      </c>
      <c r="AG24" s="451">
        <v>4</v>
      </c>
      <c r="AH24" s="422" t="str">
        <f>'PRC | KHI'!U198</f>
        <v/>
      </c>
      <c r="AI24" s="451">
        <v>7</v>
      </c>
    </row>
    <row r="25" spans="1:36" ht="20" customHeight="1">
      <c r="A25" s="1871"/>
      <c r="B25" s="418" t="s">
        <v>703</v>
      </c>
      <c r="C25" s="444"/>
      <c r="D25" s="509" t="str">
        <f>'PRC | KHI'!H71</f>
        <v/>
      </c>
      <c r="E25" s="447">
        <v>3</v>
      </c>
      <c r="F25" s="422" t="str">
        <f>IF($C$25=1,G25,"")</f>
        <v/>
      </c>
      <c r="G25" s="447" t="str">
        <f>""</f>
        <v/>
      </c>
      <c r="H25" s="422" t="str">
        <f>IF($C$25=1,I25,"")</f>
        <v/>
      </c>
      <c r="I25" s="447" t="str">
        <f>""</f>
        <v/>
      </c>
      <c r="J25" s="422" t="str">
        <f>IF($C$25=1,K25,"")</f>
        <v/>
      </c>
      <c r="K25" s="447" t="str">
        <f>""</f>
        <v/>
      </c>
      <c r="L25" s="509" t="str">
        <f>'PRC | KHI'!H72</f>
        <v/>
      </c>
      <c r="M25" s="447">
        <v>1</v>
      </c>
      <c r="N25" s="509" t="str">
        <f>'PRC | KHI'!H73</f>
        <v/>
      </c>
      <c r="O25" s="449">
        <v>2</v>
      </c>
      <c r="P25" s="422" t="str">
        <f>IF($C$25=1,Q25,"")</f>
        <v/>
      </c>
      <c r="Q25" s="449" t="str">
        <f>""</f>
        <v/>
      </c>
      <c r="R25" s="422" t="str">
        <f>IF($C$25=1,S25,"")</f>
        <v/>
      </c>
      <c r="S25" s="449" t="str">
        <f>""</f>
        <v/>
      </c>
      <c r="T25" s="509" t="str">
        <f>'PRC | KHI'!H74</f>
        <v/>
      </c>
      <c r="U25" s="449">
        <v>1</v>
      </c>
      <c r="V25" s="422" t="str">
        <f>IF($C$25=1,W25,"")</f>
        <v/>
      </c>
      <c r="W25" s="450" t="str">
        <f>""</f>
        <v/>
      </c>
      <c r="X25" s="422" t="str">
        <f>IF($C$25=1,Y25,"")</f>
        <v/>
      </c>
      <c r="Y25" s="450" t="str">
        <f>""</f>
        <v/>
      </c>
      <c r="Z25" s="422" t="str">
        <f>IF($C$25=1,AA25,"")</f>
        <v/>
      </c>
      <c r="AA25" s="450" t="str">
        <f>""</f>
        <v/>
      </c>
      <c r="AB25" s="422" t="str">
        <f>IF($C$25=1,AC25,"")</f>
        <v/>
      </c>
      <c r="AC25" s="451" t="str">
        <f>""</f>
        <v/>
      </c>
      <c r="AD25" s="422" t="str">
        <f>IF($C$25=1,AE25,"")</f>
        <v/>
      </c>
      <c r="AE25" s="451" t="str">
        <f>""</f>
        <v/>
      </c>
      <c r="AF25" s="422" t="str">
        <f>IF($C$25=1,AG25,"")</f>
        <v/>
      </c>
      <c r="AG25" s="451" t="str">
        <f>""</f>
        <v/>
      </c>
      <c r="AH25" s="422" t="str">
        <f>IF($C$25=1,AI25,"")</f>
        <v/>
      </c>
      <c r="AI25" s="451" t="str">
        <f>""</f>
        <v/>
      </c>
    </row>
    <row r="26" spans="1:36" ht="20" customHeight="1">
      <c r="A26" s="1871"/>
      <c r="B26" s="418" t="s">
        <v>704</v>
      </c>
      <c r="C26" s="444"/>
      <c r="D26" s="509" t="str">
        <f>'PRC | KHI'!I71</f>
        <v/>
      </c>
      <c r="E26" s="447">
        <v>3</v>
      </c>
      <c r="F26" s="422" t="str">
        <f>IF($C$26=1,G26,"")</f>
        <v/>
      </c>
      <c r="G26" s="447" t="str">
        <f>""</f>
        <v/>
      </c>
      <c r="H26" s="422" t="str">
        <f>IF($C$26=1,I26,"")</f>
        <v/>
      </c>
      <c r="I26" s="447" t="str">
        <f>""</f>
        <v/>
      </c>
      <c r="J26" s="422" t="str">
        <f>IF($C$26=1,K26,"")</f>
        <v/>
      </c>
      <c r="K26" s="447" t="str">
        <f>""</f>
        <v/>
      </c>
      <c r="L26" s="509" t="str">
        <f>'PRC | KHI'!I72</f>
        <v/>
      </c>
      <c r="M26" s="447">
        <v>1</v>
      </c>
      <c r="N26" s="509" t="str">
        <f>'PRC | KHI'!I73</f>
        <v/>
      </c>
      <c r="O26" s="449">
        <v>2</v>
      </c>
      <c r="P26" s="422" t="str">
        <f>IF($C$26=1,Q26,"")</f>
        <v/>
      </c>
      <c r="Q26" s="449" t="str">
        <f>""</f>
        <v/>
      </c>
      <c r="R26" s="422" t="str">
        <f>IF($C$26=1,S26,"")</f>
        <v/>
      </c>
      <c r="S26" s="449" t="str">
        <f>""</f>
        <v/>
      </c>
      <c r="T26" s="509" t="str">
        <f>'PRC | KHI'!I74</f>
        <v/>
      </c>
      <c r="U26" s="449">
        <v>1</v>
      </c>
      <c r="V26" s="422" t="str">
        <f>IF($C$26=1,W26,"")</f>
        <v/>
      </c>
      <c r="W26" s="450" t="str">
        <f>""</f>
        <v/>
      </c>
      <c r="X26" s="422" t="str">
        <f>IF($C$26=1,Y26,"")</f>
        <v/>
      </c>
      <c r="Y26" s="450" t="str">
        <f>""</f>
        <v/>
      </c>
      <c r="Z26" s="422" t="str">
        <f>IF($C$26=1,AA26,"")</f>
        <v/>
      </c>
      <c r="AA26" s="450" t="str">
        <f>""</f>
        <v/>
      </c>
      <c r="AB26" s="422" t="str">
        <f>IF($C$26=1,AC26,"")</f>
        <v/>
      </c>
      <c r="AC26" s="451" t="str">
        <f>""</f>
        <v/>
      </c>
      <c r="AD26" s="422" t="str">
        <f>IF($C$26=1,AE26,"")</f>
        <v/>
      </c>
      <c r="AE26" s="451" t="str">
        <f>""</f>
        <v/>
      </c>
      <c r="AF26" s="422" t="str">
        <f>IF($C$26=1,AG26,"")</f>
        <v/>
      </c>
      <c r="AG26" s="451" t="str">
        <f>""</f>
        <v/>
      </c>
      <c r="AH26" s="422" t="str">
        <f>IF($C$26=1,AI26,"")</f>
        <v/>
      </c>
      <c r="AI26" s="451" t="str">
        <f>""</f>
        <v/>
      </c>
    </row>
    <row r="27" spans="1:36" ht="20" customHeight="1">
      <c r="A27" s="1871"/>
      <c r="B27" s="418" t="s">
        <v>705</v>
      </c>
      <c r="C27" s="444"/>
      <c r="D27" s="509" t="str">
        <f>'PRC | KHI'!J71</f>
        <v/>
      </c>
      <c r="E27" s="447">
        <v>3</v>
      </c>
      <c r="F27" s="422" t="str">
        <f>IF($C$27=1,G27,"")</f>
        <v/>
      </c>
      <c r="G27" s="447" t="str">
        <f>""</f>
        <v/>
      </c>
      <c r="H27" s="422" t="str">
        <f>IF($C$27=1,I27,"")</f>
        <v/>
      </c>
      <c r="I27" s="447" t="str">
        <f>""</f>
        <v/>
      </c>
      <c r="J27" s="422" t="str">
        <f>IF($C$27=1,K27,"")</f>
        <v/>
      </c>
      <c r="K27" s="447" t="str">
        <f>""</f>
        <v/>
      </c>
      <c r="L27" s="509" t="str">
        <f>'PRC | KHI'!J72</f>
        <v/>
      </c>
      <c r="M27" s="447">
        <v>1</v>
      </c>
      <c r="N27" s="509" t="str">
        <f>'PRC | KHI'!J73</f>
        <v/>
      </c>
      <c r="O27" s="449">
        <v>2</v>
      </c>
      <c r="P27" s="422" t="str">
        <f>IF($C$27=1,Q27,"")</f>
        <v/>
      </c>
      <c r="Q27" s="449" t="str">
        <f>""</f>
        <v/>
      </c>
      <c r="R27" s="422" t="str">
        <f>IF($C$27=1,S27,"")</f>
        <v/>
      </c>
      <c r="S27" s="449" t="str">
        <f>""</f>
        <v/>
      </c>
      <c r="T27" s="509" t="str">
        <f>'PRC | KHI'!J74</f>
        <v/>
      </c>
      <c r="U27" s="449">
        <v>1</v>
      </c>
      <c r="V27" s="422" t="str">
        <f>IF($C$27=1,W27,"")</f>
        <v/>
      </c>
      <c r="W27" s="450" t="str">
        <f>""</f>
        <v/>
      </c>
      <c r="X27" s="422" t="str">
        <f>IF($C$27=1,Y27,"")</f>
        <v/>
      </c>
      <c r="Y27" s="450" t="str">
        <f>""</f>
        <v/>
      </c>
      <c r="Z27" s="422" t="str">
        <f>IF($C$27=1,AA27,"")</f>
        <v/>
      </c>
      <c r="AA27" s="450" t="str">
        <f>""</f>
        <v/>
      </c>
      <c r="AB27" s="422" t="str">
        <f>IF($C$27=1,AC27,"")</f>
        <v/>
      </c>
      <c r="AC27" s="451" t="str">
        <f>""</f>
        <v/>
      </c>
      <c r="AD27" s="422" t="str">
        <f>IF($C$27=1,AE27,"")</f>
        <v/>
      </c>
      <c r="AE27" s="451" t="str">
        <f>""</f>
        <v/>
      </c>
      <c r="AF27" s="422" t="str">
        <f>IF($C$27=1,AG27,"")</f>
        <v/>
      </c>
      <c r="AG27" s="451" t="str">
        <f>""</f>
        <v/>
      </c>
      <c r="AH27" s="422" t="str">
        <f>IF($C$27=1,AI27,"")</f>
        <v/>
      </c>
      <c r="AI27" s="451" t="str">
        <f>""</f>
        <v/>
      </c>
    </row>
    <row r="28" spans="1:36" ht="20" customHeight="1">
      <c r="A28" s="1871"/>
      <c r="B28" s="418" t="s">
        <v>706</v>
      </c>
      <c r="C28" s="444"/>
      <c r="D28" s="509" t="str">
        <f>'PRC | KHI'!K71</f>
        <v/>
      </c>
      <c r="E28" s="447">
        <v>3</v>
      </c>
      <c r="F28" s="422" t="str">
        <f>IF($C$28=1,G28,"")</f>
        <v/>
      </c>
      <c r="G28" s="447" t="str">
        <f>""</f>
        <v/>
      </c>
      <c r="H28" s="422" t="str">
        <f>IF($C$28=1,I28,"")</f>
        <v/>
      </c>
      <c r="I28" s="447" t="str">
        <f>""</f>
        <v/>
      </c>
      <c r="J28" s="422" t="str">
        <f>IF($C$28=1,K28,"")</f>
        <v/>
      </c>
      <c r="K28" s="447" t="str">
        <f>""</f>
        <v/>
      </c>
      <c r="L28" s="509" t="str">
        <f>'PRC | KHI'!K72</f>
        <v/>
      </c>
      <c r="M28" s="447">
        <v>1</v>
      </c>
      <c r="N28" s="509" t="str">
        <f>'PRC | KHI'!K73</f>
        <v/>
      </c>
      <c r="O28" s="449">
        <v>2</v>
      </c>
      <c r="P28" s="422" t="str">
        <f>IF($C$28=1,Q28,"")</f>
        <v/>
      </c>
      <c r="Q28" s="449" t="str">
        <f>""</f>
        <v/>
      </c>
      <c r="R28" s="422" t="str">
        <f>IF($C$28=1,S28,"")</f>
        <v/>
      </c>
      <c r="S28" s="449" t="str">
        <f>""</f>
        <v/>
      </c>
      <c r="T28" s="509" t="str">
        <f>'PRC | KHI'!K74</f>
        <v/>
      </c>
      <c r="U28" s="449">
        <v>1</v>
      </c>
      <c r="V28" s="422" t="str">
        <f>IF($C$28=1,W28,"")</f>
        <v/>
      </c>
      <c r="W28" s="450" t="str">
        <f>""</f>
        <v/>
      </c>
      <c r="X28" s="422" t="str">
        <f>IF($C$28=1,Y28,"")</f>
        <v/>
      </c>
      <c r="Y28" s="450" t="str">
        <f>""</f>
        <v/>
      </c>
      <c r="Z28" s="422" t="str">
        <f>IF($C$28=1,AA28,"")</f>
        <v/>
      </c>
      <c r="AA28" s="450" t="str">
        <f>""</f>
        <v/>
      </c>
      <c r="AB28" s="422" t="str">
        <f>IF($C$28=1,AC28,"")</f>
        <v/>
      </c>
      <c r="AC28" s="451" t="str">
        <f>""</f>
        <v/>
      </c>
      <c r="AD28" s="422" t="str">
        <f>IF($C$28=1,AE28,"")</f>
        <v/>
      </c>
      <c r="AE28" s="451" t="str">
        <f>""</f>
        <v/>
      </c>
      <c r="AF28" s="422" t="str">
        <f>IF($C$28=1,AG28,"")</f>
        <v/>
      </c>
      <c r="AG28" s="451" t="str">
        <f>""</f>
        <v/>
      </c>
      <c r="AH28" s="422" t="str">
        <f>IF($C$28=1,AI28,"")</f>
        <v/>
      </c>
      <c r="AI28" s="451" t="str">
        <f>""</f>
        <v/>
      </c>
    </row>
    <row r="29" spans="1:36" ht="20" customHeight="1">
      <c r="A29" s="1871"/>
      <c r="B29" s="418" t="s">
        <v>707</v>
      </c>
      <c r="C29" s="444"/>
      <c r="D29" s="509" t="str">
        <f>'PRC | KHI'!L71</f>
        <v/>
      </c>
      <c r="E29" s="447">
        <v>3</v>
      </c>
      <c r="F29" s="422" t="str">
        <f>IF($C$29=1,G29,"")</f>
        <v/>
      </c>
      <c r="G29" s="447" t="str">
        <f>""</f>
        <v/>
      </c>
      <c r="H29" s="422" t="str">
        <f>IF($C$29=1,I29,"")</f>
        <v/>
      </c>
      <c r="I29" s="447" t="str">
        <f>""</f>
        <v/>
      </c>
      <c r="J29" s="422" t="str">
        <f>IF($C$29=1,K29,"")</f>
        <v/>
      </c>
      <c r="K29" s="447" t="str">
        <f>""</f>
        <v/>
      </c>
      <c r="L29" s="509" t="str">
        <f>'PRC | KHI'!L72</f>
        <v/>
      </c>
      <c r="M29" s="447">
        <v>1</v>
      </c>
      <c r="N29" s="509" t="str">
        <f>'PRC | KHI'!L73</f>
        <v/>
      </c>
      <c r="O29" s="449">
        <v>2</v>
      </c>
      <c r="P29" s="422" t="str">
        <f>IF($C$29=1,Q29,"")</f>
        <v/>
      </c>
      <c r="Q29" s="449" t="str">
        <f>""</f>
        <v/>
      </c>
      <c r="R29" s="422" t="str">
        <f>IF($C$29=1,S29,"")</f>
        <v/>
      </c>
      <c r="S29" s="449" t="str">
        <f>""</f>
        <v/>
      </c>
      <c r="T29" s="509" t="str">
        <f>'PRC | KHI'!L74</f>
        <v/>
      </c>
      <c r="U29" s="449">
        <v>1</v>
      </c>
      <c r="V29" s="422" t="str">
        <f>IF($C$29=1,W29,"")</f>
        <v/>
      </c>
      <c r="W29" s="450" t="str">
        <f>""</f>
        <v/>
      </c>
      <c r="X29" s="422" t="str">
        <f>IF($C$29=1,Y29,"")</f>
        <v/>
      </c>
      <c r="Y29" s="450" t="str">
        <f>""</f>
        <v/>
      </c>
      <c r="Z29" s="422" t="str">
        <f>IF($C$29=1,AA29,"")</f>
        <v/>
      </c>
      <c r="AA29" s="450" t="str">
        <f>""</f>
        <v/>
      </c>
      <c r="AB29" s="422" t="str">
        <f>IF($C$29=1,AC29,"")</f>
        <v/>
      </c>
      <c r="AC29" s="451" t="str">
        <f>""</f>
        <v/>
      </c>
      <c r="AD29" s="422" t="str">
        <f>IF($C$29=1,AE29,"")</f>
        <v/>
      </c>
      <c r="AE29" s="451" t="str">
        <f>""</f>
        <v/>
      </c>
      <c r="AF29" s="422" t="str">
        <f>IF($C$29=1,AG29,"")</f>
        <v/>
      </c>
      <c r="AG29" s="451" t="str">
        <f>""</f>
        <v/>
      </c>
      <c r="AH29" s="422" t="str">
        <f>IF($C$29=1,AI29,"")</f>
        <v/>
      </c>
      <c r="AI29" s="451" t="str">
        <f>""</f>
        <v/>
      </c>
    </row>
    <row r="30" spans="1:36" ht="20" customHeight="1">
      <c r="A30" s="1871"/>
      <c r="B30" s="418" t="s">
        <v>708</v>
      </c>
      <c r="C30" s="444"/>
      <c r="D30" s="509" t="str">
        <f>'PRC | KHI'!M71</f>
        <v/>
      </c>
      <c r="E30" s="447">
        <v>3</v>
      </c>
      <c r="F30" s="422" t="str">
        <f>IF($C$30=1,G30,"")</f>
        <v/>
      </c>
      <c r="G30" s="447" t="str">
        <f>""</f>
        <v/>
      </c>
      <c r="H30" s="422" t="str">
        <f>IF($C$30=1,I30,"")</f>
        <v/>
      </c>
      <c r="I30" s="447" t="str">
        <f>""</f>
        <v/>
      </c>
      <c r="J30" s="422" t="str">
        <f>IF($C$30=1,K30,"")</f>
        <v/>
      </c>
      <c r="K30" s="447" t="str">
        <f>""</f>
        <v/>
      </c>
      <c r="L30" s="509" t="str">
        <f>'PRC | KHI'!M72</f>
        <v/>
      </c>
      <c r="M30" s="447">
        <v>1</v>
      </c>
      <c r="N30" s="509" t="str">
        <f>'PRC | KHI'!M73</f>
        <v/>
      </c>
      <c r="O30" s="449">
        <v>2</v>
      </c>
      <c r="P30" s="422" t="str">
        <f>IF($C$30=1,Q30,"")</f>
        <v/>
      </c>
      <c r="Q30" s="449" t="str">
        <f>""</f>
        <v/>
      </c>
      <c r="R30" s="422" t="str">
        <f>IF($C$30=1,S30,"")</f>
        <v/>
      </c>
      <c r="S30" s="449" t="str">
        <f>""</f>
        <v/>
      </c>
      <c r="T30" s="509" t="str">
        <f>'PRC | KHI'!M74</f>
        <v/>
      </c>
      <c r="U30" s="449">
        <v>1</v>
      </c>
      <c r="V30" s="422" t="str">
        <f>IF($C$30=1,W30,"")</f>
        <v/>
      </c>
      <c r="W30" s="450" t="str">
        <f>""</f>
        <v/>
      </c>
      <c r="X30" s="422" t="str">
        <f>IF($C$30=1,Y30,"")</f>
        <v/>
      </c>
      <c r="Y30" s="450" t="str">
        <f>""</f>
        <v/>
      </c>
      <c r="Z30" s="422" t="str">
        <f>IF($C$30=1,AA30,"")</f>
        <v/>
      </c>
      <c r="AA30" s="450" t="str">
        <f>""</f>
        <v/>
      </c>
      <c r="AB30" s="422" t="str">
        <f>IF($C$30=1,AC30,"")</f>
        <v/>
      </c>
      <c r="AC30" s="451" t="str">
        <f>""</f>
        <v/>
      </c>
      <c r="AD30" s="422" t="str">
        <f>IF($C$30=1,AE30,"")</f>
        <v/>
      </c>
      <c r="AE30" s="451" t="str">
        <f>""</f>
        <v/>
      </c>
      <c r="AF30" s="422" t="str">
        <f>IF($C$30=1,AG30,"")</f>
        <v/>
      </c>
      <c r="AG30" s="451" t="str">
        <f>""</f>
        <v/>
      </c>
      <c r="AH30" s="422" t="str">
        <f>IF($C$30=1,AI30,"")</f>
        <v/>
      </c>
      <c r="AI30" s="451" t="str">
        <f>""</f>
        <v/>
      </c>
    </row>
    <row r="31" spans="1:36" ht="20" customHeight="1">
      <c r="A31" s="1871"/>
      <c r="B31" s="418" t="s">
        <v>709</v>
      </c>
      <c r="C31" s="444"/>
      <c r="D31" s="509" t="str">
        <f>'PRC | KHI'!H116</f>
        <v/>
      </c>
      <c r="E31" s="447">
        <v>3</v>
      </c>
      <c r="F31" s="422" t="str">
        <f>IF($C$31=1,G31,"")</f>
        <v/>
      </c>
      <c r="G31" s="447" t="str">
        <f>""</f>
        <v/>
      </c>
      <c r="H31" s="422" t="str">
        <f>IF($C$31=1,I31,"")</f>
        <v/>
      </c>
      <c r="I31" s="447" t="str">
        <f>""</f>
        <v/>
      </c>
      <c r="J31" s="422" t="str">
        <f>IF($C$31=1,K31,"")</f>
        <v/>
      </c>
      <c r="K31" s="447" t="str">
        <f>""</f>
        <v/>
      </c>
      <c r="L31" s="509" t="str">
        <f>'PRC | KHI'!H117</f>
        <v/>
      </c>
      <c r="M31" s="447">
        <v>1</v>
      </c>
      <c r="N31" s="509" t="str">
        <f>'PRC | KHI'!H118</f>
        <v/>
      </c>
      <c r="O31" s="449">
        <v>2</v>
      </c>
      <c r="P31" s="422" t="str">
        <f>IF($C$31=1,Q31,"")</f>
        <v/>
      </c>
      <c r="Q31" s="449" t="str">
        <f>""</f>
        <v/>
      </c>
      <c r="R31" s="422" t="str">
        <f>IF($C$31=1,S31,"")</f>
        <v/>
      </c>
      <c r="S31" s="449" t="str">
        <f>""</f>
        <v/>
      </c>
      <c r="T31" s="509" t="str">
        <f>'PRC | KHI'!H119</f>
        <v/>
      </c>
      <c r="U31" s="449">
        <v>1</v>
      </c>
      <c r="V31" s="422" t="str">
        <f>IF($C$31=1,W31,"")</f>
        <v/>
      </c>
      <c r="W31" s="450" t="str">
        <f>""</f>
        <v/>
      </c>
      <c r="X31" s="422" t="str">
        <f>IF($C$31=1,Y31,"")</f>
        <v/>
      </c>
      <c r="Y31" s="450" t="str">
        <f>""</f>
        <v/>
      </c>
      <c r="Z31" s="422" t="str">
        <f>IF($C$31=1,AA31,"")</f>
        <v/>
      </c>
      <c r="AA31" s="450" t="str">
        <f>""</f>
        <v/>
      </c>
      <c r="AB31" s="422" t="str">
        <f>IF($C$31=1,AC31,"")</f>
        <v/>
      </c>
      <c r="AC31" s="451" t="str">
        <f>""</f>
        <v/>
      </c>
      <c r="AD31" s="422" t="str">
        <f>IF($C$31=1,AE31,"")</f>
        <v/>
      </c>
      <c r="AE31" s="451" t="str">
        <f>""</f>
        <v/>
      </c>
      <c r="AF31" s="422" t="str">
        <f>IF($C$31=1,AG31,"")</f>
        <v/>
      </c>
      <c r="AG31" s="451" t="str">
        <f>""</f>
        <v/>
      </c>
      <c r="AH31" s="422" t="str">
        <f>IF($C$31=1,AI31,"")</f>
        <v/>
      </c>
      <c r="AI31" s="451" t="str">
        <f>""</f>
        <v/>
      </c>
    </row>
    <row r="32" spans="1:36" ht="20" customHeight="1">
      <c r="A32" s="1871"/>
      <c r="B32" s="418" t="s">
        <v>710</v>
      </c>
      <c r="C32" s="444"/>
      <c r="D32" s="509" t="str">
        <f>'PRC | KHI'!I116</f>
        <v/>
      </c>
      <c r="E32" s="447">
        <v>3</v>
      </c>
      <c r="F32" s="422" t="str">
        <f>IF($C$32=1,G32,"")</f>
        <v/>
      </c>
      <c r="G32" s="447" t="str">
        <f>""</f>
        <v/>
      </c>
      <c r="H32" s="422" t="str">
        <f>IF($C$32=1,I32,"")</f>
        <v/>
      </c>
      <c r="I32" s="447" t="str">
        <f>""</f>
        <v/>
      </c>
      <c r="J32" s="422" t="str">
        <f>IF($C$32=1,K32,"")</f>
        <v/>
      </c>
      <c r="K32" s="447" t="str">
        <f>""</f>
        <v/>
      </c>
      <c r="L32" s="509" t="str">
        <f>'PRC | KHI'!I117</f>
        <v/>
      </c>
      <c r="M32" s="447">
        <v>1</v>
      </c>
      <c r="N32" s="509" t="str">
        <f>'PRC | KHI'!I118</f>
        <v/>
      </c>
      <c r="O32" s="449">
        <v>2</v>
      </c>
      <c r="P32" s="422" t="str">
        <f>IF($C$32=1,Q32,"")</f>
        <v/>
      </c>
      <c r="Q32" s="449" t="str">
        <f>""</f>
        <v/>
      </c>
      <c r="R32" s="422" t="str">
        <f>IF($C$32=1,S32,"")</f>
        <v/>
      </c>
      <c r="S32" s="449" t="str">
        <f>""</f>
        <v/>
      </c>
      <c r="T32" s="509" t="str">
        <f>'PRC | KHI'!I119</f>
        <v/>
      </c>
      <c r="U32" s="449">
        <v>1</v>
      </c>
      <c r="V32" s="422" t="str">
        <f>IF($C$32=1,W32,"")</f>
        <v/>
      </c>
      <c r="W32" s="450" t="str">
        <f>""</f>
        <v/>
      </c>
      <c r="X32" s="422" t="str">
        <f>IF($C$32=1,Y32,"")</f>
        <v/>
      </c>
      <c r="Y32" s="450" t="str">
        <f>""</f>
        <v/>
      </c>
      <c r="Z32" s="422" t="str">
        <f>IF($C$32=1,AA32,"")</f>
        <v/>
      </c>
      <c r="AA32" s="450" t="str">
        <f>""</f>
        <v/>
      </c>
      <c r="AB32" s="422" t="str">
        <f>IF($C$32=1,AC32,"")</f>
        <v/>
      </c>
      <c r="AC32" s="451" t="str">
        <f>""</f>
        <v/>
      </c>
      <c r="AD32" s="422" t="str">
        <f>IF($C$32=1,AE32,"")</f>
        <v/>
      </c>
      <c r="AE32" s="451" t="str">
        <f>""</f>
        <v/>
      </c>
      <c r="AF32" s="422" t="str">
        <f>IF($C$32=1,AG32,"")</f>
        <v/>
      </c>
      <c r="AG32" s="451" t="str">
        <f>""</f>
        <v/>
      </c>
      <c r="AH32" s="422" t="str">
        <f>IF($C$32=1,AI32,"")</f>
        <v/>
      </c>
      <c r="AI32" s="451" t="str">
        <f>""</f>
        <v/>
      </c>
    </row>
    <row r="33" spans="1:35" ht="20" customHeight="1">
      <c r="A33" s="1871"/>
      <c r="B33" s="418" t="s">
        <v>711</v>
      </c>
      <c r="C33" s="444"/>
      <c r="D33" s="509" t="str">
        <f>'PRC | KHI'!J116</f>
        <v/>
      </c>
      <c r="E33" s="447">
        <v>3</v>
      </c>
      <c r="F33" s="422" t="str">
        <f>IF($C$33=1,G33,"")</f>
        <v/>
      </c>
      <c r="G33" s="447" t="str">
        <f>""</f>
        <v/>
      </c>
      <c r="H33" s="422" t="str">
        <f>IF($C$33=1,I33,"")</f>
        <v/>
      </c>
      <c r="I33" s="447" t="str">
        <f>""</f>
        <v/>
      </c>
      <c r="J33" s="422" t="str">
        <f>IF($C$33=1,K33,"")</f>
        <v/>
      </c>
      <c r="K33" s="447" t="str">
        <f>""</f>
        <v/>
      </c>
      <c r="L33" s="509" t="str">
        <f>'PRC | KHI'!J117</f>
        <v/>
      </c>
      <c r="M33" s="447">
        <v>1</v>
      </c>
      <c r="N33" s="509" t="str">
        <f>'PRC | KHI'!J118</f>
        <v/>
      </c>
      <c r="O33" s="449">
        <v>2</v>
      </c>
      <c r="P33" s="422" t="str">
        <f>IF($C$33=1,Q33,"")</f>
        <v/>
      </c>
      <c r="Q33" s="449" t="str">
        <f>""</f>
        <v/>
      </c>
      <c r="R33" s="422" t="str">
        <f>IF($C$33=1,S33,"")</f>
        <v/>
      </c>
      <c r="S33" s="449" t="str">
        <f>""</f>
        <v/>
      </c>
      <c r="T33" s="509" t="str">
        <f>'PRC | KHI'!J119</f>
        <v/>
      </c>
      <c r="U33" s="449">
        <v>1</v>
      </c>
      <c r="V33" s="422" t="str">
        <f>IF($C$33=1,W33,"")</f>
        <v/>
      </c>
      <c r="W33" s="450" t="str">
        <f>""</f>
        <v/>
      </c>
      <c r="X33" s="422" t="str">
        <f>IF($C$33=1,Y33,"")</f>
        <v/>
      </c>
      <c r="Y33" s="450" t="str">
        <f>""</f>
        <v/>
      </c>
      <c r="Z33" s="422" t="str">
        <f>IF($C$33=1,AA33,"")</f>
        <v/>
      </c>
      <c r="AA33" s="450" t="str">
        <f>""</f>
        <v/>
      </c>
      <c r="AB33" s="422" t="str">
        <f>IF($C$33=1,AC33,"")</f>
        <v/>
      </c>
      <c r="AC33" s="451" t="str">
        <f>""</f>
        <v/>
      </c>
      <c r="AD33" s="422" t="str">
        <f>IF($C$33=1,AE33,"")</f>
        <v/>
      </c>
      <c r="AE33" s="451" t="str">
        <f>""</f>
        <v/>
      </c>
      <c r="AF33" s="422" t="str">
        <f>IF($C$33=1,AG33,"")</f>
        <v/>
      </c>
      <c r="AG33" s="451" t="str">
        <f>""</f>
        <v/>
      </c>
      <c r="AH33" s="422" t="str">
        <f>IF($C$33=1,AI33,"")</f>
        <v/>
      </c>
      <c r="AI33" s="451" t="str">
        <f>""</f>
        <v/>
      </c>
    </row>
    <row r="34" spans="1:35" ht="20" customHeight="1">
      <c r="A34" s="1871"/>
      <c r="B34" s="418" t="s">
        <v>712</v>
      </c>
      <c r="C34" s="444"/>
      <c r="D34" s="509" t="str">
        <f>'PRC | KHI'!K116</f>
        <v/>
      </c>
      <c r="E34" s="447">
        <v>3</v>
      </c>
      <c r="F34" s="422" t="str">
        <f>IF($C$34=1,G34,"")</f>
        <v/>
      </c>
      <c r="G34" s="447" t="str">
        <f>""</f>
        <v/>
      </c>
      <c r="H34" s="422" t="str">
        <f>IF($C$34=1,I34,"")</f>
        <v/>
      </c>
      <c r="I34" s="447" t="str">
        <f>""</f>
        <v/>
      </c>
      <c r="J34" s="422" t="str">
        <f>IF($C$34=1,K34,"")</f>
        <v/>
      </c>
      <c r="K34" s="447" t="str">
        <f>""</f>
        <v/>
      </c>
      <c r="L34" s="509" t="str">
        <f>'PRC | KHI'!K117</f>
        <v/>
      </c>
      <c r="M34" s="447">
        <v>1</v>
      </c>
      <c r="N34" s="509" t="str">
        <f>'PRC | KHI'!K118</f>
        <v/>
      </c>
      <c r="O34" s="449">
        <v>2</v>
      </c>
      <c r="P34" s="422" t="str">
        <f>IF($C$34=1,Q34,"")</f>
        <v/>
      </c>
      <c r="Q34" s="449" t="str">
        <f>""</f>
        <v/>
      </c>
      <c r="R34" s="422" t="str">
        <f>IF($C$34=1,S34,"")</f>
        <v/>
      </c>
      <c r="S34" s="449" t="str">
        <f>""</f>
        <v/>
      </c>
      <c r="T34" s="509" t="str">
        <f>'PRC | KHI'!K119</f>
        <v/>
      </c>
      <c r="U34" s="449">
        <v>1</v>
      </c>
      <c r="V34" s="422" t="str">
        <f>IF($C$34=1,W34,"")</f>
        <v/>
      </c>
      <c r="W34" s="450" t="str">
        <f>""</f>
        <v/>
      </c>
      <c r="X34" s="422" t="str">
        <f>IF($C$34=1,Y34,"")</f>
        <v/>
      </c>
      <c r="Y34" s="450" t="str">
        <f>""</f>
        <v/>
      </c>
      <c r="Z34" s="422" t="str">
        <f>IF($C$34=1,AA34,"")</f>
        <v/>
      </c>
      <c r="AA34" s="450" t="str">
        <f>""</f>
        <v/>
      </c>
      <c r="AB34" s="422" t="str">
        <f>IF($C$34=1,AC34,"")</f>
        <v/>
      </c>
      <c r="AC34" s="451" t="str">
        <f>""</f>
        <v/>
      </c>
      <c r="AD34" s="422" t="str">
        <f>IF($C$34=1,AE34,"")</f>
        <v/>
      </c>
      <c r="AE34" s="451" t="str">
        <f>""</f>
        <v/>
      </c>
      <c r="AF34" s="422" t="str">
        <f>IF($C$34=1,AG34,"")</f>
        <v/>
      </c>
      <c r="AG34" s="451" t="str">
        <f>""</f>
        <v/>
      </c>
      <c r="AH34" s="422" t="str">
        <f>IF($C$34=1,AI34,"")</f>
        <v/>
      </c>
      <c r="AI34" s="451" t="str">
        <f>""</f>
        <v/>
      </c>
    </row>
    <row r="35" spans="1:35" ht="20" customHeight="1">
      <c r="A35" s="1871"/>
      <c r="B35" s="418" t="s">
        <v>713</v>
      </c>
      <c r="C35" s="444"/>
      <c r="D35" s="509" t="str">
        <f>'PRC | KHI'!L116</f>
        <v/>
      </c>
      <c r="E35" s="447">
        <v>3</v>
      </c>
      <c r="F35" s="422" t="str">
        <f>IF($C$35=1,G35,"")</f>
        <v/>
      </c>
      <c r="G35" s="447" t="str">
        <f>""</f>
        <v/>
      </c>
      <c r="H35" s="422" t="str">
        <f>IF($C$35=1,I35,"")</f>
        <v/>
      </c>
      <c r="I35" s="447" t="str">
        <f>""</f>
        <v/>
      </c>
      <c r="J35" s="422" t="str">
        <f>IF($C$35=1,K35,"")</f>
        <v/>
      </c>
      <c r="K35" s="447" t="str">
        <f>""</f>
        <v/>
      </c>
      <c r="L35" s="509" t="str">
        <f>'PRC | KHI'!L117</f>
        <v/>
      </c>
      <c r="M35" s="447">
        <v>1</v>
      </c>
      <c r="N35" s="509" t="str">
        <f>'PRC | KHI'!L118</f>
        <v/>
      </c>
      <c r="O35" s="449">
        <v>2</v>
      </c>
      <c r="P35" s="422" t="str">
        <f>IF($C$35=1,Q35,"")</f>
        <v/>
      </c>
      <c r="Q35" s="449" t="str">
        <f>""</f>
        <v/>
      </c>
      <c r="R35" s="422" t="str">
        <f>IF($C$35=1,S35,"")</f>
        <v/>
      </c>
      <c r="S35" s="449" t="str">
        <f>""</f>
        <v/>
      </c>
      <c r="T35" s="509" t="str">
        <f>'PRC | KHI'!L119</f>
        <v/>
      </c>
      <c r="U35" s="449">
        <v>1</v>
      </c>
      <c r="V35" s="422" t="str">
        <f>IF($C$35=1,W35,"")</f>
        <v/>
      </c>
      <c r="W35" s="450" t="str">
        <f>""</f>
        <v/>
      </c>
      <c r="X35" s="422" t="str">
        <f>IF($C$35=1,Y35,"")</f>
        <v/>
      </c>
      <c r="Y35" s="450" t="str">
        <f>""</f>
        <v/>
      </c>
      <c r="Z35" s="422" t="str">
        <f>IF($C$35=1,AA35,"")</f>
        <v/>
      </c>
      <c r="AA35" s="450" t="str">
        <f>""</f>
        <v/>
      </c>
      <c r="AB35" s="422" t="str">
        <f>IF($C$35=1,AC35,"")</f>
        <v/>
      </c>
      <c r="AC35" s="451" t="str">
        <f>""</f>
        <v/>
      </c>
      <c r="AD35" s="422" t="str">
        <f>IF($C$35=1,AE35,"")</f>
        <v/>
      </c>
      <c r="AE35" s="451" t="str">
        <f>""</f>
        <v/>
      </c>
      <c r="AF35" s="422" t="str">
        <f>IF($C$35=1,AG35,"")</f>
        <v/>
      </c>
      <c r="AG35" s="451" t="str">
        <f>""</f>
        <v/>
      </c>
      <c r="AH35" s="422" t="str">
        <f>IF($C$35=1,AI35,"")</f>
        <v/>
      </c>
      <c r="AI35" s="451" t="str">
        <f>""</f>
        <v/>
      </c>
    </row>
    <row r="36" spans="1:35" ht="20" customHeight="1">
      <c r="A36" s="1871"/>
      <c r="B36" s="418" t="s">
        <v>714</v>
      </c>
      <c r="C36" s="444"/>
      <c r="D36" s="509" t="str">
        <f>'PRC | KHI'!M116</f>
        <v/>
      </c>
      <c r="E36" s="447">
        <v>3</v>
      </c>
      <c r="F36" s="422" t="str">
        <f>IF($C$36=1,G36,"")</f>
        <v/>
      </c>
      <c r="G36" s="447" t="str">
        <f>""</f>
        <v/>
      </c>
      <c r="H36" s="422" t="str">
        <f>IF($C$36=1,I36,"")</f>
        <v/>
      </c>
      <c r="I36" s="447" t="str">
        <f>""</f>
        <v/>
      </c>
      <c r="J36" s="422" t="str">
        <f>IF($C$36=1,K36,"")</f>
        <v/>
      </c>
      <c r="K36" s="447" t="str">
        <f>""</f>
        <v/>
      </c>
      <c r="L36" s="509" t="str">
        <f>'PRC | KHI'!M117</f>
        <v/>
      </c>
      <c r="M36" s="447">
        <v>1</v>
      </c>
      <c r="N36" s="509" t="str">
        <f>'PRC | KHI'!M118</f>
        <v/>
      </c>
      <c r="O36" s="449">
        <v>2</v>
      </c>
      <c r="P36" s="422" t="str">
        <f>IF($C$36=1,Q36,"")</f>
        <v/>
      </c>
      <c r="Q36" s="449" t="str">
        <f>""</f>
        <v/>
      </c>
      <c r="R36" s="422" t="str">
        <f>IF($C$36=1,S36,"")</f>
        <v/>
      </c>
      <c r="S36" s="449" t="str">
        <f>""</f>
        <v/>
      </c>
      <c r="T36" s="509" t="str">
        <f>'PRC | KHI'!M119</f>
        <v/>
      </c>
      <c r="U36" s="449">
        <v>1</v>
      </c>
      <c r="V36" s="422" t="str">
        <f>IF($C$36=1,W36,"")</f>
        <v/>
      </c>
      <c r="W36" s="450" t="str">
        <f>""</f>
        <v/>
      </c>
      <c r="X36" s="422" t="str">
        <f>IF($C$36=1,Y36,"")</f>
        <v/>
      </c>
      <c r="Y36" s="450" t="str">
        <f>""</f>
        <v/>
      </c>
      <c r="Z36" s="422" t="str">
        <f>IF($C$36=1,AA36,"")</f>
        <v/>
      </c>
      <c r="AA36" s="450" t="str">
        <f>""</f>
        <v/>
      </c>
      <c r="AB36" s="422" t="str">
        <f>IF($C$36=1,AC36,"")</f>
        <v/>
      </c>
      <c r="AC36" s="451" t="str">
        <f>""</f>
        <v/>
      </c>
      <c r="AD36" s="422" t="str">
        <f>IF($C$36=1,AE36,"")</f>
        <v/>
      </c>
      <c r="AE36" s="451" t="str">
        <f>""</f>
        <v/>
      </c>
      <c r="AF36" s="422" t="str">
        <f>IF($C$36=1,AG36,"")</f>
        <v/>
      </c>
      <c r="AG36" s="451" t="str">
        <f>""</f>
        <v/>
      </c>
      <c r="AH36" s="422" t="str">
        <f>IF($C$36=1,AI36,"")</f>
        <v/>
      </c>
      <c r="AI36" s="451" t="str">
        <f>""</f>
        <v/>
      </c>
    </row>
    <row r="37" spans="1:35" ht="20" customHeight="1">
      <c r="A37" s="1871"/>
      <c r="B37" s="418" t="s">
        <v>715</v>
      </c>
      <c r="C37" s="444"/>
      <c r="D37" s="422" t="str">
        <f>'PRC | KHI'!H167</f>
        <v/>
      </c>
      <c r="E37" s="447">
        <v>3</v>
      </c>
      <c r="F37" s="422" t="str">
        <f>IF($C$37=1,G37,"")</f>
        <v/>
      </c>
      <c r="G37" s="447" t="str">
        <f>""</f>
        <v/>
      </c>
      <c r="H37" s="422" t="str">
        <f>IF($C$37=1,I37,"")</f>
        <v/>
      </c>
      <c r="I37" s="447" t="str">
        <f>""</f>
        <v/>
      </c>
      <c r="J37" s="422" t="str">
        <f>IF($C$37=1,K37,"")</f>
        <v/>
      </c>
      <c r="K37" s="447" t="str">
        <f>""</f>
        <v/>
      </c>
      <c r="L37" s="422" t="str">
        <f>'PRC | KHI'!H168</f>
        <v/>
      </c>
      <c r="M37" s="447">
        <v>1</v>
      </c>
      <c r="N37" s="422" t="str">
        <f>'PRC | KHI'!H169</f>
        <v/>
      </c>
      <c r="O37" s="449">
        <v>2</v>
      </c>
      <c r="P37" s="422" t="str">
        <f>IF($C$37=1,Q37,"")</f>
        <v/>
      </c>
      <c r="Q37" s="449" t="str">
        <f>""</f>
        <v/>
      </c>
      <c r="R37" s="422" t="str">
        <f>IF($C$37=1,S37,"")</f>
        <v/>
      </c>
      <c r="S37" s="449" t="str">
        <f>""</f>
        <v/>
      </c>
      <c r="T37" s="422" t="str">
        <f>'PRC | KHI'!H170</f>
        <v/>
      </c>
      <c r="U37" s="449">
        <v>1</v>
      </c>
      <c r="V37" s="422" t="str">
        <f>IF($C$37=1,W37,"")</f>
        <v/>
      </c>
      <c r="W37" s="450" t="str">
        <f>""</f>
        <v/>
      </c>
      <c r="X37" s="422" t="str">
        <f>IF($C$37=1,Y37,"")</f>
        <v/>
      </c>
      <c r="Y37" s="450" t="str">
        <f>""</f>
        <v/>
      </c>
      <c r="Z37" s="422" t="str">
        <f>IF($C$37=1,AA37,"")</f>
        <v/>
      </c>
      <c r="AA37" s="450" t="str">
        <f>""</f>
        <v/>
      </c>
      <c r="AB37" s="422" t="str">
        <f>IF($C$37=1,AC37,"")</f>
        <v/>
      </c>
      <c r="AC37" s="451" t="str">
        <f>""</f>
        <v/>
      </c>
      <c r="AD37" s="422" t="str">
        <f>IF($C$37=1,AE37,"")</f>
        <v/>
      </c>
      <c r="AE37" s="451" t="str">
        <f>""</f>
        <v/>
      </c>
      <c r="AF37" s="422" t="str">
        <f>IF($C$37=1,AG37,"")</f>
        <v/>
      </c>
      <c r="AG37" s="451" t="str">
        <f>""</f>
        <v/>
      </c>
      <c r="AH37" s="422" t="str">
        <f>IF($C$37=1,AI37,"")</f>
        <v/>
      </c>
      <c r="AI37" s="451" t="str">
        <f>""</f>
        <v/>
      </c>
    </row>
    <row r="38" spans="1:35" ht="20" customHeight="1">
      <c r="A38" s="1871"/>
      <c r="B38" s="418" t="s">
        <v>683</v>
      </c>
      <c r="C38" s="444"/>
      <c r="D38" s="422" t="str">
        <f>IF($C$38=1,E38,"")</f>
        <v/>
      </c>
      <c r="E38" s="447" t="str">
        <f>""</f>
        <v/>
      </c>
      <c r="F38" s="422" t="str">
        <f>IF($C$38=1,G38,"")</f>
        <v/>
      </c>
      <c r="G38" s="447" t="str">
        <f>""</f>
        <v/>
      </c>
      <c r="H38" s="422" t="str">
        <f>IF($C$38=1,I38,"")</f>
        <v/>
      </c>
      <c r="I38" s="447" t="str">
        <f>""</f>
        <v/>
      </c>
      <c r="J38" s="422" t="str">
        <f>IF($C$38=1,K38,"")</f>
        <v/>
      </c>
      <c r="K38" s="447" t="str">
        <f>""</f>
        <v/>
      </c>
      <c r="L38" s="422" t="str">
        <f>IF($C$38=1,M38,"")</f>
        <v/>
      </c>
      <c r="M38" s="447" t="str">
        <f>""</f>
        <v/>
      </c>
      <c r="N38" s="422" t="str">
        <f>IF($C$38=1,O38,"")</f>
        <v/>
      </c>
      <c r="O38" s="449" t="str">
        <f>""</f>
        <v/>
      </c>
      <c r="P38" s="422" t="str">
        <f>IF($C$38=1,Q38,"")</f>
        <v/>
      </c>
      <c r="Q38" s="449" t="str">
        <f>""</f>
        <v/>
      </c>
      <c r="R38" s="422" t="str">
        <f>IF($C$38=1,S38,"")</f>
        <v/>
      </c>
      <c r="S38" s="449" t="str">
        <f>""</f>
        <v/>
      </c>
      <c r="T38" s="422" t="str">
        <f>IF($C$38=1,U38,"")</f>
        <v/>
      </c>
      <c r="U38" s="449" t="str">
        <f>""</f>
        <v/>
      </c>
      <c r="V38" s="509" t="str">
        <f>'PRC | KHI'!H81</f>
        <v/>
      </c>
      <c r="W38" s="450">
        <v>1</v>
      </c>
      <c r="X38" s="422" t="str">
        <f>IF($C$38=1,Y38,"")</f>
        <v/>
      </c>
      <c r="Y38" s="450" t="str">
        <f>""</f>
        <v/>
      </c>
      <c r="Z38" s="422" t="str">
        <f>IF($C$38=1,AA38,"")</f>
        <v/>
      </c>
      <c r="AA38" s="450" t="str">
        <f>""</f>
        <v/>
      </c>
      <c r="AB38" s="422" t="str">
        <f>IF($C$38=1,AC38,"")</f>
        <v/>
      </c>
      <c r="AC38" s="451" t="str">
        <f>""</f>
        <v/>
      </c>
      <c r="AD38" s="422" t="str">
        <f>IF($C$38=1,AE38,"")</f>
        <v/>
      </c>
      <c r="AE38" s="451" t="str">
        <f>""</f>
        <v/>
      </c>
      <c r="AF38" s="422" t="str">
        <f>IF($C$38=1,AG38,"")</f>
        <v/>
      </c>
      <c r="AG38" s="451" t="str">
        <f>""</f>
        <v/>
      </c>
      <c r="AH38" s="422" t="str">
        <f>IF($C$38=1,AI38,"")</f>
        <v/>
      </c>
      <c r="AI38" s="451" t="str">
        <f>""</f>
        <v/>
      </c>
    </row>
    <row r="39" spans="1:35" ht="20" customHeight="1">
      <c r="A39" s="1871"/>
      <c r="B39" s="418" t="s">
        <v>684</v>
      </c>
      <c r="C39" s="444"/>
      <c r="D39" s="422" t="str">
        <f>IF($C$39=1,E39,"")</f>
        <v/>
      </c>
      <c r="E39" s="447" t="str">
        <f>""</f>
        <v/>
      </c>
      <c r="F39" s="422" t="str">
        <f>IF($C$39=1,G39,"")</f>
        <v/>
      </c>
      <c r="G39" s="447" t="str">
        <f>""</f>
        <v/>
      </c>
      <c r="H39" s="422" t="str">
        <f>IF($C$39=1,I39,"")</f>
        <v/>
      </c>
      <c r="I39" s="447" t="str">
        <f>""</f>
        <v/>
      </c>
      <c r="J39" s="422" t="str">
        <f>IF($C$39=1,K39,"")</f>
        <v/>
      </c>
      <c r="K39" s="447" t="str">
        <f>""</f>
        <v/>
      </c>
      <c r="L39" s="422" t="str">
        <f>IF($C$39=1,M39,"")</f>
        <v/>
      </c>
      <c r="M39" s="447" t="str">
        <f>""</f>
        <v/>
      </c>
      <c r="N39" s="422" t="str">
        <f>IF($C$39=1,O39,"")</f>
        <v/>
      </c>
      <c r="O39" s="449" t="str">
        <f>""</f>
        <v/>
      </c>
      <c r="P39" s="422" t="str">
        <f>IF($C$39=1,Q39,"")</f>
        <v/>
      </c>
      <c r="Q39" s="449" t="str">
        <f>""</f>
        <v/>
      </c>
      <c r="R39" s="422" t="str">
        <f>IF($C$39=1,S39,"")</f>
        <v/>
      </c>
      <c r="S39" s="449" t="str">
        <f>""</f>
        <v/>
      </c>
      <c r="T39" s="422" t="str">
        <f>IF($C$39=1,U39,"")</f>
        <v/>
      </c>
      <c r="U39" s="449" t="str">
        <f>""</f>
        <v/>
      </c>
      <c r="V39" s="509" t="str">
        <f>'PRC | KHI'!I81</f>
        <v/>
      </c>
      <c r="W39" s="450">
        <v>1</v>
      </c>
      <c r="X39" s="422" t="str">
        <f>IF($C$39=1,Y39,"")</f>
        <v/>
      </c>
      <c r="Y39" s="450" t="str">
        <f>""</f>
        <v/>
      </c>
      <c r="Z39" s="422" t="str">
        <f>IF($C$39=1,AA39,"")</f>
        <v/>
      </c>
      <c r="AA39" s="450" t="str">
        <f>""</f>
        <v/>
      </c>
      <c r="AB39" s="422" t="str">
        <f>IF($C$39=1,AC39,"")</f>
        <v/>
      </c>
      <c r="AC39" s="451" t="str">
        <f>""</f>
        <v/>
      </c>
      <c r="AD39" s="422" t="str">
        <f>IF($C$39=1,AE39,"")</f>
        <v/>
      </c>
      <c r="AE39" s="451" t="str">
        <f>""</f>
        <v/>
      </c>
      <c r="AF39" s="422" t="str">
        <f>IF($C$39=1,AG39,"")</f>
        <v/>
      </c>
      <c r="AG39" s="451" t="str">
        <f>""</f>
        <v/>
      </c>
      <c r="AH39" s="422" t="str">
        <f>IF($C$39=1,AI39,"")</f>
        <v/>
      </c>
      <c r="AI39" s="451" t="str">
        <f>""</f>
        <v/>
      </c>
    </row>
    <row r="40" spans="1:35" ht="20" customHeight="1">
      <c r="A40" s="1871"/>
      <c r="B40" s="418" t="s">
        <v>685</v>
      </c>
      <c r="C40" s="444"/>
      <c r="D40" s="422" t="str">
        <f>IF($C$40=1,E40,"")</f>
        <v/>
      </c>
      <c r="E40" s="447" t="str">
        <f>""</f>
        <v/>
      </c>
      <c r="F40" s="422" t="str">
        <f>IF($C$40=1,G40,"")</f>
        <v/>
      </c>
      <c r="G40" s="447" t="str">
        <f>""</f>
        <v/>
      </c>
      <c r="H40" s="422" t="str">
        <f>IF($C$40=1,I40,"")</f>
        <v/>
      </c>
      <c r="I40" s="447" t="str">
        <f>""</f>
        <v/>
      </c>
      <c r="J40" s="422" t="str">
        <f>IF($C$40=1,K40,"")</f>
        <v/>
      </c>
      <c r="K40" s="447" t="str">
        <f>""</f>
        <v/>
      </c>
      <c r="L40" s="422" t="str">
        <f>IF($C$40=1,M40,"")</f>
        <v/>
      </c>
      <c r="M40" s="447" t="str">
        <f>""</f>
        <v/>
      </c>
      <c r="N40" s="422" t="str">
        <f>IF($C$40=1,O40,"")</f>
        <v/>
      </c>
      <c r="O40" s="449" t="str">
        <f>""</f>
        <v/>
      </c>
      <c r="P40" s="422" t="str">
        <f>IF($C$40=1,Q40,"")</f>
        <v/>
      </c>
      <c r="Q40" s="449" t="str">
        <f>""</f>
        <v/>
      </c>
      <c r="R40" s="422" t="str">
        <f>IF($C$40=1,S40,"")</f>
        <v/>
      </c>
      <c r="S40" s="449" t="str">
        <f>""</f>
        <v/>
      </c>
      <c r="T40" s="422" t="str">
        <f>IF($C$40=1,U40,"")</f>
        <v/>
      </c>
      <c r="U40" s="449" t="str">
        <f>""</f>
        <v/>
      </c>
      <c r="V40" s="509" t="str">
        <f>'PRC | KHI'!J81</f>
        <v/>
      </c>
      <c r="W40" s="450">
        <v>1</v>
      </c>
      <c r="X40" s="422" t="str">
        <f>IF($C$40=1,Y40,"")</f>
        <v/>
      </c>
      <c r="Y40" s="450" t="str">
        <f>""</f>
        <v/>
      </c>
      <c r="Z40" s="422" t="str">
        <f>IF($C$40=1,AA40,"")</f>
        <v/>
      </c>
      <c r="AA40" s="450" t="str">
        <f>""</f>
        <v/>
      </c>
      <c r="AB40" s="422" t="str">
        <f>IF($C$40=1,AC40,"")</f>
        <v/>
      </c>
      <c r="AC40" s="451" t="str">
        <f>""</f>
        <v/>
      </c>
      <c r="AD40" s="422" t="str">
        <f>IF($C$40=1,AE40,"")</f>
        <v/>
      </c>
      <c r="AE40" s="451" t="str">
        <f>""</f>
        <v/>
      </c>
      <c r="AF40" s="422" t="str">
        <f>IF($C$40=1,AG40,"")</f>
        <v/>
      </c>
      <c r="AG40" s="451" t="str">
        <f>""</f>
        <v/>
      </c>
      <c r="AH40" s="422" t="str">
        <f>IF($C$40=1,AI40,"")</f>
        <v/>
      </c>
      <c r="AI40" s="451" t="str">
        <f>""</f>
        <v/>
      </c>
    </row>
    <row r="41" spans="1:35" ht="20" customHeight="1">
      <c r="A41" s="1871"/>
      <c r="B41" s="418" t="s">
        <v>686</v>
      </c>
      <c r="C41" s="444"/>
      <c r="D41" s="422" t="str">
        <f>IF($C$41=1,E41,"")</f>
        <v/>
      </c>
      <c r="E41" s="447" t="str">
        <f>""</f>
        <v/>
      </c>
      <c r="F41" s="422" t="str">
        <f>IF($C$41=1,G41,"")</f>
        <v/>
      </c>
      <c r="G41" s="447" t="str">
        <f>""</f>
        <v/>
      </c>
      <c r="H41" s="422" t="str">
        <f>IF($C$41=1,I41,"")</f>
        <v/>
      </c>
      <c r="I41" s="447" t="str">
        <f>""</f>
        <v/>
      </c>
      <c r="J41" s="422" t="str">
        <f>IF($C$41=1,K41,"")</f>
        <v/>
      </c>
      <c r="K41" s="447" t="str">
        <f>""</f>
        <v/>
      </c>
      <c r="L41" s="422" t="str">
        <f>IF($C$41=1,M41,"")</f>
        <v/>
      </c>
      <c r="M41" s="447" t="str">
        <f>""</f>
        <v/>
      </c>
      <c r="N41" s="422" t="str">
        <f>IF($C$41=1,O41,"")</f>
        <v/>
      </c>
      <c r="O41" s="449" t="str">
        <f>""</f>
        <v/>
      </c>
      <c r="P41" s="422" t="str">
        <f>IF($C$41=1,Q41,"")</f>
        <v/>
      </c>
      <c r="Q41" s="449" t="str">
        <f>""</f>
        <v/>
      </c>
      <c r="R41" s="422" t="str">
        <f>IF($C$41=1,S41,"")</f>
        <v/>
      </c>
      <c r="S41" s="449" t="str">
        <f>""</f>
        <v/>
      </c>
      <c r="T41" s="422" t="str">
        <f>IF($C$41=1,U41,"")</f>
        <v/>
      </c>
      <c r="U41" s="449" t="str">
        <f>""</f>
        <v/>
      </c>
      <c r="V41" s="509" t="str">
        <f>'PRC | KHI'!K81</f>
        <v/>
      </c>
      <c r="W41" s="450">
        <v>1</v>
      </c>
      <c r="X41" s="422" t="str">
        <f>IF($C$41=1,Y41,"")</f>
        <v/>
      </c>
      <c r="Y41" s="450" t="str">
        <f>""</f>
        <v/>
      </c>
      <c r="Z41" s="422" t="str">
        <f>IF($C$41=1,AA41,"")</f>
        <v/>
      </c>
      <c r="AA41" s="450" t="str">
        <f>""</f>
        <v/>
      </c>
      <c r="AB41" s="422" t="str">
        <f>IF($C$41=1,AC41,"")</f>
        <v/>
      </c>
      <c r="AC41" s="451" t="str">
        <f>""</f>
        <v/>
      </c>
      <c r="AD41" s="422" t="str">
        <f>IF($C$41=1,AE41,"")</f>
        <v/>
      </c>
      <c r="AE41" s="451" t="str">
        <f>""</f>
        <v/>
      </c>
      <c r="AF41" s="422" t="str">
        <f>IF($C$41=1,AG41,"")</f>
        <v/>
      </c>
      <c r="AG41" s="451" t="str">
        <f>""</f>
        <v/>
      </c>
      <c r="AH41" s="422" t="str">
        <f>IF($C$41=1,AI41,"")</f>
        <v/>
      </c>
      <c r="AI41" s="451" t="str">
        <f>""</f>
        <v/>
      </c>
    </row>
    <row r="42" spans="1:35" ht="20" customHeight="1">
      <c r="A42" s="1871"/>
      <c r="B42" s="418" t="s">
        <v>687</v>
      </c>
      <c r="C42" s="444"/>
      <c r="D42" s="422" t="str">
        <f>IF($C$42=1,E42,"")</f>
        <v/>
      </c>
      <c r="E42" s="447" t="str">
        <f>""</f>
        <v/>
      </c>
      <c r="F42" s="422" t="str">
        <f>IF($C$42=1,G42,"")</f>
        <v/>
      </c>
      <c r="G42" s="447" t="str">
        <f>""</f>
        <v/>
      </c>
      <c r="H42" s="422" t="str">
        <f>IF($C$42=1,I42,"")</f>
        <v/>
      </c>
      <c r="I42" s="447" t="str">
        <f>""</f>
        <v/>
      </c>
      <c r="J42" s="422" t="str">
        <f>IF($C$42=1,K42,"")</f>
        <v/>
      </c>
      <c r="K42" s="447" t="str">
        <f>""</f>
        <v/>
      </c>
      <c r="L42" s="422" t="str">
        <f>IF($C$42=1,M42,"")</f>
        <v/>
      </c>
      <c r="M42" s="447" t="str">
        <f>""</f>
        <v/>
      </c>
      <c r="N42" s="422" t="str">
        <f>IF($C$42=1,O42,"")</f>
        <v/>
      </c>
      <c r="O42" s="449" t="str">
        <f>""</f>
        <v/>
      </c>
      <c r="P42" s="422" t="str">
        <f>IF($C$42=1,Q42,"")</f>
        <v/>
      </c>
      <c r="Q42" s="449" t="str">
        <f>""</f>
        <v/>
      </c>
      <c r="R42" s="422" t="str">
        <f>IF($C$42=1,S42,"")</f>
        <v/>
      </c>
      <c r="S42" s="449" t="str">
        <f>""</f>
        <v/>
      </c>
      <c r="T42" s="422" t="str">
        <f>IF($C$42=1,U42,"")</f>
        <v/>
      </c>
      <c r="U42" s="449" t="str">
        <f>""</f>
        <v/>
      </c>
      <c r="V42" s="509" t="str">
        <f>'PRC | KHI'!L81</f>
        <v/>
      </c>
      <c r="W42" s="450">
        <v>1</v>
      </c>
      <c r="X42" s="422" t="str">
        <f>IF($C$42=1,Y42,"")</f>
        <v/>
      </c>
      <c r="Y42" s="450" t="str">
        <f>""</f>
        <v/>
      </c>
      <c r="Z42" s="422" t="str">
        <f>IF($C$42=1,AA42,"")</f>
        <v/>
      </c>
      <c r="AA42" s="450" t="str">
        <f>""</f>
        <v/>
      </c>
      <c r="AB42" s="422" t="str">
        <f>IF($C$42=1,AC42,"")</f>
        <v/>
      </c>
      <c r="AC42" s="451" t="str">
        <f>""</f>
        <v/>
      </c>
      <c r="AD42" s="422" t="str">
        <f>IF($C$42=1,AE42,"")</f>
        <v/>
      </c>
      <c r="AE42" s="451" t="str">
        <f>""</f>
        <v/>
      </c>
      <c r="AF42" s="422" t="str">
        <f>IF($C$42=1,AG42,"")</f>
        <v/>
      </c>
      <c r="AG42" s="451" t="str">
        <f>""</f>
        <v/>
      </c>
      <c r="AH42" s="422" t="str">
        <f>IF($C$42=1,AI42,"")</f>
        <v/>
      </c>
      <c r="AI42" s="451" t="str">
        <f>""</f>
        <v/>
      </c>
    </row>
    <row r="43" spans="1:35" ht="20" customHeight="1">
      <c r="A43" s="1871"/>
      <c r="B43" s="418" t="s">
        <v>688</v>
      </c>
      <c r="C43" s="444"/>
      <c r="D43" s="422" t="str">
        <f>IF($C$43=1,E43,"")</f>
        <v/>
      </c>
      <c r="E43" s="447" t="str">
        <f>""</f>
        <v/>
      </c>
      <c r="F43" s="422" t="str">
        <f>IF($C$43=1,G43,"")</f>
        <v/>
      </c>
      <c r="G43" s="447" t="str">
        <f>""</f>
        <v/>
      </c>
      <c r="H43" s="422" t="str">
        <f>IF($C$43=1,I43,"")</f>
        <v/>
      </c>
      <c r="I43" s="447" t="str">
        <f>""</f>
        <v/>
      </c>
      <c r="J43" s="422" t="str">
        <f>IF($C$43=1,K43,"")</f>
        <v/>
      </c>
      <c r="K43" s="447" t="str">
        <f>""</f>
        <v/>
      </c>
      <c r="L43" s="422" t="str">
        <f>IF($C$43=1,M43,"")</f>
        <v/>
      </c>
      <c r="M43" s="447" t="str">
        <f>""</f>
        <v/>
      </c>
      <c r="N43" s="422" t="str">
        <f>IF($C$43=1,O43,"")</f>
        <v/>
      </c>
      <c r="O43" s="449" t="str">
        <f>""</f>
        <v/>
      </c>
      <c r="P43" s="422" t="str">
        <f>IF($C$43=1,Q43,"")</f>
        <v/>
      </c>
      <c r="Q43" s="449" t="str">
        <f>""</f>
        <v/>
      </c>
      <c r="R43" s="422" t="str">
        <f>IF($C$43=1,S43,"")</f>
        <v/>
      </c>
      <c r="S43" s="449" t="str">
        <f>""</f>
        <v/>
      </c>
      <c r="T43" s="422" t="str">
        <f>IF($C$43=1,U43,"")</f>
        <v/>
      </c>
      <c r="U43" s="449" t="str">
        <f>""</f>
        <v/>
      </c>
      <c r="V43" s="509" t="str">
        <f>'PRC | KHI'!M81</f>
        <v/>
      </c>
      <c r="W43" s="450">
        <v>1</v>
      </c>
      <c r="X43" s="422" t="str">
        <f>IF($C$43=1,Y43,"")</f>
        <v/>
      </c>
      <c r="Y43" s="450" t="str">
        <f>""</f>
        <v/>
      </c>
      <c r="Z43" s="422" t="str">
        <f>IF($C$43=1,AA43,"")</f>
        <v/>
      </c>
      <c r="AA43" s="450" t="str">
        <f>""</f>
        <v/>
      </c>
      <c r="AB43" s="422" t="str">
        <f>IF($C$43=1,AC43,"")</f>
        <v/>
      </c>
      <c r="AC43" s="451" t="str">
        <f>""</f>
        <v/>
      </c>
      <c r="AD43" s="422" t="str">
        <f>IF($C$43=1,AE43,"")</f>
        <v/>
      </c>
      <c r="AE43" s="451" t="str">
        <f>""</f>
        <v/>
      </c>
      <c r="AF43" s="422" t="str">
        <f>IF($C$43=1,AG43,"")</f>
        <v/>
      </c>
      <c r="AG43" s="451" t="str">
        <f>""</f>
        <v/>
      </c>
      <c r="AH43" s="422" t="str">
        <f>IF($C$43=1,AI43,"")</f>
        <v/>
      </c>
      <c r="AI43" s="451" t="str">
        <f>""</f>
        <v/>
      </c>
    </row>
    <row r="44" spans="1:35" ht="20" customHeight="1">
      <c r="A44" s="1871"/>
      <c r="B44" s="418" t="s">
        <v>689</v>
      </c>
      <c r="C44" s="444"/>
      <c r="D44" s="422" t="str">
        <f>IF($C$44=1,E44,"")</f>
        <v/>
      </c>
      <c r="E44" s="447" t="str">
        <f>""</f>
        <v/>
      </c>
      <c r="F44" s="422" t="str">
        <f>IF($C$44=1,G44,"")</f>
        <v/>
      </c>
      <c r="G44" s="447" t="str">
        <f>""</f>
        <v/>
      </c>
      <c r="H44" s="422" t="str">
        <f>IF($C$44=1,I44,"")</f>
        <v/>
      </c>
      <c r="I44" s="447" t="str">
        <f>""</f>
        <v/>
      </c>
      <c r="J44" s="422" t="str">
        <f>IF($C$44=1,K44,"")</f>
        <v/>
      </c>
      <c r="K44" s="447" t="str">
        <f>""</f>
        <v/>
      </c>
      <c r="L44" s="422" t="str">
        <f>IF($C$44=1,M44,"")</f>
        <v/>
      </c>
      <c r="M44" s="447" t="str">
        <f>""</f>
        <v/>
      </c>
      <c r="N44" s="422" t="str">
        <f>IF($C$44=1,O44,"")</f>
        <v/>
      </c>
      <c r="O44" s="449" t="str">
        <f>""</f>
        <v/>
      </c>
      <c r="P44" s="422" t="str">
        <f>IF($C$44=1,Q44,"")</f>
        <v/>
      </c>
      <c r="Q44" s="449" t="str">
        <f>""</f>
        <v/>
      </c>
      <c r="R44" s="422" t="str">
        <f>IF($C$44=1,S44,"")</f>
        <v/>
      </c>
      <c r="S44" s="449" t="str">
        <f>""</f>
        <v/>
      </c>
      <c r="T44" s="422" t="str">
        <f>IF($C$44=1,U44,"")</f>
        <v/>
      </c>
      <c r="U44" s="449" t="str">
        <f>""</f>
        <v/>
      </c>
      <c r="V44" s="509" t="str">
        <f>'PRC | KHI'!H126</f>
        <v/>
      </c>
      <c r="W44" s="450">
        <v>1</v>
      </c>
      <c r="X44" s="422" t="str">
        <f>IF($C$44=1,Y44,"")</f>
        <v/>
      </c>
      <c r="Y44" s="450" t="str">
        <f>""</f>
        <v/>
      </c>
      <c r="Z44" s="422" t="str">
        <f>IF($C$44=1,AA44,"")</f>
        <v/>
      </c>
      <c r="AA44" s="450" t="str">
        <f>""</f>
        <v/>
      </c>
      <c r="AB44" s="422" t="str">
        <f>IF($C$44=1,AC44,"")</f>
        <v/>
      </c>
      <c r="AC44" s="451" t="str">
        <f>""</f>
        <v/>
      </c>
      <c r="AD44" s="422" t="str">
        <f>IF($C$44=1,AE44,"")</f>
        <v/>
      </c>
      <c r="AE44" s="451" t="str">
        <f>""</f>
        <v/>
      </c>
      <c r="AF44" s="422" t="str">
        <f>IF($C$44=1,AG44,"")</f>
        <v/>
      </c>
      <c r="AG44" s="451" t="str">
        <f>""</f>
        <v/>
      </c>
      <c r="AH44" s="422" t="str">
        <f>IF($C$44=1,AI44,"")</f>
        <v/>
      </c>
      <c r="AI44" s="451" t="str">
        <f>""</f>
        <v/>
      </c>
    </row>
    <row r="45" spans="1:35" ht="20" customHeight="1">
      <c r="A45" s="1871"/>
      <c r="B45" s="418" t="s">
        <v>690</v>
      </c>
      <c r="C45" s="444"/>
      <c r="D45" s="422" t="str">
        <f>IF($C$45=1,E45,"")</f>
        <v/>
      </c>
      <c r="E45" s="447" t="str">
        <f>""</f>
        <v/>
      </c>
      <c r="F45" s="422" t="str">
        <f>IF($C$45=1,G45,"")</f>
        <v/>
      </c>
      <c r="G45" s="447" t="str">
        <f>""</f>
        <v/>
      </c>
      <c r="H45" s="422" t="str">
        <f>IF($C$45=1,I45,"")</f>
        <v/>
      </c>
      <c r="I45" s="447" t="str">
        <f>""</f>
        <v/>
      </c>
      <c r="J45" s="422" t="str">
        <f>IF($C$45=1,K45,"")</f>
        <v/>
      </c>
      <c r="K45" s="447" t="str">
        <f>""</f>
        <v/>
      </c>
      <c r="L45" s="422" t="str">
        <f>IF($C$45=1,M45,"")</f>
        <v/>
      </c>
      <c r="M45" s="447" t="str">
        <f>""</f>
        <v/>
      </c>
      <c r="N45" s="422" t="str">
        <f>IF($C$45=1,O45,"")</f>
        <v/>
      </c>
      <c r="O45" s="449" t="str">
        <f>""</f>
        <v/>
      </c>
      <c r="P45" s="422" t="str">
        <f>IF($C$45=1,Q45,"")</f>
        <v/>
      </c>
      <c r="Q45" s="449" t="str">
        <f>""</f>
        <v/>
      </c>
      <c r="R45" s="422" t="str">
        <f>IF($C$45=1,S45,"")</f>
        <v/>
      </c>
      <c r="S45" s="449" t="str">
        <f>""</f>
        <v/>
      </c>
      <c r="T45" s="422" t="str">
        <f>IF($C$45=1,U45,"")</f>
        <v/>
      </c>
      <c r="U45" s="449" t="str">
        <f>""</f>
        <v/>
      </c>
      <c r="V45" s="509" t="str">
        <f>'PRC | KHI'!I126</f>
        <v/>
      </c>
      <c r="W45" s="450">
        <v>1</v>
      </c>
      <c r="X45" s="422" t="str">
        <f>IF($C$45=1,Y45,"")</f>
        <v/>
      </c>
      <c r="Y45" s="450" t="str">
        <f>""</f>
        <v/>
      </c>
      <c r="Z45" s="422" t="str">
        <f>IF($C$45=1,AA45,"")</f>
        <v/>
      </c>
      <c r="AA45" s="450" t="str">
        <f>""</f>
        <v/>
      </c>
      <c r="AB45" s="422" t="str">
        <f>IF($C$45=1,AC45,"")</f>
        <v/>
      </c>
      <c r="AC45" s="451" t="str">
        <f>""</f>
        <v/>
      </c>
      <c r="AD45" s="422" t="str">
        <f>IF($C$45=1,AE45,"")</f>
        <v/>
      </c>
      <c r="AE45" s="451" t="str">
        <f>""</f>
        <v/>
      </c>
      <c r="AF45" s="422" t="str">
        <f>IF($C$45=1,AG45,"")</f>
        <v/>
      </c>
      <c r="AG45" s="451" t="str">
        <f>""</f>
        <v/>
      </c>
      <c r="AH45" s="422" t="str">
        <f>IF($C$45=1,AI45,"")</f>
        <v/>
      </c>
      <c r="AI45" s="451" t="str">
        <f>""</f>
        <v/>
      </c>
    </row>
    <row r="46" spans="1:35" ht="20" customHeight="1">
      <c r="A46" s="1871"/>
      <c r="B46" s="418" t="s">
        <v>691</v>
      </c>
      <c r="C46" s="444"/>
      <c r="D46" s="422" t="str">
        <f>IF($C$46=1,E46,"")</f>
        <v/>
      </c>
      <c r="E46" s="447" t="str">
        <f>""</f>
        <v/>
      </c>
      <c r="F46" s="422" t="str">
        <f>IF($C$46=1,G46,"")</f>
        <v/>
      </c>
      <c r="G46" s="447" t="str">
        <f>""</f>
        <v/>
      </c>
      <c r="H46" s="422" t="str">
        <f>IF($C$46=1,I46,"")</f>
        <v/>
      </c>
      <c r="I46" s="447" t="str">
        <f>""</f>
        <v/>
      </c>
      <c r="J46" s="422" t="str">
        <f>IF($C$46=1,K46,"")</f>
        <v/>
      </c>
      <c r="K46" s="447" t="str">
        <f>""</f>
        <v/>
      </c>
      <c r="L46" s="422" t="str">
        <f>IF($C$46=1,M46,"")</f>
        <v/>
      </c>
      <c r="M46" s="447" t="str">
        <f>""</f>
        <v/>
      </c>
      <c r="N46" s="422" t="str">
        <f>IF($C$46=1,O46,"")</f>
        <v/>
      </c>
      <c r="O46" s="449" t="str">
        <f>""</f>
        <v/>
      </c>
      <c r="P46" s="422" t="str">
        <f>IF($C$46=1,Q46,"")</f>
        <v/>
      </c>
      <c r="Q46" s="449" t="str">
        <f>""</f>
        <v/>
      </c>
      <c r="R46" s="422" t="str">
        <f>IF($C$46=1,S46,"")</f>
        <v/>
      </c>
      <c r="S46" s="449" t="str">
        <f>""</f>
        <v/>
      </c>
      <c r="T46" s="422" t="str">
        <f>IF($C$46=1,U46,"")</f>
        <v/>
      </c>
      <c r="U46" s="449" t="str">
        <f>""</f>
        <v/>
      </c>
      <c r="V46" s="509" t="str">
        <f>'PRC | KHI'!J126</f>
        <v/>
      </c>
      <c r="W46" s="450">
        <v>1</v>
      </c>
      <c r="X46" s="422" t="str">
        <f>IF($C$46=1,Y46,"")</f>
        <v/>
      </c>
      <c r="Y46" s="450" t="str">
        <f>""</f>
        <v/>
      </c>
      <c r="Z46" s="422" t="str">
        <f>IF($C$46=1,AA46,"")</f>
        <v/>
      </c>
      <c r="AA46" s="450" t="str">
        <f>""</f>
        <v/>
      </c>
      <c r="AB46" s="422" t="str">
        <f>IF($C$46=1,AC46,"")</f>
        <v/>
      </c>
      <c r="AC46" s="451" t="str">
        <f>""</f>
        <v/>
      </c>
      <c r="AD46" s="422" t="str">
        <f>IF($C$46=1,AE46,"")</f>
        <v/>
      </c>
      <c r="AE46" s="451" t="str">
        <f>""</f>
        <v/>
      </c>
      <c r="AF46" s="422" t="str">
        <f>IF($C$46=1,AG46,"")</f>
        <v/>
      </c>
      <c r="AG46" s="451" t="str">
        <f>""</f>
        <v/>
      </c>
      <c r="AH46" s="422" t="str">
        <f>IF($C$46=1,AI46,"")</f>
        <v/>
      </c>
      <c r="AI46" s="451" t="str">
        <f>""</f>
        <v/>
      </c>
    </row>
    <row r="47" spans="1:35" ht="20" customHeight="1">
      <c r="A47" s="1871"/>
      <c r="B47" s="418" t="s">
        <v>692</v>
      </c>
      <c r="C47" s="444"/>
      <c r="D47" s="422" t="str">
        <f>IF($C$47=1,E47,"")</f>
        <v/>
      </c>
      <c r="E47" s="447" t="str">
        <f>""</f>
        <v/>
      </c>
      <c r="F47" s="422" t="str">
        <f>IF($C$47=1,G47,"")</f>
        <v/>
      </c>
      <c r="G47" s="447" t="str">
        <f>""</f>
        <v/>
      </c>
      <c r="H47" s="422" t="str">
        <f>IF($C$47=1,I47,"")</f>
        <v/>
      </c>
      <c r="I47" s="447" t="str">
        <f>""</f>
        <v/>
      </c>
      <c r="J47" s="422" t="str">
        <f>IF($C$47=1,K47,"")</f>
        <v/>
      </c>
      <c r="K47" s="447" t="str">
        <f>""</f>
        <v/>
      </c>
      <c r="L47" s="422" t="str">
        <f>IF($C$47=1,M47,"")</f>
        <v/>
      </c>
      <c r="M47" s="447" t="str">
        <f>""</f>
        <v/>
      </c>
      <c r="N47" s="422" t="str">
        <f>IF($C$47=1,O47,"")</f>
        <v/>
      </c>
      <c r="O47" s="449" t="str">
        <f>""</f>
        <v/>
      </c>
      <c r="P47" s="422" t="str">
        <f>IF($C$47=1,Q47,"")</f>
        <v/>
      </c>
      <c r="Q47" s="449" t="str">
        <f>""</f>
        <v/>
      </c>
      <c r="R47" s="422" t="str">
        <f>IF($C$47=1,S47,"")</f>
        <v/>
      </c>
      <c r="S47" s="449" t="str">
        <f>""</f>
        <v/>
      </c>
      <c r="T47" s="422" t="str">
        <f>IF($C$47=1,U47,"")</f>
        <v/>
      </c>
      <c r="U47" s="449" t="str">
        <f>""</f>
        <v/>
      </c>
      <c r="V47" s="509" t="str">
        <f>'PRC | KHI'!K126</f>
        <v/>
      </c>
      <c r="W47" s="450">
        <v>1</v>
      </c>
      <c r="X47" s="422" t="str">
        <f>IF($C$47=1,Y47,"")</f>
        <v/>
      </c>
      <c r="Y47" s="450" t="str">
        <f>""</f>
        <v/>
      </c>
      <c r="Z47" s="422" t="str">
        <f>IF($C$47=1,AA47,"")</f>
        <v/>
      </c>
      <c r="AA47" s="450" t="str">
        <f>""</f>
        <v/>
      </c>
      <c r="AB47" s="422" t="str">
        <f>IF($C$47=1,AC47,"")</f>
        <v/>
      </c>
      <c r="AC47" s="451" t="str">
        <f>""</f>
        <v/>
      </c>
      <c r="AD47" s="422" t="str">
        <f>IF($C$47=1,AE47,"")</f>
        <v/>
      </c>
      <c r="AE47" s="451" t="str">
        <f>""</f>
        <v/>
      </c>
      <c r="AF47" s="422" t="str">
        <f>IF($C$47=1,AG47,"")</f>
        <v/>
      </c>
      <c r="AG47" s="451" t="str">
        <f>""</f>
        <v/>
      </c>
      <c r="AH47" s="422" t="str">
        <f>IF($C$47=1,AI47,"")</f>
        <v/>
      </c>
      <c r="AI47" s="451" t="str">
        <f>""</f>
        <v/>
      </c>
    </row>
    <row r="48" spans="1:35" ht="20" customHeight="1">
      <c r="A48" s="1871"/>
      <c r="B48" s="418" t="s">
        <v>693</v>
      </c>
      <c r="C48" s="444"/>
      <c r="D48" s="422" t="str">
        <f>IF($C$48=1,E48,"")</f>
        <v/>
      </c>
      <c r="E48" s="447" t="str">
        <f>""</f>
        <v/>
      </c>
      <c r="F48" s="422" t="str">
        <f>IF($C$48=1,G48,"")</f>
        <v/>
      </c>
      <c r="G48" s="447" t="str">
        <f>""</f>
        <v/>
      </c>
      <c r="H48" s="422" t="str">
        <f>IF($C$48=1,I48,"")</f>
        <v/>
      </c>
      <c r="I48" s="447" t="str">
        <f>""</f>
        <v/>
      </c>
      <c r="J48" s="422" t="str">
        <f>IF($C$48=1,K48,"")</f>
        <v/>
      </c>
      <c r="K48" s="447" t="str">
        <f>""</f>
        <v/>
      </c>
      <c r="L48" s="422" t="str">
        <f>IF($C$48=1,M48,"")</f>
        <v/>
      </c>
      <c r="M48" s="447" t="str">
        <f>""</f>
        <v/>
      </c>
      <c r="N48" s="422" t="str">
        <f>IF($C$48=1,O48,"")</f>
        <v/>
      </c>
      <c r="O48" s="449" t="str">
        <f>""</f>
        <v/>
      </c>
      <c r="P48" s="422" t="str">
        <f>IF($C$48=1,Q48,"")</f>
        <v/>
      </c>
      <c r="Q48" s="449" t="str">
        <f>""</f>
        <v/>
      </c>
      <c r="R48" s="422" t="str">
        <f>IF($C$48=1,S48,"")</f>
        <v/>
      </c>
      <c r="S48" s="449" t="str">
        <f>""</f>
        <v/>
      </c>
      <c r="T48" s="422" t="str">
        <f>IF($C$48=1,U48,"")</f>
        <v/>
      </c>
      <c r="U48" s="449" t="str">
        <f>""</f>
        <v/>
      </c>
      <c r="V48" s="509" t="str">
        <f>'PRC | KHI'!L126</f>
        <v/>
      </c>
      <c r="W48" s="450">
        <v>1</v>
      </c>
      <c r="X48" s="422" t="str">
        <f>IF($C$48=1,Y48,"")</f>
        <v/>
      </c>
      <c r="Y48" s="450" t="str">
        <f>""</f>
        <v/>
      </c>
      <c r="Z48" s="422" t="str">
        <f>IF($C$48=1,AA48,"")</f>
        <v/>
      </c>
      <c r="AA48" s="450" t="str">
        <f>""</f>
        <v/>
      </c>
      <c r="AB48" s="422" t="str">
        <f>IF($C$48=1,AC48,"")</f>
        <v/>
      </c>
      <c r="AC48" s="451" t="str">
        <f>""</f>
        <v/>
      </c>
      <c r="AD48" s="422" t="str">
        <f>IF($C$48=1,AE48,"")</f>
        <v/>
      </c>
      <c r="AE48" s="451" t="str">
        <f>""</f>
        <v/>
      </c>
      <c r="AF48" s="422" t="str">
        <f>IF($C$48=1,AG48,"")</f>
        <v/>
      </c>
      <c r="AG48" s="451" t="str">
        <f>""</f>
        <v/>
      </c>
      <c r="AH48" s="422" t="str">
        <f>IF($C$48=1,AI48,"")</f>
        <v/>
      </c>
      <c r="AI48" s="451" t="str">
        <f>""</f>
        <v/>
      </c>
    </row>
    <row r="49" spans="1:45" ht="20" customHeight="1">
      <c r="A49" s="1871"/>
      <c r="B49" s="418" t="s">
        <v>694</v>
      </c>
      <c r="C49" s="444"/>
      <c r="D49" s="422" t="str">
        <f>IF($C$49=1,E49,"")</f>
        <v/>
      </c>
      <c r="E49" s="447" t="str">
        <f>""</f>
        <v/>
      </c>
      <c r="F49" s="422" t="str">
        <f>IF($C$49=1,G49,"")</f>
        <v/>
      </c>
      <c r="G49" s="447" t="str">
        <f>""</f>
        <v/>
      </c>
      <c r="H49" s="422" t="str">
        <f>IF($C$49=1,I49,"")</f>
        <v/>
      </c>
      <c r="I49" s="447" t="str">
        <f>""</f>
        <v/>
      </c>
      <c r="J49" s="422" t="str">
        <f>IF($C$49=1,K49,"")</f>
        <v/>
      </c>
      <c r="K49" s="447" t="str">
        <f>""</f>
        <v/>
      </c>
      <c r="L49" s="422" t="str">
        <f>IF($C$49=1,M49,"")</f>
        <v/>
      </c>
      <c r="M49" s="447" t="str">
        <f>""</f>
        <v/>
      </c>
      <c r="N49" s="422" t="str">
        <f>IF($C$49=1,O49,"")</f>
        <v/>
      </c>
      <c r="O49" s="449" t="str">
        <f>""</f>
        <v/>
      </c>
      <c r="P49" s="422" t="str">
        <f>IF($C$49=1,Q49,"")</f>
        <v/>
      </c>
      <c r="Q49" s="449" t="str">
        <f>""</f>
        <v/>
      </c>
      <c r="R49" s="422" t="str">
        <f>IF($C$49=1,S49,"")</f>
        <v/>
      </c>
      <c r="S49" s="449" t="str">
        <f>""</f>
        <v/>
      </c>
      <c r="T49" s="422" t="str">
        <f>IF($C$49=1,U49,"")</f>
        <v/>
      </c>
      <c r="U49" s="449" t="str">
        <f>""</f>
        <v/>
      </c>
      <c r="V49" s="509" t="str">
        <f>'PRC | KHI'!M126</f>
        <v/>
      </c>
      <c r="W49" s="450">
        <v>1</v>
      </c>
      <c r="X49" s="422" t="str">
        <f>IF($C$49=1,Y49,"")</f>
        <v/>
      </c>
      <c r="Y49" s="450" t="str">
        <f>""</f>
        <v/>
      </c>
      <c r="Z49" s="422" t="str">
        <f>IF($C$49=1,AA49,"")</f>
        <v/>
      </c>
      <c r="AA49" s="450" t="str">
        <f>""</f>
        <v/>
      </c>
      <c r="AB49" s="422" t="str">
        <f>IF($C$49=1,AC49,"")</f>
        <v/>
      </c>
      <c r="AC49" s="451" t="str">
        <f>""</f>
        <v/>
      </c>
      <c r="AD49" s="422" t="str">
        <f>IF($C$49=1,AE49,"")</f>
        <v/>
      </c>
      <c r="AE49" s="451" t="str">
        <f>""</f>
        <v/>
      </c>
      <c r="AF49" s="422" t="str">
        <f>IF($C$49=1,AG49,"")</f>
        <v/>
      </c>
      <c r="AG49" s="451" t="str">
        <f>""</f>
        <v/>
      </c>
      <c r="AH49" s="422" t="str">
        <f>IF($C$49=1,AI49,"")</f>
        <v/>
      </c>
      <c r="AI49" s="451" t="str">
        <f>""</f>
        <v/>
      </c>
    </row>
    <row r="50" spans="1:45" ht="20" customHeight="1">
      <c r="A50" s="1871"/>
      <c r="B50" s="418" t="s">
        <v>695</v>
      </c>
      <c r="C50" s="444"/>
      <c r="D50" s="422" t="str">
        <f>IF($C$50=1,E50,"")</f>
        <v/>
      </c>
      <c r="E50" s="447" t="str">
        <f>""</f>
        <v/>
      </c>
      <c r="F50" s="422" t="str">
        <f>IF($C$50=1,G50,"")</f>
        <v/>
      </c>
      <c r="G50" s="447" t="str">
        <f>""</f>
        <v/>
      </c>
      <c r="H50" s="422" t="str">
        <f>IF($C$50=1,I50,"")</f>
        <v/>
      </c>
      <c r="I50" s="447" t="str">
        <f>""</f>
        <v/>
      </c>
      <c r="J50" s="422" t="str">
        <f>IF($C$50=1,K50,"")</f>
        <v/>
      </c>
      <c r="K50" s="447" t="str">
        <f>""</f>
        <v/>
      </c>
      <c r="L50" s="422" t="str">
        <f>IF($C$50=1,M50,"")</f>
        <v/>
      </c>
      <c r="M50" s="447" t="str">
        <f>""</f>
        <v/>
      </c>
      <c r="N50" s="422" t="str">
        <f>IF($C$50=1,O50,"")</f>
        <v/>
      </c>
      <c r="O50" s="449" t="str">
        <f>""</f>
        <v/>
      </c>
      <c r="P50" s="422" t="str">
        <f>IF($C$50=1,Q50,"")</f>
        <v/>
      </c>
      <c r="Q50" s="449" t="str">
        <f>""</f>
        <v/>
      </c>
      <c r="R50" s="422" t="str">
        <f>IF($C$50=1,S50,"")</f>
        <v/>
      </c>
      <c r="S50" s="449" t="str">
        <f>""</f>
        <v/>
      </c>
      <c r="T50" s="422" t="str">
        <f>IF($C$50=1,U50,"")</f>
        <v/>
      </c>
      <c r="U50" s="449" t="str">
        <f>""</f>
        <v/>
      </c>
      <c r="V50" s="422" t="str">
        <f>'PRC | KHI'!H177</f>
        <v/>
      </c>
      <c r="W50" s="450">
        <v>1</v>
      </c>
      <c r="X50" s="422" t="str">
        <f>IF($C$50=1,Y50,"")</f>
        <v/>
      </c>
      <c r="Y50" s="450" t="str">
        <f>""</f>
        <v/>
      </c>
      <c r="Z50" s="422" t="str">
        <f>IF($C$50=1,AA50,"")</f>
        <v/>
      </c>
      <c r="AA50" s="450" t="str">
        <f>""</f>
        <v/>
      </c>
      <c r="AB50" s="422" t="str">
        <f>IF($C$50=1,AC50,"")</f>
        <v/>
      </c>
      <c r="AC50" s="451" t="str">
        <f>""</f>
        <v/>
      </c>
      <c r="AD50" s="422" t="str">
        <f>IF($C$50=1,AE50,"")</f>
        <v/>
      </c>
      <c r="AE50" s="451" t="str">
        <f>""</f>
        <v/>
      </c>
      <c r="AF50" s="422" t="str">
        <f>IF($C$50=1,AG50,"")</f>
        <v/>
      </c>
      <c r="AG50" s="451" t="str">
        <f>""</f>
        <v/>
      </c>
      <c r="AH50" s="422" t="str">
        <f>IF($C$50=1,AI50,"")</f>
        <v/>
      </c>
      <c r="AI50" s="451" t="str">
        <f>""</f>
        <v/>
      </c>
    </row>
    <row r="51" spans="1:45" ht="20" customHeight="1">
      <c r="A51" s="452">
        <f>SUM(D51:AI51)</f>
        <v>0</v>
      </c>
      <c r="B51" s="453" t="s">
        <v>18</v>
      </c>
      <c r="C51" s="453"/>
      <c r="D51" s="1872">
        <f>SUM(D5:D50)</f>
        <v>0</v>
      </c>
      <c r="E51" s="1872"/>
      <c r="F51" s="1873">
        <f>SUM(F5:F50)</f>
        <v>0</v>
      </c>
      <c r="G51" s="1873"/>
      <c r="H51" s="1872">
        <f>SUM(H5:H50)</f>
        <v>0</v>
      </c>
      <c r="I51" s="1872"/>
      <c r="J51" s="1873">
        <f>SUM(J5:J50)</f>
        <v>0</v>
      </c>
      <c r="K51" s="1873"/>
      <c r="L51" s="1872">
        <f>SUM(L5:L50)</f>
        <v>0</v>
      </c>
      <c r="M51" s="1872"/>
      <c r="N51" s="1873">
        <f>SUM(N5:N50)</f>
        <v>0</v>
      </c>
      <c r="O51" s="1873"/>
      <c r="P51" s="1872">
        <f>SUM(P5:P50)</f>
        <v>0</v>
      </c>
      <c r="Q51" s="1872"/>
      <c r="R51" s="1873">
        <f>SUM(R5:R50)</f>
        <v>0</v>
      </c>
      <c r="S51" s="1873"/>
      <c r="T51" s="1872">
        <f>SUM(T5:T50)</f>
        <v>0</v>
      </c>
      <c r="U51" s="1872"/>
      <c r="V51" s="1873">
        <f>SUM(V5:V50)</f>
        <v>0</v>
      </c>
      <c r="W51" s="1873"/>
      <c r="X51" s="1872">
        <f>SUM(X5:X50)</f>
        <v>0</v>
      </c>
      <c r="Y51" s="1872"/>
      <c r="Z51" s="1873">
        <f>SUM(Z5:Z50)</f>
        <v>0</v>
      </c>
      <c r="AA51" s="1873"/>
      <c r="AB51" s="1872">
        <f>SUM(AB5:AB50)</f>
        <v>0</v>
      </c>
      <c r="AC51" s="1872"/>
      <c r="AD51" s="1873">
        <f>SUM(AD5:AD50)</f>
        <v>0</v>
      </c>
      <c r="AE51" s="1873"/>
      <c r="AF51" s="1872">
        <f>SUM(AF5:AF50)</f>
        <v>0</v>
      </c>
      <c r="AG51" s="1872"/>
      <c r="AH51" s="1873">
        <f>SUM(AH5:AH50)</f>
        <v>0</v>
      </c>
      <c r="AI51" s="1873"/>
    </row>
    <row r="52" spans="1:45" ht="20" customHeight="1">
      <c r="A52" s="454">
        <f>SUM(D52:AI52)</f>
        <v>0</v>
      </c>
      <c r="B52" s="453" t="s">
        <v>19</v>
      </c>
      <c r="C52" s="453"/>
      <c r="D52" s="1874">
        <f>SUMIF(D5:D50,"&gt;=0", E5:E50)</f>
        <v>0</v>
      </c>
      <c r="E52" s="1874"/>
      <c r="F52" s="1874">
        <f>SUMIF(F5:F50,"&gt;=0", G5:G50)</f>
        <v>0</v>
      </c>
      <c r="G52" s="1874"/>
      <c r="H52" s="1874">
        <f>SUMIF(H5:H50,"&gt;=0", I5:I50)</f>
        <v>0</v>
      </c>
      <c r="I52" s="1874"/>
      <c r="J52" s="1874">
        <f>SUMIF(J5:J50,"&gt;=0", K5:K50)</f>
        <v>0</v>
      </c>
      <c r="K52" s="1874"/>
      <c r="L52" s="1874">
        <f>SUMIF(L5:L50,"&gt;=0", M5:M50)</f>
        <v>0</v>
      </c>
      <c r="M52" s="1874"/>
      <c r="N52" s="1874">
        <f>SUMIF(N5:N50,"&gt;=0", O5:O50)</f>
        <v>0</v>
      </c>
      <c r="O52" s="1874"/>
      <c r="P52" s="1874">
        <f>SUMIF(P5:P50,"&gt;=0", Q5:Q50)</f>
        <v>0</v>
      </c>
      <c r="Q52" s="1874"/>
      <c r="R52" s="1874">
        <f>SUMIF(R5:R50,"&gt;=0", S5:S50)</f>
        <v>0</v>
      </c>
      <c r="S52" s="1874"/>
      <c r="T52" s="1874">
        <f>SUMIF(T5:T50,"&gt;=0", U5:U50)</f>
        <v>0</v>
      </c>
      <c r="U52" s="1874"/>
      <c r="V52" s="1874">
        <f>SUMIF(V5:V50,"&gt;=0", W5:W50)</f>
        <v>0</v>
      </c>
      <c r="W52" s="1874"/>
      <c r="X52" s="1874">
        <f>SUMIF(X5:X50,"&gt;=0", Y5:Y50)</f>
        <v>0</v>
      </c>
      <c r="Y52" s="1874"/>
      <c r="Z52" s="1874">
        <f>SUMIF(Z5:Z50,"&gt;=0", AA5:AA50)</f>
        <v>0</v>
      </c>
      <c r="AA52" s="1874"/>
      <c r="AB52" s="1874">
        <f>SUMIF(AB5:AB50,"&gt;=0", AC5:AC50)</f>
        <v>0</v>
      </c>
      <c r="AC52" s="1874"/>
      <c r="AD52" s="1874">
        <f>SUMIF(AD5:AD50,"&gt;=0", AE5:AE50)</f>
        <v>0</v>
      </c>
      <c r="AE52" s="1874"/>
      <c r="AF52" s="1874">
        <f>SUMIF(AF5:AF50,"&gt;=0", AG5:AG50)</f>
        <v>0</v>
      </c>
      <c r="AG52" s="1874"/>
      <c r="AH52" s="1874">
        <f>SUMIF(AH5:AH50,"&gt;=0", AI5:AI50)</f>
        <v>0</v>
      </c>
      <c r="AI52" s="1874"/>
      <c r="AJ52" s="1875"/>
      <c r="AK52" s="1875"/>
      <c r="AL52" s="1875"/>
      <c r="AM52" s="1875"/>
      <c r="AN52" s="1875"/>
      <c r="AO52" s="1875"/>
      <c r="AP52" s="1875"/>
      <c r="AQ52" s="1875"/>
      <c r="AR52" s="1875"/>
      <c r="AS52" s="1875"/>
    </row>
    <row r="53" spans="1:45" ht="20" customHeight="1" thickBot="1">
      <c r="A53" s="416"/>
      <c r="D53" s="416"/>
      <c r="E53" s="416"/>
      <c r="F53" s="416"/>
      <c r="G53" s="416"/>
      <c r="H53" s="416"/>
      <c r="I53" s="416"/>
      <c r="J53" s="416"/>
      <c r="K53" s="416"/>
      <c r="L53" s="416"/>
      <c r="M53" s="416"/>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row>
    <row r="54" spans="1:45" ht="20" customHeight="1">
      <c r="A54" s="1876" t="e">
        <f>(A51/A52)*100</f>
        <v>#DIV/0!</v>
      </c>
    </row>
    <row r="55" spans="1:45" ht="20" customHeight="1" thickBot="1">
      <c r="A55" s="1877"/>
    </row>
    <row r="56" spans="1:45" ht="20" customHeight="1">
      <c r="D56" s="416"/>
      <c r="E56" s="416"/>
      <c r="F56" s="416"/>
      <c r="G56" s="416"/>
      <c r="H56" s="416"/>
      <c r="I56" s="416"/>
      <c r="J56" s="416"/>
      <c r="K56" s="416"/>
      <c r="L56" s="416"/>
      <c r="M56" s="416"/>
      <c r="N56" s="416"/>
      <c r="O56" s="416"/>
      <c r="P56" s="416"/>
      <c r="Q56" s="416"/>
      <c r="R56" s="416"/>
      <c r="S56" s="416"/>
      <c r="T56" s="416"/>
      <c r="U56" s="416"/>
      <c r="V56" s="416"/>
      <c r="W56" s="416"/>
      <c r="X56" s="416"/>
      <c r="Y56" s="416"/>
      <c r="Z56" s="416"/>
      <c r="AA56" s="416"/>
      <c r="AB56" s="416"/>
      <c r="AC56" s="416"/>
      <c r="AD56" s="416"/>
      <c r="AE56" s="416"/>
      <c r="AF56" s="416"/>
      <c r="AG56" s="416"/>
      <c r="AH56" s="416"/>
      <c r="AI56" s="416"/>
      <c r="AJ56" s="416"/>
      <c r="AK56" s="416"/>
      <c r="AL56" s="416"/>
      <c r="AM56" s="416"/>
      <c r="AN56" s="416"/>
      <c r="AO56" s="416"/>
      <c r="AP56" s="416"/>
      <c r="AQ56" s="416"/>
      <c r="AR56" s="416"/>
      <c r="AS56" s="416"/>
    </row>
    <row r="57" spans="1:45" ht="20" customHeight="1">
      <c r="A57" s="281">
        <f>A52*84.99%</f>
        <v>0</v>
      </c>
      <c r="D57" s="416"/>
      <c r="E57" s="416"/>
      <c r="F57" s="416"/>
      <c r="G57" s="416"/>
      <c r="H57" s="416"/>
      <c r="I57" s="416"/>
      <c r="J57" s="416"/>
      <c r="K57" s="416"/>
      <c r="L57" s="416"/>
      <c r="M57" s="416"/>
      <c r="N57" s="416"/>
      <c r="O57" s="416"/>
      <c r="P57" s="416"/>
      <c r="Q57" s="416"/>
      <c r="R57" s="416"/>
      <c r="S57" s="416"/>
      <c r="T57" s="416"/>
      <c r="U57" s="416"/>
      <c r="V57" s="416"/>
      <c r="W57" s="416"/>
      <c r="X57" s="416"/>
      <c r="Y57" s="416"/>
      <c r="Z57" s="416"/>
      <c r="AA57" s="416"/>
      <c r="AB57" s="416"/>
      <c r="AC57" s="416"/>
      <c r="AD57" s="416"/>
      <c r="AE57" s="416"/>
      <c r="AF57" s="416"/>
      <c r="AG57" s="416"/>
      <c r="AH57" s="416"/>
      <c r="AI57" s="416"/>
      <c r="AJ57" s="416"/>
      <c r="AK57" s="416"/>
      <c r="AL57" s="416"/>
      <c r="AM57" s="416"/>
      <c r="AN57" s="416"/>
      <c r="AO57" s="416"/>
      <c r="AP57" s="416"/>
      <c r="AQ57" s="416"/>
      <c r="AR57" s="416"/>
      <c r="AS57" s="416"/>
    </row>
    <row r="58" spans="1:45" ht="20" customHeight="1">
      <c r="A58" s="282">
        <f>A52*85%</f>
        <v>0</v>
      </c>
      <c r="D58" s="160" t="str">
        <f>IF((D52-D51)&gt;2,1,"")</f>
        <v/>
      </c>
      <c r="E58" s="416"/>
      <c r="F58" s="416"/>
      <c r="G58" s="416"/>
      <c r="H58" s="416"/>
      <c r="I58" s="416"/>
      <c r="J58" s="416"/>
      <c r="K58" s="416"/>
      <c r="L58" s="416"/>
      <c r="M58" s="416"/>
      <c r="N58" s="416"/>
      <c r="O58" s="416"/>
      <c r="P58" s="416"/>
      <c r="Q58" s="416"/>
      <c r="R58" s="416"/>
      <c r="S58" s="416"/>
      <c r="T58" s="416"/>
      <c r="U58" s="416"/>
      <c r="V58" s="416"/>
      <c r="W58" s="416"/>
      <c r="X58" s="416"/>
      <c r="Y58" s="416"/>
      <c r="Z58" s="416"/>
      <c r="AA58" s="416"/>
      <c r="AB58" s="416"/>
      <c r="AC58" s="416"/>
      <c r="AD58" s="416"/>
      <c r="AE58" s="416"/>
      <c r="AF58" s="416"/>
      <c r="AG58" s="416"/>
      <c r="AH58" s="416"/>
      <c r="AI58" s="416"/>
      <c r="AJ58" s="416"/>
      <c r="AK58" s="416"/>
      <c r="AL58" s="416"/>
      <c r="AM58" s="416"/>
      <c r="AN58" s="416"/>
      <c r="AO58" s="416"/>
      <c r="AP58" s="416"/>
      <c r="AQ58" s="416"/>
      <c r="AR58" s="416"/>
      <c r="AS58" s="416"/>
    </row>
    <row r="59" spans="1:45" ht="20" customHeight="1">
      <c r="A59" s="282">
        <f>A52*89.99%</f>
        <v>0</v>
      </c>
      <c r="D59" s="416"/>
      <c r="E59" s="416"/>
      <c r="F59" s="416"/>
      <c r="G59" s="416"/>
      <c r="H59" s="416"/>
      <c r="I59" s="416"/>
      <c r="J59" s="416"/>
      <c r="K59" s="416"/>
      <c r="L59" s="416"/>
      <c r="M59" s="416"/>
      <c r="N59" s="416"/>
      <c r="O59" s="416"/>
      <c r="P59" s="416"/>
      <c r="Q59" s="416"/>
      <c r="R59" s="416"/>
      <c r="S59" s="416"/>
      <c r="T59" s="416"/>
      <c r="U59" s="416"/>
      <c r="V59" s="416"/>
      <c r="W59" s="416"/>
      <c r="X59" s="416"/>
      <c r="Y59" s="416"/>
      <c r="Z59" s="416"/>
      <c r="AA59" s="416"/>
      <c r="AB59" s="416"/>
      <c r="AC59" s="416"/>
      <c r="AD59" s="416"/>
      <c r="AE59" s="416"/>
      <c r="AF59" s="416"/>
      <c r="AG59" s="416"/>
      <c r="AH59" s="416"/>
      <c r="AI59" s="416"/>
      <c r="AJ59" s="416"/>
      <c r="AK59" s="416"/>
      <c r="AL59" s="416"/>
      <c r="AM59" s="416"/>
      <c r="AN59" s="416"/>
      <c r="AO59" s="416"/>
      <c r="AP59" s="416"/>
      <c r="AQ59" s="416"/>
      <c r="AR59" s="416"/>
      <c r="AS59" s="416"/>
    </row>
    <row r="60" spans="1:45" ht="20" customHeight="1">
      <c r="A60" s="279">
        <f>A52*90%</f>
        <v>0</v>
      </c>
      <c r="D60" s="416"/>
      <c r="E60" s="416"/>
      <c r="F60" s="416"/>
      <c r="G60" s="416"/>
      <c r="H60" s="416"/>
      <c r="I60" s="416"/>
      <c r="J60" s="416"/>
      <c r="K60" s="416"/>
      <c r="L60" s="416"/>
      <c r="M60" s="416"/>
      <c r="N60" s="416"/>
      <c r="O60" s="416"/>
      <c r="P60" s="416"/>
      <c r="Q60" s="416"/>
      <c r="R60" s="416"/>
      <c r="S60" s="416"/>
      <c r="T60" s="416"/>
      <c r="U60" s="416"/>
      <c r="V60" s="416"/>
      <c r="W60" s="416"/>
      <c r="X60" s="416"/>
      <c r="Y60" s="416"/>
      <c r="Z60" s="416"/>
      <c r="AA60" s="416"/>
      <c r="AB60" s="416"/>
      <c r="AC60" s="416"/>
      <c r="AD60" s="416"/>
      <c r="AE60" s="416"/>
      <c r="AF60" s="416"/>
      <c r="AG60" s="416"/>
      <c r="AH60" s="416"/>
      <c r="AI60" s="416"/>
      <c r="AJ60" s="416"/>
      <c r="AK60" s="416"/>
      <c r="AL60" s="416"/>
      <c r="AM60" s="416"/>
      <c r="AN60" s="416"/>
      <c r="AO60" s="416"/>
      <c r="AP60" s="416"/>
      <c r="AQ60" s="416"/>
      <c r="AR60" s="416"/>
      <c r="AS60" s="416"/>
    </row>
    <row r="61" spans="1:45" ht="20" customHeight="1">
      <c r="A61" s="279">
        <f>A52*98.99%</f>
        <v>0</v>
      </c>
      <c r="D61" s="416"/>
      <c r="E61" s="416"/>
      <c r="F61" s="416"/>
      <c r="G61" s="416"/>
      <c r="H61" s="416"/>
      <c r="I61" s="416"/>
      <c r="J61" s="416"/>
      <c r="K61" s="416"/>
      <c r="L61" s="416"/>
      <c r="M61" s="416"/>
      <c r="N61" s="416"/>
      <c r="O61" s="416"/>
      <c r="P61" s="416"/>
      <c r="Q61" s="416"/>
      <c r="R61" s="416"/>
      <c r="S61" s="416"/>
      <c r="T61" s="416"/>
      <c r="U61" s="416"/>
      <c r="V61" s="416"/>
      <c r="W61" s="416"/>
      <c r="X61" s="416"/>
      <c r="Y61" s="416"/>
      <c r="Z61" s="416"/>
      <c r="AA61" s="416"/>
      <c r="AB61" s="416"/>
      <c r="AC61" s="416"/>
      <c r="AD61" s="416"/>
      <c r="AE61" s="416"/>
      <c r="AF61" s="416"/>
      <c r="AG61" s="416"/>
      <c r="AH61" s="416"/>
      <c r="AI61" s="416"/>
      <c r="AJ61" s="416"/>
      <c r="AK61" s="416"/>
      <c r="AL61" s="416"/>
      <c r="AM61" s="416"/>
      <c r="AN61" s="416"/>
      <c r="AO61" s="416"/>
      <c r="AP61" s="416"/>
      <c r="AQ61" s="416"/>
      <c r="AR61" s="416"/>
      <c r="AS61" s="416"/>
    </row>
    <row r="62" spans="1:45" ht="20" customHeight="1">
      <c r="A62" s="280">
        <f>A52*99%</f>
        <v>0</v>
      </c>
      <c r="D62" s="416"/>
      <c r="E62" s="416"/>
      <c r="F62" s="416"/>
      <c r="G62" s="416"/>
      <c r="H62" s="416"/>
      <c r="I62" s="416"/>
      <c r="J62" s="416"/>
      <c r="K62" s="416"/>
      <c r="L62" s="416"/>
      <c r="M62" s="416"/>
      <c r="N62" s="416"/>
      <c r="O62" s="416"/>
      <c r="P62" s="416"/>
      <c r="Q62" s="416"/>
      <c r="R62" s="416"/>
      <c r="S62" s="416"/>
      <c r="T62" s="416"/>
      <c r="U62" s="416"/>
      <c r="V62" s="416"/>
      <c r="W62" s="416"/>
      <c r="X62" s="416"/>
      <c r="Y62" s="416"/>
      <c r="Z62" s="416"/>
      <c r="AA62" s="416"/>
      <c r="AB62" s="416"/>
      <c r="AC62" s="416"/>
      <c r="AD62" s="416"/>
      <c r="AE62" s="416"/>
      <c r="AF62" s="416"/>
      <c r="AG62" s="416"/>
      <c r="AH62" s="416"/>
      <c r="AI62" s="416"/>
      <c r="AJ62" s="416"/>
      <c r="AK62" s="416"/>
      <c r="AL62" s="416"/>
      <c r="AM62" s="416"/>
      <c r="AN62" s="416"/>
      <c r="AO62" s="416"/>
      <c r="AP62" s="416"/>
      <c r="AQ62" s="416"/>
      <c r="AR62" s="416"/>
      <c r="AS62" s="416"/>
    </row>
    <row r="63" spans="1:45" ht="20" customHeight="1">
      <c r="A63" s="280">
        <f>A52</f>
        <v>0</v>
      </c>
      <c r="D63" s="416"/>
      <c r="E63" s="416"/>
      <c r="F63" s="416"/>
      <c r="G63" s="416"/>
      <c r="H63" s="416"/>
      <c r="I63" s="416"/>
      <c r="J63" s="416"/>
      <c r="K63" s="416"/>
      <c r="L63" s="416"/>
      <c r="M63" s="416"/>
      <c r="N63" s="416"/>
      <c r="O63" s="416"/>
      <c r="P63" s="416"/>
      <c r="Q63" s="416"/>
      <c r="R63" s="416"/>
      <c r="S63" s="416"/>
      <c r="T63" s="416"/>
      <c r="U63" s="416"/>
      <c r="V63" s="416"/>
      <c r="W63" s="416"/>
      <c r="X63" s="416"/>
      <c r="Y63" s="416"/>
      <c r="Z63" s="416"/>
      <c r="AA63" s="416"/>
      <c r="AB63" s="416"/>
      <c r="AC63" s="416"/>
      <c r="AD63" s="416"/>
      <c r="AE63" s="416"/>
      <c r="AF63" s="416"/>
      <c r="AG63" s="416"/>
      <c r="AH63" s="416"/>
      <c r="AI63" s="416"/>
      <c r="AJ63" s="416"/>
      <c r="AK63" s="416"/>
      <c r="AL63" s="416"/>
      <c r="AM63" s="416"/>
      <c r="AN63" s="416"/>
      <c r="AO63" s="416"/>
      <c r="AP63" s="416"/>
      <c r="AQ63" s="416"/>
      <c r="AR63" s="416"/>
      <c r="AS63" s="416"/>
    </row>
    <row r="64" spans="1:45" ht="20" customHeight="1">
      <c r="D64" s="416"/>
      <c r="E64" s="416"/>
      <c r="F64" s="416"/>
      <c r="G64" s="416"/>
      <c r="H64" s="416"/>
      <c r="I64" s="416"/>
      <c r="J64" s="416"/>
      <c r="K64" s="416"/>
      <c r="L64" s="416"/>
      <c r="M64" s="416"/>
      <c r="N64" s="416"/>
      <c r="O64" s="416"/>
      <c r="P64" s="416"/>
      <c r="Q64" s="416"/>
      <c r="R64" s="416"/>
      <c r="S64" s="416"/>
      <c r="T64" s="416"/>
      <c r="U64" s="416"/>
      <c r="V64" s="416"/>
      <c r="W64" s="416"/>
      <c r="X64" s="416"/>
      <c r="Y64" s="416"/>
      <c r="Z64" s="416"/>
      <c r="AA64" s="416"/>
      <c r="AB64" s="416"/>
      <c r="AC64" s="416"/>
      <c r="AD64" s="416"/>
      <c r="AE64" s="416"/>
      <c r="AF64" s="416"/>
      <c r="AG64" s="416"/>
      <c r="AH64" s="416"/>
      <c r="AI64" s="416"/>
      <c r="AJ64" s="416"/>
      <c r="AK64" s="416"/>
      <c r="AL64" s="416"/>
      <c r="AM64" s="416"/>
      <c r="AN64" s="416"/>
      <c r="AO64" s="416"/>
      <c r="AP64" s="416"/>
      <c r="AQ64" s="416"/>
      <c r="AR64" s="416"/>
      <c r="AS64" s="416"/>
    </row>
    <row r="65" spans="4:45" ht="20" customHeight="1">
      <c r="D65" s="416"/>
      <c r="E65" s="416"/>
      <c r="F65" s="416"/>
      <c r="G65" s="416"/>
      <c r="H65" s="416"/>
      <c r="I65" s="416"/>
      <c r="J65" s="416"/>
      <c r="K65" s="416"/>
      <c r="L65" s="416"/>
      <c r="M65" s="416"/>
      <c r="N65" s="416"/>
      <c r="O65" s="416"/>
      <c r="P65" s="416"/>
      <c r="Q65" s="416"/>
      <c r="R65" s="416"/>
      <c r="S65" s="416"/>
      <c r="T65" s="416"/>
      <c r="U65" s="416"/>
      <c r="V65" s="416"/>
      <c r="W65" s="416"/>
      <c r="X65" s="416"/>
      <c r="Y65" s="416"/>
      <c r="Z65" s="416"/>
      <c r="AA65" s="416"/>
      <c r="AB65" s="416"/>
      <c r="AC65" s="416"/>
      <c r="AD65" s="416"/>
      <c r="AE65" s="416"/>
      <c r="AF65" s="416"/>
      <c r="AG65" s="416"/>
      <c r="AH65" s="416"/>
      <c r="AI65" s="416"/>
      <c r="AJ65" s="416"/>
      <c r="AK65" s="416"/>
      <c r="AL65" s="416"/>
      <c r="AM65" s="416"/>
      <c r="AN65" s="416"/>
      <c r="AO65" s="416"/>
      <c r="AP65" s="416"/>
      <c r="AQ65" s="416"/>
      <c r="AR65" s="416"/>
      <c r="AS65" s="416"/>
    </row>
    <row r="66" spans="4:45" ht="20" customHeight="1">
      <c r="D66" s="416"/>
      <c r="E66" s="416"/>
      <c r="F66" s="416"/>
      <c r="G66" s="416"/>
      <c r="H66" s="416"/>
      <c r="I66" s="416"/>
      <c r="J66" s="416"/>
      <c r="K66" s="416"/>
      <c r="L66" s="416"/>
      <c r="M66" s="416"/>
      <c r="N66" s="416"/>
      <c r="O66" s="416"/>
      <c r="P66" s="416"/>
      <c r="Q66" s="416"/>
      <c r="R66" s="416"/>
      <c r="S66" s="416"/>
      <c r="T66" s="416"/>
      <c r="U66" s="416"/>
      <c r="V66" s="416"/>
      <c r="W66" s="416"/>
      <c r="X66" s="416"/>
      <c r="Y66" s="416"/>
      <c r="Z66" s="416"/>
      <c r="AA66" s="416"/>
      <c r="AB66" s="416"/>
      <c r="AC66" s="416"/>
      <c r="AD66" s="416"/>
      <c r="AE66" s="416"/>
      <c r="AF66" s="416"/>
      <c r="AG66" s="416"/>
      <c r="AH66" s="416"/>
      <c r="AI66" s="416"/>
      <c r="AJ66" s="416"/>
      <c r="AK66" s="416"/>
      <c r="AL66" s="416"/>
      <c r="AM66" s="416"/>
      <c r="AN66" s="416"/>
      <c r="AO66" s="416"/>
      <c r="AP66" s="416"/>
      <c r="AQ66" s="416"/>
      <c r="AR66" s="416"/>
      <c r="AS66" s="416"/>
    </row>
    <row r="67" spans="4:45" ht="20" customHeight="1">
      <c r="D67" s="416"/>
      <c r="E67" s="416"/>
      <c r="F67" s="416"/>
      <c r="G67" s="416"/>
      <c r="H67" s="416"/>
      <c r="I67" s="416"/>
      <c r="J67" s="416"/>
      <c r="K67" s="416"/>
      <c r="L67" s="416"/>
      <c r="M67" s="416"/>
      <c r="N67" s="416"/>
      <c r="O67" s="416"/>
      <c r="P67" s="416"/>
      <c r="Q67" s="416"/>
      <c r="R67" s="416"/>
      <c r="S67" s="416"/>
      <c r="T67" s="416"/>
      <c r="U67" s="416"/>
      <c r="V67" s="416"/>
      <c r="W67" s="416"/>
      <c r="X67" s="416"/>
      <c r="Y67" s="416"/>
      <c r="Z67" s="416"/>
      <c r="AA67" s="416"/>
      <c r="AB67" s="416"/>
      <c r="AC67" s="416"/>
      <c r="AD67" s="416"/>
      <c r="AE67" s="416"/>
      <c r="AF67" s="416"/>
      <c r="AG67" s="416"/>
      <c r="AH67" s="416"/>
      <c r="AI67" s="416"/>
      <c r="AJ67" s="416"/>
      <c r="AK67" s="416"/>
      <c r="AL67" s="416"/>
      <c r="AM67" s="416"/>
      <c r="AN67" s="416"/>
      <c r="AO67" s="416"/>
      <c r="AP67" s="416"/>
      <c r="AQ67" s="416"/>
      <c r="AR67" s="416"/>
      <c r="AS67" s="416"/>
    </row>
    <row r="68" spans="4:45" ht="20" customHeight="1">
      <c r="D68" s="416"/>
      <c r="E68" s="416"/>
      <c r="F68" s="416"/>
      <c r="G68" s="416"/>
      <c r="H68" s="416"/>
      <c r="I68" s="416"/>
      <c r="J68" s="416"/>
      <c r="K68" s="416"/>
      <c r="L68" s="416"/>
      <c r="M68" s="416"/>
      <c r="N68" s="416"/>
      <c r="O68" s="416"/>
      <c r="P68" s="416"/>
      <c r="Q68" s="416"/>
      <c r="R68" s="416"/>
      <c r="S68" s="416"/>
      <c r="T68" s="416"/>
      <c r="U68" s="416"/>
      <c r="V68" s="416"/>
      <c r="W68" s="416"/>
      <c r="X68" s="416"/>
      <c r="Y68" s="416"/>
      <c r="Z68" s="416"/>
      <c r="AA68" s="416"/>
      <c r="AB68" s="416"/>
      <c r="AC68" s="416"/>
      <c r="AD68" s="416"/>
      <c r="AE68" s="416"/>
      <c r="AF68" s="416"/>
      <c r="AG68" s="416"/>
      <c r="AH68" s="416"/>
      <c r="AI68" s="416"/>
      <c r="AJ68" s="416"/>
      <c r="AK68" s="416"/>
      <c r="AL68" s="416"/>
      <c r="AM68" s="416"/>
      <c r="AN68" s="416"/>
      <c r="AO68" s="416"/>
      <c r="AP68" s="416"/>
      <c r="AQ68" s="416"/>
      <c r="AR68" s="416"/>
      <c r="AS68" s="416"/>
    </row>
    <row r="69" spans="4:45" ht="20" customHeight="1">
      <c r="D69" s="416"/>
      <c r="E69" s="416"/>
      <c r="F69" s="416"/>
      <c r="G69" s="416"/>
      <c r="H69" s="416"/>
      <c r="I69" s="416"/>
      <c r="J69" s="416"/>
      <c r="K69" s="416"/>
      <c r="L69" s="416"/>
      <c r="M69" s="416"/>
      <c r="N69" s="416"/>
      <c r="O69" s="416"/>
      <c r="P69" s="416"/>
      <c r="Q69" s="416"/>
      <c r="R69" s="416"/>
      <c r="S69" s="416"/>
      <c r="T69" s="416"/>
      <c r="U69" s="416"/>
      <c r="V69" s="416"/>
      <c r="W69" s="416"/>
      <c r="X69" s="416"/>
      <c r="Y69" s="416"/>
      <c r="Z69" s="416"/>
      <c r="AA69" s="416"/>
      <c r="AB69" s="416"/>
      <c r="AC69" s="416"/>
      <c r="AD69" s="416"/>
      <c r="AE69" s="416"/>
      <c r="AF69" s="416"/>
      <c r="AG69" s="416"/>
      <c r="AH69" s="416"/>
      <c r="AI69" s="416"/>
      <c r="AJ69" s="416"/>
      <c r="AK69" s="416"/>
      <c r="AL69" s="416"/>
      <c r="AM69" s="416"/>
      <c r="AN69" s="416"/>
      <c r="AO69" s="416"/>
      <c r="AP69" s="416"/>
      <c r="AQ69" s="416"/>
      <c r="AR69" s="416"/>
      <c r="AS69" s="416"/>
    </row>
    <row r="70" spans="4:45" ht="20" customHeight="1">
      <c r="D70" s="416"/>
      <c r="E70" s="416"/>
      <c r="F70" s="416"/>
      <c r="G70" s="416"/>
      <c r="H70" s="416"/>
      <c r="I70" s="416"/>
      <c r="J70" s="416"/>
      <c r="K70" s="416"/>
      <c r="L70" s="416"/>
      <c r="M70" s="416"/>
      <c r="N70" s="416"/>
      <c r="O70" s="416"/>
      <c r="P70" s="416"/>
      <c r="Q70" s="416"/>
      <c r="R70" s="416"/>
      <c r="S70" s="416"/>
      <c r="T70" s="416"/>
      <c r="U70" s="416"/>
      <c r="V70" s="416"/>
      <c r="W70" s="416"/>
      <c r="X70" s="416"/>
      <c r="Y70" s="416"/>
      <c r="Z70" s="416"/>
      <c r="AA70" s="416"/>
      <c r="AB70" s="416"/>
      <c r="AC70" s="416"/>
      <c r="AD70" s="416"/>
      <c r="AE70" s="416"/>
      <c r="AF70" s="416"/>
      <c r="AG70" s="416"/>
      <c r="AH70" s="416"/>
      <c r="AI70" s="416"/>
      <c r="AJ70" s="416"/>
      <c r="AK70" s="416"/>
      <c r="AL70" s="416"/>
      <c r="AM70" s="416"/>
      <c r="AN70" s="416"/>
      <c r="AO70" s="416"/>
      <c r="AP70" s="416"/>
      <c r="AQ70" s="416"/>
      <c r="AR70" s="416"/>
      <c r="AS70" s="416"/>
    </row>
    <row r="71" spans="4:45" ht="20" customHeight="1">
      <c r="D71" s="416"/>
      <c r="E71" s="416"/>
      <c r="F71" s="416"/>
      <c r="G71" s="416"/>
      <c r="H71" s="416"/>
      <c r="I71" s="416"/>
      <c r="J71" s="416"/>
      <c r="K71" s="416"/>
      <c r="L71" s="416"/>
      <c r="M71" s="416"/>
      <c r="N71" s="416"/>
      <c r="O71" s="416"/>
      <c r="P71" s="416"/>
      <c r="Q71" s="416"/>
      <c r="R71" s="416"/>
      <c r="S71" s="416"/>
      <c r="T71" s="416"/>
      <c r="U71" s="416"/>
      <c r="V71" s="416"/>
      <c r="W71" s="416"/>
      <c r="X71" s="416"/>
      <c r="Y71" s="416"/>
      <c r="Z71" s="416"/>
      <c r="AA71" s="416"/>
      <c r="AB71" s="416"/>
      <c r="AC71" s="416"/>
      <c r="AD71" s="416"/>
      <c r="AE71" s="416"/>
      <c r="AF71" s="416"/>
      <c r="AG71" s="416"/>
      <c r="AH71" s="416"/>
      <c r="AI71" s="416"/>
      <c r="AJ71" s="416"/>
      <c r="AK71" s="416"/>
      <c r="AL71" s="416"/>
      <c r="AM71" s="416"/>
      <c r="AN71" s="416"/>
      <c r="AO71" s="416"/>
      <c r="AP71" s="416"/>
      <c r="AQ71" s="416"/>
      <c r="AR71" s="416"/>
      <c r="AS71" s="416"/>
    </row>
    <row r="72" spans="4:45" ht="20" customHeight="1">
      <c r="D72" s="416"/>
      <c r="E72" s="416"/>
      <c r="F72" s="416"/>
      <c r="G72" s="416"/>
      <c r="H72" s="416"/>
      <c r="I72" s="416"/>
      <c r="J72" s="416"/>
      <c r="K72" s="416"/>
      <c r="L72" s="416"/>
      <c r="M72" s="416"/>
      <c r="N72" s="416"/>
      <c r="O72" s="416"/>
      <c r="P72" s="416"/>
      <c r="Q72" s="416"/>
      <c r="R72" s="416"/>
      <c r="S72" s="416"/>
      <c r="T72" s="416"/>
      <c r="U72" s="416"/>
      <c r="V72" s="416"/>
      <c r="W72" s="416"/>
      <c r="X72" s="416"/>
      <c r="Y72" s="416"/>
      <c r="Z72" s="416"/>
      <c r="AA72" s="416"/>
      <c r="AB72" s="416"/>
      <c r="AC72" s="416"/>
      <c r="AD72" s="416"/>
      <c r="AE72" s="416"/>
      <c r="AF72" s="416"/>
      <c r="AG72" s="416"/>
      <c r="AH72" s="416"/>
      <c r="AI72" s="416"/>
      <c r="AJ72" s="416"/>
      <c r="AK72" s="416"/>
      <c r="AL72" s="416"/>
      <c r="AM72" s="416"/>
      <c r="AN72" s="416"/>
      <c r="AO72" s="416"/>
      <c r="AP72" s="416"/>
      <c r="AQ72" s="416"/>
      <c r="AR72" s="416"/>
      <c r="AS72" s="416"/>
    </row>
    <row r="73" spans="4:45" ht="20" customHeight="1">
      <c r="D73" s="416"/>
      <c r="E73" s="416"/>
      <c r="F73" s="416"/>
      <c r="G73" s="416"/>
      <c r="H73" s="416"/>
      <c r="I73" s="416"/>
      <c r="J73" s="416"/>
      <c r="K73" s="416"/>
      <c r="L73" s="416"/>
      <c r="M73" s="416"/>
      <c r="N73" s="416"/>
      <c r="O73" s="416"/>
      <c r="P73" s="416"/>
      <c r="Q73" s="416"/>
      <c r="R73" s="416"/>
      <c r="S73" s="416"/>
      <c r="T73" s="416"/>
      <c r="U73" s="416"/>
      <c r="V73" s="416"/>
      <c r="W73" s="416"/>
      <c r="X73" s="416"/>
      <c r="Y73" s="416"/>
      <c r="Z73" s="416"/>
      <c r="AA73" s="416"/>
      <c r="AB73" s="416"/>
      <c r="AC73" s="416"/>
      <c r="AD73" s="416"/>
      <c r="AE73" s="416"/>
      <c r="AF73" s="416"/>
      <c r="AG73" s="416"/>
      <c r="AH73" s="416"/>
      <c r="AI73" s="416"/>
      <c r="AJ73" s="416"/>
      <c r="AK73" s="416"/>
      <c r="AL73" s="416"/>
      <c r="AM73" s="416"/>
      <c r="AN73" s="416"/>
      <c r="AO73" s="416"/>
      <c r="AP73" s="416"/>
      <c r="AQ73" s="416"/>
      <c r="AR73" s="416"/>
      <c r="AS73" s="416"/>
    </row>
    <row r="74" spans="4:45" ht="20" customHeight="1">
      <c r="D74" s="416"/>
      <c r="E74" s="416"/>
      <c r="F74" s="416"/>
      <c r="G74" s="416"/>
      <c r="H74" s="416"/>
      <c r="I74" s="416"/>
      <c r="J74" s="416"/>
      <c r="K74" s="416"/>
      <c r="L74" s="416"/>
      <c r="M74" s="416"/>
      <c r="N74" s="416"/>
      <c r="O74" s="416"/>
      <c r="P74" s="416"/>
      <c r="Q74" s="416"/>
      <c r="R74" s="416"/>
      <c r="S74" s="416"/>
      <c r="T74" s="416"/>
      <c r="U74" s="416"/>
      <c r="V74" s="416"/>
      <c r="W74" s="416"/>
      <c r="X74" s="416"/>
      <c r="Y74" s="416"/>
      <c r="Z74" s="416"/>
      <c r="AA74" s="416"/>
      <c r="AB74" s="416"/>
      <c r="AC74" s="416"/>
      <c r="AD74" s="416"/>
      <c r="AE74" s="416"/>
      <c r="AF74" s="416"/>
      <c r="AG74" s="416"/>
      <c r="AH74" s="416"/>
      <c r="AI74" s="416"/>
      <c r="AJ74" s="416"/>
      <c r="AK74" s="416"/>
      <c r="AL74" s="416"/>
      <c r="AM74" s="416"/>
      <c r="AN74" s="416"/>
      <c r="AO74" s="416"/>
      <c r="AP74" s="416"/>
      <c r="AQ74" s="416"/>
      <c r="AR74" s="416"/>
      <c r="AS74" s="416"/>
    </row>
    <row r="75" spans="4:45" ht="20" customHeight="1">
      <c r="D75" s="416"/>
      <c r="E75" s="416"/>
      <c r="F75" s="416"/>
      <c r="G75" s="416"/>
      <c r="H75" s="416"/>
      <c r="I75" s="416"/>
      <c r="J75" s="416"/>
      <c r="K75" s="416"/>
      <c r="L75" s="416"/>
      <c r="M75" s="416"/>
      <c r="N75" s="416"/>
      <c r="O75" s="416"/>
      <c r="P75" s="416"/>
      <c r="Q75" s="416"/>
      <c r="R75" s="416"/>
      <c r="S75" s="416"/>
      <c r="T75" s="416"/>
      <c r="U75" s="416"/>
      <c r="V75" s="416"/>
      <c r="W75" s="416"/>
      <c r="X75" s="416"/>
      <c r="Y75" s="416"/>
      <c r="Z75" s="416"/>
      <c r="AA75" s="416"/>
      <c r="AB75" s="416"/>
      <c r="AC75" s="416"/>
      <c r="AD75" s="416"/>
      <c r="AE75" s="416"/>
      <c r="AF75" s="416"/>
      <c r="AG75" s="416"/>
      <c r="AH75" s="416"/>
      <c r="AI75" s="416"/>
      <c r="AJ75" s="416"/>
      <c r="AK75" s="416"/>
      <c r="AL75" s="416"/>
      <c r="AM75" s="416"/>
      <c r="AN75" s="416"/>
      <c r="AO75" s="416"/>
      <c r="AP75" s="416"/>
      <c r="AQ75" s="416"/>
      <c r="AR75" s="416"/>
      <c r="AS75" s="416"/>
    </row>
    <row r="76" spans="4:45" ht="20" customHeight="1">
      <c r="D76" s="416"/>
      <c r="E76" s="416"/>
      <c r="F76" s="416"/>
      <c r="G76" s="416"/>
      <c r="H76" s="416"/>
      <c r="I76" s="416"/>
      <c r="J76" s="416"/>
      <c r="K76" s="416"/>
      <c r="L76" s="416"/>
      <c r="M76" s="416"/>
      <c r="N76" s="416"/>
      <c r="O76" s="416"/>
      <c r="P76" s="416"/>
      <c r="Q76" s="416"/>
      <c r="R76" s="416"/>
      <c r="S76" s="416"/>
      <c r="T76" s="416"/>
      <c r="U76" s="416"/>
      <c r="V76" s="416"/>
      <c r="W76" s="416"/>
      <c r="X76" s="416"/>
      <c r="Y76" s="416"/>
      <c r="Z76" s="416"/>
      <c r="AA76" s="416"/>
      <c r="AB76" s="416"/>
      <c r="AC76" s="416"/>
      <c r="AD76" s="416"/>
      <c r="AE76" s="416"/>
      <c r="AF76" s="416"/>
      <c r="AG76" s="416"/>
      <c r="AH76" s="416"/>
      <c r="AI76" s="416"/>
      <c r="AJ76" s="416"/>
      <c r="AK76" s="416"/>
      <c r="AL76" s="416"/>
      <c r="AM76" s="416"/>
      <c r="AN76" s="416"/>
      <c r="AO76" s="416"/>
      <c r="AP76" s="416"/>
      <c r="AQ76" s="416"/>
      <c r="AR76" s="416"/>
      <c r="AS76" s="416"/>
    </row>
    <row r="77" spans="4:45" ht="20" customHeight="1">
      <c r="D77" s="416"/>
      <c r="E77" s="416"/>
      <c r="F77" s="416"/>
      <c r="G77" s="416"/>
      <c r="H77" s="416"/>
      <c r="I77" s="416"/>
      <c r="J77" s="416"/>
      <c r="K77" s="416"/>
      <c r="L77" s="416"/>
      <c r="M77" s="416"/>
      <c r="N77" s="416"/>
      <c r="O77" s="416"/>
      <c r="P77" s="416"/>
      <c r="Q77" s="416"/>
      <c r="R77" s="416"/>
      <c r="S77" s="416"/>
      <c r="T77" s="416"/>
      <c r="U77" s="416"/>
      <c r="V77" s="416"/>
      <c r="W77" s="416"/>
      <c r="X77" s="416"/>
      <c r="Y77" s="416"/>
      <c r="Z77" s="416"/>
      <c r="AA77" s="416"/>
      <c r="AB77" s="416"/>
      <c r="AC77" s="416"/>
      <c r="AD77" s="416"/>
      <c r="AE77" s="416"/>
      <c r="AF77" s="416"/>
      <c r="AG77" s="416"/>
      <c r="AH77" s="416"/>
      <c r="AI77" s="416"/>
      <c r="AJ77" s="416"/>
      <c r="AK77" s="416"/>
      <c r="AL77" s="416"/>
      <c r="AM77" s="416"/>
      <c r="AN77" s="416"/>
      <c r="AO77" s="416"/>
      <c r="AP77" s="416"/>
      <c r="AQ77" s="416"/>
      <c r="AR77" s="416"/>
      <c r="AS77" s="416"/>
    </row>
    <row r="78" spans="4:45" ht="20" customHeight="1">
      <c r="D78" s="416"/>
      <c r="E78" s="416"/>
      <c r="F78" s="416"/>
      <c r="G78" s="416"/>
      <c r="H78" s="416"/>
      <c r="I78" s="416"/>
      <c r="J78" s="416"/>
      <c r="K78" s="416"/>
      <c r="L78" s="416"/>
      <c r="M78" s="416"/>
      <c r="N78" s="416"/>
      <c r="O78" s="416"/>
      <c r="P78" s="416"/>
      <c r="Q78" s="416"/>
      <c r="R78" s="416"/>
      <c r="S78" s="416"/>
      <c r="T78" s="416"/>
      <c r="U78" s="416"/>
      <c r="V78" s="416"/>
      <c r="W78" s="416"/>
      <c r="X78" s="416"/>
      <c r="Y78" s="416"/>
      <c r="Z78" s="416"/>
      <c r="AA78" s="416"/>
      <c r="AB78" s="416"/>
      <c r="AC78" s="416"/>
      <c r="AD78" s="416"/>
      <c r="AE78" s="416"/>
      <c r="AF78" s="416"/>
      <c r="AG78" s="416"/>
      <c r="AH78" s="416"/>
      <c r="AI78" s="416"/>
      <c r="AJ78" s="416"/>
      <c r="AK78" s="416"/>
      <c r="AL78" s="416"/>
      <c r="AM78" s="416"/>
      <c r="AN78" s="416"/>
      <c r="AO78" s="416"/>
      <c r="AP78" s="416"/>
      <c r="AQ78" s="416"/>
      <c r="AR78" s="416"/>
      <c r="AS78" s="416"/>
    </row>
    <row r="79" spans="4:45" ht="20" customHeight="1">
      <c r="D79" s="416"/>
      <c r="E79" s="416"/>
      <c r="F79" s="416"/>
      <c r="G79" s="416"/>
      <c r="H79" s="416"/>
      <c r="I79" s="416"/>
      <c r="J79" s="416"/>
      <c r="K79" s="416"/>
      <c r="L79" s="416"/>
      <c r="M79" s="416"/>
      <c r="N79" s="416"/>
      <c r="O79" s="416"/>
      <c r="P79" s="416"/>
      <c r="Q79" s="416"/>
      <c r="R79" s="416"/>
      <c r="S79" s="416"/>
      <c r="T79" s="416"/>
      <c r="U79" s="416"/>
      <c r="V79" s="416"/>
      <c r="W79" s="416"/>
      <c r="X79" s="416"/>
      <c r="Y79" s="416"/>
      <c r="Z79" s="416"/>
      <c r="AA79" s="416"/>
      <c r="AB79" s="416"/>
      <c r="AC79" s="416"/>
      <c r="AD79" s="416"/>
      <c r="AE79" s="416"/>
      <c r="AF79" s="416"/>
      <c r="AG79" s="416"/>
      <c r="AH79" s="416"/>
      <c r="AI79" s="416"/>
      <c r="AJ79" s="416"/>
      <c r="AK79" s="416"/>
      <c r="AL79" s="416"/>
      <c r="AM79" s="416"/>
      <c r="AN79" s="416"/>
      <c r="AO79" s="416"/>
      <c r="AP79" s="416"/>
      <c r="AQ79" s="416"/>
      <c r="AR79" s="416"/>
      <c r="AS79" s="416"/>
    </row>
    <row r="80" spans="4:45" ht="20" customHeight="1">
      <c r="D80" s="416"/>
      <c r="E80" s="416"/>
      <c r="F80" s="416"/>
      <c r="G80" s="416"/>
      <c r="H80" s="416"/>
      <c r="I80" s="416"/>
      <c r="J80" s="416"/>
      <c r="K80" s="416"/>
      <c r="L80" s="416"/>
      <c r="M80" s="416"/>
      <c r="N80" s="416"/>
      <c r="O80" s="416"/>
      <c r="P80" s="416"/>
      <c r="Q80" s="416"/>
      <c r="R80" s="416"/>
      <c r="S80" s="416"/>
      <c r="T80" s="416"/>
      <c r="U80" s="416"/>
      <c r="V80" s="416"/>
      <c r="W80" s="416"/>
      <c r="X80" s="416"/>
      <c r="Y80" s="416"/>
      <c r="Z80" s="416"/>
      <c r="AA80" s="416"/>
      <c r="AB80" s="416"/>
      <c r="AC80" s="416"/>
      <c r="AD80" s="416"/>
      <c r="AE80" s="416"/>
      <c r="AF80" s="416"/>
      <c r="AG80" s="416"/>
      <c r="AH80" s="416"/>
      <c r="AI80" s="416"/>
      <c r="AJ80" s="416"/>
      <c r="AK80" s="416"/>
      <c r="AL80" s="416"/>
      <c r="AM80" s="416"/>
      <c r="AN80" s="416"/>
      <c r="AO80" s="416"/>
      <c r="AP80" s="416"/>
      <c r="AQ80" s="416"/>
      <c r="AR80" s="416"/>
      <c r="AS80" s="416"/>
    </row>
    <row r="81" spans="4:45" ht="20" customHeight="1">
      <c r="D81" s="416"/>
      <c r="E81" s="416"/>
      <c r="F81" s="416"/>
      <c r="G81" s="416"/>
      <c r="H81" s="416"/>
      <c r="I81" s="416"/>
      <c r="J81" s="416"/>
      <c r="K81" s="416"/>
      <c r="L81" s="416"/>
      <c r="M81" s="416"/>
      <c r="N81" s="416"/>
      <c r="O81" s="416"/>
      <c r="P81" s="416"/>
      <c r="Q81" s="416"/>
      <c r="R81" s="416"/>
      <c r="S81" s="416"/>
      <c r="T81" s="416"/>
      <c r="U81" s="416"/>
      <c r="V81" s="416"/>
      <c r="W81" s="416"/>
      <c r="X81" s="416"/>
      <c r="Y81" s="416"/>
      <c r="Z81" s="416"/>
      <c r="AA81" s="416"/>
      <c r="AB81" s="416"/>
      <c r="AC81" s="416"/>
      <c r="AD81" s="416"/>
      <c r="AE81" s="416"/>
      <c r="AF81" s="416"/>
      <c r="AG81" s="416"/>
      <c r="AH81" s="416"/>
      <c r="AI81" s="416"/>
      <c r="AJ81" s="416"/>
      <c r="AK81" s="416"/>
      <c r="AL81" s="416"/>
      <c r="AM81" s="416"/>
      <c r="AN81" s="416"/>
      <c r="AO81" s="416"/>
      <c r="AP81" s="416"/>
      <c r="AQ81" s="416"/>
      <c r="AR81" s="416"/>
      <c r="AS81" s="416"/>
    </row>
    <row r="82" spans="4:45" ht="20" customHeight="1">
      <c r="D82" s="416"/>
      <c r="E82" s="416"/>
      <c r="F82" s="416"/>
      <c r="G82" s="416"/>
      <c r="H82" s="416"/>
      <c r="I82" s="416"/>
      <c r="J82" s="416"/>
      <c r="K82" s="416"/>
      <c r="L82" s="416"/>
      <c r="M82" s="416"/>
      <c r="N82" s="416"/>
      <c r="O82" s="416"/>
      <c r="P82" s="416"/>
      <c r="Q82" s="416"/>
      <c r="R82" s="416"/>
      <c r="S82" s="416"/>
      <c r="T82" s="416"/>
      <c r="U82" s="416"/>
      <c r="V82" s="416"/>
      <c r="W82" s="416"/>
      <c r="X82" s="416"/>
      <c r="Y82" s="416"/>
      <c r="Z82" s="416"/>
      <c r="AA82" s="416"/>
      <c r="AB82" s="416"/>
      <c r="AC82" s="416"/>
      <c r="AD82" s="416"/>
      <c r="AE82" s="416"/>
      <c r="AF82" s="416"/>
      <c r="AG82" s="416"/>
      <c r="AH82" s="416"/>
      <c r="AI82" s="416"/>
      <c r="AJ82" s="416"/>
      <c r="AK82" s="416"/>
      <c r="AL82" s="416"/>
      <c r="AM82" s="416"/>
      <c r="AN82" s="416"/>
      <c r="AO82" s="416"/>
      <c r="AP82" s="416"/>
      <c r="AQ82" s="416"/>
      <c r="AR82" s="416"/>
      <c r="AS82" s="416"/>
    </row>
    <row r="83" spans="4:45" ht="20" customHeight="1">
      <c r="D83" s="416"/>
      <c r="E83" s="416"/>
      <c r="F83" s="416"/>
      <c r="G83" s="416"/>
      <c r="H83" s="416"/>
      <c r="I83" s="416"/>
      <c r="J83" s="416"/>
      <c r="K83" s="416"/>
      <c r="L83" s="416"/>
      <c r="M83" s="416"/>
      <c r="N83" s="416"/>
      <c r="O83" s="416"/>
      <c r="P83" s="416"/>
      <c r="Q83" s="416"/>
      <c r="R83" s="416"/>
      <c r="S83" s="416"/>
      <c r="T83" s="416"/>
      <c r="U83" s="416"/>
      <c r="V83" s="416"/>
      <c r="W83" s="416"/>
      <c r="X83" s="416"/>
      <c r="Y83" s="416"/>
      <c r="Z83" s="416"/>
      <c r="AA83" s="416"/>
      <c r="AB83" s="416"/>
      <c r="AC83" s="416"/>
      <c r="AD83" s="416"/>
      <c r="AE83" s="416"/>
      <c r="AF83" s="416"/>
      <c r="AG83" s="416"/>
      <c r="AH83" s="416"/>
      <c r="AI83" s="416"/>
      <c r="AJ83" s="416"/>
      <c r="AK83" s="416"/>
      <c r="AL83" s="416"/>
      <c r="AM83" s="416"/>
      <c r="AN83" s="416"/>
      <c r="AO83" s="416"/>
      <c r="AP83" s="416"/>
      <c r="AQ83" s="416"/>
      <c r="AR83" s="416"/>
      <c r="AS83" s="416"/>
    </row>
    <row r="84" spans="4:45" ht="20" customHeight="1">
      <c r="D84" s="416"/>
      <c r="E84" s="416"/>
      <c r="F84" s="416"/>
      <c r="G84" s="416"/>
      <c r="H84" s="416"/>
      <c r="I84" s="416"/>
      <c r="J84" s="416"/>
      <c r="K84" s="416"/>
      <c r="L84" s="416"/>
      <c r="M84" s="416"/>
      <c r="N84" s="416"/>
      <c r="O84" s="416"/>
      <c r="P84" s="416"/>
      <c r="Q84" s="416"/>
      <c r="R84" s="416"/>
      <c r="S84" s="416"/>
      <c r="T84" s="416"/>
      <c r="U84" s="416"/>
      <c r="V84" s="416"/>
      <c r="W84" s="416"/>
      <c r="X84" s="416"/>
      <c r="Y84" s="416"/>
      <c r="Z84" s="416"/>
      <c r="AA84" s="416"/>
      <c r="AB84" s="416"/>
      <c r="AC84" s="416"/>
      <c r="AD84" s="416"/>
      <c r="AE84" s="416"/>
      <c r="AF84" s="416"/>
      <c r="AG84" s="416"/>
      <c r="AH84" s="416"/>
      <c r="AI84" s="416"/>
      <c r="AJ84" s="416"/>
      <c r="AK84" s="416"/>
      <c r="AL84" s="416"/>
      <c r="AM84" s="416"/>
      <c r="AN84" s="416"/>
      <c r="AO84" s="416"/>
      <c r="AP84" s="416"/>
      <c r="AQ84" s="416"/>
      <c r="AR84" s="416"/>
      <c r="AS84" s="416"/>
    </row>
    <row r="85" spans="4:45" ht="20" customHeight="1">
      <c r="D85" s="416"/>
      <c r="E85" s="416"/>
      <c r="F85" s="416"/>
      <c r="G85" s="416"/>
      <c r="H85" s="416"/>
      <c r="I85" s="416"/>
      <c r="J85" s="416"/>
      <c r="K85" s="416"/>
      <c r="L85" s="416"/>
      <c r="M85" s="416"/>
      <c r="N85" s="416"/>
      <c r="O85" s="416"/>
      <c r="P85" s="416"/>
      <c r="Q85" s="416"/>
      <c r="R85" s="416"/>
      <c r="S85" s="416"/>
      <c r="T85" s="416"/>
      <c r="U85" s="416"/>
      <c r="V85" s="416"/>
      <c r="W85" s="416"/>
      <c r="X85" s="416"/>
      <c r="Y85" s="416"/>
      <c r="Z85" s="416"/>
      <c r="AA85" s="416"/>
      <c r="AB85" s="416"/>
      <c r="AC85" s="416"/>
      <c r="AD85" s="416"/>
      <c r="AE85" s="416"/>
      <c r="AF85" s="416"/>
      <c r="AG85" s="416"/>
      <c r="AH85" s="416"/>
      <c r="AI85" s="416"/>
      <c r="AJ85" s="416"/>
      <c r="AK85" s="416"/>
      <c r="AL85" s="416"/>
      <c r="AM85" s="416"/>
      <c r="AN85" s="416"/>
      <c r="AO85" s="416"/>
      <c r="AP85" s="416"/>
      <c r="AQ85" s="416"/>
      <c r="AR85" s="416"/>
      <c r="AS85" s="416"/>
    </row>
    <row r="86" spans="4:45" ht="20" customHeight="1">
      <c r="D86" s="416"/>
      <c r="E86" s="416"/>
      <c r="F86" s="416"/>
      <c r="G86" s="416"/>
      <c r="H86" s="416"/>
      <c r="I86" s="416"/>
      <c r="J86" s="416"/>
      <c r="K86" s="416"/>
      <c r="L86" s="416"/>
      <c r="M86" s="416"/>
      <c r="N86" s="416"/>
      <c r="O86" s="416"/>
      <c r="P86" s="416"/>
      <c r="Q86" s="416"/>
      <c r="R86" s="416"/>
      <c r="S86" s="416"/>
      <c r="T86" s="416"/>
      <c r="U86" s="416"/>
      <c r="V86" s="416"/>
      <c r="W86" s="416"/>
      <c r="X86" s="416"/>
      <c r="Y86" s="416"/>
      <c r="Z86" s="416"/>
      <c r="AA86" s="416"/>
      <c r="AB86" s="416"/>
      <c r="AC86" s="416"/>
      <c r="AD86" s="416"/>
      <c r="AE86" s="416"/>
      <c r="AF86" s="416"/>
      <c r="AG86" s="416"/>
      <c r="AH86" s="416"/>
      <c r="AI86" s="416"/>
      <c r="AJ86" s="416"/>
      <c r="AK86" s="416"/>
      <c r="AL86" s="416"/>
      <c r="AM86" s="416"/>
      <c r="AN86" s="416"/>
      <c r="AO86" s="416"/>
      <c r="AP86" s="416"/>
      <c r="AQ86" s="416"/>
      <c r="AR86" s="416"/>
      <c r="AS86" s="416"/>
    </row>
    <row r="87" spans="4:45" ht="20" customHeight="1">
      <c r="D87" s="416"/>
      <c r="E87" s="416"/>
      <c r="F87" s="416"/>
      <c r="G87" s="416"/>
      <c r="H87" s="416"/>
      <c r="I87" s="416"/>
      <c r="J87" s="416"/>
      <c r="K87" s="416"/>
      <c r="L87" s="416"/>
      <c r="M87" s="416"/>
      <c r="N87" s="416"/>
      <c r="O87" s="416"/>
      <c r="P87" s="416"/>
      <c r="Q87" s="416"/>
      <c r="R87" s="416"/>
      <c r="S87" s="416"/>
      <c r="T87" s="416"/>
      <c r="U87" s="416"/>
      <c r="V87" s="416"/>
      <c r="W87" s="416"/>
      <c r="X87" s="416"/>
      <c r="Y87" s="416"/>
      <c r="Z87" s="416"/>
      <c r="AA87" s="416"/>
      <c r="AB87" s="416"/>
      <c r="AC87" s="416"/>
      <c r="AD87" s="416"/>
      <c r="AE87" s="416"/>
      <c r="AF87" s="416"/>
      <c r="AG87" s="416"/>
      <c r="AH87" s="416"/>
      <c r="AI87" s="416"/>
      <c r="AJ87" s="416"/>
      <c r="AK87" s="416"/>
      <c r="AL87" s="416"/>
      <c r="AM87" s="416"/>
      <c r="AN87" s="416"/>
      <c r="AO87" s="416"/>
      <c r="AP87" s="416"/>
      <c r="AQ87" s="416"/>
      <c r="AR87" s="416"/>
      <c r="AS87" s="416"/>
    </row>
    <row r="88" spans="4:45" ht="20" customHeight="1">
      <c r="D88" s="416"/>
      <c r="E88" s="416"/>
      <c r="F88" s="416"/>
      <c r="G88" s="416"/>
      <c r="H88" s="416"/>
      <c r="I88" s="416"/>
      <c r="J88" s="416"/>
      <c r="K88" s="416"/>
      <c r="L88" s="416"/>
      <c r="M88" s="416"/>
      <c r="N88" s="416"/>
      <c r="O88" s="416"/>
      <c r="P88" s="416"/>
      <c r="Q88" s="416"/>
      <c r="R88" s="416"/>
      <c r="S88" s="416"/>
      <c r="T88" s="416"/>
      <c r="U88" s="416"/>
      <c r="V88" s="416"/>
      <c r="W88" s="416"/>
      <c r="X88" s="416"/>
      <c r="Y88" s="416"/>
      <c r="Z88" s="416"/>
      <c r="AA88" s="416"/>
      <c r="AB88" s="416"/>
      <c r="AC88" s="416"/>
      <c r="AD88" s="416"/>
      <c r="AE88" s="416"/>
      <c r="AF88" s="416"/>
      <c r="AG88" s="416"/>
      <c r="AH88" s="416"/>
      <c r="AI88" s="416"/>
      <c r="AJ88" s="416"/>
      <c r="AK88" s="416"/>
      <c r="AL88" s="416"/>
      <c r="AM88" s="416"/>
      <c r="AN88" s="416"/>
      <c r="AO88" s="416"/>
      <c r="AP88" s="416"/>
      <c r="AQ88" s="416"/>
      <c r="AR88" s="416"/>
      <c r="AS88" s="416"/>
    </row>
    <row r="89" spans="4:45" ht="20" customHeight="1">
      <c r="D89" s="416"/>
      <c r="E89" s="416"/>
      <c r="F89" s="416"/>
      <c r="G89" s="416"/>
      <c r="H89" s="416"/>
      <c r="I89" s="416"/>
      <c r="J89" s="416"/>
      <c r="K89" s="416"/>
      <c r="L89" s="416"/>
      <c r="M89" s="416"/>
      <c r="N89" s="416"/>
      <c r="O89" s="416"/>
      <c r="P89" s="416"/>
      <c r="Q89" s="416"/>
      <c r="R89" s="416"/>
      <c r="S89" s="416"/>
      <c r="T89" s="416"/>
      <c r="U89" s="416"/>
      <c r="V89" s="416"/>
      <c r="W89" s="416"/>
      <c r="X89" s="416"/>
      <c r="Y89" s="416"/>
      <c r="Z89" s="416"/>
      <c r="AA89" s="416"/>
      <c r="AB89" s="416"/>
      <c r="AC89" s="416"/>
      <c r="AD89" s="416"/>
      <c r="AE89" s="416"/>
      <c r="AF89" s="416"/>
      <c r="AG89" s="416"/>
      <c r="AH89" s="416"/>
      <c r="AI89" s="416"/>
      <c r="AJ89" s="416"/>
      <c r="AK89" s="416"/>
      <c r="AL89" s="416"/>
      <c r="AM89" s="416"/>
      <c r="AN89" s="416"/>
      <c r="AO89" s="416"/>
      <c r="AP89" s="416"/>
      <c r="AQ89" s="416"/>
      <c r="AR89" s="416"/>
      <c r="AS89" s="416"/>
    </row>
    <row r="90" spans="4:45" ht="20" customHeight="1">
      <c r="D90" s="416"/>
      <c r="E90" s="416"/>
      <c r="F90" s="416"/>
      <c r="G90" s="416"/>
      <c r="H90" s="416"/>
      <c r="I90" s="416"/>
      <c r="J90" s="416"/>
      <c r="K90" s="416"/>
      <c r="L90" s="416"/>
      <c r="M90" s="416"/>
      <c r="N90" s="416"/>
      <c r="O90" s="416"/>
      <c r="P90" s="416"/>
      <c r="Q90" s="416"/>
      <c r="R90" s="416"/>
      <c r="S90" s="416"/>
      <c r="T90" s="416"/>
      <c r="U90" s="416"/>
      <c r="V90" s="416"/>
      <c r="W90" s="416"/>
      <c r="X90" s="416"/>
      <c r="Y90" s="416"/>
      <c r="Z90" s="416"/>
      <c r="AA90" s="416"/>
      <c r="AB90" s="416"/>
      <c r="AC90" s="416"/>
      <c r="AD90" s="416"/>
      <c r="AE90" s="416"/>
      <c r="AF90" s="416"/>
      <c r="AG90" s="416"/>
      <c r="AH90" s="416"/>
      <c r="AI90" s="416"/>
      <c r="AJ90" s="416"/>
      <c r="AK90" s="416"/>
      <c r="AL90" s="416"/>
      <c r="AM90" s="416"/>
      <c r="AN90" s="416"/>
      <c r="AO90" s="416"/>
      <c r="AP90" s="416"/>
      <c r="AQ90" s="416"/>
      <c r="AR90" s="416"/>
      <c r="AS90" s="416"/>
    </row>
    <row r="91" spans="4:45" ht="20" customHeight="1">
      <c r="D91" s="416"/>
      <c r="E91" s="416"/>
      <c r="F91" s="416"/>
      <c r="G91" s="416"/>
      <c r="H91" s="416"/>
      <c r="I91" s="416"/>
      <c r="J91" s="416"/>
      <c r="K91" s="416"/>
      <c r="L91" s="416"/>
      <c r="M91" s="416"/>
      <c r="N91" s="416"/>
      <c r="O91" s="416"/>
      <c r="P91" s="416"/>
      <c r="Q91" s="416"/>
      <c r="R91" s="416"/>
      <c r="S91" s="416"/>
      <c r="T91" s="416"/>
      <c r="U91" s="416"/>
      <c r="V91" s="416"/>
      <c r="W91" s="416"/>
      <c r="X91" s="416"/>
      <c r="Y91" s="416"/>
      <c r="Z91" s="416"/>
      <c r="AA91" s="416"/>
      <c r="AB91" s="416"/>
      <c r="AC91" s="416"/>
      <c r="AD91" s="416"/>
      <c r="AE91" s="416"/>
      <c r="AF91" s="416"/>
      <c r="AG91" s="416"/>
      <c r="AH91" s="416"/>
      <c r="AI91" s="416"/>
      <c r="AJ91" s="416"/>
      <c r="AK91" s="416"/>
      <c r="AL91" s="416"/>
      <c r="AM91" s="416"/>
      <c r="AN91" s="416"/>
      <c r="AO91" s="416"/>
      <c r="AP91" s="416"/>
      <c r="AQ91" s="416"/>
      <c r="AR91" s="416"/>
      <c r="AS91" s="416"/>
    </row>
    <row r="92" spans="4:45" ht="20" customHeight="1">
      <c r="D92" s="416"/>
      <c r="E92" s="416"/>
      <c r="F92" s="416"/>
      <c r="G92" s="416"/>
      <c r="H92" s="416"/>
      <c r="I92" s="416"/>
      <c r="J92" s="416"/>
      <c r="K92" s="416"/>
      <c r="L92" s="416"/>
      <c r="M92" s="416"/>
      <c r="N92" s="416"/>
      <c r="O92" s="416"/>
      <c r="P92" s="416"/>
      <c r="Q92" s="416"/>
      <c r="R92" s="416"/>
      <c r="S92" s="416"/>
      <c r="T92" s="416"/>
      <c r="U92" s="416"/>
      <c r="V92" s="416"/>
      <c r="W92" s="416"/>
      <c r="X92" s="416"/>
      <c r="Y92" s="416"/>
      <c r="Z92" s="416"/>
      <c r="AA92" s="416"/>
      <c r="AB92" s="416"/>
      <c r="AC92" s="416"/>
      <c r="AD92" s="416"/>
      <c r="AE92" s="416"/>
      <c r="AF92" s="416"/>
      <c r="AG92" s="416"/>
      <c r="AH92" s="416"/>
      <c r="AI92" s="416"/>
      <c r="AJ92" s="416"/>
      <c r="AK92" s="416"/>
      <c r="AL92" s="416"/>
      <c r="AM92" s="416"/>
      <c r="AN92" s="416"/>
      <c r="AO92" s="416"/>
      <c r="AP92" s="416"/>
      <c r="AQ92" s="416"/>
      <c r="AR92" s="416"/>
      <c r="AS92" s="416"/>
    </row>
    <row r="93" spans="4:45" ht="20" customHeight="1">
      <c r="D93" s="416"/>
      <c r="E93" s="416"/>
      <c r="F93" s="416"/>
      <c r="G93" s="416"/>
      <c r="H93" s="416"/>
      <c r="I93" s="416"/>
      <c r="J93" s="416"/>
      <c r="K93" s="416"/>
      <c r="L93" s="416"/>
      <c r="M93" s="416"/>
      <c r="N93" s="416"/>
      <c r="O93" s="416"/>
      <c r="P93" s="416"/>
      <c r="Q93" s="416"/>
      <c r="R93" s="416"/>
      <c r="S93" s="416"/>
      <c r="T93" s="416"/>
      <c r="U93" s="416"/>
      <c r="V93" s="416"/>
      <c r="W93" s="416"/>
      <c r="X93" s="416"/>
      <c r="Y93" s="416"/>
      <c r="Z93" s="416"/>
      <c r="AA93" s="416"/>
      <c r="AB93" s="416"/>
      <c r="AC93" s="416"/>
      <c r="AD93" s="416"/>
      <c r="AE93" s="416"/>
      <c r="AF93" s="416"/>
      <c r="AG93" s="416"/>
      <c r="AH93" s="416"/>
      <c r="AI93" s="416"/>
      <c r="AJ93" s="416"/>
      <c r="AK93" s="416"/>
      <c r="AL93" s="416"/>
      <c r="AM93" s="416"/>
      <c r="AN93" s="416"/>
      <c r="AO93" s="416"/>
      <c r="AP93" s="416"/>
      <c r="AQ93" s="416"/>
      <c r="AR93" s="416"/>
      <c r="AS93" s="416"/>
    </row>
    <row r="94" spans="4:45" ht="20" customHeight="1">
      <c r="D94" s="416"/>
      <c r="E94" s="416"/>
      <c r="F94" s="416"/>
      <c r="G94" s="416"/>
      <c r="H94" s="416"/>
      <c r="I94" s="416"/>
      <c r="J94" s="416"/>
      <c r="K94" s="416"/>
      <c r="L94" s="416"/>
      <c r="M94" s="416"/>
      <c r="N94" s="416"/>
      <c r="O94" s="416"/>
      <c r="P94" s="416"/>
      <c r="Q94" s="416"/>
      <c r="R94" s="416"/>
      <c r="S94" s="416"/>
      <c r="T94" s="416"/>
      <c r="U94" s="416"/>
      <c r="V94" s="416"/>
      <c r="W94" s="416"/>
      <c r="X94" s="416"/>
      <c r="Y94" s="416"/>
      <c r="Z94" s="416"/>
      <c r="AA94" s="416"/>
      <c r="AB94" s="416"/>
      <c r="AC94" s="416"/>
      <c r="AD94" s="416"/>
      <c r="AE94" s="416"/>
      <c r="AF94" s="416"/>
      <c r="AG94" s="416"/>
      <c r="AH94" s="416"/>
      <c r="AI94" s="416"/>
      <c r="AJ94" s="416"/>
      <c r="AK94" s="416"/>
      <c r="AL94" s="416"/>
      <c r="AM94" s="416"/>
      <c r="AN94" s="416"/>
      <c r="AO94" s="416"/>
      <c r="AP94" s="416"/>
      <c r="AQ94" s="416"/>
      <c r="AR94" s="416"/>
      <c r="AS94" s="416"/>
    </row>
    <row r="95" spans="4:45" ht="20" customHeight="1">
      <c r="D95" s="416"/>
      <c r="E95" s="416"/>
      <c r="F95" s="416"/>
      <c r="G95" s="416"/>
      <c r="H95" s="416"/>
      <c r="I95" s="416"/>
      <c r="J95" s="416"/>
      <c r="K95" s="416"/>
      <c r="L95" s="416"/>
      <c r="M95" s="416"/>
      <c r="N95" s="416"/>
      <c r="O95" s="416"/>
      <c r="P95" s="416"/>
      <c r="Q95" s="416"/>
      <c r="R95" s="416"/>
      <c r="S95" s="416"/>
      <c r="T95" s="416"/>
      <c r="U95" s="416"/>
      <c r="V95" s="416"/>
      <c r="W95" s="416"/>
      <c r="X95" s="416"/>
      <c r="Y95" s="416"/>
      <c r="Z95" s="416"/>
      <c r="AA95" s="416"/>
      <c r="AB95" s="416"/>
      <c r="AC95" s="416"/>
      <c r="AD95" s="416"/>
      <c r="AE95" s="416"/>
      <c r="AF95" s="416"/>
      <c r="AG95" s="416"/>
      <c r="AH95" s="416"/>
      <c r="AI95" s="416"/>
      <c r="AJ95" s="416"/>
      <c r="AK95" s="416"/>
      <c r="AL95" s="416"/>
      <c r="AM95" s="416"/>
      <c r="AN95" s="416"/>
      <c r="AO95" s="416"/>
      <c r="AP95" s="416"/>
      <c r="AQ95" s="416"/>
      <c r="AR95" s="416"/>
      <c r="AS95" s="416"/>
    </row>
    <row r="96" spans="4:45" ht="20" customHeight="1">
      <c r="D96" s="416"/>
      <c r="E96" s="416"/>
      <c r="F96" s="416"/>
      <c r="G96" s="416"/>
      <c r="H96" s="416"/>
      <c r="I96" s="416"/>
      <c r="J96" s="416"/>
      <c r="K96" s="416"/>
      <c r="L96" s="416"/>
      <c r="M96" s="416"/>
      <c r="N96" s="416"/>
      <c r="O96" s="416"/>
      <c r="P96" s="416"/>
      <c r="Q96" s="416"/>
      <c r="R96" s="416"/>
      <c r="S96" s="416"/>
      <c r="T96" s="416"/>
      <c r="U96" s="416"/>
      <c r="V96" s="416"/>
      <c r="W96" s="416"/>
      <c r="X96" s="416"/>
      <c r="Y96" s="416"/>
      <c r="Z96" s="416"/>
      <c r="AA96" s="416"/>
      <c r="AB96" s="416"/>
      <c r="AC96" s="416"/>
      <c r="AD96" s="416"/>
      <c r="AE96" s="416"/>
      <c r="AF96" s="416"/>
      <c r="AG96" s="416"/>
      <c r="AH96" s="416"/>
      <c r="AI96" s="416"/>
      <c r="AJ96" s="416"/>
      <c r="AK96" s="416"/>
      <c r="AL96" s="416"/>
      <c r="AM96" s="416"/>
      <c r="AN96" s="416"/>
      <c r="AO96" s="416"/>
      <c r="AP96" s="416"/>
      <c r="AQ96" s="416"/>
      <c r="AR96" s="416"/>
      <c r="AS96" s="416"/>
    </row>
    <row r="97" spans="4:45" ht="20" customHeight="1">
      <c r="D97" s="416"/>
      <c r="E97" s="416"/>
      <c r="F97" s="416"/>
      <c r="G97" s="416"/>
      <c r="H97" s="416"/>
      <c r="I97" s="416"/>
      <c r="J97" s="416"/>
      <c r="K97" s="416"/>
      <c r="L97" s="416"/>
      <c r="M97" s="416"/>
      <c r="N97" s="416"/>
      <c r="O97" s="416"/>
      <c r="P97" s="416"/>
      <c r="Q97" s="416"/>
      <c r="R97" s="416"/>
      <c r="S97" s="416"/>
      <c r="T97" s="416"/>
      <c r="U97" s="416"/>
      <c r="V97" s="416"/>
      <c r="W97" s="416"/>
      <c r="X97" s="416"/>
      <c r="Y97" s="416"/>
      <c r="Z97" s="416"/>
      <c r="AA97" s="416"/>
      <c r="AB97" s="416"/>
      <c r="AC97" s="416"/>
      <c r="AD97" s="416"/>
      <c r="AE97" s="416"/>
      <c r="AF97" s="416"/>
      <c r="AG97" s="416"/>
      <c r="AH97" s="416"/>
      <c r="AI97" s="416"/>
      <c r="AJ97" s="416"/>
      <c r="AK97" s="416"/>
      <c r="AL97" s="416"/>
      <c r="AM97" s="416"/>
      <c r="AN97" s="416"/>
      <c r="AO97" s="416"/>
      <c r="AP97" s="416"/>
      <c r="AQ97" s="416"/>
      <c r="AR97" s="416"/>
      <c r="AS97" s="416"/>
    </row>
    <row r="98" spans="4:45" ht="20" customHeight="1">
      <c r="D98" s="416"/>
      <c r="E98" s="416"/>
      <c r="F98" s="416"/>
      <c r="G98" s="416"/>
      <c r="H98" s="416"/>
      <c r="I98" s="416"/>
      <c r="J98" s="416"/>
      <c r="K98" s="416"/>
      <c r="L98" s="416"/>
      <c r="M98" s="416"/>
      <c r="N98" s="416"/>
      <c r="O98" s="416"/>
      <c r="P98" s="416"/>
      <c r="Q98" s="416"/>
      <c r="R98" s="416"/>
      <c r="S98" s="416"/>
      <c r="T98" s="416"/>
      <c r="U98" s="416"/>
      <c r="V98" s="416"/>
      <c r="W98" s="416"/>
      <c r="X98" s="416"/>
      <c r="Y98" s="416"/>
      <c r="Z98" s="416"/>
      <c r="AA98" s="416"/>
      <c r="AB98" s="416"/>
      <c r="AC98" s="416"/>
      <c r="AD98" s="416"/>
      <c r="AE98" s="416"/>
      <c r="AF98" s="416"/>
      <c r="AG98" s="416"/>
      <c r="AH98" s="416"/>
      <c r="AI98" s="416"/>
      <c r="AJ98" s="416"/>
      <c r="AK98" s="416"/>
      <c r="AL98" s="416"/>
      <c r="AM98" s="416"/>
      <c r="AN98" s="416"/>
      <c r="AO98" s="416"/>
      <c r="AP98" s="416"/>
      <c r="AQ98" s="416"/>
      <c r="AR98" s="416"/>
      <c r="AS98" s="416"/>
    </row>
    <row r="99" spans="4:45" ht="20" customHeight="1">
      <c r="D99" s="416"/>
      <c r="E99" s="416"/>
      <c r="F99" s="416"/>
      <c r="G99" s="416"/>
      <c r="H99" s="416"/>
      <c r="I99" s="416"/>
      <c r="J99" s="416"/>
      <c r="K99" s="416"/>
      <c r="L99" s="416"/>
      <c r="M99" s="416"/>
      <c r="N99" s="416"/>
      <c r="O99" s="416"/>
      <c r="P99" s="416"/>
      <c r="Q99" s="416"/>
      <c r="R99" s="416"/>
      <c r="S99" s="416"/>
      <c r="T99" s="416"/>
      <c r="U99" s="416"/>
      <c r="V99" s="416"/>
      <c r="W99" s="416"/>
      <c r="X99" s="416"/>
      <c r="Y99" s="416"/>
      <c r="Z99" s="416"/>
      <c r="AA99" s="416"/>
      <c r="AB99" s="416"/>
      <c r="AC99" s="416"/>
      <c r="AD99" s="416"/>
      <c r="AE99" s="416"/>
      <c r="AF99" s="416"/>
      <c r="AG99" s="416"/>
      <c r="AH99" s="416"/>
      <c r="AI99" s="416"/>
      <c r="AJ99" s="416"/>
      <c r="AK99" s="416"/>
      <c r="AL99" s="416"/>
      <c r="AM99" s="416"/>
      <c r="AN99" s="416"/>
      <c r="AO99" s="416"/>
      <c r="AP99" s="416"/>
      <c r="AQ99" s="416"/>
      <c r="AR99" s="416"/>
      <c r="AS99" s="416"/>
    </row>
    <row r="100" spans="4:45" ht="20" customHeight="1">
      <c r="D100" s="416"/>
      <c r="E100" s="416"/>
      <c r="F100" s="416"/>
      <c r="G100" s="416"/>
      <c r="H100" s="416"/>
      <c r="I100" s="416"/>
      <c r="J100" s="416"/>
      <c r="K100" s="416"/>
      <c r="L100" s="416"/>
      <c r="M100" s="416"/>
      <c r="N100" s="416"/>
      <c r="O100" s="416"/>
      <c r="P100" s="416"/>
      <c r="Q100" s="416"/>
      <c r="R100" s="416"/>
      <c r="S100" s="416"/>
      <c r="T100" s="416"/>
      <c r="U100" s="416"/>
      <c r="V100" s="416"/>
      <c r="W100" s="416"/>
      <c r="X100" s="416"/>
      <c r="Y100" s="416"/>
      <c r="Z100" s="416"/>
      <c r="AA100" s="416"/>
      <c r="AB100" s="416"/>
      <c r="AC100" s="416"/>
      <c r="AD100" s="416"/>
      <c r="AE100" s="416"/>
      <c r="AF100" s="416"/>
      <c r="AG100" s="416"/>
      <c r="AH100" s="416"/>
      <c r="AI100" s="416"/>
      <c r="AJ100" s="416"/>
      <c r="AK100" s="416"/>
      <c r="AL100" s="416"/>
      <c r="AM100" s="416"/>
      <c r="AN100" s="416"/>
      <c r="AO100" s="416"/>
      <c r="AP100" s="416"/>
      <c r="AQ100" s="416"/>
      <c r="AR100" s="416"/>
      <c r="AS100" s="416"/>
    </row>
    <row r="101" spans="4:45" ht="20" customHeight="1">
      <c r="D101" s="416"/>
      <c r="E101" s="416"/>
      <c r="F101" s="416"/>
      <c r="G101" s="416"/>
      <c r="H101" s="416"/>
      <c r="I101" s="416"/>
      <c r="J101" s="416"/>
      <c r="K101" s="416"/>
      <c r="L101" s="416"/>
      <c r="M101" s="416"/>
      <c r="N101" s="416"/>
      <c r="O101" s="416"/>
      <c r="P101" s="416"/>
      <c r="Q101" s="416"/>
      <c r="R101" s="416"/>
      <c r="S101" s="416"/>
      <c r="T101" s="416"/>
      <c r="U101" s="416"/>
      <c r="V101" s="416"/>
      <c r="W101" s="416"/>
      <c r="X101" s="416"/>
      <c r="Y101" s="416"/>
      <c r="Z101" s="416"/>
      <c r="AA101" s="416"/>
      <c r="AB101" s="416"/>
      <c r="AC101" s="416"/>
      <c r="AD101" s="416"/>
      <c r="AE101" s="416"/>
      <c r="AF101" s="416"/>
      <c r="AG101" s="416"/>
      <c r="AH101" s="416"/>
      <c r="AI101" s="416"/>
      <c r="AJ101" s="416"/>
      <c r="AK101" s="416"/>
      <c r="AL101" s="416"/>
      <c r="AM101" s="416"/>
      <c r="AN101" s="416"/>
      <c r="AO101" s="416"/>
      <c r="AP101" s="416"/>
      <c r="AQ101" s="416"/>
      <c r="AR101" s="416"/>
      <c r="AS101" s="416"/>
    </row>
    <row r="102" spans="4:45" ht="20" customHeight="1">
      <c r="D102" s="416"/>
      <c r="E102" s="416"/>
      <c r="F102" s="416"/>
      <c r="G102" s="416"/>
      <c r="H102" s="416"/>
      <c r="I102" s="416"/>
      <c r="J102" s="416"/>
      <c r="K102" s="416"/>
      <c r="L102" s="416"/>
      <c r="M102" s="416"/>
      <c r="N102" s="416"/>
      <c r="O102" s="416"/>
      <c r="P102" s="416"/>
      <c r="Q102" s="416"/>
      <c r="R102" s="416"/>
      <c r="S102" s="416"/>
      <c r="T102" s="416"/>
      <c r="U102" s="416"/>
      <c r="V102" s="416"/>
      <c r="W102" s="416"/>
      <c r="X102" s="416"/>
      <c r="Y102" s="416"/>
      <c r="Z102" s="416"/>
      <c r="AA102" s="416"/>
      <c r="AB102" s="416"/>
      <c r="AC102" s="416"/>
      <c r="AD102" s="416"/>
      <c r="AE102" s="416"/>
      <c r="AF102" s="416"/>
      <c r="AG102" s="416"/>
      <c r="AH102" s="416"/>
      <c r="AI102" s="416"/>
      <c r="AJ102" s="416"/>
      <c r="AK102" s="416"/>
      <c r="AL102" s="416"/>
      <c r="AM102" s="416"/>
      <c r="AN102" s="416"/>
      <c r="AO102" s="416"/>
      <c r="AP102" s="416"/>
      <c r="AQ102" s="416"/>
      <c r="AR102" s="416"/>
      <c r="AS102" s="416"/>
    </row>
    <row r="103" spans="4:45" ht="20" customHeight="1">
      <c r="D103" s="416"/>
      <c r="E103" s="416"/>
      <c r="F103" s="416"/>
      <c r="G103" s="416"/>
      <c r="H103" s="416"/>
      <c r="I103" s="416"/>
      <c r="J103" s="416"/>
      <c r="K103" s="416"/>
      <c r="L103" s="416"/>
      <c r="M103" s="416"/>
      <c r="N103" s="416"/>
      <c r="O103" s="416"/>
      <c r="P103" s="416"/>
      <c r="Q103" s="416"/>
      <c r="R103" s="416"/>
      <c r="S103" s="416"/>
      <c r="T103" s="416"/>
      <c r="U103" s="416"/>
      <c r="V103" s="416"/>
      <c r="W103" s="416"/>
      <c r="X103" s="416"/>
      <c r="Y103" s="416"/>
      <c r="Z103" s="416"/>
      <c r="AA103" s="416"/>
      <c r="AB103" s="416"/>
      <c r="AC103" s="416"/>
      <c r="AD103" s="416"/>
      <c r="AE103" s="416"/>
      <c r="AF103" s="416"/>
      <c r="AG103" s="416"/>
      <c r="AH103" s="416"/>
      <c r="AI103" s="416"/>
      <c r="AJ103" s="416"/>
      <c r="AK103" s="416"/>
      <c r="AL103" s="416"/>
      <c r="AM103" s="416"/>
      <c r="AN103" s="416"/>
      <c r="AO103" s="416"/>
      <c r="AP103" s="416"/>
      <c r="AQ103" s="416"/>
      <c r="AR103" s="416"/>
      <c r="AS103" s="416"/>
    </row>
    <row r="104" spans="4:45" ht="20" customHeight="1">
      <c r="D104" s="416"/>
      <c r="E104" s="416"/>
      <c r="F104" s="416"/>
      <c r="G104" s="416"/>
      <c r="H104" s="416"/>
      <c r="I104" s="416"/>
      <c r="J104" s="416"/>
      <c r="K104" s="416"/>
      <c r="L104" s="416"/>
      <c r="M104" s="416"/>
      <c r="N104" s="416"/>
      <c r="O104" s="416"/>
      <c r="P104" s="416"/>
      <c r="Q104" s="416"/>
      <c r="R104" s="416"/>
      <c r="S104" s="416"/>
      <c r="T104" s="416"/>
      <c r="U104" s="416"/>
      <c r="V104" s="416"/>
      <c r="W104" s="416"/>
      <c r="X104" s="416"/>
      <c r="Y104" s="416"/>
      <c r="Z104" s="416"/>
      <c r="AA104" s="416"/>
      <c r="AB104" s="416"/>
      <c r="AC104" s="416"/>
      <c r="AD104" s="416"/>
      <c r="AE104" s="416"/>
      <c r="AF104" s="416"/>
      <c r="AG104" s="416"/>
      <c r="AH104" s="416"/>
      <c r="AI104" s="416"/>
      <c r="AJ104" s="416"/>
      <c r="AK104" s="416"/>
      <c r="AL104" s="416"/>
      <c r="AM104" s="416"/>
      <c r="AN104" s="416"/>
      <c r="AO104" s="416"/>
      <c r="AP104" s="416"/>
      <c r="AQ104" s="416"/>
      <c r="AR104" s="416"/>
      <c r="AS104" s="416"/>
    </row>
    <row r="105" spans="4:45" ht="20" customHeight="1">
      <c r="D105" s="416"/>
      <c r="E105" s="416"/>
      <c r="F105" s="416"/>
      <c r="G105" s="416"/>
      <c r="H105" s="416"/>
      <c r="I105" s="416"/>
      <c r="J105" s="416"/>
      <c r="K105" s="416"/>
      <c r="L105" s="416"/>
      <c r="M105" s="416"/>
      <c r="N105" s="416"/>
      <c r="O105" s="416"/>
      <c r="P105" s="416"/>
      <c r="Q105" s="416"/>
      <c r="R105" s="416"/>
      <c r="S105" s="416"/>
      <c r="T105" s="416"/>
      <c r="U105" s="416"/>
      <c r="V105" s="416"/>
      <c r="W105" s="416"/>
      <c r="X105" s="416"/>
      <c r="Y105" s="416"/>
      <c r="Z105" s="416"/>
      <c r="AA105" s="416"/>
      <c r="AB105" s="416"/>
      <c r="AC105" s="416"/>
      <c r="AD105" s="416"/>
      <c r="AE105" s="416"/>
      <c r="AF105" s="416"/>
      <c r="AG105" s="416"/>
      <c r="AH105" s="416"/>
      <c r="AI105" s="416"/>
      <c r="AJ105" s="416"/>
      <c r="AK105" s="416"/>
      <c r="AL105" s="416"/>
      <c r="AM105" s="416"/>
      <c r="AN105" s="416"/>
      <c r="AO105" s="416"/>
      <c r="AP105" s="416"/>
      <c r="AQ105" s="416"/>
      <c r="AR105" s="416"/>
      <c r="AS105" s="416"/>
    </row>
    <row r="106" spans="4:45" ht="20" customHeight="1">
      <c r="D106" s="416"/>
      <c r="E106" s="416"/>
      <c r="F106" s="416"/>
      <c r="G106" s="416"/>
      <c r="H106" s="416"/>
      <c r="I106" s="416"/>
      <c r="J106" s="416"/>
      <c r="K106" s="416"/>
      <c r="L106" s="416"/>
      <c r="M106" s="416"/>
      <c r="N106" s="416"/>
      <c r="O106" s="416"/>
      <c r="P106" s="416"/>
      <c r="Q106" s="416"/>
      <c r="R106" s="416"/>
      <c r="S106" s="416"/>
      <c r="T106" s="416"/>
      <c r="U106" s="416"/>
      <c r="V106" s="416"/>
      <c r="W106" s="416"/>
      <c r="X106" s="416"/>
      <c r="Y106" s="416"/>
      <c r="Z106" s="416"/>
      <c r="AA106" s="416"/>
      <c r="AB106" s="416"/>
      <c r="AC106" s="416"/>
      <c r="AD106" s="416"/>
      <c r="AE106" s="416"/>
      <c r="AF106" s="416"/>
      <c r="AG106" s="416"/>
      <c r="AH106" s="416"/>
      <c r="AI106" s="416"/>
      <c r="AJ106" s="416"/>
      <c r="AK106" s="416"/>
      <c r="AL106" s="416"/>
      <c r="AM106" s="416"/>
      <c r="AN106" s="416"/>
      <c r="AO106" s="416"/>
      <c r="AP106" s="416"/>
      <c r="AQ106" s="416"/>
      <c r="AR106" s="416"/>
      <c r="AS106" s="416"/>
    </row>
    <row r="107" spans="4:45" ht="20" customHeight="1">
      <c r="D107" s="416"/>
      <c r="E107" s="416"/>
      <c r="F107" s="416"/>
      <c r="G107" s="416"/>
      <c r="H107" s="416"/>
      <c r="I107" s="416"/>
      <c r="J107" s="416"/>
      <c r="K107" s="416"/>
      <c r="L107" s="416"/>
      <c r="M107" s="416"/>
      <c r="N107" s="416"/>
      <c r="O107" s="416"/>
      <c r="P107" s="416"/>
      <c r="Q107" s="416"/>
      <c r="R107" s="416"/>
      <c r="S107" s="416"/>
      <c r="T107" s="416"/>
      <c r="U107" s="416"/>
      <c r="V107" s="416"/>
      <c r="W107" s="416"/>
      <c r="X107" s="416"/>
      <c r="Y107" s="416"/>
      <c r="Z107" s="416"/>
      <c r="AA107" s="416"/>
      <c r="AB107" s="416"/>
      <c r="AC107" s="416"/>
      <c r="AD107" s="416"/>
      <c r="AE107" s="416"/>
      <c r="AF107" s="416"/>
      <c r="AG107" s="416"/>
      <c r="AH107" s="416"/>
      <c r="AI107" s="416"/>
      <c r="AJ107" s="416"/>
      <c r="AK107" s="416"/>
      <c r="AL107" s="416"/>
      <c r="AM107" s="416"/>
      <c r="AN107" s="416"/>
      <c r="AO107" s="416"/>
      <c r="AP107" s="416"/>
      <c r="AQ107" s="416"/>
      <c r="AR107" s="416"/>
      <c r="AS107" s="416"/>
    </row>
    <row r="108" spans="4:45" ht="20" customHeight="1">
      <c r="D108" s="416"/>
      <c r="E108" s="416"/>
      <c r="F108" s="416"/>
      <c r="G108" s="416"/>
      <c r="H108" s="416"/>
      <c r="I108" s="416"/>
      <c r="J108" s="416"/>
      <c r="K108" s="416"/>
      <c r="L108" s="416"/>
      <c r="M108" s="416"/>
      <c r="N108" s="416"/>
      <c r="O108" s="416"/>
      <c r="P108" s="416"/>
      <c r="Q108" s="416"/>
      <c r="R108" s="416"/>
      <c r="S108" s="416"/>
      <c r="T108" s="416"/>
      <c r="U108" s="416"/>
      <c r="V108" s="416"/>
      <c r="W108" s="416"/>
      <c r="X108" s="416"/>
      <c r="Y108" s="416"/>
      <c r="Z108" s="416"/>
      <c r="AA108" s="416"/>
      <c r="AB108" s="416"/>
      <c r="AC108" s="416"/>
      <c r="AD108" s="416"/>
      <c r="AE108" s="416"/>
      <c r="AF108" s="416"/>
      <c r="AG108" s="416"/>
      <c r="AH108" s="416"/>
      <c r="AI108" s="416"/>
      <c r="AJ108" s="416"/>
      <c r="AK108" s="416"/>
      <c r="AL108" s="416"/>
      <c r="AM108" s="416"/>
      <c r="AN108" s="416"/>
      <c r="AO108" s="416"/>
      <c r="AP108" s="416"/>
      <c r="AQ108" s="416"/>
      <c r="AR108" s="416"/>
      <c r="AS108" s="416"/>
    </row>
    <row r="109" spans="4:45" ht="20" customHeight="1">
      <c r="D109" s="416"/>
      <c r="E109" s="416"/>
      <c r="F109" s="416"/>
      <c r="G109" s="416"/>
      <c r="H109" s="416"/>
      <c r="I109" s="416"/>
      <c r="J109" s="416"/>
      <c r="K109" s="416"/>
      <c r="L109" s="416"/>
      <c r="M109" s="416"/>
      <c r="N109" s="416"/>
      <c r="O109" s="416"/>
      <c r="P109" s="416"/>
      <c r="Q109" s="416"/>
      <c r="R109" s="416"/>
      <c r="S109" s="416"/>
      <c r="T109" s="416"/>
      <c r="U109" s="416"/>
      <c r="V109" s="416"/>
      <c r="W109" s="416"/>
      <c r="X109" s="416"/>
      <c r="Y109" s="416"/>
      <c r="Z109" s="416"/>
      <c r="AA109" s="416"/>
      <c r="AB109" s="416"/>
      <c r="AC109" s="416"/>
      <c r="AD109" s="416"/>
      <c r="AE109" s="416"/>
      <c r="AF109" s="416"/>
      <c r="AG109" s="416"/>
      <c r="AH109" s="416"/>
      <c r="AI109" s="416"/>
      <c r="AJ109" s="416"/>
      <c r="AK109" s="416"/>
      <c r="AL109" s="416"/>
      <c r="AM109" s="416"/>
      <c r="AN109" s="416"/>
      <c r="AO109" s="416"/>
      <c r="AP109" s="416"/>
      <c r="AQ109" s="416"/>
      <c r="AR109" s="416"/>
      <c r="AS109" s="416"/>
    </row>
    <row r="110" spans="4:45" ht="20" customHeight="1">
      <c r="D110" s="416"/>
      <c r="E110" s="416"/>
      <c r="F110" s="416"/>
      <c r="G110" s="416"/>
      <c r="H110" s="416"/>
      <c r="I110" s="416"/>
      <c r="J110" s="416"/>
      <c r="K110" s="416"/>
      <c r="L110" s="416"/>
      <c r="M110" s="416"/>
      <c r="N110" s="416"/>
      <c r="O110" s="416"/>
      <c r="P110" s="416"/>
      <c r="Q110" s="416"/>
      <c r="R110" s="416"/>
      <c r="S110" s="416"/>
      <c r="T110" s="416"/>
      <c r="U110" s="416"/>
      <c r="V110" s="416"/>
      <c r="W110" s="416"/>
      <c r="X110" s="416"/>
      <c r="Y110" s="416"/>
      <c r="Z110" s="416"/>
      <c r="AA110" s="416"/>
      <c r="AB110" s="416"/>
      <c r="AC110" s="416"/>
      <c r="AD110" s="416"/>
      <c r="AE110" s="416"/>
      <c r="AF110" s="416"/>
      <c r="AG110" s="416"/>
      <c r="AH110" s="416"/>
      <c r="AI110" s="416"/>
      <c r="AJ110" s="416"/>
      <c r="AK110" s="416"/>
      <c r="AL110" s="416"/>
      <c r="AM110" s="416"/>
      <c r="AN110" s="416"/>
      <c r="AO110" s="416"/>
      <c r="AP110" s="416"/>
      <c r="AQ110" s="416"/>
      <c r="AR110" s="416"/>
      <c r="AS110" s="416"/>
    </row>
    <row r="111" spans="4:45" ht="20" customHeight="1">
      <c r="D111" s="416"/>
      <c r="E111" s="416"/>
      <c r="F111" s="416"/>
      <c r="G111" s="416"/>
      <c r="H111" s="416"/>
      <c r="I111" s="416"/>
      <c r="J111" s="416"/>
      <c r="K111" s="416"/>
      <c r="L111" s="416"/>
      <c r="M111" s="416"/>
      <c r="N111" s="416"/>
      <c r="O111" s="416"/>
      <c r="P111" s="416"/>
      <c r="Q111" s="416"/>
      <c r="R111" s="416"/>
      <c r="S111" s="416"/>
      <c r="T111" s="416"/>
      <c r="U111" s="416"/>
      <c r="V111" s="416"/>
      <c r="W111" s="416"/>
      <c r="X111" s="416"/>
      <c r="Y111" s="416"/>
      <c r="Z111" s="416"/>
      <c r="AA111" s="416"/>
      <c r="AB111" s="416"/>
      <c r="AC111" s="416"/>
      <c r="AD111" s="416"/>
      <c r="AE111" s="416"/>
      <c r="AF111" s="416"/>
      <c r="AG111" s="416"/>
      <c r="AH111" s="416"/>
      <c r="AI111" s="416"/>
      <c r="AJ111" s="416"/>
      <c r="AK111" s="416"/>
      <c r="AL111" s="416"/>
      <c r="AM111" s="416"/>
      <c r="AN111" s="416"/>
      <c r="AO111" s="416"/>
      <c r="AP111" s="416"/>
      <c r="AQ111" s="416"/>
      <c r="AR111" s="416"/>
      <c r="AS111" s="416"/>
    </row>
    <row r="112" spans="4:45" ht="20" customHeight="1">
      <c r="D112" s="416"/>
      <c r="E112" s="416"/>
      <c r="F112" s="416"/>
      <c r="G112" s="416"/>
      <c r="H112" s="416"/>
      <c r="I112" s="416"/>
      <c r="J112" s="416"/>
      <c r="K112" s="416"/>
      <c r="L112" s="416"/>
      <c r="M112" s="416"/>
      <c r="N112" s="416"/>
      <c r="O112" s="416"/>
      <c r="P112" s="416"/>
      <c r="Q112" s="416"/>
      <c r="R112" s="416"/>
      <c r="S112" s="416"/>
      <c r="T112" s="416"/>
      <c r="U112" s="416"/>
      <c r="V112" s="416"/>
      <c r="W112" s="416"/>
      <c r="X112" s="416"/>
      <c r="Y112" s="416"/>
      <c r="Z112" s="416"/>
      <c r="AA112" s="416"/>
      <c r="AB112" s="416"/>
      <c r="AC112" s="416"/>
      <c r="AD112" s="416"/>
      <c r="AE112" s="416"/>
      <c r="AF112" s="416"/>
      <c r="AG112" s="416"/>
      <c r="AH112" s="416"/>
      <c r="AI112" s="416"/>
      <c r="AJ112" s="416"/>
      <c r="AK112" s="416"/>
      <c r="AL112" s="416"/>
      <c r="AM112" s="416"/>
      <c r="AN112" s="416"/>
      <c r="AO112" s="416"/>
      <c r="AP112" s="416"/>
      <c r="AQ112" s="416"/>
      <c r="AR112" s="416"/>
      <c r="AS112" s="416"/>
    </row>
    <row r="113" spans="4:45" ht="20" customHeight="1">
      <c r="D113" s="416"/>
      <c r="E113" s="416"/>
      <c r="F113" s="416"/>
      <c r="G113" s="416"/>
      <c r="H113" s="416"/>
      <c r="I113" s="416"/>
      <c r="J113" s="416"/>
      <c r="K113" s="416"/>
      <c r="L113" s="416"/>
      <c r="M113" s="416"/>
      <c r="N113" s="416"/>
      <c r="O113" s="416"/>
      <c r="P113" s="416"/>
      <c r="Q113" s="416"/>
      <c r="R113" s="416"/>
      <c r="S113" s="416"/>
      <c r="T113" s="416"/>
      <c r="U113" s="416"/>
      <c r="V113" s="416"/>
      <c r="W113" s="416"/>
      <c r="X113" s="416"/>
      <c r="Y113" s="416"/>
      <c r="Z113" s="416"/>
      <c r="AA113" s="416"/>
      <c r="AB113" s="416"/>
      <c r="AC113" s="416"/>
      <c r="AD113" s="416"/>
      <c r="AE113" s="416"/>
      <c r="AF113" s="416"/>
      <c r="AG113" s="416"/>
      <c r="AH113" s="416"/>
      <c r="AI113" s="416"/>
      <c r="AJ113" s="416"/>
      <c r="AK113" s="416"/>
      <c r="AL113" s="416"/>
      <c r="AM113" s="416"/>
      <c r="AN113" s="416"/>
      <c r="AO113" s="416"/>
      <c r="AP113" s="416"/>
      <c r="AQ113" s="416"/>
      <c r="AR113" s="416"/>
      <c r="AS113" s="416"/>
    </row>
    <row r="114" spans="4:45" ht="20" customHeight="1">
      <c r="D114" s="416"/>
      <c r="E114" s="416"/>
      <c r="F114" s="416"/>
      <c r="G114" s="416"/>
      <c r="H114" s="416"/>
      <c r="I114" s="416"/>
      <c r="J114" s="416"/>
      <c r="K114" s="416"/>
      <c r="L114" s="416"/>
      <c r="M114" s="416"/>
      <c r="N114" s="416"/>
      <c r="O114" s="416"/>
      <c r="P114" s="416"/>
      <c r="Q114" s="416"/>
      <c r="R114" s="416"/>
      <c r="S114" s="416"/>
      <c r="T114" s="416"/>
      <c r="U114" s="416"/>
      <c r="V114" s="416"/>
      <c r="W114" s="416"/>
      <c r="X114" s="416"/>
      <c r="Y114" s="416"/>
      <c r="Z114" s="416"/>
      <c r="AA114" s="416"/>
      <c r="AB114" s="416"/>
      <c r="AC114" s="416"/>
      <c r="AD114" s="416"/>
      <c r="AE114" s="416"/>
      <c r="AF114" s="416"/>
      <c r="AG114" s="416"/>
      <c r="AH114" s="416"/>
      <c r="AI114" s="416"/>
      <c r="AJ114" s="416"/>
      <c r="AK114" s="416"/>
      <c r="AL114" s="416"/>
      <c r="AM114" s="416"/>
      <c r="AN114" s="416"/>
      <c r="AO114" s="416"/>
      <c r="AP114" s="416"/>
      <c r="AQ114" s="416"/>
      <c r="AR114" s="416"/>
      <c r="AS114" s="416"/>
    </row>
    <row r="115" spans="4:45" ht="20" customHeight="1">
      <c r="D115" s="416"/>
      <c r="E115" s="416"/>
      <c r="F115" s="416"/>
      <c r="G115" s="416"/>
      <c r="H115" s="416"/>
      <c r="I115" s="416"/>
      <c r="J115" s="416"/>
      <c r="K115" s="416"/>
      <c r="L115" s="416"/>
      <c r="M115" s="416"/>
      <c r="N115" s="416"/>
      <c r="O115" s="416"/>
      <c r="P115" s="416"/>
      <c r="Q115" s="416"/>
      <c r="R115" s="416"/>
      <c r="S115" s="416"/>
      <c r="T115" s="416"/>
      <c r="U115" s="416"/>
      <c r="V115" s="416"/>
      <c r="W115" s="416"/>
      <c r="X115" s="416"/>
      <c r="Y115" s="416"/>
      <c r="Z115" s="416"/>
      <c r="AA115" s="416"/>
      <c r="AB115" s="416"/>
      <c r="AC115" s="416"/>
      <c r="AD115" s="416"/>
      <c r="AE115" s="416"/>
      <c r="AF115" s="416"/>
      <c r="AG115" s="416"/>
      <c r="AH115" s="416"/>
      <c r="AI115" s="416"/>
      <c r="AJ115" s="416"/>
      <c r="AK115" s="416"/>
      <c r="AL115" s="416"/>
      <c r="AM115" s="416"/>
      <c r="AN115" s="416"/>
      <c r="AO115" s="416"/>
      <c r="AP115" s="416"/>
      <c r="AQ115" s="416"/>
      <c r="AR115" s="416"/>
      <c r="AS115" s="416"/>
    </row>
    <row r="116" spans="4:45" ht="20" customHeight="1">
      <c r="D116" s="416"/>
      <c r="E116" s="416"/>
      <c r="F116" s="416"/>
      <c r="G116" s="416"/>
      <c r="H116" s="416"/>
      <c r="I116" s="416"/>
      <c r="J116" s="416"/>
      <c r="K116" s="416"/>
      <c r="L116" s="416"/>
      <c r="M116" s="416"/>
      <c r="N116" s="416"/>
      <c r="O116" s="416"/>
      <c r="P116" s="416"/>
      <c r="Q116" s="416"/>
      <c r="R116" s="416"/>
      <c r="S116" s="416"/>
      <c r="T116" s="416"/>
      <c r="U116" s="416"/>
      <c r="V116" s="416"/>
      <c r="W116" s="416"/>
      <c r="X116" s="416"/>
      <c r="Y116" s="416"/>
      <c r="Z116" s="416"/>
      <c r="AA116" s="416"/>
      <c r="AB116" s="416"/>
      <c r="AC116" s="416"/>
      <c r="AD116" s="416"/>
      <c r="AE116" s="416"/>
      <c r="AF116" s="416"/>
      <c r="AG116" s="416"/>
      <c r="AH116" s="416"/>
      <c r="AI116" s="416"/>
      <c r="AJ116" s="416"/>
      <c r="AK116" s="416"/>
      <c r="AL116" s="416"/>
      <c r="AM116" s="416"/>
      <c r="AN116" s="416"/>
      <c r="AO116" s="416"/>
      <c r="AP116" s="416"/>
      <c r="AQ116" s="416"/>
      <c r="AR116" s="416"/>
      <c r="AS116" s="416"/>
    </row>
    <row r="117" spans="4:45" ht="20" customHeight="1">
      <c r="D117" s="416"/>
      <c r="E117" s="416"/>
      <c r="F117" s="416"/>
      <c r="G117" s="416"/>
      <c r="H117" s="416"/>
      <c r="I117" s="416"/>
      <c r="J117" s="416"/>
      <c r="K117" s="416"/>
      <c r="L117" s="416"/>
      <c r="M117" s="416"/>
      <c r="N117" s="416"/>
      <c r="O117" s="416"/>
      <c r="P117" s="416"/>
      <c r="Q117" s="416"/>
      <c r="R117" s="416"/>
      <c r="S117" s="416"/>
      <c r="T117" s="416"/>
      <c r="U117" s="416"/>
      <c r="V117" s="416"/>
      <c r="W117" s="416"/>
      <c r="X117" s="416"/>
      <c r="Y117" s="416"/>
      <c r="Z117" s="416"/>
      <c r="AA117" s="416"/>
      <c r="AB117" s="416"/>
      <c r="AC117" s="416"/>
      <c r="AD117" s="416"/>
      <c r="AE117" s="416"/>
      <c r="AF117" s="416"/>
      <c r="AG117" s="416"/>
      <c r="AH117" s="416"/>
      <c r="AI117" s="416"/>
      <c r="AJ117" s="416"/>
      <c r="AK117" s="416"/>
      <c r="AL117" s="416"/>
      <c r="AM117" s="416"/>
      <c r="AN117" s="416"/>
      <c r="AO117" s="416"/>
      <c r="AP117" s="416"/>
      <c r="AQ117" s="416"/>
      <c r="AR117" s="416"/>
      <c r="AS117" s="416"/>
    </row>
    <row r="118" spans="4:45" ht="20" customHeight="1">
      <c r="D118" s="416"/>
      <c r="E118" s="416"/>
      <c r="F118" s="416"/>
      <c r="G118" s="416"/>
      <c r="H118" s="416"/>
      <c r="I118" s="416"/>
      <c r="J118" s="416"/>
      <c r="K118" s="416"/>
      <c r="L118" s="416"/>
      <c r="M118" s="416"/>
      <c r="N118" s="416"/>
      <c r="O118" s="416"/>
      <c r="P118" s="416"/>
      <c r="Q118" s="416"/>
      <c r="R118" s="416"/>
      <c r="S118" s="416"/>
      <c r="T118" s="416"/>
      <c r="U118" s="416"/>
      <c r="V118" s="416"/>
      <c r="W118" s="416"/>
      <c r="X118" s="416"/>
      <c r="Y118" s="416"/>
      <c r="Z118" s="416"/>
      <c r="AA118" s="416"/>
      <c r="AB118" s="416"/>
      <c r="AC118" s="416"/>
      <c r="AD118" s="416"/>
      <c r="AE118" s="416"/>
      <c r="AF118" s="416"/>
      <c r="AG118" s="416"/>
      <c r="AH118" s="416"/>
      <c r="AI118" s="416"/>
      <c r="AJ118" s="416"/>
      <c r="AK118" s="416"/>
      <c r="AL118" s="416"/>
      <c r="AM118" s="416"/>
      <c r="AN118" s="416"/>
      <c r="AO118" s="416"/>
      <c r="AP118" s="416"/>
      <c r="AQ118" s="416"/>
      <c r="AR118" s="416"/>
      <c r="AS118" s="416"/>
    </row>
    <row r="119" spans="4:45" ht="20" customHeight="1">
      <c r="D119" s="416"/>
      <c r="E119" s="416"/>
      <c r="F119" s="416"/>
      <c r="G119" s="416"/>
      <c r="H119" s="416"/>
      <c r="I119" s="416"/>
      <c r="J119" s="416"/>
      <c r="K119" s="416"/>
      <c r="L119" s="416"/>
      <c r="M119" s="416"/>
      <c r="N119" s="416"/>
      <c r="O119" s="416"/>
      <c r="P119" s="416"/>
      <c r="Q119" s="416"/>
      <c r="R119" s="416"/>
      <c r="S119" s="416"/>
      <c r="T119" s="416"/>
      <c r="U119" s="416"/>
      <c r="V119" s="416"/>
      <c r="W119" s="416"/>
      <c r="X119" s="416"/>
      <c r="Y119" s="416"/>
      <c r="Z119" s="416"/>
      <c r="AA119" s="416"/>
      <c r="AB119" s="416"/>
      <c r="AC119" s="416"/>
      <c r="AD119" s="416"/>
      <c r="AE119" s="416"/>
      <c r="AF119" s="416"/>
      <c r="AG119" s="416"/>
      <c r="AH119" s="416"/>
      <c r="AI119" s="416"/>
      <c r="AJ119" s="416"/>
      <c r="AK119" s="416"/>
      <c r="AL119" s="416"/>
      <c r="AM119" s="416"/>
      <c r="AN119" s="416"/>
      <c r="AO119" s="416"/>
      <c r="AP119" s="416"/>
      <c r="AQ119" s="416"/>
      <c r="AR119" s="416"/>
      <c r="AS119" s="416"/>
    </row>
    <row r="120" spans="4:45" ht="20" customHeight="1">
      <c r="D120" s="416"/>
      <c r="E120" s="416"/>
      <c r="F120" s="416"/>
      <c r="G120" s="416"/>
      <c r="H120" s="416"/>
      <c r="I120" s="416"/>
      <c r="J120" s="416"/>
      <c r="K120" s="416"/>
      <c r="L120" s="416"/>
      <c r="M120" s="416"/>
      <c r="N120" s="416"/>
      <c r="O120" s="416"/>
      <c r="P120" s="416"/>
      <c r="Q120" s="416"/>
      <c r="R120" s="416"/>
      <c r="S120" s="416"/>
      <c r="T120" s="416"/>
      <c r="U120" s="416"/>
      <c r="V120" s="416"/>
      <c r="W120" s="416"/>
      <c r="X120" s="416"/>
      <c r="Y120" s="416"/>
      <c r="Z120" s="416"/>
      <c r="AA120" s="416"/>
      <c r="AB120" s="416"/>
      <c r="AC120" s="416"/>
      <c r="AD120" s="416"/>
      <c r="AE120" s="416"/>
      <c r="AF120" s="416"/>
      <c r="AG120" s="416"/>
      <c r="AH120" s="416"/>
      <c r="AI120" s="416"/>
      <c r="AJ120" s="416"/>
      <c r="AK120" s="416"/>
      <c r="AL120" s="416"/>
      <c r="AM120" s="416"/>
      <c r="AN120" s="416"/>
      <c r="AO120" s="416"/>
      <c r="AP120" s="416"/>
      <c r="AQ120" s="416"/>
      <c r="AR120" s="416"/>
      <c r="AS120" s="416"/>
    </row>
    <row r="121" spans="4:45" ht="20" customHeight="1">
      <c r="D121" s="416"/>
      <c r="E121" s="416"/>
      <c r="F121" s="416"/>
      <c r="G121" s="416"/>
      <c r="H121" s="416"/>
      <c r="I121" s="416"/>
      <c r="J121" s="416"/>
      <c r="K121" s="416"/>
      <c r="L121" s="416"/>
      <c r="M121" s="416"/>
      <c r="N121" s="416"/>
      <c r="O121" s="416"/>
      <c r="P121" s="416"/>
      <c r="Q121" s="416"/>
      <c r="R121" s="416"/>
      <c r="S121" s="416"/>
      <c r="T121" s="416"/>
      <c r="U121" s="416"/>
      <c r="V121" s="416"/>
      <c r="W121" s="416"/>
      <c r="X121" s="416"/>
      <c r="Y121" s="416"/>
      <c r="Z121" s="416"/>
      <c r="AA121" s="416"/>
      <c r="AB121" s="416"/>
      <c r="AC121" s="416"/>
      <c r="AD121" s="416"/>
      <c r="AE121" s="416"/>
      <c r="AF121" s="416"/>
      <c r="AG121" s="416"/>
      <c r="AH121" s="416"/>
      <c r="AI121" s="416"/>
      <c r="AJ121" s="416"/>
      <c r="AK121" s="416"/>
      <c r="AL121" s="416"/>
      <c r="AM121" s="416"/>
      <c r="AN121" s="416"/>
      <c r="AO121" s="416"/>
      <c r="AP121" s="416"/>
      <c r="AQ121" s="416"/>
      <c r="AR121" s="416"/>
      <c r="AS121" s="416"/>
    </row>
    <row r="122" spans="4:45" ht="20" customHeight="1">
      <c r="D122" s="416"/>
      <c r="E122" s="416"/>
      <c r="F122" s="416"/>
      <c r="G122" s="416"/>
      <c r="H122" s="416"/>
      <c r="I122" s="416"/>
      <c r="J122" s="416"/>
      <c r="K122" s="416"/>
      <c r="L122" s="416"/>
      <c r="M122" s="416"/>
      <c r="N122" s="416"/>
      <c r="O122" s="416"/>
      <c r="P122" s="416"/>
      <c r="Q122" s="416"/>
      <c r="R122" s="416"/>
      <c r="S122" s="416"/>
      <c r="T122" s="416"/>
      <c r="U122" s="416"/>
      <c r="V122" s="416"/>
      <c r="W122" s="416"/>
      <c r="X122" s="416"/>
      <c r="Y122" s="416"/>
      <c r="Z122" s="416"/>
      <c r="AA122" s="416"/>
      <c r="AB122" s="416"/>
      <c r="AC122" s="416"/>
      <c r="AD122" s="416"/>
      <c r="AE122" s="416"/>
      <c r="AF122" s="416"/>
      <c r="AG122" s="416"/>
      <c r="AH122" s="416"/>
      <c r="AI122" s="416"/>
      <c r="AJ122" s="416"/>
      <c r="AK122" s="416"/>
      <c r="AL122" s="416"/>
      <c r="AM122" s="416"/>
      <c r="AN122" s="416"/>
      <c r="AO122" s="416"/>
      <c r="AP122" s="416"/>
      <c r="AQ122" s="416"/>
      <c r="AR122" s="416"/>
      <c r="AS122" s="416"/>
    </row>
    <row r="123" spans="4:45" ht="20" customHeight="1">
      <c r="D123" s="416"/>
      <c r="E123" s="416"/>
      <c r="F123" s="416"/>
      <c r="G123" s="416"/>
      <c r="H123" s="416"/>
      <c r="I123" s="416"/>
      <c r="J123" s="416"/>
      <c r="K123" s="416"/>
      <c r="L123" s="416"/>
      <c r="M123" s="416"/>
      <c r="N123" s="416"/>
      <c r="O123" s="416"/>
      <c r="P123" s="416"/>
      <c r="Q123" s="416"/>
      <c r="R123" s="416"/>
      <c r="S123" s="416"/>
      <c r="T123" s="416"/>
      <c r="U123" s="416"/>
      <c r="V123" s="416"/>
      <c r="W123" s="416"/>
      <c r="X123" s="416"/>
      <c r="Y123" s="416"/>
      <c r="Z123" s="416"/>
      <c r="AA123" s="416"/>
      <c r="AB123" s="416"/>
      <c r="AC123" s="416"/>
      <c r="AD123" s="416"/>
      <c r="AE123" s="416"/>
      <c r="AF123" s="416"/>
      <c r="AG123" s="416"/>
      <c r="AH123" s="416"/>
      <c r="AI123" s="416"/>
      <c r="AJ123" s="416"/>
      <c r="AK123" s="416"/>
      <c r="AL123" s="416"/>
      <c r="AM123" s="416"/>
      <c r="AN123" s="416"/>
      <c r="AO123" s="416"/>
      <c r="AP123" s="416"/>
      <c r="AQ123" s="416"/>
      <c r="AR123" s="416"/>
      <c r="AS123" s="416"/>
    </row>
    <row r="124" spans="4:45" ht="20" customHeight="1">
      <c r="D124" s="416"/>
      <c r="E124" s="416"/>
      <c r="F124" s="416"/>
      <c r="G124" s="416"/>
      <c r="H124" s="416"/>
      <c r="I124" s="416"/>
      <c r="J124" s="416"/>
      <c r="K124" s="416"/>
      <c r="L124" s="416"/>
      <c r="M124" s="416"/>
      <c r="N124" s="416"/>
      <c r="O124" s="416"/>
      <c r="P124" s="416"/>
      <c r="Q124" s="416"/>
      <c r="R124" s="416"/>
      <c r="S124" s="416"/>
      <c r="T124" s="416"/>
      <c r="U124" s="416"/>
      <c r="V124" s="416"/>
      <c r="W124" s="416"/>
      <c r="X124" s="416"/>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row>
    <row r="125" spans="4:45" ht="20" customHeight="1">
      <c r="D125" s="416"/>
      <c r="E125" s="416"/>
      <c r="F125" s="416"/>
      <c r="G125" s="416"/>
      <c r="H125" s="416"/>
      <c r="I125" s="416"/>
      <c r="J125" s="416"/>
      <c r="K125" s="416"/>
      <c r="L125" s="416"/>
      <c r="M125" s="416"/>
      <c r="N125" s="416"/>
      <c r="O125" s="416"/>
      <c r="P125" s="416"/>
      <c r="Q125" s="416"/>
      <c r="R125" s="416"/>
      <c r="S125" s="416"/>
      <c r="T125" s="416"/>
      <c r="U125" s="416"/>
      <c r="V125" s="416"/>
      <c r="W125" s="416"/>
      <c r="X125" s="416"/>
      <c r="Y125" s="416"/>
      <c r="Z125" s="416"/>
      <c r="AA125" s="416"/>
      <c r="AB125" s="416"/>
      <c r="AC125" s="416"/>
      <c r="AD125" s="416"/>
      <c r="AE125" s="416"/>
      <c r="AF125" s="416"/>
      <c r="AG125" s="416"/>
      <c r="AH125" s="416"/>
      <c r="AI125" s="416"/>
      <c r="AJ125" s="416"/>
      <c r="AK125" s="416"/>
      <c r="AL125" s="416"/>
      <c r="AM125" s="416"/>
      <c r="AN125" s="416"/>
      <c r="AO125" s="416"/>
      <c r="AP125" s="416"/>
      <c r="AQ125" s="416"/>
      <c r="AR125" s="416"/>
      <c r="AS125" s="416"/>
    </row>
    <row r="126" spans="4:45" ht="20" customHeight="1">
      <c r="D126" s="416"/>
      <c r="E126" s="416"/>
      <c r="F126" s="416"/>
      <c r="G126" s="416"/>
      <c r="H126" s="416"/>
      <c r="I126" s="416"/>
      <c r="J126" s="416"/>
      <c r="K126" s="416"/>
      <c r="L126" s="416"/>
      <c r="M126" s="416"/>
      <c r="N126" s="416"/>
      <c r="O126" s="416"/>
      <c r="P126" s="416"/>
      <c r="Q126" s="416"/>
      <c r="R126" s="416"/>
      <c r="S126" s="416"/>
      <c r="T126" s="416"/>
      <c r="U126" s="416"/>
      <c r="V126" s="416"/>
      <c r="W126" s="416"/>
      <c r="X126" s="416"/>
      <c r="Y126" s="416"/>
      <c r="Z126" s="416"/>
      <c r="AA126" s="416"/>
      <c r="AB126" s="416"/>
      <c r="AC126" s="416"/>
      <c r="AD126" s="416"/>
      <c r="AE126" s="416"/>
      <c r="AF126" s="416"/>
      <c r="AG126" s="416"/>
      <c r="AH126" s="416"/>
      <c r="AI126" s="416"/>
      <c r="AJ126" s="416"/>
      <c r="AK126" s="416"/>
      <c r="AL126" s="416"/>
      <c r="AM126" s="416"/>
      <c r="AN126" s="416"/>
      <c r="AO126" s="416"/>
      <c r="AP126" s="416"/>
      <c r="AQ126" s="416"/>
      <c r="AR126" s="416"/>
      <c r="AS126" s="416"/>
    </row>
    <row r="127" spans="4:45" ht="20" customHeight="1">
      <c r="D127" s="416"/>
      <c r="E127" s="416"/>
      <c r="F127" s="416"/>
      <c r="G127" s="416"/>
      <c r="H127" s="416"/>
      <c r="I127" s="416"/>
      <c r="J127" s="416"/>
      <c r="K127" s="416"/>
      <c r="L127" s="416"/>
      <c r="M127" s="416"/>
      <c r="N127" s="416"/>
      <c r="O127" s="416"/>
      <c r="P127" s="416"/>
      <c r="Q127" s="416"/>
      <c r="R127" s="416"/>
      <c r="S127" s="416"/>
      <c r="T127" s="416"/>
      <c r="U127" s="416"/>
      <c r="V127" s="416"/>
      <c r="W127" s="416"/>
      <c r="X127" s="416"/>
      <c r="Y127" s="416"/>
      <c r="Z127" s="416"/>
      <c r="AA127" s="416"/>
      <c r="AB127" s="416"/>
      <c r="AC127" s="416"/>
      <c r="AD127" s="416"/>
      <c r="AE127" s="416"/>
      <c r="AF127" s="416"/>
      <c r="AG127" s="416"/>
      <c r="AH127" s="416"/>
      <c r="AI127" s="416"/>
      <c r="AJ127" s="416"/>
      <c r="AK127" s="416"/>
      <c r="AL127" s="416"/>
      <c r="AM127" s="416"/>
      <c r="AN127" s="416"/>
      <c r="AO127" s="416"/>
      <c r="AP127" s="416"/>
      <c r="AQ127" s="416"/>
      <c r="AR127" s="416"/>
      <c r="AS127" s="416"/>
    </row>
    <row r="128" spans="4:45" ht="20" customHeight="1">
      <c r="D128" s="416"/>
      <c r="E128" s="416"/>
      <c r="F128" s="416"/>
      <c r="G128" s="416"/>
      <c r="H128" s="416"/>
      <c r="I128" s="416"/>
      <c r="J128" s="416"/>
      <c r="K128" s="416"/>
      <c r="L128" s="416"/>
      <c r="M128" s="416"/>
      <c r="N128" s="416"/>
      <c r="O128" s="416"/>
      <c r="P128" s="416"/>
      <c r="Q128" s="416"/>
      <c r="R128" s="416"/>
      <c r="S128" s="416"/>
      <c r="T128" s="416"/>
      <c r="U128" s="416"/>
      <c r="V128" s="416"/>
      <c r="W128" s="416"/>
      <c r="X128" s="416"/>
      <c r="Y128" s="416"/>
      <c r="Z128" s="416"/>
      <c r="AA128" s="416"/>
      <c r="AB128" s="416"/>
      <c r="AC128" s="416"/>
      <c r="AD128" s="416"/>
      <c r="AE128" s="416"/>
      <c r="AF128" s="416"/>
      <c r="AG128" s="416"/>
      <c r="AH128" s="416"/>
      <c r="AI128" s="416"/>
      <c r="AJ128" s="416"/>
      <c r="AK128" s="416"/>
      <c r="AL128" s="416"/>
      <c r="AM128" s="416"/>
      <c r="AN128" s="416"/>
      <c r="AO128" s="416"/>
      <c r="AP128" s="416"/>
      <c r="AQ128" s="416"/>
      <c r="AR128" s="416"/>
      <c r="AS128" s="416"/>
    </row>
    <row r="129" spans="4:45" ht="20" customHeight="1">
      <c r="D129" s="416"/>
      <c r="E129" s="416"/>
      <c r="F129" s="416"/>
      <c r="G129" s="416"/>
      <c r="H129" s="416"/>
      <c r="I129" s="416"/>
      <c r="J129" s="416"/>
      <c r="K129" s="416"/>
      <c r="L129" s="416"/>
      <c r="M129" s="416"/>
      <c r="N129" s="416"/>
      <c r="O129" s="416"/>
      <c r="P129" s="416"/>
      <c r="Q129" s="416"/>
      <c r="R129" s="416"/>
      <c r="S129" s="416"/>
      <c r="T129" s="416"/>
      <c r="U129" s="416"/>
      <c r="V129" s="416"/>
      <c r="W129" s="416"/>
      <c r="X129" s="416"/>
      <c r="Y129" s="416"/>
      <c r="Z129" s="416"/>
      <c r="AA129" s="416"/>
      <c r="AB129" s="416"/>
      <c r="AC129" s="416"/>
      <c r="AD129" s="416"/>
      <c r="AE129" s="416"/>
      <c r="AF129" s="416"/>
      <c r="AG129" s="416"/>
      <c r="AH129" s="416"/>
      <c r="AI129" s="416"/>
      <c r="AJ129" s="416"/>
      <c r="AK129" s="416"/>
      <c r="AL129" s="416"/>
      <c r="AM129" s="416"/>
      <c r="AN129" s="416"/>
      <c r="AO129" s="416"/>
      <c r="AP129" s="416"/>
      <c r="AQ129" s="416"/>
      <c r="AR129" s="416"/>
      <c r="AS129" s="416"/>
    </row>
    <row r="130" spans="4:45" ht="20" customHeight="1">
      <c r="D130" s="416"/>
      <c r="E130" s="416"/>
      <c r="F130" s="416"/>
      <c r="G130" s="416"/>
      <c r="H130" s="416"/>
      <c r="I130" s="416"/>
      <c r="J130" s="416"/>
      <c r="K130" s="416"/>
      <c r="L130" s="416"/>
      <c r="M130" s="416"/>
      <c r="N130" s="416"/>
      <c r="O130" s="416"/>
      <c r="P130" s="416"/>
      <c r="Q130" s="416"/>
      <c r="R130" s="416"/>
      <c r="S130" s="416"/>
      <c r="T130" s="416"/>
      <c r="U130" s="416"/>
      <c r="V130" s="416"/>
      <c r="W130" s="416"/>
      <c r="X130" s="416"/>
      <c r="Y130" s="416"/>
      <c r="Z130" s="416"/>
      <c r="AA130" s="416"/>
      <c r="AB130" s="416"/>
      <c r="AC130" s="416"/>
      <c r="AD130" s="416"/>
      <c r="AE130" s="416"/>
      <c r="AF130" s="416"/>
      <c r="AG130" s="416"/>
      <c r="AH130" s="416"/>
      <c r="AI130" s="416"/>
      <c r="AJ130" s="416"/>
      <c r="AK130" s="416"/>
      <c r="AL130" s="416"/>
      <c r="AM130" s="416"/>
      <c r="AN130" s="416"/>
      <c r="AO130" s="416"/>
      <c r="AP130" s="416"/>
      <c r="AQ130" s="416"/>
      <c r="AR130" s="416"/>
      <c r="AS130" s="416"/>
    </row>
    <row r="131" spans="4:45" ht="20" customHeight="1">
      <c r="D131" s="416"/>
      <c r="E131" s="416"/>
      <c r="F131" s="416"/>
      <c r="G131" s="416"/>
      <c r="H131" s="416"/>
      <c r="I131" s="416"/>
      <c r="J131" s="416"/>
      <c r="K131" s="416"/>
      <c r="L131" s="416"/>
      <c r="M131" s="416"/>
      <c r="N131" s="416"/>
      <c r="O131" s="416"/>
      <c r="P131" s="416"/>
      <c r="Q131" s="416"/>
      <c r="R131" s="416"/>
      <c r="S131" s="416"/>
      <c r="T131" s="416"/>
      <c r="U131" s="416"/>
      <c r="V131" s="416"/>
      <c r="W131" s="416"/>
      <c r="X131" s="416"/>
      <c r="Y131" s="416"/>
      <c r="Z131" s="416"/>
      <c r="AA131" s="416"/>
      <c r="AB131" s="416"/>
      <c r="AC131" s="416"/>
      <c r="AD131" s="416"/>
      <c r="AE131" s="416"/>
      <c r="AF131" s="416"/>
      <c r="AG131" s="416"/>
      <c r="AH131" s="416"/>
      <c r="AI131" s="416"/>
      <c r="AJ131" s="416"/>
      <c r="AK131" s="416"/>
      <c r="AL131" s="416"/>
      <c r="AM131" s="416"/>
      <c r="AN131" s="416"/>
      <c r="AO131" s="416"/>
      <c r="AP131" s="416"/>
      <c r="AQ131" s="416"/>
      <c r="AR131" s="416"/>
      <c r="AS131" s="416"/>
    </row>
    <row r="132" spans="4:45" ht="20" customHeight="1">
      <c r="D132" s="416"/>
      <c r="E132" s="416"/>
      <c r="F132" s="416"/>
      <c r="G132" s="416"/>
      <c r="H132" s="416"/>
      <c r="I132" s="416"/>
      <c r="J132" s="416"/>
      <c r="K132" s="416"/>
      <c r="L132" s="416"/>
      <c r="M132" s="416"/>
      <c r="N132" s="416"/>
      <c r="O132" s="416"/>
      <c r="P132" s="416"/>
      <c r="Q132" s="416"/>
      <c r="R132" s="416"/>
      <c r="S132" s="416"/>
      <c r="T132" s="416"/>
      <c r="U132" s="416"/>
      <c r="V132" s="416"/>
      <c r="W132" s="416"/>
      <c r="X132" s="416"/>
      <c r="Y132" s="416"/>
      <c r="Z132" s="416"/>
      <c r="AA132" s="416"/>
      <c r="AB132" s="416"/>
      <c r="AC132" s="416"/>
      <c r="AD132" s="416"/>
      <c r="AE132" s="416"/>
      <c r="AF132" s="416"/>
      <c r="AG132" s="416"/>
      <c r="AH132" s="416"/>
      <c r="AI132" s="416"/>
      <c r="AJ132" s="416"/>
      <c r="AK132" s="416"/>
      <c r="AL132" s="416"/>
      <c r="AM132" s="416"/>
      <c r="AN132" s="416"/>
      <c r="AO132" s="416"/>
      <c r="AP132" s="416"/>
      <c r="AQ132" s="416"/>
      <c r="AR132" s="416"/>
      <c r="AS132" s="416"/>
    </row>
    <row r="133" spans="4:45" ht="20" customHeight="1">
      <c r="D133" s="416"/>
      <c r="E133" s="416"/>
      <c r="F133" s="416"/>
      <c r="G133" s="416"/>
      <c r="H133" s="416"/>
      <c r="I133" s="416"/>
      <c r="J133" s="416"/>
      <c r="K133" s="416"/>
      <c r="L133" s="416"/>
      <c r="M133" s="416"/>
      <c r="N133" s="416"/>
      <c r="O133" s="416"/>
      <c r="P133" s="416"/>
      <c r="Q133" s="416"/>
      <c r="R133" s="416"/>
      <c r="S133" s="416"/>
      <c r="T133" s="416"/>
      <c r="U133" s="416"/>
      <c r="V133" s="416"/>
      <c r="W133" s="416"/>
      <c r="X133" s="416"/>
      <c r="Y133" s="416"/>
      <c r="Z133" s="416"/>
      <c r="AA133" s="416"/>
      <c r="AB133" s="416"/>
      <c r="AC133" s="416"/>
      <c r="AD133" s="416"/>
      <c r="AE133" s="416"/>
      <c r="AF133" s="416"/>
      <c r="AG133" s="416"/>
      <c r="AH133" s="416"/>
      <c r="AI133" s="416"/>
      <c r="AJ133" s="416"/>
      <c r="AK133" s="416"/>
      <c r="AL133" s="416"/>
      <c r="AM133" s="416"/>
      <c r="AN133" s="416"/>
      <c r="AO133" s="416"/>
      <c r="AP133" s="416"/>
      <c r="AQ133" s="416"/>
      <c r="AR133" s="416"/>
      <c r="AS133" s="416"/>
    </row>
    <row r="134" spans="4:45" ht="20" customHeight="1">
      <c r="D134" s="416"/>
      <c r="E134" s="416"/>
      <c r="F134" s="416"/>
      <c r="G134" s="416"/>
      <c r="H134" s="416"/>
      <c r="I134" s="416"/>
      <c r="J134" s="416"/>
      <c r="K134" s="416"/>
      <c r="L134" s="416"/>
      <c r="M134" s="416"/>
      <c r="N134" s="416"/>
      <c r="O134" s="416"/>
      <c r="P134" s="416"/>
      <c r="Q134" s="416"/>
      <c r="R134" s="416"/>
      <c r="S134" s="416"/>
      <c r="T134" s="416"/>
      <c r="U134" s="416"/>
      <c r="V134" s="416"/>
      <c r="W134" s="416"/>
      <c r="X134" s="416"/>
      <c r="Y134" s="416"/>
      <c r="Z134" s="416"/>
      <c r="AA134" s="416"/>
      <c r="AB134" s="416"/>
      <c r="AC134" s="416"/>
      <c r="AD134" s="416"/>
      <c r="AE134" s="416"/>
      <c r="AF134" s="416"/>
      <c r="AG134" s="416"/>
      <c r="AH134" s="416"/>
      <c r="AI134" s="416"/>
      <c r="AJ134" s="416"/>
      <c r="AK134" s="416"/>
      <c r="AL134" s="416"/>
      <c r="AM134" s="416"/>
      <c r="AN134" s="416"/>
      <c r="AO134" s="416"/>
      <c r="AP134" s="416"/>
      <c r="AQ134" s="416"/>
      <c r="AR134" s="416"/>
      <c r="AS134" s="416"/>
    </row>
    <row r="135" spans="4:45" ht="20" customHeight="1">
      <c r="D135" s="416"/>
      <c r="E135" s="416"/>
      <c r="F135" s="416"/>
      <c r="G135" s="416"/>
      <c r="H135" s="416"/>
      <c r="I135" s="416"/>
      <c r="J135" s="416"/>
      <c r="K135" s="416"/>
      <c r="L135" s="416"/>
      <c r="M135" s="416"/>
      <c r="N135" s="416"/>
      <c r="O135" s="416"/>
      <c r="P135" s="416"/>
      <c r="Q135" s="416"/>
      <c r="R135" s="416"/>
      <c r="S135" s="416"/>
      <c r="T135" s="416"/>
      <c r="U135" s="416"/>
      <c r="V135" s="416"/>
      <c r="W135" s="416"/>
      <c r="X135" s="416"/>
      <c r="Y135" s="416"/>
      <c r="Z135" s="416"/>
      <c r="AA135" s="416"/>
      <c r="AB135" s="416"/>
      <c r="AC135" s="416"/>
      <c r="AD135" s="416"/>
      <c r="AE135" s="416"/>
      <c r="AF135" s="416"/>
      <c r="AG135" s="416"/>
      <c r="AH135" s="416"/>
      <c r="AI135" s="416"/>
      <c r="AJ135" s="416"/>
      <c r="AK135" s="416"/>
      <c r="AL135" s="416"/>
      <c r="AM135" s="416"/>
      <c r="AN135" s="416"/>
      <c r="AO135" s="416"/>
      <c r="AP135" s="416"/>
      <c r="AQ135" s="416"/>
      <c r="AR135" s="416"/>
      <c r="AS135" s="416"/>
    </row>
    <row r="136" spans="4:45" ht="20" customHeight="1">
      <c r="D136" s="416"/>
      <c r="E136" s="416"/>
      <c r="F136" s="416"/>
      <c r="G136" s="416"/>
      <c r="H136" s="416"/>
      <c r="I136" s="416"/>
      <c r="J136" s="416"/>
      <c r="K136" s="416"/>
      <c r="L136" s="416"/>
      <c r="M136" s="416"/>
      <c r="N136" s="416"/>
      <c r="O136" s="416"/>
      <c r="P136" s="416"/>
      <c r="Q136" s="416"/>
      <c r="R136" s="416"/>
      <c r="S136" s="416"/>
      <c r="T136" s="416"/>
      <c r="U136" s="416"/>
      <c r="V136" s="416"/>
      <c r="W136" s="416"/>
      <c r="X136" s="416"/>
      <c r="Y136" s="416"/>
      <c r="Z136" s="416"/>
      <c r="AA136" s="416"/>
      <c r="AB136" s="416"/>
      <c r="AC136" s="416"/>
      <c r="AD136" s="416"/>
      <c r="AE136" s="416"/>
      <c r="AF136" s="416"/>
      <c r="AG136" s="416"/>
      <c r="AH136" s="416"/>
      <c r="AI136" s="416"/>
      <c r="AJ136" s="416"/>
      <c r="AK136" s="416"/>
      <c r="AL136" s="416"/>
      <c r="AM136" s="416"/>
      <c r="AN136" s="416"/>
      <c r="AO136" s="416"/>
      <c r="AP136" s="416"/>
      <c r="AQ136" s="416"/>
      <c r="AR136" s="416"/>
      <c r="AS136" s="416"/>
    </row>
    <row r="137" spans="4:45" ht="20" customHeight="1">
      <c r="D137" s="416"/>
      <c r="E137" s="416"/>
      <c r="F137" s="416"/>
      <c r="G137" s="416"/>
      <c r="H137" s="416"/>
      <c r="I137" s="416"/>
      <c r="J137" s="416"/>
      <c r="K137" s="416"/>
      <c r="L137" s="416"/>
      <c r="M137" s="416"/>
      <c r="N137" s="416"/>
      <c r="O137" s="416"/>
      <c r="P137" s="416"/>
      <c r="Q137" s="416"/>
      <c r="R137" s="416"/>
      <c r="S137" s="416"/>
      <c r="T137" s="416"/>
      <c r="U137" s="416"/>
      <c r="V137" s="416"/>
      <c r="W137" s="416"/>
      <c r="X137" s="416"/>
      <c r="Y137" s="416"/>
      <c r="Z137" s="416"/>
      <c r="AA137" s="416"/>
      <c r="AB137" s="416"/>
      <c r="AC137" s="416"/>
      <c r="AD137" s="416"/>
      <c r="AE137" s="416"/>
      <c r="AF137" s="416"/>
      <c r="AG137" s="416"/>
      <c r="AH137" s="416"/>
      <c r="AI137" s="416"/>
      <c r="AJ137" s="416"/>
      <c r="AK137" s="416"/>
      <c r="AL137" s="416"/>
      <c r="AM137" s="416"/>
      <c r="AN137" s="416"/>
      <c r="AO137" s="416"/>
      <c r="AP137" s="416"/>
      <c r="AQ137" s="416"/>
      <c r="AR137" s="416"/>
      <c r="AS137" s="416"/>
    </row>
    <row r="138" spans="4:45" ht="20" customHeight="1">
      <c r="D138" s="416"/>
      <c r="E138" s="416"/>
      <c r="F138" s="416"/>
      <c r="G138" s="416"/>
      <c r="H138" s="416"/>
      <c r="I138" s="416"/>
      <c r="J138" s="416"/>
      <c r="K138" s="416"/>
      <c r="L138" s="416"/>
      <c r="M138" s="416"/>
      <c r="N138" s="416"/>
      <c r="O138" s="416"/>
      <c r="P138" s="416"/>
      <c r="Q138" s="416"/>
      <c r="R138" s="416"/>
      <c r="S138" s="416"/>
      <c r="T138" s="416"/>
      <c r="U138" s="416"/>
      <c r="V138" s="416"/>
      <c r="W138" s="416"/>
      <c r="X138" s="416"/>
      <c r="Y138" s="416"/>
      <c r="Z138" s="416"/>
      <c r="AA138" s="416"/>
      <c r="AB138" s="416"/>
      <c r="AC138" s="416"/>
      <c r="AD138" s="416"/>
      <c r="AE138" s="416"/>
      <c r="AF138" s="416"/>
      <c r="AG138" s="416"/>
      <c r="AH138" s="416"/>
      <c r="AI138" s="416"/>
      <c r="AJ138" s="416"/>
      <c r="AK138" s="416"/>
      <c r="AL138" s="416"/>
      <c r="AM138" s="416"/>
      <c r="AN138" s="416"/>
      <c r="AO138" s="416"/>
      <c r="AP138" s="416"/>
      <c r="AQ138" s="416"/>
      <c r="AR138" s="416"/>
      <c r="AS138" s="416"/>
    </row>
    <row r="139" spans="4:45" ht="20" customHeight="1">
      <c r="D139" s="416"/>
      <c r="E139" s="416"/>
      <c r="F139" s="416"/>
      <c r="G139" s="416"/>
      <c r="H139" s="416"/>
      <c r="I139" s="416"/>
      <c r="J139" s="416"/>
      <c r="K139" s="416"/>
      <c r="L139" s="416"/>
      <c r="M139" s="416"/>
      <c r="N139" s="416"/>
      <c r="O139" s="416"/>
      <c r="P139" s="416"/>
      <c r="Q139" s="416"/>
      <c r="R139" s="416"/>
      <c r="S139" s="416"/>
      <c r="T139" s="416"/>
      <c r="U139" s="416"/>
      <c r="V139" s="416"/>
      <c r="W139" s="416"/>
      <c r="X139" s="416"/>
      <c r="Y139" s="416"/>
      <c r="Z139" s="416"/>
      <c r="AA139" s="416"/>
      <c r="AB139" s="416"/>
      <c r="AC139" s="416"/>
      <c r="AD139" s="416"/>
      <c r="AE139" s="416"/>
      <c r="AF139" s="416"/>
      <c r="AG139" s="416"/>
      <c r="AH139" s="416"/>
      <c r="AI139" s="416"/>
      <c r="AJ139" s="416"/>
      <c r="AK139" s="416"/>
      <c r="AL139" s="416"/>
      <c r="AM139" s="416"/>
      <c r="AN139" s="416"/>
      <c r="AO139" s="416"/>
      <c r="AP139" s="416"/>
      <c r="AQ139" s="416"/>
      <c r="AR139" s="416"/>
      <c r="AS139" s="416"/>
    </row>
    <row r="140" spans="4:45" ht="20" customHeight="1">
      <c r="D140" s="416"/>
      <c r="E140" s="416"/>
      <c r="F140" s="416"/>
      <c r="G140" s="416"/>
      <c r="H140" s="416"/>
      <c r="I140" s="416"/>
      <c r="J140" s="416"/>
      <c r="K140" s="416"/>
      <c r="L140" s="416"/>
      <c r="M140" s="416"/>
      <c r="N140" s="416"/>
      <c r="O140" s="416"/>
      <c r="P140" s="416"/>
      <c r="Q140" s="416"/>
      <c r="R140" s="416"/>
      <c r="S140" s="416"/>
      <c r="T140" s="416"/>
      <c r="U140" s="416"/>
      <c r="V140" s="416"/>
      <c r="W140" s="416"/>
      <c r="X140" s="416"/>
      <c r="Y140" s="416"/>
      <c r="Z140" s="416"/>
      <c r="AA140" s="416"/>
      <c r="AB140" s="416"/>
      <c r="AC140" s="416"/>
      <c r="AD140" s="416"/>
      <c r="AE140" s="416"/>
      <c r="AF140" s="416"/>
      <c r="AG140" s="416"/>
      <c r="AH140" s="416"/>
      <c r="AI140" s="416"/>
      <c r="AJ140" s="416"/>
      <c r="AK140" s="416"/>
      <c r="AL140" s="416"/>
      <c r="AM140" s="416"/>
      <c r="AN140" s="416"/>
      <c r="AO140" s="416"/>
      <c r="AP140" s="416"/>
      <c r="AQ140" s="416"/>
      <c r="AR140" s="416"/>
      <c r="AS140" s="416"/>
    </row>
    <row r="141" spans="4:45" ht="20" customHeight="1">
      <c r="D141" s="416"/>
      <c r="E141" s="416"/>
      <c r="F141" s="416"/>
      <c r="G141" s="416"/>
      <c r="H141" s="416"/>
      <c r="I141" s="416"/>
      <c r="J141" s="416"/>
      <c r="K141" s="416"/>
      <c r="L141" s="416"/>
      <c r="M141" s="416"/>
      <c r="N141" s="416"/>
      <c r="O141" s="416"/>
      <c r="P141" s="416"/>
      <c r="Q141" s="416"/>
      <c r="R141" s="416"/>
      <c r="S141" s="416"/>
      <c r="T141" s="416"/>
      <c r="U141" s="416"/>
      <c r="V141" s="416"/>
      <c r="W141" s="416"/>
      <c r="X141" s="416"/>
      <c r="Y141" s="416"/>
      <c r="Z141" s="416"/>
      <c r="AA141" s="416"/>
      <c r="AB141" s="416"/>
      <c r="AC141" s="416"/>
      <c r="AD141" s="416"/>
      <c r="AE141" s="416"/>
      <c r="AF141" s="416"/>
      <c r="AG141" s="416"/>
      <c r="AH141" s="416"/>
      <c r="AI141" s="416"/>
      <c r="AJ141" s="416"/>
      <c r="AK141" s="416"/>
      <c r="AL141" s="416"/>
      <c r="AM141" s="416"/>
      <c r="AN141" s="416"/>
      <c r="AO141" s="416"/>
      <c r="AP141" s="416"/>
      <c r="AQ141" s="416"/>
      <c r="AR141" s="416"/>
      <c r="AS141" s="416"/>
    </row>
    <row r="142" spans="4:45" ht="20" customHeight="1">
      <c r="D142" s="416"/>
      <c r="E142" s="416"/>
      <c r="F142" s="416"/>
      <c r="G142" s="416"/>
      <c r="H142" s="416"/>
      <c r="I142" s="416"/>
      <c r="J142" s="416"/>
      <c r="K142" s="416"/>
      <c r="L142" s="416"/>
      <c r="M142" s="416"/>
      <c r="N142" s="416"/>
      <c r="O142" s="416"/>
      <c r="P142" s="416"/>
      <c r="Q142" s="416"/>
      <c r="R142" s="416"/>
      <c r="S142" s="416"/>
      <c r="T142" s="416"/>
      <c r="U142" s="416"/>
      <c r="V142" s="416"/>
      <c r="W142" s="416"/>
      <c r="X142" s="416"/>
      <c r="Y142" s="416"/>
      <c r="Z142" s="416"/>
      <c r="AA142" s="416"/>
      <c r="AB142" s="416"/>
      <c r="AC142" s="416"/>
      <c r="AD142" s="416"/>
      <c r="AE142" s="416"/>
      <c r="AF142" s="416"/>
      <c r="AG142" s="416"/>
      <c r="AH142" s="416"/>
      <c r="AI142" s="416"/>
      <c r="AJ142" s="416"/>
      <c r="AK142" s="416"/>
      <c r="AL142" s="416"/>
      <c r="AM142" s="416"/>
      <c r="AN142" s="416"/>
      <c r="AO142" s="416"/>
      <c r="AP142" s="416"/>
      <c r="AQ142" s="416"/>
      <c r="AR142" s="416"/>
      <c r="AS142" s="416"/>
    </row>
    <row r="143" spans="4:45" ht="20" customHeight="1">
      <c r="D143" s="416"/>
      <c r="E143" s="416"/>
      <c r="F143" s="416"/>
      <c r="G143" s="416"/>
      <c r="H143" s="416"/>
      <c r="I143" s="416"/>
      <c r="J143" s="416"/>
      <c r="K143" s="416"/>
      <c r="L143" s="416"/>
      <c r="M143" s="416"/>
      <c r="N143" s="416"/>
      <c r="O143" s="416"/>
      <c r="P143" s="416"/>
      <c r="Q143" s="416"/>
      <c r="R143" s="416"/>
      <c r="S143" s="416"/>
      <c r="T143" s="416"/>
      <c r="U143" s="416"/>
      <c r="V143" s="416"/>
      <c r="W143" s="416"/>
      <c r="X143" s="416"/>
      <c r="Y143" s="416"/>
      <c r="Z143" s="416"/>
      <c r="AA143" s="416"/>
      <c r="AB143" s="416"/>
      <c r="AC143" s="416"/>
      <c r="AD143" s="416"/>
      <c r="AE143" s="416"/>
      <c r="AF143" s="416"/>
      <c r="AG143" s="416"/>
      <c r="AH143" s="416"/>
      <c r="AI143" s="416"/>
      <c r="AJ143" s="416"/>
      <c r="AK143" s="416"/>
      <c r="AL143" s="416"/>
      <c r="AM143" s="416"/>
      <c r="AN143" s="416"/>
      <c r="AO143" s="416"/>
      <c r="AP143" s="416"/>
      <c r="AQ143" s="416"/>
      <c r="AR143" s="416"/>
      <c r="AS143" s="416"/>
    </row>
    <row r="144" spans="4:45" ht="20" customHeight="1">
      <c r="D144" s="416"/>
      <c r="E144" s="416"/>
      <c r="F144" s="416"/>
      <c r="G144" s="416"/>
      <c r="H144" s="416"/>
      <c r="I144" s="416"/>
      <c r="J144" s="416"/>
      <c r="K144" s="416"/>
      <c r="L144" s="416"/>
      <c r="M144" s="416"/>
      <c r="N144" s="416"/>
      <c r="O144" s="416"/>
      <c r="P144" s="416"/>
      <c r="Q144" s="416"/>
      <c r="R144" s="416"/>
      <c r="S144" s="416"/>
      <c r="T144" s="416"/>
      <c r="U144" s="416"/>
      <c r="V144" s="416"/>
      <c r="W144" s="416"/>
      <c r="X144" s="416"/>
      <c r="Y144" s="416"/>
      <c r="Z144" s="416"/>
      <c r="AA144" s="416"/>
      <c r="AB144" s="416"/>
      <c r="AC144" s="416"/>
      <c r="AD144" s="416"/>
      <c r="AE144" s="416"/>
      <c r="AF144" s="416"/>
      <c r="AG144" s="416"/>
      <c r="AH144" s="416"/>
      <c r="AI144" s="416"/>
      <c r="AJ144" s="416"/>
      <c r="AK144" s="416"/>
      <c r="AL144" s="416"/>
      <c r="AM144" s="416"/>
      <c r="AN144" s="416"/>
      <c r="AO144" s="416"/>
      <c r="AP144" s="416"/>
      <c r="AQ144" s="416"/>
      <c r="AR144" s="416"/>
      <c r="AS144" s="416"/>
    </row>
    <row r="145" spans="4:45" ht="20" customHeight="1">
      <c r="D145" s="416"/>
      <c r="E145" s="416"/>
      <c r="F145" s="416"/>
      <c r="G145" s="416"/>
      <c r="H145" s="416"/>
      <c r="I145" s="416"/>
      <c r="J145" s="416"/>
      <c r="K145" s="416"/>
      <c r="L145" s="416"/>
      <c r="M145" s="416"/>
      <c r="N145" s="416"/>
      <c r="O145" s="416"/>
      <c r="P145" s="416"/>
      <c r="Q145" s="416"/>
      <c r="R145" s="416"/>
      <c r="S145" s="416"/>
      <c r="T145" s="416"/>
      <c r="U145" s="416"/>
      <c r="V145" s="416"/>
      <c r="W145" s="416"/>
      <c r="X145" s="416"/>
      <c r="Y145" s="416"/>
      <c r="Z145" s="416"/>
      <c r="AA145" s="416"/>
      <c r="AB145" s="416"/>
      <c r="AC145" s="416"/>
      <c r="AD145" s="416"/>
      <c r="AE145" s="416"/>
      <c r="AF145" s="416"/>
      <c r="AG145" s="416"/>
      <c r="AH145" s="416"/>
      <c r="AI145" s="416"/>
      <c r="AJ145" s="416"/>
      <c r="AK145" s="416"/>
      <c r="AL145" s="416"/>
      <c r="AM145" s="416"/>
      <c r="AN145" s="416"/>
      <c r="AO145" s="416"/>
      <c r="AP145" s="416"/>
      <c r="AQ145" s="416"/>
      <c r="AR145" s="416"/>
      <c r="AS145" s="416"/>
    </row>
    <row r="146" spans="4:45" ht="20" customHeight="1">
      <c r="D146" s="161"/>
      <c r="E146" s="161"/>
      <c r="F146" s="161"/>
      <c r="G146" s="161"/>
      <c r="H146" s="161"/>
      <c r="I146" s="161"/>
      <c r="J146" s="161"/>
      <c r="K146" s="161"/>
      <c r="L146" s="161"/>
      <c r="M146" s="161"/>
      <c r="N146" s="161"/>
      <c r="O146" s="161"/>
      <c r="P146" s="161"/>
      <c r="Q146" s="161"/>
      <c r="R146" s="161"/>
      <c r="S146" s="161"/>
      <c r="T146" s="161"/>
      <c r="U146" s="161"/>
      <c r="V146" s="161"/>
      <c r="W146" s="161"/>
      <c r="X146" s="161"/>
      <c r="Y146" s="161"/>
      <c r="Z146" s="161"/>
      <c r="AA146" s="161"/>
      <c r="AB146" s="161"/>
      <c r="AC146" s="161"/>
      <c r="AD146" s="161"/>
      <c r="AE146" s="161"/>
      <c r="AF146" s="161"/>
      <c r="AG146" s="161"/>
      <c r="AH146" s="161"/>
      <c r="AI146" s="161"/>
      <c r="AJ146" s="161"/>
      <c r="AK146" s="161"/>
      <c r="AL146" s="161"/>
      <c r="AM146" s="161"/>
      <c r="AN146" s="161"/>
      <c r="AO146" s="161"/>
      <c r="AP146" s="161"/>
      <c r="AQ146" s="161"/>
      <c r="AR146" s="161"/>
      <c r="AS146" s="161"/>
    </row>
    <row r="147" spans="4:45" ht="20" customHeight="1">
      <c r="D147" s="161"/>
      <c r="E147" s="161"/>
      <c r="F147" s="161"/>
      <c r="G147" s="161"/>
      <c r="H147" s="161"/>
      <c r="I147" s="161"/>
      <c r="J147" s="161"/>
      <c r="K147" s="161"/>
      <c r="L147" s="161"/>
      <c r="M147" s="161"/>
      <c r="N147" s="161"/>
      <c r="O147" s="161"/>
      <c r="P147" s="161"/>
      <c r="Q147" s="161"/>
      <c r="R147" s="161"/>
      <c r="S147" s="161"/>
      <c r="T147" s="161"/>
      <c r="U147" s="161"/>
      <c r="V147" s="161"/>
      <c r="W147" s="161"/>
      <c r="X147" s="161"/>
      <c r="Y147" s="161"/>
      <c r="Z147" s="161"/>
      <c r="AA147" s="161"/>
      <c r="AB147" s="161"/>
      <c r="AC147" s="161"/>
      <c r="AD147" s="161"/>
      <c r="AE147" s="161"/>
      <c r="AF147" s="161"/>
      <c r="AG147" s="161"/>
      <c r="AH147" s="161"/>
      <c r="AI147" s="161"/>
      <c r="AJ147" s="161"/>
      <c r="AK147" s="161"/>
      <c r="AL147" s="161"/>
      <c r="AM147" s="161"/>
      <c r="AN147" s="161"/>
      <c r="AO147" s="161"/>
      <c r="AP147" s="161"/>
      <c r="AQ147" s="161"/>
      <c r="AR147" s="161"/>
      <c r="AS147" s="161"/>
    </row>
    <row r="148" spans="4:45" ht="20" customHeight="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H148" s="161"/>
      <c r="AI148" s="161"/>
      <c r="AJ148" s="161"/>
      <c r="AK148" s="161"/>
      <c r="AL148" s="161"/>
      <c r="AM148" s="161"/>
      <c r="AN148" s="161"/>
      <c r="AO148" s="161"/>
      <c r="AP148" s="161"/>
      <c r="AQ148" s="161"/>
      <c r="AR148" s="161"/>
      <c r="AS148" s="161"/>
    </row>
    <row r="149" spans="4:45" ht="20" customHeight="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row>
    <row r="150" spans="4:45" ht="20" customHeight="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61"/>
      <c r="AP150" s="161"/>
      <c r="AQ150" s="161"/>
      <c r="AR150" s="161"/>
      <c r="AS150" s="161"/>
    </row>
    <row r="151" spans="4:45" ht="20" customHeight="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61"/>
      <c r="AN151" s="161"/>
      <c r="AO151" s="161"/>
      <c r="AP151" s="161"/>
      <c r="AQ151" s="161"/>
      <c r="AR151" s="161"/>
      <c r="AS151" s="161"/>
    </row>
    <row r="152" spans="4:45" ht="20" customHeight="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161"/>
      <c r="AO152" s="161"/>
      <c r="AP152" s="161"/>
      <c r="AQ152" s="161"/>
      <c r="AR152" s="161"/>
      <c r="AS152" s="161"/>
    </row>
    <row r="153" spans="4:45" ht="20" customHeight="1">
      <c r="D153" s="161"/>
      <c r="E153" s="161"/>
      <c r="F153" s="161"/>
      <c r="G153" s="161"/>
      <c r="H153" s="161"/>
      <c r="I153" s="161"/>
      <c r="J153" s="161"/>
      <c r="K153" s="161"/>
      <c r="L153" s="161"/>
      <c r="M153" s="161"/>
      <c r="N153" s="161"/>
      <c r="O153" s="161"/>
      <c r="P153" s="161"/>
      <c r="Q153" s="161"/>
      <c r="R153" s="161"/>
      <c r="S153" s="161"/>
      <c r="T153" s="161"/>
      <c r="U153" s="161"/>
      <c r="V153" s="161"/>
      <c r="W153" s="161"/>
      <c r="X153" s="161"/>
      <c r="Y153" s="161"/>
      <c r="Z153" s="161"/>
      <c r="AA153" s="161"/>
      <c r="AB153" s="161"/>
      <c r="AC153" s="161"/>
      <c r="AD153" s="161"/>
      <c r="AE153" s="161"/>
      <c r="AF153" s="161"/>
      <c r="AG153" s="161"/>
      <c r="AH153" s="161"/>
      <c r="AI153" s="161"/>
      <c r="AJ153" s="161"/>
      <c r="AK153" s="161"/>
      <c r="AL153" s="161"/>
      <c r="AM153" s="161"/>
      <c r="AN153" s="161"/>
      <c r="AO153" s="161"/>
      <c r="AP153" s="161"/>
      <c r="AQ153" s="161"/>
      <c r="AR153" s="161"/>
      <c r="AS153" s="161"/>
    </row>
    <row r="154" spans="4:45" ht="20" customHeight="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161"/>
      <c r="AO154" s="161"/>
      <c r="AP154" s="161"/>
      <c r="AQ154" s="161"/>
      <c r="AR154" s="161"/>
      <c r="AS154" s="161"/>
    </row>
    <row r="155" spans="4:45" ht="20" customHeight="1">
      <c r="D155" s="161"/>
      <c r="E155" s="161"/>
      <c r="F155" s="161"/>
      <c r="G155" s="161"/>
      <c r="H155" s="161"/>
      <c r="I155" s="161"/>
      <c r="J155" s="161"/>
      <c r="K155" s="161"/>
      <c r="L155" s="161"/>
      <c r="M155" s="161"/>
      <c r="N155" s="161"/>
      <c r="O155" s="161"/>
      <c r="P155" s="161"/>
      <c r="Q155" s="161"/>
      <c r="R155" s="161"/>
      <c r="S155" s="161"/>
      <c r="T155" s="161"/>
      <c r="U155" s="161"/>
      <c r="V155" s="161"/>
      <c r="W155" s="161"/>
      <c r="X155" s="161"/>
      <c r="Y155" s="161"/>
      <c r="Z155" s="161"/>
      <c r="AA155" s="161"/>
      <c r="AB155" s="161"/>
      <c r="AC155" s="161"/>
      <c r="AD155" s="161"/>
      <c r="AE155" s="161"/>
      <c r="AF155" s="161"/>
      <c r="AG155" s="161"/>
      <c r="AH155" s="161"/>
      <c r="AI155" s="161"/>
      <c r="AJ155" s="161"/>
      <c r="AK155" s="161"/>
      <c r="AL155" s="161"/>
      <c r="AM155" s="161"/>
      <c r="AN155" s="161"/>
      <c r="AO155" s="161"/>
      <c r="AP155" s="161"/>
      <c r="AQ155" s="161"/>
      <c r="AR155" s="161"/>
      <c r="AS155" s="161"/>
    </row>
    <row r="156" spans="4:45" ht="20" customHeight="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161"/>
      <c r="AO156" s="161"/>
      <c r="AP156" s="161"/>
      <c r="AQ156" s="161"/>
      <c r="AR156" s="161"/>
      <c r="AS156" s="161"/>
    </row>
    <row r="157" spans="4:45" ht="20" customHeight="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161"/>
      <c r="AO157" s="161"/>
      <c r="AP157" s="161"/>
      <c r="AQ157" s="161"/>
      <c r="AR157" s="161"/>
      <c r="AS157" s="161"/>
    </row>
    <row r="158" spans="4:45" ht="20" customHeight="1">
      <c r="D158" s="161"/>
      <c r="E158" s="161"/>
      <c r="F158" s="161"/>
      <c r="G158" s="161"/>
      <c r="H158" s="161"/>
      <c r="I158" s="161"/>
      <c r="J158" s="161"/>
      <c r="K158" s="161"/>
      <c r="L158" s="161"/>
      <c r="M158" s="161"/>
      <c r="N158" s="161"/>
      <c r="O158" s="161"/>
      <c r="P158" s="161"/>
      <c r="Q158" s="161"/>
      <c r="R158" s="161"/>
      <c r="S158" s="161"/>
      <c r="T158" s="161"/>
      <c r="U158" s="161"/>
      <c r="V158" s="161"/>
      <c r="W158" s="161"/>
      <c r="X158" s="161"/>
      <c r="Y158" s="161"/>
      <c r="Z158" s="161"/>
      <c r="AA158" s="161"/>
      <c r="AB158" s="161"/>
      <c r="AC158" s="161"/>
      <c r="AD158" s="161"/>
      <c r="AE158" s="161"/>
      <c r="AF158" s="161"/>
      <c r="AG158" s="161"/>
      <c r="AH158" s="161"/>
      <c r="AI158" s="161"/>
      <c r="AJ158" s="161"/>
      <c r="AK158" s="161"/>
      <c r="AL158" s="161"/>
      <c r="AM158" s="161"/>
      <c r="AN158" s="161"/>
      <c r="AO158" s="161"/>
      <c r="AP158" s="161"/>
      <c r="AQ158" s="161"/>
      <c r="AR158" s="161"/>
      <c r="AS158" s="161"/>
    </row>
    <row r="159" spans="4:45" ht="20" customHeight="1">
      <c r="D159" s="161"/>
      <c r="E159" s="161"/>
      <c r="F159" s="161"/>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c r="AO159" s="161"/>
      <c r="AP159" s="161"/>
      <c r="AQ159" s="161"/>
      <c r="AR159" s="161"/>
      <c r="AS159" s="161"/>
    </row>
    <row r="160" spans="4:45" ht="20" customHeight="1">
      <c r="D160" s="161"/>
      <c r="E160" s="161"/>
      <c r="F160" s="161"/>
      <c r="G160" s="161"/>
      <c r="H160" s="161"/>
      <c r="I160" s="161"/>
      <c r="J160" s="161"/>
      <c r="K160" s="161"/>
      <c r="L160" s="161"/>
      <c r="M160" s="161"/>
      <c r="N160" s="161"/>
      <c r="O160" s="161"/>
      <c r="P160" s="161"/>
      <c r="Q160" s="161"/>
      <c r="R160" s="161"/>
      <c r="S160" s="161"/>
      <c r="T160" s="161"/>
      <c r="U160" s="161"/>
      <c r="V160" s="161"/>
      <c r="W160" s="161"/>
      <c r="X160" s="161"/>
      <c r="Y160" s="161"/>
      <c r="Z160" s="161"/>
      <c r="AA160" s="161"/>
      <c r="AB160" s="161"/>
      <c r="AC160" s="161"/>
      <c r="AD160" s="161"/>
      <c r="AE160" s="161"/>
      <c r="AF160" s="161"/>
      <c r="AG160" s="161"/>
      <c r="AH160" s="161"/>
      <c r="AI160" s="161"/>
      <c r="AJ160" s="161"/>
      <c r="AK160" s="161"/>
      <c r="AL160" s="161"/>
      <c r="AM160" s="161"/>
      <c r="AN160" s="161"/>
      <c r="AO160" s="161"/>
      <c r="AP160" s="161"/>
      <c r="AQ160" s="161"/>
      <c r="AR160" s="161"/>
      <c r="AS160" s="161"/>
    </row>
    <row r="161" spans="4:45" ht="20" customHeight="1">
      <c r="D161" s="161"/>
      <c r="E161" s="161"/>
      <c r="F161" s="161"/>
      <c r="G161" s="161"/>
      <c r="H161" s="161"/>
      <c r="I161" s="161"/>
      <c r="J161" s="161"/>
      <c r="K161" s="161"/>
      <c r="L161" s="161"/>
      <c r="M161" s="161"/>
      <c r="N161" s="161"/>
      <c r="O161" s="161"/>
      <c r="P161" s="161"/>
      <c r="Q161" s="161"/>
      <c r="R161" s="161"/>
      <c r="S161" s="161"/>
      <c r="T161" s="161"/>
      <c r="U161" s="161"/>
      <c r="V161" s="161"/>
      <c r="W161" s="161"/>
      <c r="X161" s="161"/>
      <c r="Y161" s="161"/>
      <c r="Z161" s="161"/>
      <c r="AA161" s="161"/>
      <c r="AB161" s="161"/>
      <c r="AC161" s="161"/>
      <c r="AD161" s="161"/>
      <c r="AE161" s="161"/>
      <c r="AF161" s="161"/>
      <c r="AG161" s="161"/>
      <c r="AH161" s="161"/>
      <c r="AI161" s="161"/>
      <c r="AJ161" s="161"/>
      <c r="AK161" s="161"/>
      <c r="AL161" s="161"/>
      <c r="AM161" s="161"/>
      <c r="AN161" s="161"/>
      <c r="AO161" s="161"/>
      <c r="AP161" s="161"/>
      <c r="AQ161" s="161"/>
      <c r="AR161" s="161"/>
      <c r="AS161" s="161"/>
    </row>
    <row r="162" spans="4:45" ht="20" customHeight="1">
      <c r="D162" s="161"/>
      <c r="E162" s="161"/>
      <c r="F162" s="161"/>
      <c r="G162" s="161"/>
      <c r="H162" s="161"/>
      <c r="I162" s="161"/>
      <c r="J162" s="161"/>
      <c r="K162" s="161"/>
      <c r="L162" s="161"/>
      <c r="M162" s="161"/>
      <c r="N162" s="161"/>
      <c r="O162" s="161"/>
      <c r="P162" s="161"/>
      <c r="Q162" s="161"/>
      <c r="R162" s="161"/>
      <c r="S162" s="161"/>
      <c r="T162" s="161"/>
      <c r="U162" s="161"/>
      <c r="V162" s="161"/>
      <c r="W162" s="161"/>
      <c r="X162" s="161"/>
      <c r="Y162" s="161"/>
      <c r="Z162" s="161"/>
      <c r="AA162" s="161"/>
      <c r="AB162" s="161"/>
      <c r="AC162" s="161"/>
      <c r="AD162" s="161"/>
      <c r="AE162" s="161"/>
      <c r="AF162" s="161"/>
      <c r="AG162" s="161"/>
      <c r="AH162" s="161"/>
      <c r="AI162" s="161"/>
      <c r="AJ162" s="161"/>
      <c r="AK162" s="161"/>
      <c r="AL162" s="161"/>
      <c r="AM162" s="161"/>
      <c r="AN162" s="161"/>
      <c r="AO162" s="161"/>
      <c r="AP162" s="161"/>
      <c r="AQ162" s="161"/>
      <c r="AR162" s="161"/>
      <c r="AS162" s="161"/>
    </row>
    <row r="163" spans="4:45" ht="20" customHeight="1">
      <c r="D163" s="161"/>
      <c r="E163" s="161"/>
      <c r="F163" s="161"/>
      <c r="G163" s="161"/>
      <c r="H163" s="161"/>
      <c r="I163" s="161"/>
      <c r="J163" s="161"/>
      <c r="K163" s="161"/>
      <c r="L163" s="161"/>
      <c r="M163" s="161"/>
      <c r="N163" s="161"/>
      <c r="O163" s="161"/>
      <c r="P163" s="161"/>
      <c r="Q163" s="161"/>
      <c r="R163" s="161"/>
      <c r="S163" s="161"/>
      <c r="T163" s="161"/>
      <c r="U163" s="161"/>
      <c r="V163" s="161"/>
      <c r="W163" s="161"/>
      <c r="X163" s="161"/>
      <c r="Y163" s="161"/>
      <c r="Z163" s="161"/>
      <c r="AA163" s="161"/>
      <c r="AB163" s="161"/>
      <c r="AC163" s="161"/>
      <c r="AD163" s="161"/>
      <c r="AE163" s="161"/>
      <c r="AF163" s="161"/>
      <c r="AG163" s="161"/>
      <c r="AH163" s="161"/>
      <c r="AI163" s="161"/>
      <c r="AJ163" s="161"/>
      <c r="AK163" s="161"/>
      <c r="AL163" s="161"/>
      <c r="AM163" s="161"/>
      <c r="AN163" s="161"/>
      <c r="AO163" s="161"/>
      <c r="AP163" s="161"/>
      <c r="AQ163" s="161"/>
      <c r="AR163" s="161"/>
      <c r="AS163" s="161"/>
    </row>
    <row r="164" spans="4:45" ht="20" customHeight="1">
      <c r="D164" s="161"/>
      <c r="E164" s="161"/>
      <c r="F164" s="161"/>
      <c r="G164" s="161"/>
      <c r="H164" s="161"/>
      <c r="I164" s="161"/>
      <c r="J164" s="161"/>
      <c r="K164" s="161"/>
      <c r="L164" s="161"/>
      <c r="M164" s="161"/>
      <c r="N164" s="161"/>
      <c r="O164" s="161"/>
      <c r="P164" s="161"/>
      <c r="Q164" s="161"/>
      <c r="R164" s="161"/>
      <c r="S164" s="161"/>
      <c r="T164" s="161"/>
      <c r="U164" s="161"/>
      <c r="V164" s="161"/>
      <c r="W164" s="161"/>
      <c r="X164" s="161"/>
      <c r="Y164" s="161"/>
      <c r="Z164" s="161"/>
      <c r="AA164" s="161"/>
      <c r="AB164" s="161"/>
      <c r="AC164" s="161"/>
      <c r="AD164" s="161"/>
      <c r="AE164" s="161"/>
      <c r="AF164" s="161"/>
      <c r="AG164" s="161"/>
      <c r="AH164" s="161"/>
      <c r="AI164" s="161"/>
      <c r="AJ164" s="161"/>
      <c r="AK164" s="161"/>
      <c r="AL164" s="161"/>
      <c r="AM164" s="161"/>
      <c r="AN164" s="161"/>
      <c r="AO164" s="161"/>
      <c r="AP164" s="161"/>
      <c r="AQ164" s="161"/>
      <c r="AR164" s="161"/>
      <c r="AS164" s="161"/>
    </row>
    <row r="165" spans="4:45" ht="20" customHeight="1">
      <c r="D165" s="161"/>
      <c r="E165" s="161"/>
      <c r="F165" s="161"/>
      <c r="G165" s="161"/>
      <c r="H165" s="161"/>
      <c r="I165" s="161"/>
      <c r="J165" s="161"/>
      <c r="K165" s="161"/>
      <c r="L165" s="161"/>
      <c r="M165" s="161"/>
      <c r="N165" s="161"/>
      <c r="O165" s="161"/>
      <c r="P165" s="161"/>
      <c r="Q165" s="161"/>
      <c r="R165" s="161"/>
      <c r="S165" s="161"/>
      <c r="T165" s="161"/>
      <c r="U165" s="161"/>
      <c r="V165" s="161"/>
      <c r="W165" s="161"/>
      <c r="X165" s="161"/>
      <c r="Y165" s="161"/>
      <c r="Z165" s="161"/>
      <c r="AA165" s="161"/>
      <c r="AB165" s="161"/>
      <c r="AC165" s="161"/>
      <c r="AD165" s="161"/>
      <c r="AE165" s="161"/>
      <c r="AF165" s="161"/>
      <c r="AG165" s="161"/>
      <c r="AH165" s="161"/>
      <c r="AI165" s="161"/>
      <c r="AJ165" s="161"/>
      <c r="AK165" s="161"/>
      <c r="AL165" s="161"/>
      <c r="AM165" s="161"/>
      <c r="AN165" s="161"/>
      <c r="AO165" s="161"/>
      <c r="AP165" s="161"/>
      <c r="AQ165" s="161"/>
      <c r="AR165" s="161"/>
      <c r="AS165" s="161"/>
    </row>
    <row r="166" spans="4:45" ht="20" customHeight="1">
      <c r="D166" s="161"/>
      <c r="E166" s="161"/>
      <c r="F166" s="161"/>
      <c r="G166" s="161"/>
      <c r="H166" s="161"/>
      <c r="I166" s="161"/>
      <c r="J166" s="161"/>
      <c r="K166" s="161"/>
      <c r="L166" s="161"/>
      <c r="M166" s="161"/>
      <c r="N166" s="161"/>
      <c r="O166" s="161"/>
      <c r="P166" s="161"/>
      <c r="Q166" s="161"/>
      <c r="R166" s="161"/>
      <c r="S166" s="161"/>
      <c r="T166" s="161"/>
      <c r="U166" s="161"/>
      <c r="V166" s="161"/>
      <c r="W166" s="161"/>
      <c r="X166" s="161"/>
      <c r="Y166" s="161"/>
      <c r="Z166" s="161"/>
      <c r="AA166" s="161"/>
      <c r="AB166" s="161"/>
      <c r="AC166" s="161"/>
      <c r="AD166" s="161"/>
      <c r="AE166" s="161"/>
      <c r="AF166" s="161"/>
      <c r="AG166" s="161"/>
      <c r="AH166" s="161"/>
      <c r="AI166" s="161"/>
      <c r="AJ166" s="161"/>
      <c r="AK166" s="161"/>
      <c r="AL166" s="161"/>
      <c r="AM166" s="161"/>
      <c r="AN166" s="161"/>
      <c r="AO166" s="161"/>
      <c r="AP166" s="161"/>
      <c r="AQ166" s="161"/>
      <c r="AR166" s="161"/>
      <c r="AS166" s="161"/>
    </row>
    <row r="167" spans="4:45" ht="20" customHeight="1">
      <c r="D167" s="161"/>
      <c r="E167" s="161"/>
      <c r="F167" s="161"/>
      <c r="G167" s="161"/>
      <c r="H167" s="161"/>
      <c r="I167" s="161"/>
      <c r="J167" s="161"/>
      <c r="K167" s="161"/>
      <c r="L167" s="161"/>
      <c r="M167" s="161"/>
      <c r="N167" s="161"/>
      <c r="O167" s="161"/>
      <c r="P167" s="161"/>
      <c r="Q167" s="161"/>
      <c r="R167" s="161"/>
      <c r="S167" s="161"/>
      <c r="T167" s="161"/>
      <c r="U167" s="161"/>
      <c r="V167" s="161"/>
      <c r="W167" s="161"/>
      <c r="X167" s="161"/>
      <c r="Y167" s="161"/>
      <c r="Z167" s="161"/>
      <c r="AA167" s="161"/>
      <c r="AB167" s="161"/>
      <c r="AC167" s="161"/>
      <c r="AD167" s="161"/>
      <c r="AE167" s="161"/>
      <c r="AF167" s="161"/>
      <c r="AG167" s="161"/>
      <c r="AH167" s="161"/>
      <c r="AI167" s="161"/>
      <c r="AJ167" s="161"/>
      <c r="AK167" s="161"/>
      <c r="AL167" s="161"/>
      <c r="AM167" s="161"/>
      <c r="AN167" s="161"/>
      <c r="AO167" s="161"/>
      <c r="AP167" s="161"/>
      <c r="AQ167" s="161"/>
      <c r="AR167" s="161"/>
      <c r="AS167" s="161"/>
    </row>
    <row r="168" spans="4:45" ht="20" customHeight="1">
      <c r="D168" s="161"/>
      <c r="E168" s="161"/>
      <c r="F168" s="161"/>
      <c r="G168" s="161"/>
      <c r="H168" s="161"/>
      <c r="I168" s="161"/>
      <c r="J168" s="161"/>
      <c r="K168" s="161"/>
      <c r="L168" s="161"/>
      <c r="M168" s="161"/>
      <c r="N168" s="161"/>
      <c r="O168" s="161"/>
      <c r="P168" s="161"/>
      <c r="Q168" s="161"/>
      <c r="R168" s="161"/>
      <c r="S168" s="161"/>
      <c r="T168" s="161"/>
      <c r="U168" s="161"/>
      <c r="V168" s="161"/>
      <c r="W168" s="161"/>
      <c r="X168" s="161"/>
      <c r="Y168" s="161"/>
      <c r="Z168" s="161"/>
      <c r="AA168" s="161"/>
      <c r="AB168" s="161"/>
      <c r="AC168" s="161"/>
      <c r="AD168" s="161"/>
      <c r="AE168" s="161"/>
      <c r="AF168" s="161"/>
      <c r="AG168" s="161"/>
      <c r="AH168" s="161"/>
      <c r="AI168" s="161"/>
      <c r="AJ168" s="161"/>
      <c r="AK168" s="161"/>
      <c r="AL168" s="161"/>
      <c r="AM168" s="161"/>
      <c r="AN168" s="161"/>
      <c r="AO168" s="161"/>
      <c r="AP168" s="161"/>
      <c r="AQ168" s="161"/>
      <c r="AR168" s="161"/>
      <c r="AS168" s="161"/>
    </row>
    <row r="169" spans="4:45" ht="20" customHeight="1">
      <c r="D169" s="161"/>
      <c r="E169" s="161"/>
      <c r="F169" s="161"/>
      <c r="G169" s="161"/>
      <c r="H169" s="161"/>
      <c r="I169" s="161"/>
      <c r="J169" s="161"/>
      <c r="K169" s="161"/>
      <c r="L169" s="161"/>
      <c r="M169" s="161"/>
      <c r="N169" s="161"/>
      <c r="O169" s="161"/>
      <c r="P169" s="161"/>
      <c r="Q169" s="161"/>
      <c r="R169" s="161"/>
      <c r="S169" s="161"/>
      <c r="T169" s="161"/>
      <c r="U169" s="161"/>
      <c r="V169" s="161"/>
      <c r="W169" s="161"/>
      <c r="X169" s="161"/>
      <c r="Y169" s="161"/>
      <c r="Z169" s="161"/>
      <c r="AA169" s="161"/>
      <c r="AB169" s="161"/>
      <c r="AC169" s="161"/>
      <c r="AD169" s="161"/>
      <c r="AE169" s="161"/>
      <c r="AF169" s="161"/>
      <c r="AG169" s="161"/>
      <c r="AH169" s="161"/>
      <c r="AI169" s="161"/>
      <c r="AJ169" s="161"/>
      <c r="AK169" s="161"/>
      <c r="AL169" s="161"/>
      <c r="AM169" s="161"/>
      <c r="AN169" s="161"/>
      <c r="AO169" s="161"/>
      <c r="AP169" s="161"/>
      <c r="AQ169" s="161"/>
      <c r="AR169" s="161"/>
      <c r="AS169" s="161"/>
    </row>
    <row r="170" spans="4:45" ht="20" customHeight="1">
      <c r="D170" s="161"/>
      <c r="E170" s="161"/>
      <c r="F170" s="161"/>
      <c r="G170" s="161"/>
      <c r="H170" s="161"/>
      <c r="I170" s="161"/>
      <c r="J170" s="161"/>
      <c r="K170" s="161"/>
      <c r="L170" s="161"/>
      <c r="M170" s="161"/>
      <c r="N170" s="161"/>
      <c r="O170" s="161"/>
      <c r="P170" s="161"/>
      <c r="Q170" s="161"/>
      <c r="R170" s="161"/>
      <c r="S170" s="161"/>
      <c r="T170" s="161"/>
      <c r="U170" s="161"/>
      <c r="V170" s="161"/>
      <c r="W170" s="161"/>
      <c r="X170" s="161"/>
      <c r="Y170" s="161"/>
      <c r="Z170" s="161"/>
      <c r="AA170" s="161"/>
      <c r="AB170" s="161"/>
      <c r="AC170" s="161"/>
      <c r="AD170" s="161"/>
      <c r="AE170" s="161"/>
      <c r="AF170" s="161"/>
      <c r="AG170" s="161"/>
      <c r="AH170" s="161"/>
      <c r="AI170" s="161"/>
      <c r="AJ170" s="161"/>
      <c r="AK170" s="161"/>
      <c r="AL170" s="161"/>
      <c r="AM170" s="161"/>
      <c r="AN170" s="161"/>
      <c r="AO170" s="161"/>
      <c r="AP170" s="161"/>
      <c r="AQ170" s="161"/>
      <c r="AR170" s="161"/>
      <c r="AS170" s="161"/>
    </row>
    <row r="171" spans="4:45" ht="20" customHeight="1">
      <c r="D171" s="161"/>
      <c r="E171" s="161"/>
      <c r="F171" s="161"/>
      <c r="G171" s="161"/>
      <c r="H171" s="161"/>
      <c r="I171" s="161"/>
      <c r="J171" s="161"/>
      <c r="K171" s="161"/>
      <c r="L171" s="161"/>
      <c r="M171" s="161"/>
      <c r="N171" s="161"/>
      <c r="O171" s="161"/>
      <c r="P171" s="161"/>
      <c r="Q171" s="161"/>
      <c r="R171" s="161"/>
      <c r="S171" s="161"/>
      <c r="T171" s="161"/>
      <c r="U171" s="161"/>
      <c r="V171" s="161"/>
      <c r="W171" s="161"/>
      <c r="X171" s="161"/>
      <c r="Y171" s="161"/>
      <c r="Z171" s="161"/>
      <c r="AA171" s="161"/>
      <c r="AB171" s="161"/>
      <c r="AC171" s="161"/>
      <c r="AD171" s="161"/>
      <c r="AE171" s="161"/>
      <c r="AF171" s="161"/>
      <c r="AG171" s="161"/>
      <c r="AH171" s="161"/>
      <c r="AI171" s="161"/>
      <c r="AJ171" s="161"/>
      <c r="AK171" s="161"/>
      <c r="AL171" s="161"/>
      <c r="AM171" s="161"/>
      <c r="AN171" s="161"/>
      <c r="AO171" s="161"/>
      <c r="AP171" s="161"/>
      <c r="AQ171" s="161"/>
      <c r="AR171" s="161"/>
      <c r="AS171" s="161"/>
    </row>
    <row r="172" spans="4:45" ht="20" customHeight="1"/>
    <row r="173" spans="4:45" ht="20" customHeight="1"/>
    <row r="174" spans="4:45" ht="20" customHeight="1"/>
    <row r="175" spans="4:45" ht="20" customHeight="1"/>
    <row r="176" spans="4:45" ht="20" customHeight="1"/>
    <row r="177" ht="20" customHeight="1"/>
    <row r="178" ht="20" customHeight="1"/>
    <row r="179" ht="20" customHeight="1"/>
    <row r="180" ht="20" customHeight="1"/>
    <row r="181" ht="20" customHeight="1"/>
    <row r="182" ht="20" customHeight="1"/>
    <row r="183" ht="20" customHeight="1"/>
    <row r="184" ht="20" customHeight="1"/>
    <row r="185" ht="20" customHeight="1"/>
    <row r="186" ht="20" customHeight="1"/>
    <row r="187" ht="20" customHeight="1"/>
    <row r="188" ht="20" customHeight="1"/>
    <row r="189" ht="20" customHeight="1"/>
    <row r="190" ht="20" customHeight="1"/>
    <row r="191" ht="20" customHeight="1"/>
    <row r="192" ht="20" customHeight="1"/>
    <row r="193" ht="20" customHeight="1"/>
    <row r="194" ht="20" customHeight="1"/>
    <row r="195" ht="20" customHeight="1"/>
    <row r="196" ht="20" customHeight="1"/>
    <row r="197" ht="20" customHeight="1"/>
    <row r="198" ht="20" customHeight="1"/>
    <row r="199" ht="20" customHeight="1"/>
    <row r="200" ht="20" customHeight="1"/>
    <row r="201" ht="20" customHeight="1"/>
    <row r="202" ht="20" customHeight="1"/>
    <row r="203" ht="20" customHeight="1"/>
    <row r="204" ht="20" customHeight="1"/>
    <row r="205" ht="20" customHeight="1"/>
    <row r="206" ht="20" customHeight="1"/>
    <row r="207" ht="20" customHeight="1"/>
    <row r="208" ht="20" customHeight="1"/>
    <row r="209" ht="20" customHeight="1"/>
    <row r="210" ht="20" customHeight="1"/>
    <row r="211" ht="20" customHeight="1"/>
    <row r="212" ht="20" customHeight="1"/>
    <row r="213" ht="20" customHeight="1"/>
    <row r="214" ht="20" customHeight="1"/>
    <row r="215" ht="20" customHeight="1"/>
    <row r="216" ht="20" customHeight="1"/>
    <row r="217" ht="20" customHeight="1"/>
    <row r="218" ht="20" customHeight="1"/>
    <row r="219" ht="20" customHeight="1"/>
    <row r="220" ht="20" customHeight="1"/>
    <row r="221" ht="20" customHeight="1"/>
    <row r="222" ht="20" customHeight="1"/>
    <row r="223" ht="20" customHeight="1"/>
    <row r="224" ht="20" customHeight="1"/>
    <row r="225" ht="20" customHeight="1"/>
    <row r="226" ht="20" customHeight="1"/>
    <row r="227" ht="20" customHeight="1"/>
    <row r="228" ht="20" customHeight="1"/>
    <row r="229" ht="20" customHeight="1"/>
    <row r="230" ht="20" customHeight="1"/>
    <row r="231" ht="20" customHeight="1"/>
    <row r="232" ht="20" customHeight="1"/>
  </sheetData>
  <sheetProtection sheet="1" objects="1" scenarios="1"/>
  <customSheetViews>
    <customSheetView guid="{B4419C5D-1877-4ABB-A46F-9E0AFFC75B59}" scale="85" showGridLines="0" fitToPage="1" hiddenColumns="1" state="hidden">
      <pane xSplit="2" ySplit="4" topLeftCell="C32" activePane="bottomRight" state="frozen"/>
      <selection pane="bottomRight" activeCell="D51" sqref="D51:E51"/>
      <pageMargins left="0.7" right="0.7" top="0.75" bottom="0.75" header="0.3" footer="0.3"/>
      <pageSetup scale="41" fitToHeight="0" orientation="landscape" r:id="rId1"/>
    </customSheetView>
  </customSheetViews>
  <mergeCells count="62">
    <mergeCell ref="L52:M52"/>
    <mergeCell ref="AF4:AG4"/>
    <mergeCell ref="AH4:AI4"/>
    <mergeCell ref="A54:A55"/>
    <mergeCell ref="AJ52:AK52"/>
    <mergeCell ref="N52:O52"/>
    <mergeCell ref="P52:Q52"/>
    <mergeCell ref="R52:S52"/>
    <mergeCell ref="T52:U52"/>
    <mergeCell ref="V52:W52"/>
    <mergeCell ref="X52:Y52"/>
    <mergeCell ref="D52:E52"/>
    <mergeCell ref="F52:G52"/>
    <mergeCell ref="H52:I52"/>
    <mergeCell ref="J52:K52"/>
    <mergeCell ref="Z52:AA52"/>
    <mergeCell ref="AB52:AC52"/>
    <mergeCell ref="AL52:AM52"/>
    <mergeCell ref="AN52:AO52"/>
    <mergeCell ref="AP52:AQ52"/>
    <mergeCell ref="AR52:AS52"/>
    <mergeCell ref="AD52:AE52"/>
    <mergeCell ref="AF52:AG52"/>
    <mergeCell ref="AH52:AI52"/>
    <mergeCell ref="Z51:AA51"/>
    <mergeCell ref="AB51:AC51"/>
    <mergeCell ref="AD51:AE51"/>
    <mergeCell ref="AF51:AG51"/>
    <mergeCell ref="AH51:AI51"/>
    <mergeCell ref="X51:Y51"/>
    <mergeCell ref="A12:A50"/>
    <mergeCell ref="D51:E51"/>
    <mergeCell ref="F51:G51"/>
    <mergeCell ref="H51:I51"/>
    <mergeCell ref="J51:K51"/>
    <mergeCell ref="L51:M51"/>
    <mergeCell ref="N51:O51"/>
    <mergeCell ref="P51:Q51"/>
    <mergeCell ref="R51:S51"/>
    <mergeCell ref="T51:U51"/>
    <mergeCell ref="V51:W51"/>
    <mergeCell ref="A5:A10"/>
    <mergeCell ref="P4:Q4"/>
    <mergeCell ref="R4:S4"/>
    <mergeCell ref="T4:U4"/>
    <mergeCell ref="V4:W4"/>
    <mergeCell ref="AB4:AC4"/>
    <mergeCell ref="AL3:AS3"/>
    <mergeCell ref="D3:M3"/>
    <mergeCell ref="N3:U3"/>
    <mergeCell ref="V3:AA3"/>
    <mergeCell ref="AB3:AI3"/>
    <mergeCell ref="AJ3:AK3"/>
    <mergeCell ref="X4:Y4"/>
    <mergeCell ref="Z4:AA4"/>
    <mergeCell ref="D4:E4"/>
    <mergeCell ref="F4:G4"/>
    <mergeCell ref="H4:I4"/>
    <mergeCell ref="J4:K4"/>
    <mergeCell ref="L4:M4"/>
    <mergeCell ref="N4:O4"/>
    <mergeCell ref="AD4:AE4"/>
  </mergeCells>
  <conditionalFormatting sqref="A54:A55">
    <cfRule type="cellIs" dxfId="1072" priority="120" operator="between">
      <formula>99.01</formula>
      <formula>100</formula>
    </cfRule>
    <cfRule type="cellIs" dxfId="1071" priority="121" operator="between">
      <formula>90.01</formula>
      <formula>99</formula>
    </cfRule>
    <cfRule type="cellIs" dxfId="1070" priority="122" operator="between">
      <formula>85.01</formula>
      <formula>90</formula>
    </cfRule>
    <cfRule type="cellIs" dxfId="1069" priority="123" operator="lessThanOrEqual">
      <formula>85</formula>
    </cfRule>
  </conditionalFormatting>
  <conditionalFormatting sqref="D4 F4 H4 J4 L4 N4 P4 R4 T4 V4 AF4 AH4">
    <cfRule type="cellIs" dxfId="1068" priority="103" operator="equal">
      <formula>4.4</formula>
    </cfRule>
    <cfRule type="cellIs" dxfId="1067" priority="104" operator="equal">
      <formula>4.3</formula>
    </cfRule>
    <cfRule type="cellIs" dxfId="1066" priority="105" operator="equal">
      <formula>4.2</formula>
    </cfRule>
    <cfRule type="cellIs" dxfId="1065" priority="106" operator="equal">
      <formula>4.1</formula>
    </cfRule>
    <cfRule type="cellIs" dxfId="1064" priority="107" operator="equal">
      <formula>3.4</formula>
    </cfRule>
    <cfRule type="cellIs" dxfId="1063" priority="108" operator="equal">
      <formula>3.3</formula>
    </cfRule>
    <cfRule type="cellIs" dxfId="1062" priority="109" operator="equal">
      <formula>3.2</formula>
    </cfRule>
    <cfRule type="cellIs" dxfId="1061" priority="110" operator="equal">
      <formula>3.1</formula>
    </cfRule>
    <cfRule type="cellIs" dxfId="1060" priority="111" operator="equal">
      <formula>2.4</formula>
    </cfRule>
    <cfRule type="cellIs" dxfId="1059" priority="112" operator="equal">
      <formula>2.3</formula>
    </cfRule>
    <cfRule type="cellIs" dxfId="1058" priority="113" operator="equal">
      <formula>2.2</formula>
    </cfRule>
    <cfRule type="cellIs" dxfId="1057" priority="114" operator="equal">
      <formula>2.1</formula>
    </cfRule>
    <cfRule type="cellIs" dxfId="1056" priority="115" operator="equal">
      <formula>1.5</formula>
    </cfRule>
    <cfRule type="cellIs" dxfId="1055" priority="116" operator="equal">
      <formula>1.4</formula>
    </cfRule>
    <cfRule type="cellIs" dxfId="1054" priority="117" operator="equal">
      <formula>1.3</formula>
    </cfRule>
    <cfRule type="cellIs" dxfId="1053" priority="118" operator="equal">
      <formula>1.2</formula>
    </cfRule>
    <cfRule type="containsText" dxfId="1052" priority="119" operator="containsText" text="1.1">
      <formula>NOT(ISERROR(SEARCH("1.1",D4)))</formula>
    </cfRule>
  </conditionalFormatting>
  <conditionalFormatting sqref="X4">
    <cfRule type="cellIs" dxfId="1051" priority="69" operator="equal">
      <formula>4.4</formula>
    </cfRule>
    <cfRule type="cellIs" dxfId="1050" priority="70" operator="equal">
      <formula>4.3</formula>
    </cfRule>
    <cfRule type="cellIs" dxfId="1049" priority="71" operator="equal">
      <formula>4.2</formula>
    </cfRule>
    <cfRule type="cellIs" dxfId="1048" priority="72" operator="equal">
      <formula>4.1</formula>
    </cfRule>
    <cfRule type="cellIs" dxfId="1047" priority="73" operator="equal">
      <formula>3.4</formula>
    </cfRule>
    <cfRule type="cellIs" dxfId="1046" priority="74" operator="equal">
      <formula>3.3</formula>
    </cfRule>
    <cfRule type="cellIs" dxfId="1045" priority="75" operator="equal">
      <formula>3.2</formula>
    </cfRule>
    <cfRule type="cellIs" dxfId="1044" priority="76" operator="equal">
      <formula>3.1</formula>
    </cfRule>
    <cfRule type="cellIs" dxfId="1043" priority="77" operator="equal">
      <formula>2.4</formula>
    </cfRule>
    <cfRule type="cellIs" dxfId="1042" priority="78" operator="equal">
      <formula>2.3</formula>
    </cfRule>
    <cfRule type="cellIs" dxfId="1041" priority="79" operator="equal">
      <formula>2.2</formula>
    </cfRule>
    <cfRule type="cellIs" dxfId="1040" priority="80" operator="equal">
      <formula>2.1</formula>
    </cfRule>
    <cfRule type="cellIs" dxfId="1039" priority="81" operator="equal">
      <formula>1.5</formula>
    </cfRule>
    <cfRule type="cellIs" dxfId="1038" priority="82" operator="equal">
      <formula>1.4</formula>
    </cfRule>
    <cfRule type="cellIs" dxfId="1037" priority="83" operator="equal">
      <formula>1.3</formula>
    </cfRule>
    <cfRule type="cellIs" dxfId="1036" priority="84" operator="equal">
      <formula>1.2</formula>
    </cfRule>
    <cfRule type="containsText" dxfId="1035" priority="85" operator="containsText" text="1.1">
      <formula>NOT(ISERROR(SEARCH("1.1",X4)))</formula>
    </cfRule>
  </conditionalFormatting>
  <conditionalFormatting sqref="Z4">
    <cfRule type="cellIs" dxfId="1034" priority="86" operator="equal">
      <formula>4.4</formula>
    </cfRule>
    <cfRule type="cellIs" dxfId="1033" priority="87" operator="equal">
      <formula>4.3</formula>
    </cfRule>
    <cfRule type="cellIs" dxfId="1032" priority="88" operator="equal">
      <formula>4.2</formula>
    </cfRule>
    <cfRule type="cellIs" dxfId="1031" priority="89" operator="equal">
      <formula>4.1</formula>
    </cfRule>
    <cfRule type="cellIs" dxfId="1030" priority="90" operator="equal">
      <formula>3.4</formula>
    </cfRule>
    <cfRule type="cellIs" dxfId="1029" priority="91" operator="equal">
      <formula>3.3</formula>
    </cfRule>
    <cfRule type="cellIs" dxfId="1028" priority="92" operator="equal">
      <formula>3.2</formula>
    </cfRule>
    <cfRule type="cellIs" dxfId="1027" priority="93" operator="equal">
      <formula>3.1</formula>
    </cfRule>
    <cfRule type="cellIs" dxfId="1026" priority="94" operator="equal">
      <formula>2.4</formula>
    </cfRule>
    <cfRule type="cellIs" dxfId="1025" priority="95" operator="equal">
      <formula>2.3</formula>
    </cfRule>
    <cfRule type="cellIs" dxfId="1024" priority="96" operator="equal">
      <formula>2.2</formula>
    </cfRule>
    <cfRule type="cellIs" dxfId="1023" priority="97" operator="equal">
      <formula>2.1</formula>
    </cfRule>
    <cfRule type="cellIs" dxfId="1022" priority="98" operator="equal">
      <formula>1.5</formula>
    </cfRule>
    <cfRule type="cellIs" dxfId="1021" priority="99" operator="equal">
      <formula>1.4</formula>
    </cfRule>
    <cfRule type="cellIs" dxfId="1020" priority="100" operator="equal">
      <formula>1.3</formula>
    </cfRule>
    <cfRule type="cellIs" dxfId="1019" priority="101" operator="equal">
      <formula>1.2</formula>
    </cfRule>
    <cfRule type="containsText" dxfId="1018" priority="102" operator="containsText" text="1.1">
      <formula>NOT(ISERROR(SEARCH("1.1",Z4)))</formula>
    </cfRule>
  </conditionalFormatting>
  <conditionalFormatting sqref="AB4 AD4">
    <cfRule type="cellIs" dxfId="1017" priority="52" operator="equal">
      <formula>4.4</formula>
    </cfRule>
    <cfRule type="cellIs" dxfId="1016" priority="53" operator="equal">
      <formula>4.3</formula>
    </cfRule>
    <cfRule type="cellIs" dxfId="1015" priority="54" operator="equal">
      <formula>4.2</formula>
    </cfRule>
    <cfRule type="cellIs" dxfId="1014" priority="55" operator="equal">
      <formula>4.1</formula>
    </cfRule>
    <cfRule type="cellIs" dxfId="1013" priority="56" operator="equal">
      <formula>3.4</formula>
    </cfRule>
    <cfRule type="cellIs" dxfId="1012" priority="57" operator="equal">
      <formula>3.3</formula>
    </cfRule>
    <cfRule type="cellIs" dxfId="1011" priority="58" operator="equal">
      <formula>3.2</formula>
    </cfRule>
    <cfRule type="cellIs" dxfId="1010" priority="59" operator="equal">
      <formula>3.1</formula>
    </cfRule>
    <cfRule type="cellIs" dxfId="1009" priority="60" operator="equal">
      <formula>2.4</formula>
    </cfRule>
    <cfRule type="cellIs" dxfId="1008" priority="61" operator="equal">
      <formula>2.3</formula>
    </cfRule>
    <cfRule type="cellIs" dxfId="1007" priority="62" operator="equal">
      <formula>2.2</formula>
    </cfRule>
    <cfRule type="cellIs" dxfId="1006" priority="63" operator="equal">
      <formula>2.1</formula>
    </cfRule>
    <cfRule type="cellIs" dxfId="1005" priority="64" operator="equal">
      <formula>1.5</formula>
    </cfRule>
    <cfRule type="cellIs" dxfId="1004" priority="65" operator="equal">
      <formula>1.4</formula>
    </cfRule>
    <cfRule type="cellIs" dxfId="1003" priority="66" operator="equal">
      <formula>1.3</formula>
    </cfRule>
    <cfRule type="cellIs" dxfId="1002" priority="67" operator="equal">
      <formula>1.2</formula>
    </cfRule>
    <cfRule type="containsText" dxfId="1001" priority="68" operator="containsText" text="1.1">
      <formula>NOT(ISERROR(SEARCH("1.1",AB4)))</formula>
    </cfRule>
  </conditionalFormatting>
  <conditionalFormatting sqref="AM11:AQ11">
    <cfRule type="cellIs" dxfId="1000" priority="35" operator="equal">
      <formula>4.4</formula>
    </cfRule>
    <cfRule type="cellIs" dxfId="999" priority="36" operator="equal">
      <formula>4.3</formula>
    </cfRule>
    <cfRule type="cellIs" dxfId="998" priority="37" operator="equal">
      <formula>4.2</formula>
    </cfRule>
    <cfRule type="cellIs" dxfId="997" priority="38" operator="equal">
      <formula>4.1</formula>
    </cfRule>
    <cfRule type="cellIs" dxfId="996" priority="39" operator="equal">
      <formula>3.4</formula>
    </cfRule>
    <cfRule type="cellIs" dxfId="995" priority="40" operator="equal">
      <formula>3.3</formula>
    </cfRule>
    <cfRule type="cellIs" dxfId="994" priority="41" operator="equal">
      <formula>3.2</formula>
    </cfRule>
    <cfRule type="cellIs" dxfId="993" priority="42" operator="equal">
      <formula>3.1</formula>
    </cfRule>
    <cfRule type="cellIs" dxfId="992" priority="43" operator="equal">
      <formula>2.4</formula>
    </cfRule>
    <cfRule type="cellIs" dxfId="991" priority="44" operator="equal">
      <formula>2.3</formula>
    </cfRule>
    <cfRule type="cellIs" dxfId="990" priority="45" operator="equal">
      <formula>2.2</formula>
    </cfRule>
    <cfRule type="cellIs" dxfId="989" priority="46" operator="equal">
      <formula>2.1</formula>
    </cfRule>
    <cfRule type="cellIs" dxfId="988" priority="47" operator="equal">
      <formula>1.5</formula>
    </cfRule>
    <cfRule type="cellIs" dxfId="987" priority="48" operator="equal">
      <formula>1.4</formula>
    </cfRule>
    <cfRule type="cellIs" dxfId="986" priority="49" operator="equal">
      <formula>1.3</formula>
    </cfRule>
    <cfRule type="cellIs" dxfId="985" priority="50" operator="equal">
      <formula>1.2</formula>
    </cfRule>
    <cfRule type="containsText" dxfId="984" priority="51" operator="containsText" text="1.1">
      <formula>NOT(ISERROR(SEARCH("1.1",AM11)))</formula>
    </cfRule>
  </conditionalFormatting>
  <conditionalFormatting sqref="B1:B2">
    <cfRule type="cellIs" dxfId="983" priority="18" operator="equal">
      <formula>4.4</formula>
    </cfRule>
    <cfRule type="cellIs" dxfId="982" priority="19" operator="equal">
      <formula>4.3</formula>
    </cfRule>
    <cfRule type="cellIs" dxfId="981" priority="20" operator="equal">
      <formula>4.2</formula>
    </cfRule>
    <cfRule type="cellIs" dxfId="980" priority="21" operator="equal">
      <formula>4.1</formula>
    </cfRule>
    <cfRule type="cellIs" dxfId="979" priority="22" operator="equal">
      <formula>3.4</formula>
    </cfRule>
    <cfRule type="cellIs" dxfId="978" priority="23" operator="equal">
      <formula>3.3</formula>
    </cfRule>
    <cfRule type="cellIs" dxfId="977" priority="24" operator="equal">
      <formula>3.2</formula>
    </cfRule>
    <cfRule type="cellIs" dxfId="976" priority="25" operator="equal">
      <formula>3.1</formula>
    </cfRule>
    <cfRule type="cellIs" dxfId="975" priority="26" operator="equal">
      <formula>2.4</formula>
    </cfRule>
    <cfRule type="cellIs" dxfId="974" priority="27" operator="equal">
      <formula>2.3</formula>
    </cfRule>
    <cfRule type="cellIs" dxfId="973" priority="28" operator="equal">
      <formula>2.2</formula>
    </cfRule>
    <cfRule type="cellIs" dxfId="972" priority="29" operator="equal">
      <formula>2.1</formula>
    </cfRule>
    <cfRule type="cellIs" dxfId="971" priority="30" operator="equal">
      <formula>1.5</formula>
    </cfRule>
    <cfRule type="cellIs" dxfId="970" priority="31" operator="equal">
      <formula>1.4</formula>
    </cfRule>
    <cfRule type="cellIs" dxfId="969" priority="32" operator="equal">
      <formula>1.3</formula>
    </cfRule>
    <cfRule type="cellIs" dxfId="968" priority="33" operator="equal">
      <formula>1.2</formula>
    </cfRule>
    <cfRule type="containsText" dxfId="967" priority="34" operator="containsText" text="1.1">
      <formula>NOT(ISERROR(SEARCH("1.1",B1)))</formula>
    </cfRule>
  </conditionalFormatting>
  <conditionalFormatting sqref="AD1:AE2">
    <cfRule type="cellIs" dxfId="966" priority="1" operator="equal">
      <formula>4.4</formula>
    </cfRule>
    <cfRule type="cellIs" dxfId="965" priority="2" operator="equal">
      <formula>4.3</formula>
    </cfRule>
    <cfRule type="cellIs" dxfId="964" priority="3" operator="equal">
      <formula>4.2</formula>
    </cfRule>
    <cfRule type="cellIs" dxfId="963" priority="4" operator="equal">
      <formula>4.1</formula>
    </cfRule>
    <cfRule type="cellIs" dxfId="962" priority="5" operator="equal">
      <formula>3.4</formula>
    </cfRule>
    <cfRule type="cellIs" dxfId="961" priority="6" operator="equal">
      <formula>3.3</formula>
    </cfRule>
    <cfRule type="cellIs" dxfId="960" priority="7" operator="equal">
      <formula>3.2</formula>
    </cfRule>
    <cfRule type="cellIs" dxfId="959" priority="8" operator="equal">
      <formula>3.1</formula>
    </cfRule>
    <cfRule type="cellIs" dxfId="958" priority="9" operator="equal">
      <formula>2.4</formula>
    </cfRule>
    <cfRule type="cellIs" dxfId="957" priority="10" operator="equal">
      <formula>2.3</formula>
    </cfRule>
    <cfRule type="cellIs" dxfId="956" priority="11" operator="equal">
      <formula>2.2</formula>
    </cfRule>
    <cfRule type="cellIs" dxfId="955" priority="12" operator="equal">
      <formula>2.1</formula>
    </cfRule>
    <cfRule type="cellIs" dxfId="954" priority="13" operator="equal">
      <formula>1.5</formula>
    </cfRule>
    <cfRule type="cellIs" dxfId="953" priority="14" operator="equal">
      <formula>1.4</formula>
    </cfRule>
    <cfRule type="cellIs" dxfId="952" priority="15" operator="equal">
      <formula>1.3</formula>
    </cfRule>
    <cfRule type="cellIs" dxfId="951" priority="16" operator="equal">
      <formula>1.2</formula>
    </cfRule>
    <cfRule type="containsText" dxfId="950" priority="17" operator="containsText" text="1.1">
      <formula>NOT(ISERROR(SEARCH("1.1",AD1)))</formula>
    </cfRule>
  </conditionalFormatting>
  <hyperlinks>
    <hyperlink ref="A3" location="'D3 to D14'!R3" tooltip="Back" display="D3 to D14'!A1" xr:uid="{00000000-0004-0000-0E00-000000000000}"/>
  </hyperlinks>
  <pageMargins left="0.7" right="0.7" top="0.75" bottom="0.75" header="0.3" footer="0.3"/>
  <pageSetup scale="41" fitToHeight="0" orientation="landscape"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pageSetUpPr fitToPage="1"/>
  </sheetPr>
  <dimension ref="A1:BT257"/>
  <sheetViews>
    <sheetView showGridLines="0" zoomScale="75" zoomScaleNormal="75" workbookViewId="0"/>
  </sheetViews>
  <sheetFormatPr baseColWidth="10" defaultColWidth="9.1640625" defaultRowHeight="15"/>
  <cols>
    <col min="1" max="1" width="9.1640625" style="32" customWidth="1"/>
    <col min="2" max="2" width="44.5" style="32" bestFit="1" customWidth="1"/>
    <col min="3" max="72" width="5.6640625" style="32" customWidth="1"/>
    <col min="73" max="73" width="2.6640625" style="32" customWidth="1"/>
    <col min="74" max="16384" width="9.1640625" style="32"/>
  </cols>
  <sheetData>
    <row r="1" spans="1:72"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c r="AU1" s="428"/>
      <c r="AV1" s="428"/>
      <c r="AW1" s="428"/>
      <c r="AX1" s="428"/>
      <c r="AY1" s="428"/>
      <c r="AZ1" s="428"/>
      <c r="BA1" s="428"/>
      <c r="BB1" s="428"/>
      <c r="BC1" s="428"/>
      <c r="BD1" s="428"/>
      <c r="BE1" s="428"/>
      <c r="BF1" s="428"/>
      <c r="BG1" s="428"/>
      <c r="BH1" s="428"/>
      <c r="BI1" s="428"/>
      <c r="BJ1" s="428"/>
      <c r="BK1" s="428"/>
      <c r="BL1" s="428"/>
      <c r="BM1" s="428"/>
      <c r="BN1" s="428"/>
      <c r="BO1" s="428"/>
      <c r="BP1" s="428"/>
      <c r="BQ1" s="428"/>
      <c r="BR1" s="428"/>
      <c r="BS1" s="428"/>
      <c r="BT1" s="428"/>
    </row>
    <row r="2" spans="1:72"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c r="AU2" s="428"/>
      <c r="AV2" s="428"/>
      <c r="AW2" s="428"/>
      <c r="AX2" s="428"/>
      <c r="AY2" s="428"/>
      <c r="AZ2" s="428"/>
      <c r="BA2" s="428"/>
      <c r="BB2" s="428"/>
      <c r="BC2" s="428"/>
      <c r="BD2" s="428"/>
      <c r="BE2" s="428"/>
      <c r="BF2" s="428"/>
      <c r="BG2" s="428"/>
      <c r="BH2" s="428"/>
      <c r="BI2" s="428"/>
      <c r="BJ2" s="428"/>
      <c r="BK2" s="428"/>
      <c r="BL2" s="428"/>
      <c r="BM2" s="428"/>
      <c r="BN2" s="428"/>
      <c r="BO2" s="428"/>
      <c r="BP2" s="428"/>
      <c r="BQ2" s="428"/>
      <c r="BR2" s="428"/>
      <c r="BS2" s="428"/>
      <c r="BT2" s="428"/>
    </row>
    <row r="3" spans="1:72"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1870"/>
      <c r="AK3" s="1870"/>
      <c r="AL3" s="1857"/>
      <c r="AM3" s="1857"/>
      <c r="AN3" s="1857"/>
      <c r="AO3" s="1857"/>
      <c r="AP3" s="1857"/>
      <c r="AQ3" s="1857"/>
      <c r="AR3" s="1857"/>
      <c r="AS3" s="1857"/>
      <c r="AT3" s="1857"/>
      <c r="AU3" s="1857"/>
      <c r="AV3" s="1857"/>
      <c r="AW3" s="1857"/>
      <c r="AX3" s="1857"/>
      <c r="AY3" s="1857"/>
      <c r="AZ3" s="1857"/>
      <c r="BA3" s="1857"/>
      <c r="BB3" s="1857"/>
      <c r="BC3" s="1857"/>
      <c r="BD3" s="1857"/>
      <c r="BE3" s="1857"/>
      <c r="BF3" s="1857"/>
      <c r="BG3" s="1857"/>
      <c r="BH3" s="1857"/>
      <c r="BI3" s="1857"/>
      <c r="BJ3" s="1857"/>
      <c r="BK3" s="1857"/>
      <c r="BL3" s="1857"/>
      <c r="BM3" s="1857"/>
      <c r="BN3" s="1857"/>
      <c r="BO3" s="1857"/>
      <c r="BP3" s="1857"/>
      <c r="BQ3" s="1857"/>
      <c r="BR3" s="1857"/>
      <c r="BS3" s="1857"/>
      <c r="BT3" s="1857"/>
    </row>
    <row r="4" spans="1:72" ht="20" customHeight="1">
      <c r="A4" s="159" t="s">
        <v>33</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72" ht="20" customHeight="1">
      <c r="A5" s="1871" t="s">
        <v>15</v>
      </c>
      <c r="B5" s="418" t="s">
        <v>662</v>
      </c>
      <c r="C5" s="444"/>
      <c r="D5" s="422"/>
      <c r="E5" s="447"/>
      <c r="F5" s="422"/>
      <c r="G5" s="447"/>
      <c r="H5" s="422"/>
      <c r="I5" s="447"/>
      <c r="J5" s="422"/>
      <c r="K5" s="447"/>
      <c r="L5" s="422" t="str">
        <f>DEL!T33</f>
        <v/>
      </c>
      <c r="M5" s="447">
        <f>DEL!S33</f>
        <v>2</v>
      </c>
      <c r="N5" s="422"/>
      <c r="O5" s="449"/>
      <c r="P5" s="422"/>
      <c r="Q5" s="449"/>
      <c r="R5" s="422"/>
      <c r="S5" s="449"/>
      <c r="T5" s="422"/>
      <c r="U5" s="449"/>
      <c r="V5" s="623"/>
      <c r="W5" s="450"/>
      <c r="X5" s="422"/>
      <c r="Y5" s="450"/>
      <c r="Z5" s="422"/>
      <c r="AA5" s="450"/>
      <c r="AB5" s="422"/>
      <c r="AC5" s="451"/>
      <c r="AD5" s="422"/>
      <c r="AE5" s="451"/>
      <c r="AF5" s="422" t="str">
        <f>DEL!T34</f>
        <v/>
      </c>
      <c r="AG5" s="451">
        <f>DEL!S34</f>
        <v>2</v>
      </c>
      <c r="AH5" s="422" t="str">
        <f>DEL!T35</f>
        <v/>
      </c>
      <c r="AI5" s="451">
        <f>DEL!S35</f>
        <v>3</v>
      </c>
    </row>
    <row r="6" spans="1:72" ht="20" customHeight="1">
      <c r="A6" s="1871"/>
      <c r="B6" s="418" t="s">
        <v>677</v>
      </c>
      <c r="C6" s="444"/>
      <c r="D6" s="422"/>
      <c r="E6" s="447"/>
      <c r="F6" s="422"/>
      <c r="G6" s="447"/>
      <c r="H6" s="422"/>
      <c r="I6" s="447"/>
      <c r="J6" s="422"/>
      <c r="K6" s="447"/>
      <c r="L6" s="422" t="str">
        <f>DEL!AD42</f>
        <v/>
      </c>
      <c r="M6" s="447">
        <f>DEL!AC42</f>
        <v>1</v>
      </c>
      <c r="N6" s="422"/>
      <c r="O6" s="449"/>
      <c r="P6" s="422"/>
      <c r="Q6" s="449"/>
      <c r="R6" s="422"/>
      <c r="S6" s="449"/>
      <c r="T6" s="422" t="str">
        <f>DEL!AD43</f>
        <v/>
      </c>
      <c r="U6" s="449">
        <f>DEL!AC43</f>
        <v>2</v>
      </c>
      <c r="V6" s="623"/>
      <c r="W6" s="450"/>
      <c r="X6" s="422"/>
      <c r="Y6" s="450"/>
      <c r="Z6" s="422"/>
      <c r="AA6" s="450"/>
      <c r="AB6" s="422"/>
      <c r="AC6" s="451"/>
      <c r="AD6" s="422"/>
      <c r="AE6" s="451"/>
      <c r="AF6" s="422" t="str">
        <f>DEL!AD44</f>
        <v/>
      </c>
      <c r="AG6" s="451">
        <f>DEL!AC44</f>
        <v>1</v>
      </c>
      <c r="AH6" s="422" t="str">
        <f>DEL!AD45</f>
        <v/>
      </c>
      <c r="AI6" s="451">
        <f>DEL!AC45</f>
        <v>6</v>
      </c>
    </row>
    <row r="7" spans="1:72" ht="20" customHeight="1">
      <c r="A7" s="1871"/>
      <c r="B7" s="418" t="s">
        <v>697</v>
      </c>
      <c r="C7" s="444"/>
      <c r="D7" s="619" t="str">
        <f>DEL!I33</f>
        <v/>
      </c>
      <c r="E7" s="447">
        <f>DEL!H33</f>
        <v>4</v>
      </c>
      <c r="F7" s="422"/>
      <c r="G7" s="447"/>
      <c r="H7" s="422"/>
      <c r="I7" s="447"/>
      <c r="J7" s="422"/>
      <c r="K7" s="447"/>
      <c r="L7" s="619" t="str">
        <f>DEL!I34</f>
        <v/>
      </c>
      <c r="M7" s="447">
        <f>DEL!H34</f>
        <v>1</v>
      </c>
      <c r="N7" s="619" t="str">
        <f>DEL!I35</f>
        <v/>
      </c>
      <c r="O7" s="449">
        <f>DEL!H35</f>
        <v>1</v>
      </c>
      <c r="P7" s="422"/>
      <c r="Q7" s="449"/>
      <c r="R7" s="422"/>
      <c r="S7" s="449"/>
      <c r="T7" s="619" t="str">
        <f>DEL!I36</f>
        <v/>
      </c>
      <c r="U7" s="449">
        <f>DEL!H36</f>
        <v>1</v>
      </c>
      <c r="V7" s="422"/>
      <c r="W7" s="450"/>
      <c r="X7" s="422"/>
      <c r="Y7" s="450"/>
      <c r="Z7" s="422"/>
      <c r="AA7" s="450"/>
      <c r="AB7" s="422"/>
      <c r="AC7" s="451"/>
      <c r="AD7" s="422"/>
      <c r="AE7" s="451"/>
      <c r="AF7" s="422"/>
      <c r="AG7" s="451"/>
      <c r="AH7" s="422"/>
      <c r="AI7" s="451"/>
    </row>
    <row r="8" spans="1:72" ht="20" customHeight="1">
      <c r="A8" s="1871"/>
      <c r="B8" s="418" t="s">
        <v>698</v>
      </c>
      <c r="C8" s="444"/>
      <c r="D8" s="619" t="str">
        <f>DEL!J33</f>
        <v/>
      </c>
      <c r="E8" s="447">
        <f>DEL!H33</f>
        <v>4</v>
      </c>
      <c r="F8" s="422"/>
      <c r="G8" s="447"/>
      <c r="H8" s="422"/>
      <c r="I8" s="447"/>
      <c r="J8" s="422"/>
      <c r="K8" s="447"/>
      <c r="L8" s="619" t="str">
        <f>DEL!J34</f>
        <v/>
      </c>
      <c r="M8" s="447">
        <f>DEL!H34</f>
        <v>1</v>
      </c>
      <c r="N8" s="619" t="str">
        <f>DEL!J35</f>
        <v/>
      </c>
      <c r="O8" s="449">
        <f>DEL!H35</f>
        <v>1</v>
      </c>
      <c r="P8" s="422"/>
      <c r="Q8" s="449"/>
      <c r="R8" s="422"/>
      <c r="S8" s="449"/>
      <c r="T8" s="619" t="str">
        <f>DEL!J36</f>
        <v/>
      </c>
      <c r="U8" s="449">
        <f>DEL!H36</f>
        <v>1</v>
      </c>
      <c r="V8" s="422"/>
      <c r="W8" s="450"/>
      <c r="X8" s="422"/>
      <c r="Y8" s="450"/>
      <c r="Z8" s="422"/>
      <c r="AA8" s="450"/>
      <c r="AB8" s="422"/>
      <c r="AC8" s="451"/>
      <c r="AD8" s="422"/>
      <c r="AE8" s="451"/>
      <c r="AF8" s="422"/>
      <c r="AG8" s="451"/>
      <c r="AH8" s="422"/>
      <c r="AI8" s="451"/>
    </row>
    <row r="9" spans="1:72" ht="20" customHeight="1">
      <c r="A9" s="1871"/>
      <c r="B9" s="418" t="s">
        <v>716</v>
      </c>
      <c r="C9" s="444"/>
      <c r="D9" s="422"/>
      <c r="E9" s="447"/>
      <c r="F9" s="422"/>
      <c r="G9" s="447"/>
      <c r="H9" s="422"/>
      <c r="I9" s="447"/>
      <c r="J9" s="422"/>
      <c r="K9" s="447"/>
      <c r="L9" s="422"/>
      <c r="M9" s="447"/>
      <c r="N9" s="422"/>
      <c r="O9" s="449"/>
      <c r="P9" s="422"/>
      <c r="Q9" s="449"/>
      <c r="R9" s="422"/>
      <c r="S9" s="449"/>
      <c r="T9" s="422"/>
      <c r="U9" s="449"/>
      <c r="V9" s="619" t="str">
        <f>DEL!I43</f>
        <v/>
      </c>
      <c r="W9" s="450">
        <f>DEL!H43</f>
        <v>1</v>
      </c>
      <c r="X9" s="422"/>
      <c r="Y9" s="450"/>
      <c r="Z9" s="422"/>
      <c r="AA9" s="450"/>
      <c r="AB9" s="422"/>
      <c r="AC9" s="451"/>
      <c r="AD9" s="422"/>
      <c r="AE9" s="451"/>
      <c r="AF9" s="422"/>
      <c r="AG9" s="451"/>
      <c r="AH9" s="422"/>
      <c r="AI9" s="451"/>
    </row>
    <row r="10" spans="1:72" ht="20" customHeight="1">
      <c r="A10" s="1871"/>
      <c r="B10" s="418" t="s">
        <v>717</v>
      </c>
      <c r="C10" s="444"/>
      <c r="D10" s="422"/>
      <c r="E10" s="447"/>
      <c r="F10" s="422"/>
      <c r="G10" s="447"/>
      <c r="H10" s="422"/>
      <c r="I10" s="447"/>
      <c r="J10" s="422"/>
      <c r="K10" s="447"/>
      <c r="L10" s="422"/>
      <c r="M10" s="447"/>
      <c r="N10" s="422"/>
      <c r="O10" s="449"/>
      <c r="P10" s="422"/>
      <c r="Q10" s="449"/>
      <c r="R10" s="422"/>
      <c r="S10" s="449"/>
      <c r="T10" s="422"/>
      <c r="U10" s="449"/>
      <c r="V10" s="619" t="str">
        <f>DEL!J43</f>
        <v/>
      </c>
      <c r="W10" s="450">
        <f>DEL!H43</f>
        <v>1</v>
      </c>
      <c r="X10" s="422"/>
      <c r="Y10" s="450"/>
      <c r="Z10" s="422"/>
      <c r="AA10" s="450"/>
      <c r="AB10" s="422"/>
      <c r="AC10" s="451"/>
      <c r="AD10" s="422"/>
      <c r="AE10" s="451"/>
      <c r="AF10" s="422"/>
      <c r="AG10" s="451"/>
      <c r="AH10" s="422"/>
      <c r="AI10" s="451"/>
    </row>
    <row r="11" spans="1:72" ht="20" customHeight="1">
      <c r="A11" s="423"/>
      <c r="B11" s="424"/>
      <c r="C11" s="429"/>
      <c r="D11" s="513"/>
      <c r="E11" s="625"/>
      <c r="F11" s="626"/>
      <c r="G11" s="625"/>
      <c r="H11" s="626"/>
      <c r="I11" s="625"/>
      <c r="J11" s="626"/>
      <c r="K11" s="625"/>
      <c r="L11" s="513"/>
      <c r="M11" s="625"/>
      <c r="N11" s="513"/>
      <c r="O11" s="625"/>
      <c r="P11" s="513"/>
      <c r="Q11" s="625"/>
      <c r="R11" s="626"/>
      <c r="S11" s="625"/>
      <c r="T11" s="513"/>
      <c r="U11" s="625"/>
      <c r="V11" s="513"/>
      <c r="W11" s="625"/>
      <c r="X11" s="626"/>
      <c r="Y11" s="625"/>
      <c r="Z11" s="626"/>
      <c r="AA11" s="625"/>
      <c r="AB11" s="626"/>
      <c r="AC11" s="625"/>
      <c r="AD11" s="626"/>
      <c r="AE11" s="625"/>
      <c r="AF11" s="513"/>
      <c r="AG11" s="625"/>
      <c r="AH11" s="513"/>
      <c r="AI11" s="625"/>
      <c r="AO11" s="414"/>
      <c r="AP11" s="414"/>
      <c r="AQ11" s="414"/>
      <c r="AR11" s="414"/>
      <c r="AS11" s="414"/>
      <c r="AT11" s="414"/>
      <c r="AU11" s="414"/>
      <c r="AV11" s="414"/>
      <c r="AW11" s="414"/>
      <c r="AX11" s="414"/>
      <c r="AY11" s="414"/>
      <c r="AZ11" s="414"/>
      <c r="BA11" s="414"/>
      <c r="BB11" s="414"/>
      <c r="BC11" s="415"/>
      <c r="BD11" s="415"/>
      <c r="BE11" s="415"/>
      <c r="BF11" s="415"/>
      <c r="BG11" s="415"/>
      <c r="BH11" s="415"/>
      <c r="BI11" s="415"/>
      <c r="BJ11" s="415"/>
      <c r="BK11" s="415"/>
      <c r="BL11" s="415"/>
      <c r="BM11" s="415"/>
      <c r="BN11" s="415"/>
      <c r="BO11" s="415"/>
      <c r="BP11" s="415"/>
      <c r="BQ11" s="415"/>
      <c r="BR11" s="52"/>
    </row>
    <row r="12" spans="1:72" ht="20" customHeight="1">
      <c r="A12" s="1871" t="s">
        <v>718</v>
      </c>
      <c r="B12" s="418" t="s">
        <v>426</v>
      </c>
      <c r="C12" s="444"/>
      <c r="D12" s="422"/>
      <c r="E12" s="447"/>
      <c r="F12" s="422"/>
      <c r="G12" s="447"/>
      <c r="H12" s="422"/>
      <c r="I12" s="447"/>
      <c r="J12" s="422"/>
      <c r="K12" s="447"/>
      <c r="L12" s="619" t="str">
        <f>DEL!U67</f>
        <v/>
      </c>
      <c r="M12" s="447">
        <f>DEL!T67</f>
        <v>1</v>
      </c>
      <c r="N12" s="619" t="str">
        <f>DEL!U68</f>
        <v/>
      </c>
      <c r="O12" s="449">
        <f>DEL!T68</f>
        <v>1</v>
      </c>
      <c r="P12" s="422"/>
      <c r="Q12" s="449"/>
      <c r="R12" s="422"/>
      <c r="S12" s="449"/>
      <c r="T12" s="619"/>
      <c r="U12" s="449"/>
      <c r="V12" s="422"/>
      <c r="W12" s="450"/>
      <c r="X12" s="422"/>
      <c r="Y12" s="450"/>
      <c r="Z12" s="422"/>
      <c r="AA12" s="450"/>
      <c r="AB12" s="422"/>
      <c r="AC12" s="451"/>
      <c r="AD12" s="422"/>
      <c r="AE12" s="451"/>
      <c r="AF12" s="422" t="str">
        <f>DEL!U69</f>
        <v/>
      </c>
      <c r="AG12" s="451">
        <f>DEL!T69</f>
        <v>1</v>
      </c>
      <c r="AH12" s="422" t="str">
        <f>DEL!U70</f>
        <v/>
      </c>
      <c r="AI12" s="451">
        <f>DEL!T70</f>
        <v>2</v>
      </c>
      <c r="BO12" s="415"/>
      <c r="BP12" s="415"/>
      <c r="BQ12" s="415"/>
      <c r="BR12" s="52"/>
    </row>
    <row r="13" spans="1:72" ht="20" customHeight="1">
      <c r="A13" s="1871"/>
      <c r="B13" s="418" t="s">
        <v>427</v>
      </c>
      <c r="C13" s="444"/>
      <c r="D13" s="422"/>
      <c r="E13" s="447"/>
      <c r="F13" s="422"/>
      <c r="G13" s="447"/>
      <c r="H13" s="422"/>
      <c r="I13" s="447"/>
      <c r="J13" s="422"/>
      <c r="K13" s="447"/>
      <c r="L13" s="619"/>
      <c r="M13" s="447"/>
      <c r="N13" s="619"/>
      <c r="O13" s="449"/>
      <c r="P13" s="422"/>
      <c r="Q13" s="449"/>
      <c r="R13" s="422"/>
      <c r="S13" s="449"/>
      <c r="T13" s="619" t="str">
        <f>DEL!AC76</f>
        <v/>
      </c>
      <c r="U13" s="449">
        <f>DEL!AB76</f>
        <v>2</v>
      </c>
      <c r="V13" s="422"/>
      <c r="W13" s="450"/>
      <c r="X13" s="422"/>
      <c r="Y13" s="450"/>
      <c r="Z13" s="422"/>
      <c r="AA13" s="450"/>
      <c r="AB13" s="422"/>
      <c r="AC13" s="451"/>
      <c r="AD13" s="422"/>
      <c r="AE13" s="451"/>
      <c r="AF13" s="422" t="str">
        <f>DEL!AC77</f>
        <v/>
      </c>
      <c r="AG13" s="451">
        <f>DEL!AB77</f>
        <v>1</v>
      </c>
      <c r="AH13" s="422" t="str">
        <f>DEL!AC78</f>
        <v/>
      </c>
      <c r="AI13" s="451">
        <f>DEL!AB78</f>
        <v>5</v>
      </c>
      <c r="BO13" s="415"/>
      <c r="BP13" s="415"/>
      <c r="BQ13" s="415"/>
      <c r="BR13" s="52"/>
    </row>
    <row r="14" spans="1:72" ht="20" customHeight="1">
      <c r="A14" s="1871"/>
      <c r="B14" s="418" t="s">
        <v>428</v>
      </c>
      <c r="C14" s="444"/>
      <c r="D14" s="422"/>
      <c r="E14" s="447"/>
      <c r="F14" s="422"/>
      <c r="G14" s="447"/>
      <c r="H14" s="422"/>
      <c r="I14" s="447"/>
      <c r="J14" s="422"/>
      <c r="K14" s="447"/>
      <c r="L14" s="422"/>
      <c r="M14" s="447"/>
      <c r="N14" s="422"/>
      <c r="O14" s="449"/>
      <c r="P14" s="422"/>
      <c r="Q14" s="449"/>
      <c r="R14" s="422"/>
      <c r="S14" s="449"/>
      <c r="T14" s="422" t="str">
        <f>DEL!AK79</f>
        <v/>
      </c>
      <c r="U14" s="449">
        <f>DEL!AJ79</f>
        <v>3</v>
      </c>
      <c r="V14" s="619"/>
      <c r="W14" s="450"/>
      <c r="X14" s="422"/>
      <c r="Y14" s="450"/>
      <c r="Z14" s="422"/>
      <c r="AA14" s="450"/>
      <c r="AB14" s="422"/>
      <c r="AC14" s="451"/>
      <c r="AD14" s="422"/>
      <c r="AE14" s="451"/>
      <c r="AF14" s="422" t="str">
        <f>DEL!AK80</f>
        <v/>
      </c>
      <c r="AG14" s="451">
        <f>DEL!AJ80</f>
        <v>2</v>
      </c>
      <c r="AH14" s="422" t="str">
        <f>DEL!AK81</f>
        <v/>
      </c>
      <c r="AI14" s="451">
        <f>DEL!AJ81</f>
        <v>4</v>
      </c>
      <c r="BO14" s="415"/>
      <c r="BP14" s="415"/>
      <c r="BQ14" s="415"/>
      <c r="BR14" s="52"/>
    </row>
    <row r="15" spans="1:72" ht="20" customHeight="1">
      <c r="A15" s="1871"/>
      <c r="B15" s="418" t="s">
        <v>429</v>
      </c>
      <c r="C15" s="444"/>
      <c r="D15" s="422"/>
      <c r="E15" s="447"/>
      <c r="F15" s="422"/>
      <c r="G15" s="447"/>
      <c r="H15" s="422"/>
      <c r="I15" s="447"/>
      <c r="J15" s="422"/>
      <c r="K15" s="447"/>
      <c r="L15" s="422"/>
      <c r="M15" s="447"/>
      <c r="N15" s="422"/>
      <c r="O15" s="449"/>
      <c r="P15" s="422"/>
      <c r="Q15" s="449"/>
      <c r="R15" s="422"/>
      <c r="S15" s="449"/>
      <c r="T15" s="422" t="str">
        <f>DEL!AS76</f>
        <v/>
      </c>
      <c r="U15" s="449">
        <f>DEL!AR76</f>
        <v>4</v>
      </c>
      <c r="V15" s="619"/>
      <c r="W15" s="450"/>
      <c r="X15" s="422"/>
      <c r="Y15" s="450"/>
      <c r="Z15" s="422"/>
      <c r="AA15" s="450"/>
      <c r="AB15" s="422"/>
      <c r="AC15" s="451"/>
      <c r="AD15" s="422"/>
      <c r="AE15" s="451"/>
      <c r="AF15" s="422"/>
      <c r="AG15" s="451"/>
      <c r="AH15" s="422" t="str">
        <f>DEL!AS77</f>
        <v/>
      </c>
      <c r="AI15" s="451">
        <f>DEL!AR77</f>
        <v>4</v>
      </c>
    </row>
    <row r="16" spans="1:72" ht="20" customHeight="1">
      <c r="A16" s="1871"/>
      <c r="B16" s="418" t="s">
        <v>430</v>
      </c>
      <c r="C16" s="444"/>
      <c r="D16" s="422"/>
      <c r="E16" s="447"/>
      <c r="F16" s="422"/>
      <c r="G16" s="447"/>
      <c r="H16" s="422"/>
      <c r="I16" s="447"/>
      <c r="J16" s="422"/>
      <c r="K16" s="447"/>
      <c r="L16" s="619"/>
      <c r="M16" s="447"/>
      <c r="N16" s="619"/>
      <c r="O16" s="449"/>
      <c r="P16" s="422"/>
      <c r="Q16" s="449"/>
      <c r="R16" s="422"/>
      <c r="S16" s="449"/>
      <c r="T16" s="619" t="str">
        <f>DEL!BA73</f>
        <v/>
      </c>
      <c r="U16" s="449">
        <f>DEL!AZ73</f>
        <v>2</v>
      </c>
      <c r="V16" s="422"/>
      <c r="W16" s="450"/>
      <c r="X16" s="422"/>
      <c r="Y16" s="450"/>
      <c r="Z16" s="422"/>
      <c r="AA16" s="450"/>
      <c r="AB16" s="422"/>
      <c r="AC16" s="451"/>
      <c r="AD16" s="422"/>
      <c r="AE16" s="451"/>
      <c r="AF16" s="422"/>
      <c r="AG16" s="451"/>
      <c r="AH16" s="422" t="str">
        <f>DEL!BA74</f>
        <v/>
      </c>
      <c r="AI16" s="451">
        <f>DEL!AZ74</f>
        <v>5</v>
      </c>
    </row>
    <row r="17" spans="1:35" ht="20" customHeight="1">
      <c r="A17" s="1871"/>
      <c r="B17" s="418" t="str">
        <f>"MCS - "&amp;B12</f>
        <v>MCS - 1. SPML</v>
      </c>
      <c r="C17" s="444"/>
      <c r="D17" s="32" t="str">
        <f>DEL!H79</f>
        <v/>
      </c>
      <c r="E17" s="447">
        <f>DEL!G79</f>
        <v>4</v>
      </c>
      <c r="F17" s="422"/>
      <c r="G17" s="447"/>
      <c r="H17" s="422"/>
      <c r="I17" s="447"/>
      <c r="J17" s="422"/>
      <c r="K17" s="447"/>
      <c r="L17" s="619" t="str">
        <f>DEL!H80</f>
        <v/>
      </c>
      <c r="M17" s="447">
        <f>DEL!G80</f>
        <v>1</v>
      </c>
      <c r="N17" s="619" t="str">
        <f>DEL!H81</f>
        <v/>
      </c>
      <c r="O17" s="449">
        <f>DEL!G81</f>
        <v>2</v>
      </c>
      <c r="P17" s="422"/>
      <c r="Q17" s="449"/>
      <c r="R17" s="422"/>
      <c r="S17" s="449"/>
      <c r="T17" s="619" t="str">
        <f>DEL!H82</f>
        <v/>
      </c>
      <c r="U17" s="449">
        <f>DEL!G82</f>
        <v>2</v>
      </c>
      <c r="V17" s="422"/>
      <c r="W17" s="450"/>
      <c r="X17" s="422"/>
      <c r="Y17" s="450"/>
      <c r="Z17" s="422"/>
      <c r="AA17" s="450"/>
      <c r="AB17" s="422"/>
      <c r="AC17" s="451"/>
      <c r="AD17" s="422"/>
      <c r="AE17" s="451"/>
      <c r="AF17" s="422"/>
      <c r="AG17" s="451"/>
      <c r="AH17" s="422"/>
      <c r="AI17" s="451"/>
    </row>
    <row r="18" spans="1:35" ht="20" customHeight="1">
      <c r="A18" s="1871"/>
      <c r="B18" s="418" t="str">
        <f t="shared" ref="B18:B21" si="0">"MCS - "&amp;B13</f>
        <v>MCS - 2. Meal Cart</v>
      </c>
      <c r="C18" s="444"/>
      <c r="D18" s="32" t="str">
        <f>DEL!I79</f>
        <v/>
      </c>
      <c r="E18" s="447">
        <f>DEL!G79</f>
        <v>4</v>
      </c>
      <c r="F18" s="422"/>
      <c r="G18" s="447"/>
      <c r="H18" s="422"/>
      <c r="I18" s="447"/>
      <c r="J18" s="422"/>
      <c r="K18" s="447"/>
      <c r="L18" s="619" t="str">
        <f>DEL!I80</f>
        <v/>
      </c>
      <c r="M18" s="447">
        <f>DEL!G80</f>
        <v>1</v>
      </c>
      <c r="N18" s="619" t="str">
        <f>DEL!I81</f>
        <v/>
      </c>
      <c r="O18" s="449">
        <f>DEL!G81</f>
        <v>2</v>
      </c>
      <c r="P18" s="422"/>
      <c r="Q18" s="449"/>
      <c r="R18" s="422"/>
      <c r="S18" s="449"/>
      <c r="T18" s="619" t="str">
        <f>DEL!I82</f>
        <v/>
      </c>
      <c r="U18" s="449">
        <f>DEL!G82</f>
        <v>2</v>
      </c>
      <c r="V18" s="422"/>
      <c r="W18" s="450"/>
      <c r="X18" s="422"/>
      <c r="Y18" s="450"/>
      <c r="Z18" s="422"/>
      <c r="AA18" s="450"/>
      <c r="AB18" s="422"/>
      <c r="AC18" s="451"/>
      <c r="AD18" s="422"/>
      <c r="AE18" s="451"/>
      <c r="AF18" s="422"/>
      <c r="AG18" s="451"/>
      <c r="AH18" s="422"/>
      <c r="AI18" s="451"/>
    </row>
    <row r="19" spans="1:35" ht="20" customHeight="1">
      <c r="A19" s="1871"/>
      <c r="B19" s="418" t="str">
        <f t="shared" si="0"/>
        <v>MCS - 3. Hot Beverage</v>
      </c>
      <c r="C19" s="444"/>
      <c r="D19" s="32" t="str">
        <f>DEL!J79</f>
        <v/>
      </c>
      <c r="E19" s="447">
        <f>DEL!G79</f>
        <v>4</v>
      </c>
      <c r="F19" s="422"/>
      <c r="G19" s="447"/>
      <c r="H19" s="422"/>
      <c r="I19" s="447"/>
      <c r="J19" s="422"/>
      <c r="K19" s="447"/>
      <c r="L19" s="619" t="str">
        <f>DEL!J80</f>
        <v/>
      </c>
      <c r="M19" s="447">
        <f>DEL!G80</f>
        <v>1</v>
      </c>
      <c r="N19" s="619" t="str">
        <f>DEL!J81</f>
        <v/>
      </c>
      <c r="O19" s="449">
        <f>DEL!G81</f>
        <v>2</v>
      </c>
      <c r="P19" s="422"/>
      <c r="Q19" s="449"/>
      <c r="R19" s="422"/>
      <c r="S19" s="449"/>
      <c r="T19" s="619" t="str">
        <f>DEL!J82</f>
        <v/>
      </c>
      <c r="U19" s="449">
        <f>DEL!G82</f>
        <v>2</v>
      </c>
      <c r="V19" s="422"/>
      <c r="W19" s="450"/>
      <c r="X19" s="422"/>
      <c r="Y19" s="450"/>
      <c r="Z19" s="422"/>
      <c r="AA19" s="450"/>
      <c r="AB19" s="422"/>
      <c r="AC19" s="451"/>
      <c r="AD19" s="422"/>
      <c r="AE19" s="451"/>
      <c r="AF19" s="422"/>
      <c r="AG19" s="451"/>
      <c r="AH19" s="422"/>
      <c r="AI19" s="451"/>
    </row>
    <row r="20" spans="1:35" ht="20" customHeight="1">
      <c r="A20" s="1871"/>
      <c r="B20" s="418" t="str">
        <f t="shared" si="0"/>
        <v>MCS - 4. Clearance Cart</v>
      </c>
      <c r="C20" s="444"/>
      <c r="D20" s="32" t="str">
        <f>DEL!K79</f>
        <v/>
      </c>
      <c r="E20" s="447">
        <f>DEL!G79</f>
        <v>4</v>
      </c>
      <c r="F20" s="422"/>
      <c r="G20" s="447"/>
      <c r="H20" s="422"/>
      <c r="I20" s="447"/>
      <c r="J20" s="422"/>
      <c r="K20" s="447"/>
      <c r="L20" s="619" t="str">
        <f>DEL!K80</f>
        <v/>
      </c>
      <c r="M20" s="447">
        <f>DEL!G80</f>
        <v>1</v>
      </c>
      <c r="N20" s="619" t="str">
        <f>DEL!K81</f>
        <v/>
      </c>
      <c r="O20" s="449">
        <f>DEL!G81</f>
        <v>2</v>
      </c>
      <c r="P20" s="422"/>
      <c r="Q20" s="449"/>
      <c r="R20" s="422"/>
      <c r="S20" s="449"/>
      <c r="T20" s="619" t="str">
        <f>DEL!K82</f>
        <v/>
      </c>
      <c r="U20" s="449">
        <f>DEL!G82</f>
        <v>2</v>
      </c>
      <c r="V20" s="422"/>
      <c r="W20" s="450"/>
      <c r="X20" s="422"/>
      <c r="Y20" s="450"/>
      <c r="Z20" s="422"/>
      <c r="AA20" s="450"/>
      <c r="AB20" s="422"/>
      <c r="AC20" s="451"/>
      <c r="AD20" s="422"/>
      <c r="AE20" s="451"/>
      <c r="AF20" s="422"/>
      <c r="AG20" s="451"/>
      <c r="AH20" s="422"/>
      <c r="AI20" s="451"/>
    </row>
    <row r="21" spans="1:35" ht="20" customHeight="1">
      <c r="A21" s="1871"/>
      <c r="B21" s="418" t="str">
        <f t="shared" si="0"/>
        <v>MCS - 5. Final Clearance</v>
      </c>
      <c r="C21" s="444"/>
      <c r="D21" s="32" t="str">
        <f>DEL!L79</f>
        <v/>
      </c>
      <c r="E21" s="447">
        <f>DEL!G79</f>
        <v>4</v>
      </c>
      <c r="F21" s="422"/>
      <c r="G21" s="447"/>
      <c r="H21" s="422"/>
      <c r="I21" s="447"/>
      <c r="J21" s="422"/>
      <c r="K21" s="447"/>
      <c r="L21" s="619" t="str">
        <f>DEL!L80</f>
        <v/>
      </c>
      <c r="M21" s="447">
        <f>DEL!G80</f>
        <v>1</v>
      </c>
      <c r="N21" s="619" t="str">
        <f>DEL!L81</f>
        <v/>
      </c>
      <c r="O21" s="449">
        <f>DEL!G81</f>
        <v>2</v>
      </c>
      <c r="P21" s="422"/>
      <c r="Q21" s="449"/>
      <c r="R21" s="422"/>
      <c r="S21" s="449"/>
      <c r="T21" s="619" t="str">
        <f>DEL!L82</f>
        <v/>
      </c>
      <c r="U21" s="449">
        <f>DEL!G82</f>
        <v>2</v>
      </c>
      <c r="V21" s="422"/>
      <c r="W21" s="450"/>
      <c r="X21" s="422"/>
      <c r="Y21" s="450"/>
      <c r="Z21" s="422"/>
      <c r="AA21" s="450"/>
      <c r="AB21" s="422"/>
      <c r="AC21" s="451"/>
      <c r="AD21" s="422"/>
      <c r="AE21" s="451"/>
      <c r="AF21" s="422"/>
      <c r="AG21" s="451"/>
      <c r="AH21" s="422"/>
      <c r="AI21" s="451"/>
    </row>
    <row r="22" spans="1:35" ht="20" customHeight="1">
      <c r="A22" s="1871"/>
      <c r="B22" s="418" t="str">
        <f>"TW - "&amp;B12</f>
        <v>TW - 1. SPML</v>
      </c>
      <c r="C22" s="444"/>
      <c r="D22" s="422"/>
      <c r="E22" s="447"/>
      <c r="F22" s="422"/>
      <c r="G22" s="447"/>
      <c r="H22" s="422"/>
      <c r="I22" s="447"/>
      <c r="J22" s="422" t="str">
        <f>DEL!H94</f>
        <v/>
      </c>
      <c r="K22" s="447">
        <f>DEL!G94</f>
        <v>1</v>
      </c>
      <c r="L22" s="619"/>
      <c r="M22" s="447"/>
      <c r="N22" s="619"/>
      <c r="O22" s="449"/>
      <c r="P22" s="422"/>
      <c r="Q22" s="449"/>
      <c r="R22" s="422"/>
      <c r="S22" s="449"/>
      <c r="T22" s="619"/>
      <c r="U22" s="449"/>
      <c r="V22" s="422" t="str">
        <f>DEL!H93</f>
        <v/>
      </c>
      <c r="W22" s="450">
        <f>DEL!G93</f>
        <v>1</v>
      </c>
      <c r="X22" s="422"/>
      <c r="Y22" s="450"/>
      <c r="Z22" s="422"/>
      <c r="AA22" s="450"/>
      <c r="AB22" s="422"/>
      <c r="AC22" s="451"/>
      <c r="AD22" s="422"/>
      <c r="AE22" s="451"/>
      <c r="AF22" s="422"/>
      <c r="AG22" s="451"/>
      <c r="AH22" s="422"/>
      <c r="AI22" s="451"/>
    </row>
    <row r="23" spans="1:35" ht="20" customHeight="1">
      <c r="A23" s="1871"/>
      <c r="B23" s="418" t="str">
        <f t="shared" ref="B23:B26" si="1">"TW - "&amp;B13</f>
        <v>TW - 2. Meal Cart</v>
      </c>
      <c r="C23" s="444"/>
      <c r="D23" s="422"/>
      <c r="E23" s="447"/>
      <c r="F23" s="422"/>
      <c r="G23" s="447"/>
      <c r="H23" s="422"/>
      <c r="I23" s="447"/>
      <c r="J23" s="422" t="str">
        <f>DEL!I94</f>
        <v/>
      </c>
      <c r="K23" s="447">
        <f>DEL!G94</f>
        <v>1</v>
      </c>
      <c r="L23" s="619"/>
      <c r="M23" s="447"/>
      <c r="N23" s="619"/>
      <c r="O23" s="449"/>
      <c r="P23" s="422"/>
      <c r="Q23" s="449"/>
      <c r="R23" s="422"/>
      <c r="S23" s="449"/>
      <c r="T23" s="619"/>
      <c r="U23" s="449"/>
      <c r="V23" s="422" t="str">
        <f>DEL!I93</f>
        <v/>
      </c>
      <c r="W23" s="450">
        <f>DEL!G93</f>
        <v>1</v>
      </c>
      <c r="X23" s="422"/>
      <c r="Y23" s="450"/>
      <c r="Z23" s="422"/>
      <c r="AA23" s="450"/>
      <c r="AB23" s="422"/>
      <c r="AC23" s="451"/>
      <c r="AD23" s="422"/>
      <c r="AE23" s="451"/>
      <c r="AF23" s="422"/>
      <c r="AG23" s="451"/>
      <c r="AH23" s="422"/>
      <c r="AI23" s="451"/>
    </row>
    <row r="24" spans="1:35" ht="20" customHeight="1">
      <c r="A24" s="1871"/>
      <c r="B24" s="418" t="str">
        <f t="shared" si="1"/>
        <v>TW - 3. Hot Beverage</v>
      </c>
      <c r="C24" s="444"/>
      <c r="D24" s="422"/>
      <c r="E24" s="447"/>
      <c r="F24" s="422"/>
      <c r="G24" s="447"/>
      <c r="H24" s="422"/>
      <c r="I24" s="447"/>
      <c r="J24" s="422" t="str">
        <f>DEL!J94</f>
        <v/>
      </c>
      <c r="K24" s="447">
        <f>DEL!G94</f>
        <v>1</v>
      </c>
      <c r="L24" s="619"/>
      <c r="M24" s="447"/>
      <c r="N24" s="619"/>
      <c r="O24" s="449"/>
      <c r="P24" s="422"/>
      <c r="Q24" s="449"/>
      <c r="R24" s="422"/>
      <c r="S24" s="449"/>
      <c r="T24" s="619"/>
      <c r="U24" s="449"/>
      <c r="V24" s="422" t="str">
        <f>DEL!J93</f>
        <v/>
      </c>
      <c r="W24" s="450">
        <f>DEL!G93</f>
        <v>1</v>
      </c>
      <c r="X24" s="422"/>
      <c r="Y24" s="450"/>
      <c r="Z24" s="422"/>
      <c r="AA24" s="450"/>
      <c r="AB24" s="422"/>
      <c r="AC24" s="451"/>
      <c r="AD24" s="422"/>
      <c r="AE24" s="451"/>
      <c r="AF24" s="422"/>
      <c r="AG24" s="451"/>
      <c r="AH24" s="422"/>
      <c r="AI24" s="451"/>
    </row>
    <row r="25" spans="1:35" ht="20" customHeight="1">
      <c r="A25" s="1871"/>
      <c r="B25" s="418" t="str">
        <f t="shared" si="1"/>
        <v>TW - 4. Clearance Cart</v>
      </c>
      <c r="C25" s="444"/>
      <c r="D25" s="422"/>
      <c r="E25" s="447"/>
      <c r="F25" s="422"/>
      <c r="G25" s="447"/>
      <c r="H25" s="422"/>
      <c r="I25" s="447"/>
      <c r="J25" s="422" t="str">
        <f>DEL!K94</f>
        <v/>
      </c>
      <c r="K25" s="447">
        <f>DEL!G94</f>
        <v>1</v>
      </c>
      <c r="L25" s="619"/>
      <c r="M25" s="447"/>
      <c r="N25" s="619"/>
      <c r="O25" s="449"/>
      <c r="P25" s="422"/>
      <c r="Q25" s="449"/>
      <c r="R25" s="422"/>
      <c r="S25" s="449"/>
      <c r="T25" s="619"/>
      <c r="U25" s="449"/>
      <c r="V25" s="422" t="str">
        <f>DEL!K93</f>
        <v/>
      </c>
      <c r="W25" s="450">
        <f>DEL!G93</f>
        <v>1</v>
      </c>
      <c r="X25" s="422"/>
      <c r="Y25" s="450"/>
      <c r="Z25" s="422"/>
      <c r="AA25" s="450"/>
      <c r="AB25" s="422"/>
      <c r="AC25" s="451"/>
      <c r="AD25" s="422"/>
      <c r="AE25" s="451"/>
      <c r="AF25" s="422"/>
      <c r="AG25" s="451"/>
      <c r="AH25" s="422"/>
      <c r="AI25" s="451"/>
    </row>
    <row r="26" spans="1:35" ht="20" customHeight="1">
      <c r="A26" s="1871"/>
      <c r="B26" s="418" t="str">
        <f t="shared" si="1"/>
        <v>TW - 5. Final Clearance</v>
      </c>
      <c r="C26" s="444"/>
      <c r="D26" s="422"/>
      <c r="E26" s="447"/>
      <c r="F26" s="422"/>
      <c r="G26" s="447"/>
      <c r="H26" s="422"/>
      <c r="I26" s="447"/>
      <c r="J26" s="422" t="str">
        <f>DEL!L94</f>
        <v/>
      </c>
      <c r="K26" s="447">
        <f>DEL!G94</f>
        <v>1</v>
      </c>
      <c r="L26" s="619"/>
      <c r="M26" s="447"/>
      <c r="N26" s="619"/>
      <c r="O26" s="449"/>
      <c r="P26" s="422"/>
      <c r="Q26" s="449"/>
      <c r="R26" s="422"/>
      <c r="S26" s="449"/>
      <c r="T26" s="619"/>
      <c r="U26" s="449"/>
      <c r="V26" s="422" t="str">
        <f>DEL!L93</f>
        <v/>
      </c>
      <c r="W26" s="450">
        <f>DEL!G93</f>
        <v>1</v>
      </c>
      <c r="X26" s="422"/>
      <c r="Y26" s="450"/>
      <c r="Z26" s="422"/>
      <c r="AA26" s="450"/>
      <c r="AB26" s="422"/>
      <c r="AC26" s="451"/>
      <c r="AD26" s="422"/>
      <c r="AE26" s="451"/>
      <c r="AF26" s="422"/>
      <c r="AG26" s="451"/>
      <c r="AH26" s="422"/>
      <c r="AI26" s="451"/>
    </row>
    <row r="27" spans="1:35" ht="20" customHeight="1">
      <c r="A27" s="423"/>
      <c r="B27" s="429"/>
      <c r="C27" s="429"/>
      <c r="D27" s="513"/>
      <c r="E27" s="625"/>
      <c r="F27" s="626"/>
      <c r="G27" s="625"/>
      <c r="H27" s="626"/>
      <c r="I27" s="625"/>
      <c r="J27" s="626"/>
      <c r="K27" s="625"/>
      <c r="L27" s="513"/>
      <c r="M27" s="625"/>
      <c r="N27" s="513"/>
      <c r="O27" s="625"/>
      <c r="P27" s="513"/>
      <c r="Q27" s="625"/>
      <c r="R27" s="626"/>
      <c r="S27" s="625"/>
      <c r="T27" s="513"/>
      <c r="U27" s="625"/>
      <c r="V27" s="513"/>
      <c r="W27" s="625"/>
      <c r="X27" s="626"/>
      <c r="Y27" s="625"/>
      <c r="Z27" s="626"/>
      <c r="AA27" s="625"/>
      <c r="AB27" s="626"/>
      <c r="AC27" s="625"/>
      <c r="AD27" s="626"/>
      <c r="AE27" s="625"/>
      <c r="AF27" s="513"/>
      <c r="AG27" s="625"/>
      <c r="AH27" s="513"/>
      <c r="AI27" s="625"/>
    </row>
    <row r="28" spans="1:35" ht="20" customHeight="1">
      <c r="A28" s="1871" t="s">
        <v>17</v>
      </c>
      <c r="B28" s="418" t="str">
        <f>DEL!O99</f>
        <v>1. Champagne</v>
      </c>
      <c r="C28" s="444"/>
      <c r="D28" s="422"/>
      <c r="E28" s="447"/>
      <c r="F28" s="422"/>
      <c r="G28" s="447"/>
      <c r="H28" s="422"/>
      <c r="I28" s="447"/>
      <c r="J28" s="422"/>
      <c r="K28" s="447"/>
      <c r="L28" s="619" t="str">
        <f>DEL!U138</f>
        <v/>
      </c>
      <c r="M28" s="447">
        <f>DEL!T138</f>
        <v>1</v>
      </c>
      <c r="N28" s="619"/>
      <c r="O28" s="449"/>
      <c r="P28" s="422"/>
      <c r="Q28" s="449"/>
      <c r="R28" s="422"/>
      <c r="S28" s="449"/>
      <c r="T28" s="619"/>
      <c r="U28" s="449"/>
      <c r="V28" s="422"/>
      <c r="W28" s="450"/>
      <c r="X28" s="422"/>
      <c r="Y28" s="450"/>
      <c r="Z28" s="422"/>
      <c r="AA28" s="450"/>
      <c r="AB28" s="422"/>
      <c r="AC28" s="451"/>
      <c r="AD28" s="422"/>
      <c r="AE28" s="451"/>
      <c r="AF28" s="422" t="str">
        <f>DEL!U139</f>
        <v/>
      </c>
      <c r="AG28" s="451">
        <f>DEL!T139</f>
        <v>3</v>
      </c>
      <c r="AH28" s="422" t="str">
        <f>DEL!U140</f>
        <v/>
      </c>
      <c r="AI28" s="451">
        <f>DEL!T140</f>
        <v>8</v>
      </c>
    </row>
    <row r="29" spans="1:35" ht="20" customHeight="1">
      <c r="A29" s="1871"/>
      <c r="B29" s="418" t="str">
        <f>DEL!W99</f>
        <v>2. Wine 
- Small Bottles</v>
      </c>
      <c r="C29" s="444"/>
      <c r="D29" s="422"/>
      <c r="E29" s="447"/>
      <c r="F29" s="422"/>
      <c r="G29" s="447"/>
      <c r="H29" s="422"/>
      <c r="I29" s="447"/>
      <c r="J29" s="422"/>
      <c r="K29" s="447"/>
      <c r="L29" s="619" t="str">
        <f>DEL!AC135</f>
        <v/>
      </c>
      <c r="M29" s="447">
        <f>DEL!AB135</f>
        <v>1</v>
      </c>
      <c r="N29" s="619"/>
      <c r="O29" s="449"/>
      <c r="P29" s="422"/>
      <c r="Q29" s="449"/>
      <c r="R29" s="422"/>
      <c r="S29" s="449"/>
      <c r="T29" s="619"/>
      <c r="U29" s="449"/>
      <c r="V29" s="422"/>
      <c r="W29" s="450"/>
      <c r="X29" s="422"/>
      <c r="Y29" s="450"/>
      <c r="Z29" s="422"/>
      <c r="AA29" s="450"/>
      <c r="AB29" s="422"/>
      <c r="AC29" s="451"/>
      <c r="AD29" s="422"/>
      <c r="AE29" s="451"/>
      <c r="AF29" s="422" t="str">
        <f>DEL!AC136</f>
        <v/>
      </c>
      <c r="AG29" s="451">
        <f>DEL!AB136</f>
        <v>4</v>
      </c>
      <c r="AH29" s="422" t="str">
        <f>DEL!AC137</f>
        <v/>
      </c>
      <c r="AI29" s="451">
        <f>DEL!AB137</f>
        <v>6</v>
      </c>
    </row>
    <row r="30" spans="1:35" ht="20" customHeight="1">
      <c r="A30" s="1871"/>
      <c r="B30" s="418" t="str">
        <f>DEL!AE99</f>
        <v>3. White Wine Spritzer
- Small Bottles</v>
      </c>
      <c r="C30" s="444"/>
      <c r="D30" s="422"/>
      <c r="E30" s="447"/>
      <c r="F30" s="422"/>
      <c r="G30" s="447"/>
      <c r="H30" s="422"/>
      <c r="I30" s="447"/>
      <c r="J30" s="422"/>
      <c r="K30" s="447"/>
      <c r="L30" s="619" t="str">
        <f>DEL!AK144</f>
        <v/>
      </c>
      <c r="M30" s="447">
        <f>DEL!AJ144</f>
        <v>1</v>
      </c>
      <c r="N30" s="619"/>
      <c r="O30" s="449"/>
      <c r="P30" s="422"/>
      <c r="Q30" s="449"/>
      <c r="R30" s="422"/>
      <c r="S30" s="449"/>
      <c r="T30" s="619"/>
      <c r="U30" s="449"/>
      <c r="V30" s="422"/>
      <c r="W30" s="450"/>
      <c r="X30" s="422"/>
      <c r="Y30" s="450"/>
      <c r="Z30" s="422"/>
      <c r="AA30" s="450"/>
      <c r="AB30" s="422"/>
      <c r="AC30" s="451"/>
      <c r="AD30" s="422"/>
      <c r="AE30" s="451"/>
      <c r="AF30" s="422" t="str">
        <f>DEL!AK145</f>
        <v/>
      </c>
      <c r="AG30" s="451">
        <f>DEL!AJ145</f>
        <v>6</v>
      </c>
      <c r="AH30" s="422" t="str">
        <f>DEL!AK146</f>
        <v/>
      </c>
      <c r="AI30" s="451">
        <f>DEL!AJ146</f>
        <v>7</v>
      </c>
    </row>
    <row r="31" spans="1:35" ht="20" customHeight="1">
      <c r="A31" s="1871"/>
      <c r="B31" s="418" t="str">
        <f>DEL!AM99</f>
        <v>4. Wine
- Big Bottles</v>
      </c>
      <c r="C31" s="444"/>
      <c r="D31" s="422"/>
      <c r="E31" s="447"/>
      <c r="F31" s="422"/>
      <c r="G31" s="447"/>
      <c r="H31" s="422"/>
      <c r="I31" s="447"/>
      <c r="J31" s="422"/>
      <c r="K31" s="447"/>
      <c r="L31" s="619" t="str">
        <f>DEL!AS141</f>
        <v/>
      </c>
      <c r="M31" s="447">
        <f>DEL!AR141</f>
        <v>1</v>
      </c>
      <c r="N31" s="619"/>
      <c r="O31" s="449"/>
      <c r="P31" s="422"/>
      <c r="Q31" s="449"/>
      <c r="R31" s="422"/>
      <c r="S31" s="449"/>
      <c r="T31" s="619"/>
      <c r="U31" s="449"/>
      <c r="V31" s="422"/>
      <c r="W31" s="450"/>
      <c r="X31" s="422"/>
      <c r="Y31" s="450"/>
      <c r="Z31" s="422"/>
      <c r="AA31" s="450"/>
      <c r="AB31" s="422"/>
      <c r="AC31" s="451"/>
      <c r="AD31" s="422"/>
      <c r="AE31" s="451"/>
      <c r="AF31" s="422" t="str">
        <f>DEL!AS142</f>
        <v/>
      </c>
      <c r="AG31" s="451">
        <f>DEL!AR142</f>
        <v>4</v>
      </c>
      <c r="AH31" s="422" t="str">
        <f>DEL!AS143</f>
        <v/>
      </c>
      <c r="AI31" s="451">
        <f>DEL!AR143</f>
        <v>8</v>
      </c>
    </row>
    <row r="32" spans="1:35" ht="20" customHeight="1">
      <c r="A32" s="1871"/>
      <c r="B32" s="418" t="str">
        <f>DEL!AU99</f>
        <v>5. Dry - White Wine Spritzer - Big Bottle of Wine</v>
      </c>
      <c r="C32" s="444"/>
      <c r="D32" s="422"/>
      <c r="E32" s="447"/>
      <c r="F32" s="422"/>
      <c r="G32" s="447"/>
      <c r="H32" s="422"/>
      <c r="I32" s="447"/>
      <c r="J32" s="422"/>
      <c r="K32" s="447"/>
      <c r="L32" s="619" t="str">
        <f>DEL!BA144</f>
        <v/>
      </c>
      <c r="M32" s="447">
        <f>DEL!AZ144</f>
        <v>1</v>
      </c>
      <c r="N32" s="619"/>
      <c r="O32" s="449"/>
      <c r="P32" s="422"/>
      <c r="Q32" s="449"/>
      <c r="R32" s="422"/>
      <c r="S32" s="449"/>
      <c r="T32" s="619"/>
      <c r="U32" s="449"/>
      <c r="V32" s="422"/>
      <c r="W32" s="450"/>
      <c r="X32" s="422"/>
      <c r="Y32" s="450"/>
      <c r="Z32" s="422"/>
      <c r="AA32" s="450"/>
      <c r="AB32" s="422"/>
      <c r="AC32" s="451"/>
      <c r="AD32" s="422"/>
      <c r="AE32" s="451"/>
      <c r="AF32" s="422" t="str">
        <f>DEL!BA145</f>
        <v/>
      </c>
      <c r="AG32" s="451">
        <f>DEL!AZ145</f>
        <v>6</v>
      </c>
      <c r="AH32" s="422" t="str">
        <f>DEL!BA146</f>
        <v/>
      </c>
      <c r="AI32" s="451">
        <f>DEL!AZ146</f>
        <v>7</v>
      </c>
    </row>
    <row r="33" spans="1:35" ht="20" customHeight="1">
      <c r="A33" s="1871"/>
      <c r="B33" s="418" t="str">
        <f>DEL!BC99</f>
        <v>6. Sweet - White Wine Spritzer- Big Bottle of Wine</v>
      </c>
      <c r="C33" s="444"/>
      <c r="D33" s="422"/>
      <c r="E33" s="447"/>
      <c r="F33" s="422"/>
      <c r="G33" s="447"/>
      <c r="H33" s="422"/>
      <c r="I33" s="447"/>
      <c r="J33" s="422"/>
      <c r="K33" s="447"/>
      <c r="L33" s="619" t="str">
        <f>DEL!BI144</f>
        <v/>
      </c>
      <c r="M33" s="447">
        <f>DEL!BH144</f>
        <v>1</v>
      </c>
      <c r="N33" s="619"/>
      <c r="O33" s="449"/>
      <c r="P33" s="422"/>
      <c r="Q33" s="449"/>
      <c r="R33" s="422"/>
      <c r="S33" s="449"/>
      <c r="T33" s="619"/>
      <c r="U33" s="449"/>
      <c r="V33" s="422"/>
      <c r="W33" s="450"/>
      <c r="X33" s="422"/>
      <c r="Y33" s="450"/>
      <c r="Z33" s="422"/>
      <c r="AA33" s="450"/>
      <c r="AB33" s="422"/>
      <c r="AC33" s="451"/>
      <c r="AD33" s="422"/>
      <c r="AE33" s="451"/>
      <c r="AF33" s="422" t="str">
        <f>DEL!BI145</f>
        <v/>
      </c>
      <c r="AG33" s="451">
        <f>DEL!BH145</f>
        <v>6</v>
      </c>
      <c r="AH33" s="422" t="str">
        <f>DEL!BI146</f>
        <v/>
      </c>
      <c r="AI33" s="451">
        <f>DEL!BH146</f>
        <v>7</v>
      </c>
    </row>
    <row r="34" spans="1:35" ht="20" customHeight="1">
      <c r="A34" s="1871"/>
      <c r="B34" s="418" t="str">
        <f>DEL!O149</f>
        <v>7. Liqueur</v>
      </c>
      <c r="C34" s="444"/>
      <c r="D34" s="422"/>
      <c r="E34" s="447"/>
      <c r="F34" s="422"/>
      <c r="G34" s="447"/>
      <c r="H34" s="422"/>
      <c r="I34" s="447"/>
      <c r="J34" s="422"/>
      <c r="K34" s="447"/>
      <c r="L34" s="619" t="str">
        <f>DEL!U185</f>
        <v/>
      </c>
      <c r="M34" s="447">
        <f>DEL!T185</f>
        <v>1</v>
      </c>
      <c r="N34" s="619"/>
      <c r="O34" s="449"/>
      <c r="P34" s="422"/>
      <c r="Q34" s="449"/>
      <c r="R34" s="422"/>
      <c r="S34" s="449"/>
      <c r="T34" s="619"/>
      <c r="U34" s="449"/>
      <c r="V34" s="422"/>
      <c r="W34" s="450"/>
      <c r="X34" s="422"/>
      <c r="Y34" s="450"/>
      <c r="Z34" s="422"/>
      <c r="AA34" s="450"/>
      <c r="AB34" s="422"/>
      <c r="AC34" s="451"/>
      <c r="AD34" s="422"/>
      <c r="AE34" s="451"/>
      <c r="AF34" s="422" t="str">
        <f>DEL!U186</f>
        <v/>
      </c>
      <c r="AG34" s="451">
        <f>DEL!T186</f>
        <v>4</v>
      </c>
      <c r="AH34" s="422" t="str">
        <f>DEL!U187</f>
        <v/>
      </c>
      <c r="AI34" s="451">
        <f>DEL!T187</f>
        <v>6</v>
      </c>
    </row>
    <row r="35" spans="1:35" ht="20" customHeight="1">
      <c r="A35" s="1871"/>
      <c r="B35" s="418" t="str">
        <f>DEL!W149</f>
        <v>8. Shandy</v>
      </c>
      <c r="C35" s="444"/>
      <c r="D35" s="422"/>
      <c r="E35" s="447"/>
      <c r="F35" s="422"/>
      <c r="G35" s="447"/>
      <c r="H35" s="422"/>
      <c r="I35" s="447"/>
      <c r="J35" s="422"/>
      <c r="K35" s="447"/>
      <c r="L35" s="619" t="str">
        <f>DEL!AC182</f>
        <v/>
      </c>
      <c r="M35" s="447">
        <f>DEL!AB182</f>
        <v>1</v>
      </c>
      <c r="N35" s="619"/>
      <c r="O35" s="449"/>
      <c r="P35" s="422"/>
      <c r="Q35" s="449"/>
      <c r="R35" s="422"/>
      <c r="S35" s="449"/>
      <c r="T35" s="619"/>
      <c r="U35" s="449"/>
      <c r="V35" s="422"/>
      <c r="W35" s="450"/>
      <c r="X35" s="422"/>
      <c r="Y35" s="450"/>
      <c r="Z35" s="422"/>
      <c r="AA35" s="450"/>
      <c r="AB35" s="422"/>
      <c r="AC35" s="451"/>
      <c r="AD35" s="422"/>
      <c r="AE35" s="451"/>
      <c r="AF35" s="422" t="str">
        <f>DEL!AC183</f>
        <v/>
      </c>
      <c r="AG35" s="451">
        <f>DEL!AB183</f>
        <v>3</v>
      </c>
      <c r="AH35" s="422" t="str">
        <f>DEL!AC184</f>
        <v/>
      </c>
      <c r="AI35" s="451">
        <f>DEL!AB184</f>
        <v>6</v>
      </c>
    </row>
    <row r="36" spans="1:35" ht="20" customHeight="1">
      <c r="A36" s="1871"/>
      <c r="B36" s="418" t="str">
        <f>DEL!AE149</f>
        <v>9. Hot Beverage 
- Tea</v>
      </c>
      <c r="C36" s="444"/>
      <c r="D36" s="422"/>
      <c r="E36" s="447"/>
      <c r="F36" s="422"/>
      <c r="G36" s="447"/>
      <c r="H36" s="422"/>
      <c r="I36" s="447"/>
      <c r="J36" s="422"/>
      <c r="K36" s="447"/>
      <c r="L36" s="619" t="str">
        <f>DEL!AK182</f>
        <v/>
      </c>
      <c r="M36" s="447">
        <f>DEL!AJ182</f>
        <v>1</v>
      </c>
      <c r="N36" s="619"/>
      <c r="O36" s="449"/>
      <c r="P36" s="422"/>
      <c r="Q36" s="449"/>
      <c r="R36" s="422"/>
      <c r="S36" s="449"/>
      <c r="T36" s="619"/>
      <c r="U36" s="449"/>
      <c r="V36" s="422"/>
      <c r="W36" s="450"/>
      <c r="X36" s="422"/>
      <c r="Y36" s="450"/>
      <c r="Z36" s="422"/>
      <c r="AA36" s="450"/>
      <c r="AB36" s="422"/>
      <c r="AC36" s="451"/>
      <c r="AD36" s="422"/>
      <c r="AE36" s="451"/>
      <c r="AF36" s="422" t="str">
        <f>DEL!AK183</f>
        <v/>
      </c>
      <c r="AG36" s="451">
        <f>DEL!AJ183</f>
        <v>2</v>
      </c>
      <c r="AH36" s="422" t="str">
        <f>DEL!AK184</f>
        <v/>
      </c>
      <c r="AI36" s="451">
        <f>DEL!AJ184</f>
        <v>7</v>
      </c>
    </row>
    <row r="37" spans="1:35" ht="20" customHeight="1">
      <c r="A37" s="1871"/>
      <c r="B37" s="418" t="str">
        <f>DEL!AM149</f>
        <v>10. Beer</v>
      </c>
      <c r="C37" s="444"/>
      <c r="D37" s="422"/>
      <c r="E37" s="447"/>
      <c r="F37" s="422"/>
      <c r="G37" s="447"/>
      <c r="H37" s="422"/>
      <c r="I37" s="447"/>
      <c r="J37" s="422"/>
      <c r="K37" s="447"/>
      <c r="L37" s="619" t="str">
        <f>DEL!AS179</f>
        <v/>
      </c>
      <c r="M37" s="447">
        <f>DEL!AR179</f>
        <v>1</v>
      </c>
      <c r="N37" s="619"/>
      <c r="O37" s="449"/>
      <c r="P37" s="422"/>
      <c r="Q37" s="449"/>
      <c r="R37" s="422"/>
      <c r="S37" s="449"/>
      <c r="T37" s="619"/>
      <c r="U37" s="449"/>
      <c r="V37" s="422"/>
      <c r="W37" s="450"/>
      <c r="X37" s="422"/>
      <c r="Y37" s="450"/>
      <c r="Z37" s="422"/>
      <c r="AA37" s="450"/>
      <c r="AB37" s="422"/>
      <c r="AC37" s="451"/>
      <c r="AD37" s="422"/>
      <c r="AE37" s="451"/>
      <c r="AF37" s="422" t="str">
        <f>DEL!AS180</f>
        <v/>
      </c>
      <c r="AG37" s="451">
        <f>DEL!AR180</f>
        <v>2</v>
      </c>
      <c r="AH37" s="422" t="str">
        <f>DEL!AS181</f>
        <v/>
      </c>
      <c r="AI37" s="451">
        <f>DEL!AR181</f>
        <v>6</v>
      </c>
    </row>
    <row r="38" spans="1:35" ht="20" customHeight="1">
      <c r="A38" s="1871"/>
      <c r="B38" s="418" t="str">
        <f>DEL!AU149</f>
        <v>11. Screwdriver</v>
      </c>
      <c r="C38" s="444"/>
      <c r="D38" s="422"/>
      <c r="E38" s="447"/>
      <c r="F38" s="422"/>
      <c r="G38" s="447"/>
      <c r="H38" s="422"/>
      <c r="I38" s="447"/>
      <c r="J38" s="422"/>
      <c r="K38" s="447"/>
      <c r="L38" s="619" t="str">
        <f>DEL!BA194</f>
        <v/>
      </c>
      <c r="M38" s="447">
        <f>DEL!AZ194</f>
        <v>1</v>
      </c>
      <c r="N38" s="619"/>
      <c r="O38" s="449"/>
      <c r="P38" s="422"/>
      <c r="Q38" s="449"/>
      <c r="R38" s="422"/>
      <c r="S38" s="449"/>
      <c r="T38" s="619"/>
      <c r="U38" s="449"/>
      <c r="V38" s="422"/>
      <c r="W38" s="450"/>
      <c r="X38" s="422"/>
      <c r="Y38" s="450"/>
      <c r="Z38" s="422"/>
      <c r="AA38" s="450"/>
      <c r="AB38" s="422"/>
      <c r="AC38" s="451"/>
      <c r="AD38" s="422"/>
      <c r="AE38" s="451"/>
      <c r="AF38" s="422" t="str">
        <f>DEL!BA195</f>
        <v/>
      </c>
      <c r="AG38" s="451">
        <f>DEL!AZ195</f>
        <v>4</v>
      </c>
      <c r="AH38" s="422" t="str">
        <f>DEL!BA196</f>
        <v/>
      </c>
      <c r="AI38" s="451">
        <f>DEL!AZ196</f>
        <v>9</v>
      </c>
    </row>
    <row r="39" spans="1:35" ht="20" customHeight="1">
      <c r="A39" s="1871"/>
      <c r="B39" s="418" t="str">
        <f>DEL!BC149</f>
        <v>12. Gin &amp; Orange Juice</v>
      </c>
      <c r="C39" s="444"/>
      <c r="D39" s="422"/>
      <c r="E39" s="447"/>
      <c r="F39" s="422"/>
      <c r="G39" s="447"/>
      <c r="H39" s="422"/>
      <c r="I39" s="447"/>
      <c r="J39" s="422"/>
      <c r="K39" s="447"/>
      <c r="L39" s="619" t="str">
        <f>DEL!BI194</f>
        <v/>
      </c>
      <c r="M39" s="447">
        <f>DEL!BH194</f>
        <v>1</v>
      </c>
      <c r="N39" s="619"/>
      <c r="O39" s="449"/>
      <c r="P39" s="422"/>
      <c r="Q39" s="449"/>
      <c r="R39" s="422"/>
      <c r="S39" s="449"/>
      <c r="T39" s="619"/>
      <c r="U39" s="449"/>
      <c r="V39" s="422"/>
      <c r="W39" s="450"/>
      <c r="X39" s="422"/>
      <c r="Y39" s="450"/>
      <c r="Z39" s="422"/>
      <c r="AA39" s="450"/>
      <c r="AB39" s="422"/>
      <c r="AC39" s="451"/>
      <c r="AD39" s="422"/>
      <c r="AE39" s="451"/>
      <c r="AF39" s="422" t="str">
        <f>DEL!BI195</f>
        <v/>
      </c>
      <c r="AG39" s="451">
        <f>DEL!BH195</f>
        <v>5</v>
      </c>
      <c r="AH39" s="422" t="str">
        <f>DEL!BI196</f>
        <v/>
      </c>
      <c r="AI39" s="451">
        <f>DEL!BH196</f>
        <v>8</v>
      </c>
    </row>
    <row r="40" spans="1:35" ht="20" customHeight="1">
      <c r="A40" s="1871"/>
      <c r="B40" s="418" t="str">
        <f>DEL!O199</f>
        <v>13. Rum &amp; Pepsi</v>
      </c>
      <c r="C40" s="444"/>
      <c r="D40" s="422"/>
      <c r="E40" s="447"/>
      <c r="F40" s="422"/>
      <c r="G40" s="447"/>
      <c r="H40" s="422"/>
      <c r="I40" s="447"/>
      <c r="J40" s="422"/>
      <c r="K40" s="447"/>
      <c r="L40" s="619" t="str">
        <f>DEL!U241</f>
        <v/>
      </c>
      <c r="M40" s="447">
        <f>DEL!T241</f>
        <v>1</v>
      </c>
      <c r="N40" s="619"/>
      <c r="O40" s="449"/>
      <c r="P40" s="422"/>
      <c r="Q40" s="449"/>
      <c r="R40" s="422"/>
      <c r="S40" s="449"/>
      <c r="T40" s="619"/>
      <c r="U40" s="449"/>
      <c r="V40" s="422"/>
      <c r="W40" s="450"/>
      <c r="X40" s="422"/>
      <c r="Y40" s="450"/>
      <c r="Z40" s="422"/>
      <c r="AA40" s="450"/>
      <c r="AB40" s="422"/>
      <c r="AC40" s="451"/>
      <c r="AD40" s="422"/>
      <c r="AE40" s="451"/>
      <c r="AF40" s="422" t="str">
        <f>DEL!U242</f>
        <v/>
      </c>
      <c r="AG40" s="451">
        <f>DEL!T242</f>
        <v>5</v>
      </c>
      <c r="AH40" s="422" t="str">
        <f>DEL!U243</f>
        <v/>
      </c>
      <c r="AI40" s="451">
        <f>DEL!T243</f>
        <v>7</v>
      </c>
    </row>
    <row r="41" spans="1:35" ht="20" customHeight="1">
      <c r="A41" s="1871"/>
      <c r="B41" s="418" t="str">
        <f>DEL!W199</f>
        <v>14. Gin &amp; Tonic</v>
      </c>
      <c r="C41" s="444"/>
      <c r="D41" s="422"/>
      <c r="E41" s="447"/>
      <c r="F41" s="422"/>
      <c r="G41" s="447"/>
      <c r="H41" s="422"/>
      <c r="I41" s="447"/>
      <c r="J41" s="422"/>
      <c r="K41" s="447"/>
      <c r="L41" s="619" t="str">
        <f>DEL!AC241</f>
        <v/>
      </c>
      <c r="M41" s="447">
        <f>DEL!AB241</f>
        <v>1</v>
      </c>
      <c r="N41" s="619"/>
      <c r="O41" s="449"/>
      <c r="P41" s="422"/>
      <c r="Q41" s="449"/>
      <c r="R41" s="422"/>
      <c r="S41" s="449"/>
      <c r="T41" s="619"/>
      <c r="U41" s="449"/>
      <c r="V41" s="422"/>
      <c r="W41" s="450"/>
      <c r="X41" s="422"/>
      <c r="Y41" s="450"/>
      <c r="Z41" s="422"/>
      <c r="AA41" s="450"/>
      <c r="AB41" s="422"/>
      <c r="AC41" s="451"/>
      <c r="AD41" s="422"/>
      <c r="AE41" s="451"/>
      <c r="AF41" s="422" t="str">
        <f>DEL!AC242</f>
        <v/>
      </c>
      <c r="AG41" s="451">
        <f>DEL!AB242</f>
        <v>6</v>
      </c>
      <c r="AH41" s="422" t="str">
        <f>DEL!AC243</f>
        <v/>
      </c>
      <c r="AI41" s="451">
        <f>DEL!AB243</f>
        <v>6</v>
      </c>
    </row>
    <row r="42" spans="1:35" ht="20" customHeight="1">
      <c r="A42" s="1871"/>
      <c r="B42" s="418" t="str">
        <f>DEL!AE199</f>
        <v>15. Scotch &amp; Soda</v>
      </c>
      <c r="C42" s="444"/>
      <c r="D42" s="422"/>
      <c r="E42" s="447"/>
      <c r="F42" s="422"/>
      <c r="G42" s="447"/>
      <c r="H42" s="422"/>
      <c r="I42" s="447"/>
      <c r="J42" s="422"/>
      <c r="K42" s="447"/>
      <c r="L42" s="619" t="str">
        <f>DEL!AK238</f>
        <v/>
      </c>
      <c r="M42" s="447">
        <f>DEL!AJ238</f>
        <v>1</v>
      </c>
      <c r="N42" s="619"/>
      <c r="O42" s="449"/>
      <c r="P42" s="422"/>
      <c r="Q42" s="449"/>
      <c r="R42" s="422"/>
      <c r="S42" s="449"/>
      <c r="T42" s="619"/>
      <c r="U42" s="449"/>
      <c r="V42" s="422"/>
      <c r="W42" s="450"/>
      <c r="X42" s="422"/>
      <c r="Y42" s="450"/>
      <c r="Z42" s="422"/>
      <c r="AA42" s="450"/>
      <c r="AB42" s="422"/>
      <c r="AC42" s="451"/>
      <c r="AD42" s="422"/>
      <c r="AE42" s="451"/>
      <c r="AF42" s="422" t="str">
        <f>DEL!AK239</f>
        <v/>
      </c>
      <c r="AG42" s="451">
        <f>DEL!AJ239</f>
        <v>4</v>
      </c>
      <c r="AH42" s="422" t="str">
        <f>DEL!AK240</f>
        <v/>
      </c>
      <c r="AI42" s="451">
        <f>DEL!AJ240</f>
        <v>7</v>
      </c>
    </row>
    <row r="43" spans="1:35" ht="20" customHeight="1">
      <c r="A43" s="1871"/>
      <c r="B43" s="418" t="str">
        <f>DEL!AM199</f>
        <v>16. Bloody Mary</v>
      </c>
      <c r="C43" s="444"/>
      <c r="D43" s="422"/>
      <c r="E43" s="447"/>
      <c r="F43" s="422"/>
      <c r="G43" s="447"/>
      <c r="H43" s="422"/>
      <c r="I43" s="447"/>
      <c r="J43" s="422"/>
      <c r="K43" s="447"/>
      <c r="L43" s="619" t="str">
        <f>DEL!AS250</f>
        <v/>
      </c>
      <c r="M43" s="447">
        <f>DEL!AR250</f>
        <v>1</v>
      </c>
      <c r="N43" s="619"/>
      <c r="O43" s="449"/>
      <c r="P43" s="422"/>
      <c r="Q43" s="449"/>
      <c r="R43" s="422"/>
      <c r="S43" s="449"/>
      <c r="T43" s="619"/>
      <c r="U43" s="449"/>
      <c r="V43" s="422"/>
      <c r="W43" s="450"/>
      <c r="X43" s="422"/>
      <c r="Y43" s="450"/>
      <c r="Z43" s="422"/>
      <c r="AA43" s="450"/>
      <c r="AB43" s="422"/>
      <c r="AC43" s="451"/>
      <c r="AD43" s="422"/>
      <c r="AE43" s="451"/>
      <c r="AF43" s="422" t="str">
        <f>DEL!AS251</f>
        <v/>
      </c>
      <c r="AG43" s="451">
        <f>DEL!AR251</f>
        <v>6</v>
      </c>
      <c r="AH43" s="422" t="str">
        <f>DEL!AS252</f>
        <v/>
      </c>
      <c r="AI43" s="451">
        <f>DEL!AR252</f>
        <v>9</v>
      </c>
    </row>
    <row r="44" spans="1:35" ht="20" customHeight="1">
      <c r="A44" s="627"/>
      <c r="B44" s="628" t="str">
        <f>"MCS - "&amp;B28</f>
        <v>MCS - 1. Champagne</v>
      </c>
      <c r="C44" s="624"/>
      <c r="D44" s="32" t="str">
        <f>DEL!H129</f>
        <v/>
      </c>
      <c r="E44" s="447">
        <f>DEL!G129</f>
        <v>4</v>
      </c>
      <c r="F44" s="422"/>
      <c r="G44" s="447"/>
      <c r="H44" s="422"/>
      <c r="I44" s="447"/>
      <c r="J44" s="422"/>
      <c r="K44" s="447"/>
      <c r="L44" s="619" t="str">
        <f>DEL!H130</f>
        <v/>
      </c>
      <c r="M44" s="447">
        <f>DEL!G130</f>
        <v>1</v>
      </c>
      <c r="N44" s="619" t="str">
        <f>DEL!H131</f>
        <v/>
      </c>
      <c r="O44" s="449">
        <f>DEL!G131</f>
        <v>2</v>
      </c>
      <c r="P44" s="422"/>
      <c r="Q44" s="449"/>
      <c r="R44" s="422"/>
      <c r="S44" s="449"/>
      <c r="T44" s="619" t="str">
        <f>DEL!H132</f>
        <v/>
      </c>
      <c r="U44" s="449">
        <f>DEL!G132</f>
        <v>2</v>
      </c>
      <c r="V44" s="422"/>
      <c r="W44" s="450"/>
      <c r="X44" s="422"/>
      <c r="Y44" s="450"/>
      <c r="Z44" s="422"/>
      <c r="AA44" s="450"/>
      <c r="AB44" s="422"/>
      <c r="AC44" s="451"/>
      <c r="AD44" s="422"/>
      <c r="AE44" s="451"/>
      <c r="AF44" s="422"/>
      <c r="AG44" s="451"/>
      <c r="AH44" s="422"/>
      <c r="AI44" s="451"/>
    </row>
    <row r="45" spans="1:35" ht="20" customHeight="1">
      <c r="A45" s="627"/>
      <c r="B45" s="628" t="str">
        <f t="shared" ref="B45:B59" si="2">"MCS - "&amp;B29</f>
        <v>MCS - 2. Wine 
- Small Bottles</v>
      </c>
      <c r="C45" s="624"/>
      <c r="D45" s="32" t="str">
        <f>DEL!I129</f>
        <v/>
      </c>
      <c r="E45" s="447">
        <f>DEL!G129</f>
        <v>4</v>
      </c>
      <c r="F45" s="422"/>
      <c r="G45" s="447"/>
      <c r="H45" s="422"/>
      <c r="I45" s="447"/>
      <c r="J45" s="422"/>
      <c r="K45" s="447"/>
      <c r="L45" s="619" t="str">
        <f>DEL!I130</f>
        <v/>
      </c>
      <c r="M45" s="447">
        <f>DEL!G130</f>
        <v>1</v>
      </c>
      <c r="N45" s="619" t="str">
        <f>DEL!I131</f>
        <v/>
      </c>
      <c r="O45" s="449">
        <f>DEL!G131</f>
        <v>2</v>
      </c>
      <c r="P45" s="422"/>
      <c r="Q45" s="449"/>
      <c r="R45" s="422"/>
      <c r="S45" s="449"/>
      <c r="T45" s="619" t="str">
        <f>DEL!I132</f>
        <v/>
      </c>
      <c r="U45" s="449">
        <f>DEL!G132</f>
        <v>2</v>
      </c>
      <c r="V45" s="422"/>
      <c r="W45" s="450"/>
      <c r="X45" s="422"/>
      <c r="Y45" s="450"/>
      <c r="Z45" s="422"/>
      <c r="AA45" s="450"/>
      <c r="AB45" s="422"/>
      <c r="AC45" s="451"/>
      <c r="AD45" s="422"/>
      <c r="AE45" s="451"/>
      <c r="AF45" s="422"/>
      <c r="AG45" s="451"/>
      <c r="AH45" s="422"/>
      <c r="AI45" s="451"/>
    </row>
    <row r="46" spans="1:35" ht="20" customHeight="1">
      <c r="A46" s="627"/>
      <c r="B46" s="628" t="str">
        <f t="shared" si="2"/>
        <v>MCS - 3. White Wine Spritzer
- Small Bottles</v>
      </c>
      <c r="C46" s="624"/>
      <c r="D46" s="32" t="str">
        <f>DEL!J129</f>
        <v/>
      </c>
      <c r="E46" s="447">
        <f>DEL!G129</f>
        <v>4</v>
      </c>
      <c r="F46" s="422"/>
      <c r="G46" s="447"/>
      <c r="H46" s="422"/>
      <c r="I46" s="447"/>
      <c r="J46" s="422"/>
      <c r="K46" s="447"/>
      <c r="L46" s="619" t="str">
        <f>DEL!J130</f>
        <v/>
      </c>
      <c r="M46" s="447">
        <f>DEL!G130</f>
        <v>1</v>
      </c>
      <c r="N46" s="619" t="str">
        <f>DEL!J131</f>
        <v/>
      </c>
      <c r="O46" s="449">
        <f>DEL!G131</f>
        <v>2</v>
      </c>
      <c r="P46" s="422"/>
      <c r="Q46" s="449"/>
      <c r="R46" s="422"/>
      <c r="S46" s="449"/>
      <c r="T46" s="619" t="str">
        <f>DEL!J132</f>
        <v/>
      </c>
      <c r="U46" s="449">
        <f>DEL!G132</f>
        <v>2</v>
      </c>
      <c r="V46" s="422"/>
      <c r="W46" s="450"/>
      <c r="X46" s="422"/>
      <c r="Y46" s="450"/>
      <c r="Z46" s="422"/>
      <c r="AA46" s="450"/>
      <c r="AB46" s="422"/>
      <c r="AC46" s="451"/>
      <c r="AD46" s="422"/>
      <c r="AE46" s="451"/>
      <c r="AF46" s="422"/>
      <c r="AG46" s="451"/>
      <c r="AH46" s="422"/>
      <c r="AI46" s="451"/>
    </row>
    <row r="47" spans="1:35" ht="20" customHeight="1">
      <c r="A47" s="627"/>
      <c r="B47" s="628" t="str">
        <f t="shared" si="2"/>
        <v>MCS - 4. Wine
- Big Bottles</v>
      </c>
      <c r="C47" s="624"/>
      <c r="D47" s="32" t="str">
        <f>DEL!K129</f>
        <v/>
      </c>
      <c r="E47" s="447">
        <f>DEL!G129</f>
        <v>4</v>
      </c>
      <c r="F47" s="422"/>
      <c r="G47" s="447"/>
      <c r="H47" s="422"/>
      <c r="I47" s="447"/>
      <c r="J47" s="422"/>
      <c r="K47" s="447"/>
      <c r="L47" s="619" t="str">
        <f>DEL!K130</f>
        <v/>
      </c>
      <c r="M47" s="447">
        <f>DEL!G130</f>
        <v>1</v>
      </c>
      <c r="N47" s="619" t="str">
        <f>DEL!K131</f>
        <v/>
      </c>
      <c r="O47" s="449">
        <f>DEL!G131</f>
        <v>2</v>
      </c>
      <c r="P47" s="422"/>
      <c r="Q47" s="449"/>
      <c r="R47" s="422"/>
      <c r="S47" s="449"/>
      <c r="T47" s="619" t="str">
        <f>DEL!K132</f>
        <v/>
      </c>
      <c r="U47" s="449">
        <f>DEL!G132</f>
        <v>2</v>
      </c>
      <c r="V47" s="422"/>
      <c r="W47" s="450"/>
      <c r="X47" s="422"/>
      <c r="Y47" s="450"/>
      <c r="Z47" s="422"/>
      <c r="AA47" s="450"/>
      <c r="AB47" s="422"/>
      <c r="AC47" s="451"/>
      <c r="AD47" s="422"/>
      <c r="AE47" s="451"/>
      <c r="AF47" s="422"/>
      <c r="AG47" s="451"/>
      <c r="AH47" s="422"/>
      <c r="AI47" s="451"/>
    </row>
    <row r="48" spans="1:35" ht="20" customHeight="1">
      <c r="A48" s="627"/>
      <c r="B48" s="628" t="str">
        <f t="shared" si="2"/>
        <v>MCS - 5. Dry - White Wine Spritzer - Big Bottle of Wine</v>
      </c>
      <c r="C48" s="624"/>
      <c r="D48" s="32" t="str">
        <f>DEL!L129</f>
        <v/>
      </c>
      <c r="E48" s="447">
        <f>DEL!G129</f>
        <v>4</v>
      </c>
      <c r="F48" s="422"/>
      <c r="G48" s="447"/>
      <c r="H48" s="422"/>
      <c r="I48" s="447"/>
      <c r="J48" s="422"/>
      <c r="K48" s="447"/>
      <c r="L48" s="619" t="str">
        <f>DEL!L130</f>
        <v/>
      </c>
      <c r="M48" s="447">
        <f>DEL!G130</f>
        <v>1</v>
      </c>
      <c r="N48" s="619" t="str">
        <f>DEL!L131</f>
        <v/>
      </c>
      <c r="O48" s="449">
        <f>DEL!G131</f>
        <v>2</v>
      </c>
      <c r="P48" s="422"/>
      <c r="Q48" s="449"/>
      <c r="R48" s="422"/>
      <c r="S48" s="449"/>
      <c r="T48" s="619" t="str">
        <f>DEL!L132</f>
        <v/>
      </c>
      <c r="U48" s="449">
        <f>DEL!G132</f>
        <v>2</v>
      </c>
      <c r="V48" s="422"/>
      <c r="W48" s="450"/>
      <c r="X48" s="422"/>
      <c r="Y48" s="450"/>
      <c r="Z48" s="422"/>
      <c r="AA48" s="450"/>
      <c r="AB48" s="422"/>
      <c r="AC48" s="451"/>
      <c r="AD48" s="422"/>
      <c r="AE48" s="451"/>
      <c r="AF48" s="422"/>
      <c r="AG48" s="451"/>
      <c r="AH48" s="422"/>
      <c r="AI48" s="451"/>
    </row>
    <row r="49" spans="1:35" ht="20" customHeight="1">
      <c r="A49" s="627"/>
      <c r="B49" s="628" t="str">
        <f t="shared" si="2"/>
        <v>MCS - 6. Sweet - White Wine Spritzer- Big Bottle of Wine</v>
      </c>
      <c r="C49" s="624"/>
      <c r="D49" s="32" t="str">
        <f>DEL!M129</f>
        <v/>
      </c>
      <c r="E49" s="447">
        <f>DEL!G129</f>
        <v>4</v>
      </c>
      <c r="F49" s="422"/>
      <c r="G49" s="447"/>
      <c r="H49" s="422"/>
      <c r="I49" s="447"/>
      <c r="J49" s="422"/>
      <c r="K49" s="447"/>
      <c r="L49" s="619" t="str">
        <f>DEL!M130</f>
        <v/>
      </c>
      <c r="M49" s="447">
        <f>DEL!G130</f>
        <v>1</v>
      </c>
      <c r="N49" s="619" t="str">
        <f>DEL!M131</f>
        <v/>
      </c>
      <c r="O49" s="449">
        <f>DEL!G131</f>
        <v>2</v>
      </c>
      <c r="P49" s="422"/>
      <c r="Q49" s="449"/>
      <c r="R49" s="422"/>
      <c r="S49" s="449"/>
      <c r="T49" s="619" t="str">
        <f>DEL!M132</f>
        <v/>
      </c>
      <c r="U49" s="449">
        <f>DEL!G132</f>
        <v>2</v>
      </c>
      <c r="V49" s="422"/>
      <c r="W49" s="450"/>
      <c r="X49" s="422"/>
      <c r="Y49" s="450"/>
      <c r="Z49" s="422"/>
      <c r="AA49" s="450"/>
      <c r="AB49" s="422"/>
      <c r="AC49" s="451"/>
      <c r="AD49" s="422"/>
      <c r="AE49" s="451"/>
      <c r="AF49" s="422"/>
      <c r="AG49" s="451"/>
      <c r="AH49" s="422"/>
      <c r="AI49" s="451"/>
    </row>
    <row r="50" spans="1:35" ht="20" customHeight="1">
      <c r="A50" s="627"/>
      <c r="B50" s="628" t="str">
        <f t="shared" si="2"/>
        <v>MCS - 7. Liqueur</v>
      </c>
      <c r="C50" s="624"/>
      <c r="D50" s="32" t="str">
        <f>DEL!H179</f>
        <v/>
      </c>
      <c r="E50" s="447">
        <f>DEL!G179</f>
        <v>4</v>
      </c>
      <c r="F50" s="422"/>
      <c r="G50" s="447"/>
      <c r="H50" s="422"/>
      <c r="I50" s="447"/>
      <c r="J50" s="422"/>
      <c r="K50" s="447"/>
      <c r="L50" s="619" t="str">
        <f>DEL!H180</f>
        <v/>
      </c>
      <c r="M50" s="447">
        <f>DEL!G180</f>
        <v>1</v>
      </c>
      <c r="N50" s="619" t="str">
        <f>DEL!H181</f>
        <v/>
      </c>
      <c r="O50" s="449">
        <f>DEL!G181</f>
        <v>2</v>
      </c>
      <c r="P50" s="422"/>
      <c r="Q50" s="449"/>
      <c r="R50" s="422"/>
      <c r="S50" s="449"/>
      <c r="T50" s="619" t="str">
        <f>DEL!H182</f>
        <v/>
      </c>
      <c r="U50" s="449">
        <f>DEL!G182</f>
        <v>2</v>
      </c>
      <c r="V50" s="422"/>
      <c r="W50" s="450"/>
      <c r="X50" s="422"/>
      <c r="Y50" s="450"/>
      <c r="Z50" s="422"/>
      <c r="AA50" s="450"/>
      <c r="AB50" s="422"/>
      <c r="AC50" s="451"/>
      <c r="AD50" s="422"/>
      <c r="AE50" s="451"/>
      <c r="AF50" s="422"/>
      <c r="AG50" s="451"/>
      <c r="AH50" s="422"/>
      <c r="AI50" s="451"/>
    </row>
    <row r="51" spans="1:35" ht="20" customHeight="1">
      <c r="A51" s="627"/>
      <c r="B51" s="628" t="str">
        <f t="shared" si="2"/>
        <v>MCS - 8. Shandy</v>
      </c>
      <c r="C51" s="624"/>
      <c r="D51" s="32" t="str">
        <f>DEL!I179</f>
        <v/>
      </c>
      <c r="E51" s="447">
        <f>DEL!G179</f>
        <v>4</v>
      </c>
      <c r="F51" s="422"/>
      <c r="G51" s="447"/>
      <c r="H51" s="422"/>
      <c r="I51" s="447"/>
      <c r="J51" s="422"/>
      <c r="K51" s="447"/>
      <c r="L51" s="619" t="str">
        <f>DEL!I180</f>
        <v/>
      </c>
      <c r="M51" s="447">
        <f>DEL!G180</f>
        <v>1</v>
      </c>
      <c r="N51" s="619" t="str">
        <f>DEL!I181</f>
        <v/>
      </c>
      <c r="O51" s="449">
        <f>DEL!G181</f>
        <v>2</v>
      </c>
      <c r="P51" s="422"/>
      <c r="Q51" s="449"/>
      <c r="R51" s="422"/>
      <c r="S51" s="449"/>
      <c r="T51" s="619" t="str">
        <f>DEL!I182</f>
        <v/>
      </c>
      <c r="U51" s="449">
        <f>DEL!G182</f>
        <v>2</v>
      </c>
      <c r="V51" s="422"/>
      <c r="W51" s="450"/>
      <c r="X51" s="422"/>
      <c r="Y51" s="450"/>
      <c r="Z51" s="422"/>
      <c r="AA51" s="450"/>
      <c r="AB51" s="422"/>
      <c r="AC51" s="451"/>
      <c r="AD51" s="422"/>
      <c r="AE51" s="451"/>
      <c r="AF51" s="422"/>
      <c r="AG51" s="451"/>
      <c r="AH51" s="422"/>
      <c r="AI51" s="451"/>
    </row>
    <row r="52" spans="1:35" ht="20" customHeight="1">
      <c r="A52" s="627"/>
      <c r="B52" s="628" t="str">
        <f t="shared" si="2"/>
        <v>MCS - 9. Hot Beverage 
- Tea</v>
      </c>
      <c r="C52" s="624"/>
      <c r="D52" s="32" t="str">
        <f>DEL!J179</f>
        <v/>
      </c>
      <c r="E52" s="447">
        <f>DEL!G179</f>
        <v>4</v>
      </c>
      <c r="F52" s="422"/>
      <c r="G52" s="447"/>
      <c r="H52" s="422"/>
      <c r="I52" s="447"/>
      <c r="J52" s="422"/>
      <c r="K52" s="447"/>
      <c r="L52" s="619" t="str">
        <f>DEL!J180</f>
        <v/>
      </c>
      <c r="M52" s="447">
        <f>DEL!G180</f>
        <v>1</v>
      </c>
      <c r="N52" s="619" t="str">
        <f>DEL!J181</f>
        <v/>
      </c>
      <c r="O52" s="449">
        <f>DEL!G181</f>
        <v>2</v>
      </c>
      <c r="P52" s="422"/>
      <c r="Q52" s="449"/>
      <c r="R52" s="422"/>
      <c r="S52" s="449"/>
      <c r="T52" s="619" t="str">
        <f>DEL!J182</f>
        <v/>
      </c>
      <c r="U52" s="449">
        <f>DEL!G182</f>
        <v>2</v>
      </c>
      <c r="V52" s="422"/>
      <c r="W52" s="450"/>
      <c r="X52" s="422"/>
      <c r="Y52" s="450"/>
      <c r="Z52" s="422"/>
      <c r="AA52" s="450"/>
      <c r="AB52" s="422"/>
      <c r="AC52" s="451"/>
      <c r="AD52" s="422"/>
      <c r="AE52" s="451"/>
      <c r="AF52" s="422"/>
      <c r="AG52" s="451"/>
      <c r="AH52" s="422"/>
      <c r="AI52" s="451"/>
    </row>
    <row r="53" spans="1:35" ht="20" customHeight="1">
      <c r="A53" s="627"/>
      <c r="B53" s="628" t="str">
        <f t="shared" si="2"/>
        <v>MCS - 10. Beer</v>
      </c>
      <c r="C53" s="624"/>
      <c r="D53" s="32" t="str">
        <f>DEL!K179</f>
        <v/>
      </c>
      <c r="E53" s="447">
        <f>DEL!G179</f>
        <v>4</v>
      </c>
      <c r="F53" s="422"/>
      <c r="G53" s="447"/>
      <c r="H53" s="422"/>
      <c r="I53" s="447"/>
      <c r="J53" s="422"/>
      <c r="K53" s="447"/>
      <c r="L53" s="619" t="str">
        <f>DEL!K180</f>
        <v/>
      </c>
      <c r="M53" s="447">
        <f>DEL!G180</f>
        <v>1</v>
      </c>
      <c r="N53" s="619" t="str">
        <f>DEL!K181</f>
        <v/>
      </c>
      <c r="O53" s="449">
        <f>DEL!G181</f>
        <v>2</v>
      </c>
      <c r="P53" s="422"/>
      <c r="Q53" s="449"/>
      <c r="R53" s="422"/>
      <c r="S53" s="449"/>
      <c r="T53" s="619" t="str">
        <f>DEL!K182</f>
        <v/>
      </c>
      <c r="U53" s="449">
        <f>DEL!G182</f>
        <v>2</v>
      </c>
      <c r="V53" s="422"/>
      <c r="W53" s="450"/>
      <c r="X53" s="422"/>
      <c r="Y53" s="450"/>
      <c r="Z53" s="422"/>
      <c r="AA53" s="450"/>
      <c r="AB53" s="422"/>
      <c r="AC53" s="451"/>
      <c r="AD53" s="422"/>
      <c r="AE53" s="451"/>
      <c r="AF53" s="422"/>
      <c r="AG53" s="451"/>
      <c r="AH53" s="422"/>
      <c r="AI53" s="451"/>
    </row>
    <row r="54" spans="1:35" ht="20" customHeight="1">
      <c r="A54" s="627"/>
      <c r="B54" s="628" t="str">
        <f t="shared" si="2"/>
        <v>MCS - 11. Screwdriver</v>
      </c>
      <c r="C54" s="624"/>
      <c r="D54" s="32" t="str">
        <f>DEL!L179</f>
        <v/>
      </c>
      <c r="E54" s="447">
        <f>DEL!G179</f>
        <v>4</v>
      </c>
      <c r="F54" s="422"/>
      <c r="G54" s="447"/>
      <c r="H54" s="422"/>
      <c r="I54" s="447"/>
      <c r="J54" s="422"/>
      <c r="K54" s="447"/>
      <c r="L54" s="619" t="str">
        <f>DEL!L180</f>
        <v/>
      </c>
      <c r="M54" s="447">
        <f>DEL!G180</f>
        <v>1</v>
      </c>
      <c r="N54" s="619" t="str">
        <f>DEL!L181</f>
        <v/>
      </c>
      <c r="O54" s="449">
        <f>DEL!G181</f>
        <v>2</v>
      </c>
      <c r="P54" s="422"/>
      <c r="Q54" s="449"/>
      <c r="R54" s="422"/>
      <c r="S54" s="449"/>
      <c r="T54" s="619" t="str">
        <f>DEL!L182</f>
        <v/>
      </c>
      <c r="U54" s="449">
        <f>DEL!G182</f>
        <v>2</v>
      </c>
      <c r="V54" s="422"/>
      <c r="W54" s="450"/>
      <c r="X54" s="422"/>
      <c r="Y54" s="450"/>
      <c r="Z54" s="422"/>
      <c r="AA54" s="450"/>
      <c r="AB54" s="422"/>
      <c r="AC54" s="451"/>
      <c r="AD54" s="422"/>
      <c r="AE54" s="451"/>
      <c r="AF54" s="422"/>
      <c r="AG54" s="451"/>
      <c r="AH54" s="422"/>
      <c r="AI54" s="451"/>
    </row>
    <row r="55" spans="1:35" ht="20" customHeight="1">
      <c r="A55" s="627"/>
      <c r="B55" s="628" t="str">
        <f t="shared" si="2"/>
        <v>MCS - 12. Gin &amp; Orange Juice</v>
      </c>
      <c r="C55" s="624"/>
      <c r="D55" s="32" t="str">
        <f>DEL!M179</f>
        <v/>
      </c>
      <c r="E55" s="447">
        <f>DEL!G179</f>
        <v>4</v>
      </c>
      <c r="F55" s="422"/>
      <c r="G55" s="447"/>
      <c r="H55" s="422"/>
      <c r="I55" s="447"/>
      <c r="J55" s="422"/>
      <c r="K55" s="447"/>
      <c r="L55" s="619" t="str">
        <f>DEL!M180</f>
        <v/>
      </c>
      <c r="M55" s="447">
        <f>DEL!G180</f>
        <v>1</v>
      </c>
      <c r="N55" s="619" t="str">
        <f>DEL!M181</f>
        <v/>
      </c>
      <c r="O55" s="449">
        <f>DEL!G181</f>
        <v>2</v>
      </c>
      <c r="P55" s="422"/>
      <c r="Q55" s="449"/>
      <c r="R55" s="422"/>
      <c r="S55" s="449"/>
      <c r="T55" s="619" t="str">
        <f>DEL!M182</f>
        <v/>
      </c>
      <c r="U55" s="449">
        <f>DEL!G182</f>
        <v>2</v>
      </c>
      <c r="V55" s="422"/>
      <c r="W55" s="450"/>
      <c r="X55" s="422"/>
      <c r="Y55" s="450"/>
      <c r="Z55" s="422"/>
      <c r="AA55" s="450"/>
      <c r="AB55" s="422"/>
      <c r="AC55" s="451"/>
      <c r="AD55" s="422"/>
      <c r="AE55" s="451"/>
      <c r="AF55" s="422"/>
      <c r="AG55" s="451"/>
      <c r="AH55" s="422"/>
      <c r="AI55" s="451"/>
    </row>
    <row r="56" spans="1:35" ht="20" customHeight="1">
      <c r="A56" s="627"/>
      <c r="B56" s="628" t="str">
        <f t="shared" si="2"/>
        <v>MCS - 13. Rum &amp; Pepsi</v>
      </c>
      <c r="C56" s="624"/>
      <c r="D56" s="32" t="str">
        <f>DEL!H229</f>
        <v/>
      </c>
      <c r="E56" s="447">
        <f>DEL!G229</f>
        <v>4</v>
      </c>
      <c r="F56" s="422"/>
      <c r="G56" s="447"/>
      <c r="H56" s="422"/>
      <c r="I56" s="447"/>
      <c r="J56" s="422"/>
      <c r="K56" s="447"/>
      <c r="L56" s="619" t="str">
        <f>DEL!H230</f>
        <v/>
      </c>
      <c r="M56" s="447">
        <f>DEL!G230</f>
        <v>1</v>
      </c>
      <c r="N56" s="619" t="str">
        <f>DEL!H231</f>
        <v/>
      </c>
      <c r="O56" s="449">
        <f>DEL!G231</f>
        <v>2</v>
      </c>
      <c r="P56" s="422"/>
      <c r="Q56" s="449"/>
      <c r="R56" s="422"/>
      <c r="S56" s="449"/>
      <c r="T56" s="619" t="str">
        <f>DEL!H232</f>
        <v/>
      </c>
      <c r="U56" s="449">
        <f>DEL!G232</f>
        <v>2</v>
      </c>
      <c r="V56" s="422"/>
      <c r="W56" s="450"/>
      <c r="X56" s="422"/>
      <c r="Y56" s="450"/>
      <c r="Z56" s="422"/>
      <c r="AA56" s="450"/>
      <c r="AB56" s="422"/>
      <c r="AC56" s="451"/>
      <c r="AD56" s="422"/>
      <c r="AE56" s="451"/>
      <c r="AF56" s="422"/>
      <c r="AG56" s="451"/>
      <c r="AH56" s="422"/>
      <c r="AI56" s="451"/>
    </row>
    <row r="57" spans="1:35" ht="20" customHeight="1">
      <c r="A57" s="627"/>
      <c r="B57" s="628" t="str">
        <f t="shared" si="2"/>
        <v>MCS - 14. Gin &amp; Tonic</v>
      </c>
      <c r="C57" s="624"/>
      <c r="D57" s="32" t="str">
        <f>DEL!I229</f>
        <v/>
      </c>
      <c r="E57" s="447">
        <f>DEL!G229</f>
        <v>4</v>
      </c>
      <c r="F57" s="422"/>
      <c r="G57" s="447"/>
      <c r="H57" s="422"/>
      <c r="I57" s="447"/>
      <c r="J57" s="422"/>
      <c r="K57" s="447"/>
      <c r="L57" s="619" t="str">
        <f>DEL!I230</f>
        <v/>
      </c>
      <c r="M57" s="447">
        <f>DEL!G230</f>
        <v>1</v>
      </c>
      <c r="N57" s="619" t="str">
        <f>DEL!I231</f>
        <v/>
      </c>
      <c r="O57" s="449">
        <f>DEL!G231</f>
        <v>2</v>
      </c>
      <c r="P57" s="422"/>
      <c r="Q57" s="449"/>
      <c r="R57" s="422"/>
      <c r="S57" s="449"/>
      <c r="T57" s="619" t="str">
        <f>DEL!I232</f>
        <v/>
      </c>
      <c r="U57" s="449">
        <f>DEL!G232</f>
        <v>2</v>
      </c>
      <c r="V57" s="422"/>
      <c r="W57" s="450"/>
      <c r="X57" s="422"/>
      <c r="Y57" s="450"/>
      <c r="Z57" s="422"/>
      <c r="AA57" s="450"/>
      <c r="AB57" s="422"/>
      <c r="AC57" s="451"/>
      <c r="AD57" s="422"/>
      <c r="AE57" s="451"/>
      <c r="AF57" s="422"/>
      <c r="AG57" s="451"/>
      <c r="AH57" s="422"/>
      <c r="AI57" s="451"/>
    </row>
    <row r="58" spans="1:35" ht="20" customHeight="1">
      <c r="A58" s="627"/>
      <c r="B58" s="628" t="str">
        <f t="shared" si="2"/>
        <v>MCS - 15. Scotch &amp; Soda</v>
      </c>
      <c r="C58" s="624"/>
      <c r="D58" s="32" t="str">
        <f>DEL!J229</f>
        <v/>
      </c>
      <c r="E58" s="447">
        <f>DEL!G229</f>
        <v>4</v>
      </c>
      <c r="F58" s="422"/>
      <c r="G58" s="447"/>
      <c r="H58" s="422"/>
      <c r="I58" s="447"/>
      <c r="J58" s="422"/>
      <c r="K58" s="447"/>
      <c r="L58" s="619" t="str">
        <f>DEL!J230</f>
        <v/>
      </c>
      <c r="M58" s="447">
        <f>DEL!G230</f>
        <v>1</v>
      </c>
      <c r="N58" s="619" t="str">
        <f>DEL!J231</f>
        <v/>
      </c>
      <c r="O58" s="449">
        <f>DEL!G231</f>
        <v>2</v>
      </c>
      <c r="P58" s="422"/>
      <c r="Q58" s="449"/>
      <c r="R58" s="422"/>
      <c r="S58" s="449"/>
      <c r="T58" s="619" t="str">
        <f>DEL!J232</f>
        <v/>
      </c>
      <c r="U58" s="449">
        <f>DEL!G232</f>
        <v>2</v>
      </c>
      <c r="V58" s="422"/>
      <c r="W58" s="450"/>
      <c r="X58" s="422"/>
      <c r="Y58" s="450"/>
      <c r="Z58" s="422"/>
      <c r="AA58" s="450"/>
      <c r="AB58" s="422"/>
      <c r="AC58" s="451"/>
      <c r="AD58" s="422"/>
      <c r="AE58" s="451"/>
      <c r="AF58" s="422"/>
      <c r="AG58" s="451"/>
      <c r="AH58" s="422"/>
      <c r="AI58" s="451"/>
    </row>
    <row r="59" spans="1:35" ht="20" customHeight="1">
      <c r="A59" s="627"/>
      <c r="B59" s="628" t="str">
        <f t="shared" si="2"/>
        <v>MCS - 16. Bloody Mary</v>
      </c>
      <c r="C59" s="624"/>
      <c r="D59" s="32" t="str">
        <f>DEL!K229</f>
        <v/>
      </c>
      <c r="E59" s="447">
        <f>DEL!G229</f>
        <v>4</v>
      </c>
      <c r="F59" s="422"/>
      <c r="G59" s="447"/>
      <c r="H59" s="422"/>
      <c r="I59" s="447"/>
      <c r="J59" s="422"/>
      <c r="K59" s="447"/>
      <c r="L59" s="619" t="str">
        <f>DEL!K230</f>
        <v/>
      </c>
      <c r="M59" s="447">
        <f>DEL!G230</f>
        <v>1</v>
      </c>
      <c r="N59" s="619" t="str">
        <f>DEL!K231</f>
        <v/>
      </c>
      <c r="O59" s="449">
        <f>DEL!G231</f>
        <v>2</v>
      </c>
      <c r="P59" s="422"/>
      <c r="Q59" s="449"/>
      <c r="R59" s="422"/>
      <c r="S59" s="449"/>
      <c r="T59" s="619" t="str">
        <f>DEL!K232</f>
        <v/>
      </c>
      <c r="U59" s="449">
        <f>DEL!G232</f>
        <v>2</v>
      </c>
      <c r="V59" s="422"/>
      <c r="W59" s="450"/>
      <c r="X59" s="422"/>
      <c r="Y59" s="450"/>
      <c r="Z59" s="422"/>
      <c r="AA59" s="450"/>
      <c r="AB59" s="422"/>
      <c r="AC59" s="451"/>
      <c r="AD59" s="422"/>
      <c r="AE59" s="451"/>
      <c r="AF59" s="422"/>
      <c r="AG59" s="451"/>
      <c r="AH59" s="422"/>
      <c r="AI59" s="451"/>
    </row>
    <row r="60" spans="1:35" ht="20" customHeight="1">
      <c r="A60" s="627"/>
      <c r="B60" s="628" t="str">
        <f>"TW - "&amp;B28</f>
        <v>TW - 1. Champagne</v>
      </c>
      <c r="C60" s="624"/>
      <c r="D60" s="482"/>
      <c r="E60" s="447"/>
      <c r="F60" s="422"/>
      <c r="G60" s="447"/>
      <c r="H60" s="422"/>
      <c r="I60" s="447"/>
      <c r="J60" s="422" t="str">
        <f>DEL!H143</f>
        <v/>
      </c>
      <c r="K60" s="447">
        <f>DEL!G143</f>
        <v>1</v>
      </c>
      <c r="L60" s="619"/>
      <c r="M60" s="447"/>
      <c r="N60" s="619"/>
      <c r="O60" s="449"/>
      <c r="P60" s="422"/>
      <c r="Q60" s="449"/>
      <c r="R60" s="422"/>
      <c r="S60" s="449"/>
      <c r="T60" s="619"/>
      <c r="U60" s="449"/>
      <c r="V60" s="422" t="str">
        <f>DEL!H142</f>
        <v/>
      </c>
      <c r="W60" s="450">
        <f>DEL!G142</f>
        <v>1</v>
      </c>
      <c r="X60" s="422"/>
      <c r="Y60" s="450"/>
      <c r="Z60" s="422"/>
      <c r="AA60" s="450"/>
      <c r="AB60" s="422"/>
      <c r="AC60" s="451"/>
      <c r="AD60" s="422"/>
      <c r="AE60" s="451"/>
      <c r="AF60" s="422"/>
      <c r="AG60" s="451"/>
      <c r="AH60" s="422"/>
      <c r="AI60" s="451"/>
    </row>
    <row r="61" spans="1:35" ht="20" customHeight="1">
      <c r="A61" s="627"/>
      <c r="B61" s="628" t="str">
        <f t="shared" ref="B61:B75" si="3">"TW - "&amp;B29</f>
        <v>TW - 2. Wine 
- Small Bottles</v>
      </c>
      <c r="C61" s="624"/>
      <c r="D61" s="482"/>
      <c r="E61" s="447"/>
      <c r="F61" s="422"/>
      <c r="G61" s="447"/>
      <c r="H61" s="422"/>
      <c r="I61" s="447"/>
      <c r="J61" s="422" t="str">
        <f>DEL!I143</f>
        <v/>
      </c>
      <c r="K61" s="447">
        <f>DEL!G143</f>
        <v>1</v>
      </c>
      <c r="L61" s="619"/>
      <c r="M61" s="447"/>
      <c r="N61" s="619"/>
      <c r="O61" s="449"/>
      <c r="P61" s="422"/>
      <c r="Q61" s="449"/>
      <c r="R61" s="422"/>
      <c r="S61" s="449"/>
      <c r="T61" s="619"/>
      <c r="U61" s="449"/>
      <c r="V61" s="422" t="str">
        <f>DEL!I142</f>
        <v/>
      </c>
      <c r="W61" s="450">
        <f>DEL!G142</f>
        <v>1</v>
      </c>
      <c r="X61" s="422"/>
      <c r="Y61" s="450"/>
      <c r="Z61" s="422"/>
      <c r="AA61" s="450"/>
      <c r="AB61" s="422"/>
      <c r="AC61" s="451"/>
      <c r="AD61" s="422"/>
      <c r="AE61" s="451"/>
      <c r="AF61" s="422"/>
      <c r="AG61" s="451"/>
      <c r="AH61" s="422"/>
      <c r="AI61" s="451"/>
    </row>
    <row r="62" spans="1:35" ht="20" customHeight="1">
      <c r="A62" s="627"/>
      <c r="B62" s="628" t="str">
        <f t="shared" si="3"/>
        <v>TW - 3. White Wine Spritzer
- Small Bottles</v>
      </c>
      <c r="C62" s="624"/>
      <c r="D62" s="482"/>
      <c r="E62" s="447"/>
      <c r="F62" s="422"/>
      <c r="G62" s="447"/>
      <c r="H62" s="422"/>
      <c r="I62" s="447"/>
      <c r="J62" s="422" t="str">
        <f>DEL!J143</f>
        <v/>
      </c>
      <c r="K62" s="447">
        <f>DEL!G143</f>
        <v>1</v>
      </c>
      <c r="L62" s="619"/>
      <c r="M62" s="447"/>
      <c r="N62" s="619"/>
      <c r="O62" s="449"/>
      <c r="P62" s="422"/>
      <c r="Q62" s="449"/>
      <c r="R62" s="422"/>
      <c r="S62" s="449"/>
      <c r="T62" s="619"/>
      <c r="U62" s="449"/>
      <c r="V62" s="422" t="str">
        <f>DEL!J142</f>
        <v/>
      </c>
      <c r="W62" s="450">
        <f>DEL!G142</f>
        <v>1</v>
      </c>
      <c r="X62" s="422"/>
      <c r="Y62" s="450"/>
      <c r="Z62" s="422"/>
      <c r="AA62" s="450"/>
      <c r="AB62" s="422"/>
      <c r="AC62" s="451"/>
      <c r="AD62" s="422"/>
      <c r="AE62" s="451"/>
      <c r="AF62" s="422"/>
      <c r="AG62" s="451"/>
      <c r="AH62" s="422"/>
      <c r="AI62" s="451"/>
    </row>
    <row r="63" spans="1:35" ht="20" customHeight="1">
      <c r="A63" s="627"/>
      <c r="B63" s="628" t="str">
        <f t="shared" si="3"/>
        <v>TW - 4. Wine
- Big Bottles</v>
      </c>
      <c r="C63" s="624"/>
      <c r="D63" s="482"/>
      <c r="E63" s="447"/>
      <c r="F63" s="422"/>
      <c r="G63" s="447"/>
      <c r="H63" s="422"/>
      <c r="I63" s="447"/>
      <c r="J63" s="422" t="str">
        <f>DEL!K143</f>
        <v/>
      </c>
      <c r="K63" s="447">
        <f>DEL!G143</f>
        <v>1</v>
      </c>
      <c r="L63" s="619"/>
      <c r="M63" s="447"/>
      <c r="N63" s="619"/>
      <c r="O63" s="449"/>
      <c r="P63" s="422"/>
      <c r="Q63" s="449"/>
      <c r="R63" s="422"/>
      <c r="S63" s="449"/>
      <c r="T63" s="619"/>
      <c r="U63" s="449"/>
      <c r="V63" s="422" t="str">
        <f>DEL!K142</f>
        <v/>
      </c>
      <c r="W63" s="450">
        <f>DEL!G142</f>
        <v>1</v>
      </c>
      <c r="X63" s="422"/>
      <c r="Y63" s="450"/>
      <c r="Z63" s="422"/>
      <c r="AA63" s="450"/>
      <c r="AB63" s="422"/>
      <c r="AC63" s="451"/>
      <c r="AD63" s="422"/>
      <c r="AE63" s="451"/>
      <c r="AF63" s="422"/>
      <c r="AG63" s="451"/>
      <c r="AH63" s="422"/>
      <c r="AI63" s="451"/>
    </row>
    <row r="64" spans="1:35" ht="20" customHeight="1">
      <c r="A64" s="627"/>
      <c r="B64" s="628" t="str">
        <f t="shared" si="3"/>
        <v>TW - 5. Dry - White Wine Spritzer - Big Bottle of Wine</v>
      </c>
      <c r="C64" s="624"/>
      <c r="D64" s="482"/>
      <c r="E64" s="447"/>
      <c r="F64" s="422"/>
      <c r="G64" s="447"/>
      <c r="H64" s="422"/>
      <c r="I64" s="447"/>
      <c r="J64" s="422" t="str">
        <f>DEL!L143</f>
        <v/>
      </c>
      <c r="K64" s="447">
        <f>DEL!G143</f>
        <v>1</v>
      </c>
      <c r="L64" s="619"/>
      <c r="M64" s="447"/>
      <c r="N64" s="619"/>
      <c r="O64" s="449"/>
      <c r="P64" s="422"/>
      <c r="Q64" s="449"/>
      <c r="R64" s="422"/>
      <c r="S64" s="449"/>
      <c r="T64" s="619"/>
      <c r="U64" s="449"/>
      <c r="V64" s="422" t="str">
        <f>DEL!L142</f>
        <v/>
      </c>
      <c r="W64" s="450">
        <f>DEL!G142</f>
        <v>1</v>
      </c>
      <c r="X64" s="422"/>
      <c r="Y64" s="450"/>
      <c r="Z64" s="422"/>
      <c r="AA64" s="450"/>
      <c r="AB64" s="422"/>
      <c r="AC64" s="451"/>
      <c r="AD64" s="422"/>
      <c r="AE64" s="451"/>
      <c r="AF64" s="422"/>
      <c r="AG64" s="451"/>
      <c r="AH64" s="422"/>
      <c r="AI64" s="451"/>
    </row>
    <row r="65" spans="1:72" ht="20" customHeight="1">
      <c r="A65" s="627"/>
      <c r="B65" s="628" t="str">
        <f t="shared" si="3"/>
        <v>TW - 6. Sweet - White Wine Spritzer- Big Bottle of Wine</v>
      </c>
      <c r="C65" s="624"/>
      <c r="D65" s="482"/>
      <c r="E65" s="447"/>
      <c r="F65" s="422"/>
      <c r="G65" s="447"/>
      <c r="H65" s="422"/>
      <c r="I65" s="447"/>
      <c r="J65" s="422" t="str">
        <f>DEL!M143</f>
        <v/>
      </c>
      <c r="K65" s="447">
        <f>DEL!G143</f>
        <v>1</v>
      </c>
      <c r="L65" s="619"/>
      <c r="M65" s="447"/>
      <c r="N65" s="619"/>
      <c r="O65" s="449"/>
      <c r="P65" s="422"/>
      <c r="Q65" s="449"/>
      <c r="R65" s="422"/>
      <c r="S65" s="449"/>
      <c r="T65" s="619"/>
      <c r="U65" s="449"/>
      <c r="V65" s="422" t="str">
        <f>DEL!M142</f>
        <v/>
      </c>
      <c r="W65" s="450">
        <f>DEL!G142</f>
        <v>1</v>
      </c>
      <c r="X65" s="422"/>
      <c r="Y65" s="450"/>
      <c r="Z65" s="422"/>
      <c r="AA65" s="450"/>
      <c r="AB65" s="422"/>
      <c r="AC65" s="451"/>
      <c r="AD65" s="422"/>
      <c r="AE65" s="451"/>
      <c r="AF65" s="422"/>
      <c r="AG65" s="451"/>
      <c r="AH65" s="422"/>
      <c r="AI65" s="451"/>
    </row>
    <row r="66" spans="1:72" ht="20" customHeight="1">
      <c r="A66" s="627"/>
      <c r="B66" s="628" t="str">
        <f t="shared" si="3"/>
        <v>TW - 7. Liqueur</v>
      </c>
      <c r="C66" s="624"/>
      <c r="D66" s="482"/>
      <c r="E66" s="447"/>
      <c r="F66" s="422"/>
      <c r="G66" s="447"/>
      <c r="H66" s="422"/>
      <c r="I66" s="447"/>
      <c r="J66" s="422" t="str">
        <f>DEL!H193</f>
        <v/>
      </c>
      <c r="K66" s="447">
        <f>DEL!G193</f>
        <v>1</v>
      </c>
      <c r="L66" s="619"/>
      <c r="M66" s="447"/>
      <c r="N66" s="619"/>
      <c r="O66" s="449"/>
      <c r="P66" s="422"/>
      <c r="Q66" s="449"/>
      <c r="R66" s="422"/>
      <c r="S66" s="449"/>
      <c r="T66" s="619"/>
      <c r="U66" s="449"/>
      <c r="V66" s="422" t="str">
        <f>DEL!H192</f>
        <v/>
      </c>
      <c r="W66" s="450">
        <f>DEL!G192</f>
        <v>1</v>
      </c>
      <c r="X66" s="422"/>
      <c r="Y66" s="450"/>
      <c r="Z66" s="422"/>
      <c r="AA66" s="450"/>
      <c r="AB66" s="422"/>
      <c r="AC66" s="451"/>
      <c r="AD66" s="422"/>
      <c r="AE66" s="451"/>
      <c r="AF66" s="422"/>
      <c r="AG66" s="451"/>
      <c r="AH66" s="422"/>
      <c r="AI66" s="451"/>
    </row>
    <row r="67" spans="1:72" ht="20" customHeight="1">
      <c r="A67" s="627"/>
      <c r="B67" s="628" t="str">
        <f t="shared" si="3"/>
        <v>TW - 8. Shandy</v>
      </c>
      <c r="C67" s="624"/>
      <c r="D67" s="482"/>
      <c r="E67" s="447"/>
      <c r="F67" s="422"/>
      <c r="G67" s="447"/>
      <c r="H67" s="422"/>
      <c r="I67" s="447"/>
      <c r="J67" s="422" t="str">
        <f>DEL!I193</f>
        <v/>
      </c>
      <c r="K67" s="447">
        <f>DEL!G193</f>
        <v>1</v>
      </c>
      <c r="L67" s="619"/>
      <c r="M67" s="447"/>
      <c r="N67" s="619"/>
      <c r="O67" s="449"/>
      <c r="P67" s="422"/>
      <c r="Q67" s="449"/>
      <c r="R67" s="422"/>
      <c r="S67" s="449"/>
      <c r="T67" s="619"/>
      <c r="U67" s="449"/>
      <c r="V67" s="422" t="str">
        <f>DEL!I192</f>
        <v/>
      </c>
      <c r="W67" s="450">
        <f>DEL!G192</f>
        <v>1</v>
      </c>
      <c r="X67" s="422"/>
      <c r="Y67" s="450"/>
      <c r="Z67" s="422"/>
      <c r="AA67" s="450"/>
      <c r="AB67" s="422"/>
      <c r="AC67" s="451"/>
      <c r="AD67" s="422"/>
      <c r="AE67" s="451"/>
      <c r="AF67" s="422"/>
      <c r="AG67" s="451"/>
      <c r="AH67" s="422"/>
      <c r="AI67" s="451"/>
    </row>
    <row r="68" spans="1:72" ht="20" customHeight="1">
      <c r="A68" s="627"/>
      <c r="B68" s="628" t="str">
        <f t="shared" si="3"/>
        <v>TW - 9. Hot Beverage 
- Tea</v>
      </c>
      <c r="C68" s="624"/>
      <c r="D68" s="482"/>
      <c r="E68" s="447"/>
      <c r="F68" s="422"/>
      <c r="G68" s="447"/>
      <c r="H68" s="422"/>
      <c r="I68" s="447"/>
      <c r="J68" s="422" t="str">
        <f>DEL!J193</f>
        <v/>
      </c>
      <c r="K68" s="447">
        <f>DEL!G193</f>
        <v>1</v>
      </c>
      <c r="L68" s="619"/>
      <c r="M68" s="447"/>
      <c r="N68" s="619"/>
      <c r="O68" s="449"/>
      <c r="P68" s="422"/>
      <c r="Q68" s="449"/>
      <c r="R68" s="422"/>
      <c r="S68" s="449"/>
      <c r="T68" s="619"/>
      <c r="U68" s="449"/>
      <c r="V68" s="422" t="str">
        <f>DEL!J192</f>
        <v/>
      </c>
      <c r="W68" s="450">
        <f>DEL!G192</f>
        <v>1</v>
      </c>
      <c r="X68" s="422"/>
      <c r="Y68" s="450"/>
      <c r="Z68" s="422"/>
      <c r="AA68" s="450"/>
      <c r="AB68" s="422"/>
      <c r="AC68" s="451"/>
      <c r="AD68" s="422"/>
      <c r="AE68" s="451"/>
      <c r="AF68" s="422"/>
      <c r="AG68" s="451"/>
      <c r="AH68" s="422"/>
      <c r="AI68" s="451"/>
    </row>
    <row r="69" spans="1:72" ht="20" customHeight="1">
      <c r="A69" s="627"/>
      <c r="B69" s="628" t="str">
        <f t="shared" si="3"/>
        <v>TW - 10. Beer</v>
      </c>
      <c r="C69" s="624"/>
      <c r="D69" s="482"/>
      <c r="E69" s="447"/>
      <c r="F69" s="422"/>
      <c r="G69" s="447"/>
      <c r="H69" s="422"/>
      <c r="I69" s="447"/>
      <c r="J69" s="422" t="str">
        <f>DEL!K193</f>
        <v/>
      </c>
      <c r="K69" s="447">
        <f>DEL!G193</f>
        <v>1</v>
      </c>
      <c r="L69" s="619"/>
      <c r="M69" s="447"/>
      <c r="N69" s="619"/>
      <c r="O69" s="449"/>
      <c r="P69" s="422"/>
      <c r="Q69" s="449"/>
      <c r="R69" s="422"/>
      <c r="S69" s="449"/>
      <c r="T69" s="619"/>
      <c r="U69" s="449"/>
      <c r="V69" s="422" t="str">
        <f>DEL!K192</f>
        <v/>
      </c>
      <c r="W69" s="450">
        <f>DEL!G192</f>
        <v>1</v>
      </c>
      <c r="X69" s="422"/>
      <c r="Y69" s="450"/>
      <c r="Z69" s="422"/>
      <c r="AA69" s="450"/>
      <c r="AB69" s="422"/>
      <c r="AC69" s="451"/>
      <c r="AD69" s="422"/>
      <c r="AE69" s="451"/>
      <c r="AF69" s="422"/>
      <c r="AG69" s="451"/>
      <c r="AH69" s="422"/>
      <c r="AI69" s="451"/>
    </row>
    <row r="70" spans="1:72" ht="20" customHeight="1">
      <c r="A70" s="627"/>
      <c r="B70" s="628" t="str">
        <f t="shared" si="3"/>
        <v>TW - 11. Screwdriver</v>
      </c>
      <c r="C70" s="624"/>
      <c r="D70" s="482"/>
      <c r="E70" s="447"/>
      <c r="F70" s="422"/>
      <c r="G70" s="447"/>
      <c r="H70" s="422"/>
      <c r="I70" s="447"/>
      <c r="J70" s="422" t="str">
        <f>DEL!L193</f>
        <v/>
      </c>
      <c r="K70" s="447">
        <f>DEL!G193</f>
        <v>1</v>
      </c>
      <c r="L70" s="619"/>
      <c r="M70" s="447"/>
      <c r="N70" s="619"/>
      <c r="O70" s="449"/>
      <c r="P70" s="422"/>
      <c r="Q70" s="449"/>
      <c r="R70" s="422"/>
      <c r="S70" s="449"/>
      <c r="T70" s="619"/>
      <c r="U70" s="449"/>
      <c r="V70" s="422" t="str">
        <f>DEL!L192</f>
        <v/>
      </c>
      <c r="W70" s="450">
        <f>DEL!G192</f>
        <v>1</v>
      </c>
      <c r="X70" s="422"/>
      <c r="Y70" s="450"/>
      <c r="Z70" s="422"/>
      <c r="AA70" s="450"/>
      <c r="AB70" s="422"/>
      <c r="AC70" s="451"/>
      <c r="AD70" s="422"/>
      <c r="AE70" s="451"/>
      <c r="AF70" s="422"/>
      <c r="AG70" s="451"/>
      <c r="AH70" s="422"/>
      <c r="AI70" s="451"/>
    </row>
    <row r="71" spans="1:72" ht="20" customHeight="1">
      <c r="A71" s="627"/>
      <c r="B71" s="628" t="str">
        <f t="shared" si="3"/>
        <v>TW - 12. Gin &amp; Orange Juice</v>
      </c>
      <c r="C71" s="624"/>
      <c r="D71" s="482"/>
      <c r="E71" s="447"/>
      <c r="F71" s="422"/>
      <c r="G71" s="447"/>
      <c r="H71" s="422"/>
      <c r="I71" s="447"/>
      <c r="J71" s="422" t="str">
        <f>DEL!M193</f>
        <v/>
      </c>
      <c r="K71" s="447">
        <f>DEL!G193</f>
        <v>1</v>
      </c>
      <c r="L71" s="619"/>
      <c r="M71" s="447"/>
      <c r="N71" s="619"/>
      <c r="O71" s="449"/>
      <c r="P71" s="422"/>
      <c r="Q71" s="449"/>
      <c r="R71" s="422"/>
      <c r="S71" s="449"/>
      <c r="T71" s="619"/>
      <c r="U71" s="449"/>
      <c r="V71" s="422" t="str">
        <f>DEL!M192</f>
        <v/>
      </c>
      <c r="W71" s="450">
        <f>DEL!G192</f>
        <v>1</v>
      </c>
      <c r="X71" s="422"/>
      <c r="Y71" s="450"/>
      <c r="Z71" s="422"/>
      <c r="AA71" s="450"/>
      <c r="AB71" s="422"/>
      <c r="AC71" s="451"/>
      <c r="AD71" s="422"/>
      <c r="AE71" s="451"/>
      <c r="AF71" s="422"/>
      <c r="AG71" s="451"/>
      <c r="AH71" s="422"/>
      <c r="AI71" s="451"/>
    </row>
    <row r="72" spans="1:72" ht="20" customHeight="1">
      <c r="A72" s="627"/>
      <c r="B72" s="628" t="str">
        <f t="shared" si="3"/>
        <v>TW - 13. Rum &amp; Pepsi</v>
      </c>
      <c r="C72" s="624"/>
      <c r="D72" s="482"/>
      <c r="E72" s="447"/>
      <c r="F72" s="422"/>
      <c r="G72" s="447"/>
      <c r="H72" s="422"/>
      <c r="I72" s="447"/>
      <c r="J72" s="422" t="str">
        <f>DEL!H243</f>
        <v/>
      </c>
      <c r="K72" s="447">
        <f>DEL!G243</f>
        <v>1</v>
      </c>
      <c r="L72" s="619"/>
      <c r="M72" s="447"/>
      <c r="N72" s="619"/>
      <c r="O72" s="449"/>
      <c r="P72" s="422"/>
      <c r="Q72" s="449"/>
      <c r="R72" s="422"/>
      <c r="S72" s="449"/>
      <c r="T72" s="619"/>
      <c r="U72" s="449"/>
      <c r="V72" s="422" t="str">
        <f>DEL!H242</f>
        <v/>
      </c>
      <c r="W72" s="450">
        <f>DEL!G242</f>
        <v>1</v>
      </c>
      <c r="X72" s="422"/>
      <c r="Y72" s="450"/>
      <c r="Z72" s="422"/>
      <c r="AA72" s="450"/>
      <c r="AB72" s="422"/>
      <c r="AC72" s="451"/>
      <c r="AD72" s="422"/>
      <c r="AE72" s="451"/>
      <c r="AF72" s="422"/>
      <c r="AG72" s="451"/>
      <c r="AH72" s="422"/>
      <c r="AI72" s="451"/>
    </row>
    <row r="73" spans="1:72" ht="20" customHeight="1">
      <c r="A73" s="627"/>
      <c r="B73" s="628" t="str">
        <f t="shared" si="3"/>
        <v>TW - 14. Gin &amp; Tonic</v>
      </c>
      <c r="C73" s="624"/>
      <c r="D73" s="482"/>
      <c r="E73" s="447"/>
      <c r="F73" s="422"/>
      <c r="G73" s="447"/>
      <c r="H73" s="422"/>
      <c r="I73" s="447"/>
      <c r="J73" s="422" t="str">
        <f>DEL!I243</f>
        <v/>
      </c>
      <c r="K73" s="447">
        <f>DEL!G243</f>
        <v>1</v>
      </c>
      <c r="L73" s="619"/>
      <c r="M73" s="447"/>
      <c r="N73" s="619"/>
      <c r="O73" s="449"/>
      <c r="P73" s="422"/>
      <c r="Q73" s="449"/>
      <c r="R73" s="422"/>
      <c r="S73" s="449"/>
      <c r="T73" s="619"/>
      <c r="U73" s="449"/>
      <c r="V73" s="422" t="str">
        <f>DEL!I242</f>
        <v/>
      </c>
      <c r="W73" s="450">
        <f>DEL!G242</f>
        <v>1</v>
      </c>
      <c r="X73" s="422"/>
      <c r="Y73" s="450"/>
      <c r="Z73" s="422"/>
      <c r="AA73" s="450"/>
      <c r="AB73" s="422"/>
      <c r="AC73" s="451"/>
      <c r="AD73" s="422"/>
      <c r="AE73" s="451"/>
      <c r="AF73" s="422"/>
      <c r="AG73" s="451"/>
      <c r="AH73" s="422"/>
      <c r="AI73" s="451"/>
    </row>
    <row r="74" spans="1:72" ht="20" customHeight="1">
      <c r="A74" s="627"/>
      <c r="B74" s="628" t="str">
        <f t="shared" si="3"/>
        <v>TW - 15. Scotch &amp; Soda</v>
      </c>
      <c r="C74" s="624"/>
      <c r="D74" s="482"/>
      <c r="E74" s="447"/>
      <c r="F74" s="422"/>
      <c r="G74" s="447"/>
      <c r="H74" s="422"/>
      <c r="I74" s="447"/>
      <c r="J74" s="422" t="str">
        <f>DEL!J243</f>
        <v/>
      </c>
      <c r="K74" s="447">
        <f>DEL!G243</f>
        <v>1</v>
      </c>
      <c r="L74" s="619"/>
      <c r="M74" s="447"/>
      <c r="N74" s="619"/>
      <c r="O74" s="449"/>
      <c r="P74" s="422"/>
      <c r="Q74" s="449"/>
      <c r="R74" s="422"/>
      <c r="S74" s="449"/>
      <c r="T74" s="619"/>
      <c r="U74" s="449"/>
      <c r="V74" s="422" t="str">
        <f>DEL!J242</f>
        <v/>
      </c>
      <c r="W74" s="450">
        <f>DEL!G242</f>
        <v>1</v>
      </c>
      <c r="X74" s="422"/>
      <c r="Y74" s="450"/>
      <c r="Z74" s="422"/>
      <c r="AA74" s="450"/>
      <c r="AB74" s="422"/>
      <c r="AC74" s="451"/>
      <c r="AD74" s="422"/>
      <c r="AE74" s="451"/>
      <c r="AF74" s="422"/>
      <c r="AG74" s="451"/>
      <c r="AH74" s="422"/>
      <c r="AI74" s="451"/>
    </row>
    <row r="75" spans="1:72" ht="20" customHeight="1">
      <c r="A75" s="627"/>
      <c r="B75" s="628" t="str">
        <f t="shared" si="3"/>
        <v>TW - 16. Bloody Mary</v>
      </c>
      <c r="C75" s="624"/>
      <c r="D75" s="482"/>
      <c r="E75" s="447"/>
      <c r="F75" s="422"/>
      <c r="G75" s="447"/>
      <c r="H75" s="422"/>
      <c r="I75" s="447"/>
      <c r="J75" s="422" t="str">
        <f>DEL!K243</f>
        <v/>
      </c>
      <c r="K75" s="447">
        <f>DEL!G243</f>
        <v>1</v>
      </c>
      <c r="L75" s="619"/>
      <c r="M75" s="447"/>
      <c r="N75" s="619"/>
      <c r="O75" s="449"/>
      <c r="P75" s="422"/>
      <c r="Q75" s="449"/>
      <c r="R75" s="422"/>
      <c r="S75" s="449"/>
      <c r="T75" s="619"/>
      <c r="U75" s="449"/>
      <c r="V75" s="422" t="str">
        <f>DEL!K242</f>
        <v/>
      </c>
      <c r="W75" s="450">
        <f>DEL!G242</f>
        <v>1</v>
      </c>
      <c r="X75" s="422"/>
      <c r="Y75" s="450"/>
      <c r="Z75" s="422"/>
      <c r="AA75" s="450"/>
      <c r="AB75" s="422"/>
      <c r="AC75" s="451"/>
      <c r="AD75" s="422"/>
      <c r="AE75" s="451"/>
      <c r="AF75" s="422"/>
      <c r="AG75" s="451"/>
      <c r="AH75" s="422"/>
      <c r="AI75" s="451"/>
    </row>
    <row r="76" spans="1:72" ht="20" customHeight="1">
      <c r="A76" s="430">
        <f>SUM(D76:AI76)</f>
        <v>0</v>
      </c>
      <c r="B76" s="411" t="s">
        <v>18</v>
      </c>
      <c r="C76" s="425" t="str">
        <f>IF(B76=1,D76,"")</f>
        <v/>
      </c>
      <c r="D76" s="1878" t="str">
        <f>IF(D77=0,"N/A",(SUM(D5:D75)))</f>
        <v>N/A</v>
      </c>
      <c r="E76" s="1878"/>
      <c r="F76" s="1878" t="str">
        <f t="shared" ref="F76" si="4">IF(F77=0,"N/A",(SUM(F5:F75)))</f>
        <v>N/A</v>
      </c>
      <c r="G76" s="1878"/>
      <c r="H76" s="1878" t="str">
        <f t="shared" ref="H76" si="5">IF(H77=0,"N/A",(SUM(H5:H75)))</f>
        <v>N/A</v>
      </c>
      <c r="I76" s="1878"/>
      <c r="J76" s="1878" t="str">
        <f t="shared" ref="J76" si="6">IF(J77=0,"N/A",(SUM(J5:J75)))</f>
        <v>N/A</v>
      </c>
      <c r="K76" s="1878"/>
      <c r="L76" s="1878" t="str">
        <f>IF(L77=0,"N/A",(SUM(L5:L75)))</f>
        <v>N/A</v>
      </c>
      <c r="M76" s="1878"/>
      <c r="N76" s="1878" t="str">
        <f t="shared" ref="N76" si="7">IF(N77=0,"N/A",(SUM(N5:N75)))</f>
        <v>N/A</v>
      </c>
      <c r="O76" s="1878"/>
      <c r="P76" s="1878" t="str">
        <f t="shared" ref="P76" si="8">IF(P77=0,"N/A",(SUM(P5:P75)))</f>
        <v>N/A</v>
      </c>
      <c r="Q76" s="1878"/>
      <c r="R76" s="1878" t="str">
        <f t="shared" ref="R76" si="9">IF(R77=0,"N/A",(SUM(R5:R75)))</f>
        <v>N/A</v>
      </c>
      <c r="S76" s="1878"/>
      <c r="T76" s="1878" t="str">
        <f t="shared" ref="T76" si="10">IF(T77=0,"N/A",(SUM(T5:T75)))</f>
        <v>N/A</v>
      </c>
      <c r="U76" s="1878"/>
      <c r="V76" s="1878" t="str">
        <f t="shared" ref="V76" si="11">IF(V77=0,"N/A",(SUM(V5:V75)))</f>
        <v>N/A</v>
      </c>
      <c r="W76" s="1878"/>
      <c r="X76" s="1878" t="str">
        <f t="shared" ref="X76" si="12">IF(X77=0,"N/A",(SUM(X5:X75)))</f>
        <v>N/A</v>
      </c>
      <c r="Y76" s="1878"/>
      <c r="Z76" s="1878" t="str">
        <f t="shared" ref="Z76" si="13">IF(Z77=0,"N/A",(SUM(Z5:Z75)))</f>
        <v>N/A</v>
      </c>
      <c r="AA76" s="1878"/>
      <c r="AB76" s="1878" t="str">
        <f t="shared" ref="AB76" si="14">IF(AB77=0,"N/A",(SUM(AB5:AB75)))</f>
        <v>N/A</v>
      </c>
      <c r="AC76" s="1878"/>
      <c r="AD76" s="1878" t="str">
        <f t="shared" ref="AD76" si="15">IF(AD77=0,"N/A",(SUM(AD5:AD75)))</f>
        <v>N/A</v>
      </c>
      <c r="AE76" s="1878"/>
      <c r="AF76" s="1878" t="str">
        <f>IF(AF77=0,"N/A",(SUM(AF5:AF75)))</f>
        <v>N/A</v>
      </c>
      <c r="AG76" s="1878"/>
      <c r="AH76" s="1878" t="str">
        <f>IF(AH77=0,"N/A",(SUM(AH5:AH75)))</f>
        <v>N/A</v>
      </c>
      <c r="AI76" s="1878"/>
    </row>
    <row r="77" spans="1:72" ht="20" customHeight="1">
      <c r="A77" s="3">
        <f>SUM(D77:AI77)</f>
        <v>0</v>
      </c>
      <c r="B77" s="411" t="s">
        <v>19</v>
      </c>
      <c r="C77" s="431"/>
      <c r="D77" s="1879">
        <f>SUMIF(D5:D75,"&gt;=0", E5:E75)</f>
        <v>0</v>
      </c>
      <c r="E77" s="1879"/>
      <c r="F77" s="1879">
        <f t="shared" ref="F77" si="16">SUMIF(F5:F75,"&gt;=0", G5:G75)</f>
        <v>0</v>
      </c>
      <c r="G77" s="1879"/>
      <c r="H77" s="1879">
        <f t="shared" ref="H77" si="17">SUMIF(H5:H75,"&gt;=0", I5:I75)</f>
        <v>0</v>
      </c>
      <c r="I77" s="1879"/>
      <c r="J77" s="1879">
        <f t="shared" ref="J77" si="18">SUMIF(J5:J75,"&gt;=0", K5:K75)</f>
        <v>0</v>
      </c>
      <c r="K77" s="1879"/>
      <c r="L77" s="1879">
        <f>SUMIF(L5:L75,"&gt;=0", M5:M75)</f>
        <v>0</v>
      </c>
      <c r="M77" s="1879"/>
      <c r="N77" s="1879">
        <f t="shared" ref="N77" si="19">SUMIF(N5:N75,"&gt;=0", O5:O75)</f>
        <v>0</v>
      </c>
      <c r="O77" s="1879"/>
      <c r="P77" s="1879">
        <f t="shared" ref="P77" si="20">SUMIF(P5:P75,"&gt;=0", Q5:Q75)</f>
        <v>0</v>
      </c>
      <c r="Q77" s="1879"/>
      <c r="R77" s="1879">
        <f t="shared" ref="R77" si="21">SUMIF(R5:R75,"&gt;=0", S5:S75)</f>
        <v>0</v>
      </c>
      <c r="S77" s="1879"/>
      <c r="T77" s="1879">
        <f t="shared" ref="T77" si="22">SUMIF(T5:T75,"&gt;=0", U5:U75)</f>
        <v>0</v>
      </c>
      <c r="U77" s="1879"/>
      <c r="V77" s="1879">
        <f t="shared" ref="V77" si="23">SUMIF(V5:V75,"&gt;=0", W5:W75)</f>
        <v>0</v>
      </c>
      <c r="W77" s="1879"/>
      <c r="X77" s="1879">
        <f t="shared" ref="X77" si="24">SUMIF(X5:X75,"&gt;=0", Y5:Y75)</f>
        <v>0</v>
      </c>
      <c r="Y77" s="1879"/>
      <c r="Z77" s="1879">
        <f t="shared" ref="Z77" si="25">SUMIF(Z5:Z75,"&gt;=0", AA5:AA75)</f>
        <v>0</v>
      </c>
      <c r="AA77" s="1879"/>
      <c r="AB77" s="1879">
        <f t="shared" ref="AB77" si="26">SUMIF(AB5:AB75,"&gt;=0", AC5:AC75)</f>
        <v>0</v>
      </c>
      <c r="AC77" s="1879"/>
      <c r="AD77" s="1879">
        <f t="shared" ref="AD77" si="27">SUMIF(AD5:AD75,"&gt;=0", AE5:AE75)</f>
        <v>0</v>
      </c>
      <c r="AE77" s="1879"/>
      <c r="AF77" s="1879">
        <f>SUMIF(AF5:AF75,"&gt;=0", AG5:AG75)</f>
        <v>0</v>
      </c>
      <c r="AG77" s="1879"/>
      <c r="AH77" s="1879">
        <f>SUMIF(AH5:AH75,"&gt;=0", AI5:AI75)</f>
        <v>0</v>
      </c>
      <c r="AI77" s="1879"/>
      <c r="AJ77" s="1875"/>
      <c r="AK77" s="1875"/>
      <c r="AL77" s="1875"/>
      <c r="AM77" s="1875"/>
      <c r="AN77" s="618"/>
      <c r="AO77" s="618"/>
      <c r="AP77" s="618"/>
      <c r="AQ77" s="618"/>
      <c r="AR77" s="618"/>
      <c r="AS77" s="618"/>
      <c r="AT77" s="618"/>
      <c r="AU77" s="618"/>
      <c r="AV77" s="618"/>
      <c r="AW77" s="618"/>
      <c r="AX77" s="618"/>
      <c r="AY77" s="618"/>
      <c r="AZ77" s="618"/>
      <c r="BA77" s="618"/>
      <c r="BB77" s="618"/>
      <c r="BC77" s="1875"/>
      <c r="BD77" s="1875"/>
      <c r="BE77" s="1875"/>
      <c r="BF77" s="1875"/>
      <c r="BG77" s="1875"/>
      <c r="BH77" s="1875"/>
      <c r="BI77" s="1875"/>
      <c r="BJ77" s="1875"/>
      <c r="BK77" s="618"/>
      <c r="BL77" s="618"/>
      <c r="BM77" s="618"/>
      <c r="BN77" s="618"/>
      <c r="BO77" s="1875"/>
      <c r="BP77" s="1875"/>
      <c r="BQ77" s="1875"/>
      <c r="BR77" s="1875"/>
      <c r="BS77" s="1875"/>
      <c r="BT77" s="1875"/>
    </row>
    <row r="78" spans="1:72" ht="20" customHeight="1" thickBot="1">
      <c r="A78" s="412"/>
      <c r="D78" s="412"/>
      <c r="E78" s="412"/>
      <c r="F78" s="412"/>
      <c r="G78" s="412"/>
      <c r="H78" s="412"/>
      <c r="I78" s="412"/>
      <c r="J78" s="412"/>
      <c r="K78" s="412"/>
      <c r="L78" s="412"/>
      <c r="M78" s="412"/>
      <c r="N78" s="412"/>
      <c r="O78" s="412"/>
      <c r="P78" s="412"/>
      <c r="Q78" s="412"/>
      <c r="R78" s="412"/>
      <c r="S78" s="412"/>
      <c r="T78" s="412"/>
      <c r="U78" s="412"/>
      <c r="V78" s="412"/>
      <c r="W78" s="412"/>
      <c r="X78" s="412"/>
      <c r="Y78" s="412"/>
      <c r="Z78" s="412"/>
      <c r="AA78" s="412"/>
      <c r="AB78" s="412"/>
      <c r="AC78" s="412"/>
      <c r="AD78" s="412"/>
      <c r="AE78" s="412"/>
      <c r="AF78" s="412"/>
      <c r="AG78" s="412"/>
      <c r="AH78" s="412"/>
      <c r="AI78" s="412"/>
      <c r="AJ78" s="412"/>
      <c r="AK78" s="412"/>
      <c r="AL78" s="412"/>
      <c r="AM78" s="412"/>
      <c r="AN78" s="619"/>
      <c r="AO78" s="619"/>
      <c r="AP78" s="619"/>
      <c r="AQ78" s="619"/>
      <c r="AR78" s="619"/>
      <c r="AS78" s="619"/>
      <c r="AT78" s="619"/>
      <c r="AU78" s="619"/>
      <c r="AV78" s="619"/>
      <c r="AW78" s="619"/>
      <c r="AX78" s="619"/>
      <c r="AY78" s="619"/>
      <c r="AZ78" s="619"/>
      <c r="BA78" s="619"/>
      <c r="BB78" s="619"/>
      <c r="BC78" s="412"/>
      <c r="BD78" s="619"/>
      <c r="BE78" s="619"/>
      <c r="BF78" s="619"/>
      <c r="BG78" s="619"/>
      <c r="BH78" s="619"/>
      <c r="BI78" s="619"/>
      <c r="BJ78" s="412"/>
      <c r="BK78" s="619"/>
      <c r="BL78" s="619"/>
      <c r="BM78" s="619"/>
      <c r="BN78" s="619"/>
      <c r="BO78" s="412"/>
      <c r="BP78" s="619"/>
      <c r="BQ78" s="619"/>
      <c r="BR78" s="412"/>
      <c r="BS78" s="412"/>
      <c r="BT78" s="412"/>
    </row>
    <row r="79" spans="1:72" ht="20" customHeight="1">
      <c r="A79" s="1876" t="e">
        <f>(A76/A77)*100</f>
        <v>#DIV/0!</v>
      </c>
    </row>
    <row r="80" spans="1:72" ht="20" customHeight="1" thickBot="1">
      <c r="A80" s="1877"/>
    </row>
    <row r="81" spans="1:72" ht="20" customHeight="1">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412"/>
      <c r="AM81" s="412"/>
      <c r="AN81" s="619"/>
      <c r="AO81" s="619"/>
      <c r="AP81" s="619"/>
      <c r="AQ81" s="619"/>
      <c r="AR81" s="619"/>
      <c r="AS81" s="619"/>
      <c r="AT81" s="619"/>
      <c r="AU81" s="619"/>
      <c r="AV81" s="619"/>
      <c r="AW81" s="619"/>
      <c r="AX81" s="619"/>
      <c r="AY81" s="619"/>
      <c r="AZ81" s="619"/>
      <c r="BA81" s="619"/>
      <c r="BB81" s="619"/>
      <c r="BC81" s="412"/>
      <c r="BD81" s="619"/>
      <c r="BE81" s="619"/>
      <c r="BF81" s="619"/>
      <c r="BG81" s="619"/>
      <c r="BH81" s="619"/>
      <c r="BI81" s="619"/>
      <c r="BJ81" s="412"/>
      <c r="BK81" s="619"/>
      <c r="BL81" s="619"/>
      <c r="BM81" s="619"/>
      <c r="BN81" s="619"/>
      <c r="BO81" s="412"/>
      <c r="BP81" s="619"/>
      <c r="BQ81" s="619"/>
      <c r="BR81" s="412"/>
      <c r="BS81" s="412"/>
      <c r="BT81" s="412"/>
    </row>
    <row r="82" spans="1:72" ht="20" customHeight="1">
      <c r="A82" s="281">
        <f>A77*84.99%</f>
        <v>0</v>
      </c>
      <c r="D82" s="412"/>
      <c r="E82" s="412"/>
      <c r="F82" s="412"/>
      <c r="G82" s="412"/>
      <c r="H82" s="412"/>
      <c r="I82" s="412"/>
      <c r="J82" s="412"/>
      <c r="K82" s="412"/>
      <c r="L82" s="412"/>
      <c r="M82" s="412"/>
      <c r="N82" s="412"/>
      <c r="O82" s="412"/>
      <c r="P82" s="412"/>
      <c r="Q82" s="412"/>
      <c r="R82" s="412"/>
      <c r="S82" s="412"/>
      <c r="T82" s="412"/>
      <c r="U82" s="412"/>
      <c r="V82" s="412"/>
      <c r="W82" s="412"/>
      <c r="X82" s="412"/>
      <c r="Y82" s="412"/>
      <c r="Z82" s="412"/>
      <c r="AA82" s="412"/>
      <c r="AB82" s="412"/>
      <c r="AC82" s="412"/>
      <c r="AD82" s="412"/>
      <c r="AE82" s="412"/>
      <c r="AF82" s="412"/>
      <c r="AG82" s="412"/>
      <c r="AH82" s="412"/>
      <c r="AI82" s="412"/>
      <c r="AJ82" s="412"/>
      <c r="AK82" s="412"/>
      <c r="AL82" s="412"/>
      <c r="AM82" s="412"/>
      <c r="AN82" s="619"/>
      <c r="AO82" s="619"/>
      <c r="AP82" s="619"/>
      <c r="AQ82" s="619"/>
      <c r="AR82" s="619"/>
      <c r="AS82" s="619"/>
      <c r="AT82" s="619"/>
      <c r="AU82" s="619"/>
      <c r="AV82" s="619"/>
      <c r="AW82" s="619"/>
      <c r="AX82" s="619"/>
      <c r="AY82" s="619"/>
      <c r="AZ82" s="619"/>
      <c r="BA82" s="619"/>
      <c r="BB82" s="619"/>
      <c r="BC82" s="412"/>
      <c r="BD82" s="619"/>
      <c r="BE82" s="619"/>
      <c r="BF82" s="619"/>
      <c r="BG82" s="619"/>
      <c r="BH82" s="619"/>
      <c r="BI82" s="619"/>
      <c r="BJ82" s="412"/>
      <c r="BK82" s="619"/>
      <c r="BL82" s="619"/>
      <c r="BM82" s="619"/>
      <c r="BN82" s="619"/>
      <c r="BO82" s="412"/>
      <c r="BP82" s="619"/>
      <c r="BQ82" s="619"/>
      <c r="BR82" s="412"/>
      <c r="BS82" s="412"/>
      <c r="BT82" s="412"/>
    </row>
    <row r="83" spans="1:72" ht="20" customHeight="1">
      <c r="A83" s="282">
        <f>A77*85%</f>
        <v>0</v>
      </c>
      <c r="D83" s="160"/>
      <c r="E83" s="412"/>
      <c r="F83" s="412"/>
      <c r="G83" s="412"/>
      <c r="H83" s="412"/>
      <c r="I83" s="412"/>
      <c r="J83" s="412"/>
      <c r="K83" s="412"/>
      <c r="L83" s="412"/>
      <c r="M83" s="412"/>
      <c r="N83" s="412"/>
      <c r="O83" s="412"/>
      <c r="P83" s="412"/>
      <c r="Q83" s="412"/>
      <c r="R83" s="412"/>
      <c r="S83" s="412"/>
      <c r="T83" s="412"/>
      <c r="U83" s="412"/>
      <c r="V83" s="412"/>
      <c r="W83" s="412"/>
      <c r="X83" s="412"/>
      <c r="Y83" s="412"/>
      <c r="Z83" s="412"/>
      <c r="AA83" s="412"/>
      <c r="AB83" s="412"/>
      <c r="AC83" s="412"/>
      <c r="AD83" s="412"/>
      <c r="AE83" s="412"/>
      <c r="AF83" s="412"/>
      <c r="AG83" s="412"/>
      <c r="AH83" s="412"/>
      <c r="AI83" s="412"/>
      <c r="AJ83" s="412"/>
      <c r="AK83" s="412"/>
      <c r="AL83" s="412"/>
      <c r="AM83" s="412"/>
      <c r="AN83" s="619"/>
      <c r="AO83" s="619"/>
      <c r="AP83" s="619"/>
      <c r="AQ83" s="619"/>
      <c r="AR83" s="619"/>
      <c r="AS83" s="619"/>
      <c r="AT83" s="619"/>
      <c r="AU83" s="619"/>
      <c r="AV83" s="619"/>
      <c r="AW83" s="619"/>
      <c r="AX83" s="619"/>
      <c r="AY83" s="619"/>
      <c r="AZ83" s="619"/>
      <c r="BA83" s="619"/>
      <c r="BB83" s="619"/>
      <c r="BC83" s="412"/>
      <c r="BD83" s="619"/>
      <c r="BE83" s="619"/>
      <c r="BF83" s="619"/>
      <c r="BG83" s="619"/>
      <c r="BH83" s="619"/>
      <c r="BI83" s="619"/>
      <c r="BJ83" s="412"/>
      <c r="BK83" s="619"/>
      <c r="BL83" s="619"/>
      <c r="BM83" s="619"/>
      <c r="BN83" s="619"/>
      <c r="BO83" s="412"/>
      <c r="BP83" s="619"/>
      <c r="BQ83" s="619"/>
      <c r="BR83" s="412"/>
      <c r="BS83" s="412"/>
      <c r="BT83" s="412"/>
    </row>
    <row r="84" spans="1:72" ht="20" customHeight="1">
      <c r="A84" s="282">
        <f>A77*89.99%</f>
        <v>0</v>
      </c>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M84" s="412"/>
      <c r="AN84" s="619"/>
      <c r="AO84" s="619"/>
      <c r="AP84" s="619"/>
      <c r="AQ84" s="619"/>
      <c r="AR84" s="619"/>
      <c r="AS84" s="619"/>
      <c r="AT84" s="619"/>
      <c r="AU84" s="619"/>
      <c r="AV84" s="619"/>
      <c r="AW84" s="619"/>
      <c r="AX84" s="619"/>
      <c r="AY84" s="619"/>
      <c r="AZ84" s="619"/>
      <c r="BA84" s="619"/>
      <c r="BB84" s="619"/>
      <c r="BC84" s="412"/>
      <c r="BD84" s="619"/>
      <c r="BE84" s="619"/>
      <c r="BF84" s="619"/>
      <c r="BG84" s="619"/>
      <c r="BH84" s="619"/>
      <c r="BI84" s="619"/>
      <c r="BJ84" s="412"/>
      <c r="BK84" s="619"/>
      <c r="BL84" s="619"/>
      <c r="BM84" s="619"/>
      <c r="BN84" s="619"/>
      <c r="BO84" s="412"/>
      <c r="BP84" s="619"/>
      <c r="BQ84" s="619"/>
      <c r="BR84" s="412"/>
      <c r="BS84" s="412"/>
      <c r="BT84" s="412"/>
    </row>
    <row r="85" spans="1:72" ht="20" customHeight="1">
      <c r="A85" s="279">
        <f>A77*90%</f>
        <v>0</v>
      </c>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412"/>
      <c r="AM85" s="412"/>
      <c r="AN85" s="619"/>
      <c r="AO85" s="619"/>
      <c r="AP85" s="619"/>
      <c r="AQ85" s="619"/>
      <c r="AR85" s="619"/>
      <c r="AS85" s="619"/>
      <c r="AT85" s="619"/>
      <c r="AU85" s="619"/>
      <c r="AV85" s="619"/>
      <c r="AW85" s="619"/>
      <c r="AX85" s="619"/>
      <c r="AY85" s="619"/>
      <c r="AZ85" s="619"/>
      <c r="BA85" s="619"/>
      <c r="BB85" s="619"/>
      <c r="BC85" s="412"/>
      <c r="BD85" s="619"/>
      <c r="BE85" s="619"/>
      <c r="BF85" s="619"/>
      <c r="BG85" s="619"/>
      <c r="BH85" s="619"/>
      <c r="BI85" s="619"/>
      <c r="BJ85" s="412"/>
      <c r="BK85" s="619"/>
      <c r="BL85" s="619"/>
      <c r="BM85" s="619"/>
      <c r="BN85" s="619"/>
      <c r="BO85" s="412"/>
      <c r="BP85" s="619"/>
      <c r="BQ85" s="619"/>
      <c r="BR85" s="412"/>
      <c r="BS85" s="412"/>
      <c r="BT85" s="412"/>
    </row>
    <row r="86" spans="1:72" ht="20" customHeight="1">
      <c r="A86" s="279">
        <f>A77*98.99%</f>
        <v>0</v>
      </c>
      <c r="B86" s="455"/>
      <c r="C86" s="455"/>
      <c r="D86" s="452"/>
      <c r="E86" s="452"/>
      <c r="F86" s="452"/>
      <c r="G86" s="452"/>
      <c r="H86" s="452"/>
      <c r="I86" s="452"/>
      <c r="J86" s="452"/>
      <c r="K86" s="452"/>
      <c r="L86" s="452"/>
      <c r="M86" s="452"/>
      <c r="N86" s="452"/>
      <c r="O86" s="452"/>
      <c r="P86" s="452"/>
      <c r="Q86" s="452"/>
      <c r="R86" s="452"/>
      <c r="S86" s="452"/>
      <c r="T86" s="452"/>
      <c r="U86" s="452"/>
      <c r="V86" s="452"/>
      <c r="W86" s="452"/>
      <c r="X86" s="452"/>
      <c r="Y86" s="452"/>
      <c r="Z86" s="452"/>
      <c r="AA86" s="452"/>
      <c r="AB86" s="452"/>
      <c r="AC86" s="452"/>
      <c r="AD86" s="452"/>
      <c r="AE86" s="452"/>
      <c r="AF86" s="452"/>
      <c r="AG86" s="452"/>
      <c r="AH86" s="452"/>
      <c r="AI86" s="452"/>
      <c r="AJ86" s="412"/>
      <c r="AK86" s="412"/>
      <c r="AL86" s="412"/>
      <c r="AM86" s="412"/>
      <c r="AN86" s="619"/>
      <c r="AO86" s="619"/>
      <c r="AP86" s="619"/>
      <c r="AQ86" s="619"/>
      <c r="AR86" s="619"/>
      <c r="AS86" s="619"/>
      <c r="AT86" s="619"/>
      <c r="AU86" s="619"/>
      <c r="AV86" s="619"/>
      <c r="AW86" s="619"/>
      <c r="AX86" s="619"/>
      <c r="AY86" s="619"/>
      <c r="AZ86" s="619"/>
      <c r="BA86" s="619"/>
      <c r="BB86" s="619"/>
      <c r="BC86" s="412"/>
      <c r="BD86" s="619"/>
      <c r="BE86" s="619"/>
      <c r="BF86" s="619"/>
      <c r="BG86" s="619"/>
      <c r="BH86" s="619"/>
      <c r="BI86" s="619"/>
      <c r="BJ86" s="412"/>
      <c r="BK86" s="619"/>
      <c r="BL86" s="619"/>
      <c r="BM86" s="619"/>
      <c r="BN86" s="619"/>
      <c r="BO86" s="412"/>
      <c r="BP86" s="619"/>
      <c r="BQ86" s="619"/>
      <c r="BR86" s="412"/>
      <c r="BS86" s="412"/>
      <c r="BT86" s="412"/>
    </row>
    <row r="87" spans="1:72" ht="20" customHeight="1">
      <c r="A87" s="280">
        <f>A77*99%</f>
        <v>0</v>
      </c>
      <c r="B87" s="455"/>
      <c r="C87" s="455"/>
      <c r="D87" s="452"/>
      <c r="E87" s="452"/>
      <c r="F87" s="452"/>
      <c r="G87" s="452"/>
      <c r="H87" s="452"/>
      <c r="I87" s="452"/>
      <c r="J87" s="452"/>
      <c r="K87" s="452"/>
      <c r="L87" s="452"/>
      <c r="M87" s="452"/>
      <c r="N87" s="452"/>
      <c r="O87" s="452"/>
      <c r="P87" s="452"/>
      <c r="Q87" s="452"/>
      <c r="R87" s="452"/>
      <c r="S87" s="452"/>
      <c r="T87" s="452"/>
      <c r="U87" s="452"/>
      <c r="V87" s="452"/>
      <c r="W87" s="452"/>
      <c r="X87" s="452"/>
      <c r="Y87" s="452"/>
      <c r="Z87" s="452"/>
      <c r="AA87" s="452"/>
      <c r="AB87" s="452"/>
      <c r="AC87" s="452"/>
      <c r="AD87" s="452"/>
      <c r="AE87" s="452"/>
      <c r="AF87" s="452"/>
      <c r="AG87" s="452"/>
      <c r="AH87" s="452"/>
      <c r="AI87" s="452"/>
      <c r="AJ87" s="412"/>
      <c r="AK87" s="412"/>
      <c r="AL87" s="412"/>
      <c r="AM87" s="412"/>
      <c r="AN87" s="619"/>
      <c r="AO87" s="619"/>
      <c r="AP87" s="619"/>
      <c r="AQ87" s="619"/>
      <c r="AR87" s="619"/>
      <c r="AS87" s="619"/>
      <c r="AT87" s="619"/>
      <c r="AU87" s="619"/>
      <c r="AV87" s="619"/>
      <c r="AW87" s="619"/>
      <c r="AX87" s="619"/>
      <c r="AY87" s="619"/>
      <c r="AZ87" s="619"/>
      <c r="BA87" s="619"/>
      <c r="BB87" s="619"/>
      <c r="BC87" s="412"/>
      <c r="BD87" s="619"/>
      <c r="BE87" s="619"/>
      <c r="BF87" s="619"/>
      <c r="BG87" s="619"/>
      <c r="BH87" s="619"/>
      <c r="BI87" s="619"/>
      <c r="BJ87" s="412"/>
      <c r="BK87" s="619"/>
      <c r="BL87" s="619"/>
      <c r="BM87" s="619"/>
      <c r="BN87" s="619"/>
      <c r="BO87" s="412"/>
      <c r="BP87" s="619"/>
      <c r="BQ87" s="619"/>
      <c r="BR87" s="412"/>
      <c r="BS87" s="412"/>
      <c r="BT87" s="412"/>
    </row>
    <row r="88" spans="1:72" ht="20" customHeight="1">
      <c r="A88" s="280">
        <f>A77</f>
        <v>0</v>
      </c>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412"/>
      <c r="AN88" s="619"/>
      <c r="AO88" s="619"/>
      <c r="AP88" s="619"/>
      <c r="AQ88" s="619"/>
      <c r="AR88" s="619"/>
      <c r="AS88" s="619"/>
      <c r="AT88" s="619"/>
      <c r="AU88" s="619"/>
      <c r="AV88" s="619"/>
      <c r="AW88" s="619"/>
      <c r="AX88" s="619"/>
      <c r="AY88" s="619"/>
      <c r="AZ88" s="619"/>
      <c r="BA88" s="619"/>
      <c r="BB88" s="619"/>
      <c r="BC88" s="412"/>
      <c r="BD88" s="619"/>
      <c r="BE88" s="619"/>
      <c r="BF88" s="619"/>
      <c r="BG88" s="619"/>
      <c r="BH88" s="619"/>
      <c r="BI88" s="619"/>
      <c r="BJ88" s="412"/>
      <c r="BK88" s="619"/>
      <c r="BL88" s="619"/>
      <c r="BM88" s="619"/>
      <c r="BN88" s="619"/>
      <c r="BO88" s="412"/>
      <c r="BP88" s="619"/>
      <c r="BQ88" s="619"/>
      <c r="BR88" s="412"/>
      <c r="BS88" s="412"/>
      <c r="BT88" s="412"/>
    </row>
    <row r="89" spans="1:72" ht="20" customHeight="1">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412"/>
      <c r="AN89" s="619"/>
      <c r="AO89" s="619"/>
      <c r="AP89" s="619"/>
      <c r="AQ89" s="619"/>
      <c r="AR89" s="619"/>
      <c r="AS89" s="619"/>
      <c r="AT89" s="619"/>
      <c r="AU89" s="619"/>
      <c r="AV89" s="619"/>
      <c r="AW89" s="619"/>
      <c r="AX89" s="619"/>
      <c r="AY89" s="619"/>
      <c r="AZ89" s="619"/>
      <c r="BA89" s="619"/>
      <c r="BB89" s="619"/>
      <c r="BC89" s="412"/>
      <c r="BD89" s="619"/>
      <c r="BE89" s="619"/>
      <c r="BF89" s="619"/>
      <c r="BG89" s="619"/>
      <c r="BH89" s="619"/>
      <c r="BI89" s="619"/>
      <c r="BJ89" s="412"/>
      <c r="BK89" s="619"/>
      <c r="BL89" s="619"/>
      <c r="BM89" s="619"/>
      <c r="BN89" s="619"/>
      <c r="BO89" s="412"/>
      <c r="BP89" s="619"/>
      <c r="BQ89" s="619"/>
      <c r="BR89" s="412"/>
      <c r="BS89" s="412"/>
      <c r="BT89" s="412"/>
    </row>
    <row r="90" spans="1:72" ht="20" customHeight="1">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412"/>
      <c r="AN90" s="619"/>
      <c r="AO90" s="619"/>
      <c r="AP90" s="619"/>
      <c r="AQ90" s="619"/>
      <c r="AR90" s="619"/>
      <c r="AS90" s="619"/>
      <c r="AT90" s="619"/>
      <c r="AU90" s="619"/>
      <c r="AV90" s="619"/>
      <c r="AW90" s="619"/>
      <c r="AX90" s="619"/>
      <c r="AY90" s="619"/>
      <c r="AZ90" s="619"/>
      <c r="BA90" s="619"/>
      <c r="BB90" s="619"/>
      <c r="BC90" s="412"/>
      <c r="BD90" s="619"/>
      <c r="BE90" s="619"/>
      <c r="BF90" s="619"/>
      <c r="BG90" s="619"/>
      <c r="BH90" s="619"/>
      <c r="BI90" s="619"/>
      <c r="BJ90" s="412"/>
      <c r="BK90" s="619"/>
      <c r="BL90" s="619"/>
      <c r="BM90" s="619"/>
      <c r="BN90" s="619"/>
      <c r="BO90" s="412"/>
      <c r="BP90" s="619"/>
      <c r="BQ90" s="619"/>
      <c r="BR90" s="412"/>
      <c r="BS90" s="412"/>
      <c r="BT90" s="412"/>
    </row>
    <row r="91" spans="1:72" ht="20" customHeight="1">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619"/>
      <c r="AO91" s="619"/>
      <c r="AP91" s="619"/>
      <c r="AQ91" s="619"/>
      <c r="AR91" s="619"/>
      <c r="AS91" s="619"/>
      <c r="AT91" s="619"/>
      <c r="AU91" s="619"/>
      <c r="AV91" s="619"/>
      <c r="AW91" s="619"/>
      <c r="AX91" s="619"/>
      <c r="AY91" s="619"/>
      <c r="AZ91" s="619"/>
      <c r="BA91" s="619"/>
      <c r="BB91" s="619"/>
      <c r="BC91" s="412"/>
      <c r="BD91" s="619"/>
      <c r="BE91" s="619"/>
      <c r="BF91" s="619"/>
      <c r="BG91" s="619"/>
      <c r="BH91" s="619"/>
      <c r="BI91" s="619"/>
      <c r="BJ91" s="412"/>
      <c r="BK91" s="619"/>
      <c r="BL91" s="619"/>
      <c r="BM91" s="619"/>
      <c r="BN91" s="619"/>
      <c r="BO91" s="412"/>
      <c r="BP91" s="619"/>
      <c r="BQ91" s="619"/>
      <c r="BR91" s="412"/>
      <c r="BS91" s="412"/>
      <c r="BT91" s="412"/>
    </row>
    <row r="92" spans="1:72" ht="20" customHeight="1">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412"/>
      <c r="AN92" s="619"/>
      <c r="AO92" s="619"/>
      <c r="AP92" s="619"/>
      <c r="AQ92" s="619"/>
      <c r="AR92" s="619"/>
      <c r="AS92" s="619"/>
      <c r="AT92" s="619"/>
      <c r="AU92" s="619"/>
      <c r="AV92" s="619"/>
      <c r="AW92" s="619"/>
      <c r="AX92" s="619"/>
      <c r="AY92" s="619"/>
      <c r="AZ92" s="619"/>
      <c r="BA92" s="619"/>
      <c r="BB92" s="619"/>
      <c r="BC92" s="412"/>
      <c r="BD92" s="619"/>
      <c r="BE92" s="619"/>
      <c r="BF92" s="619"/>
      <c r="BG92" s="619"/>
      <c r="BH92" s="619"/>
      <c r="BI92" s="619"/>
      <c r="BJ92" s="412"/>
      <c r="BK92" s="619"/>
      <c r="BL92" s="619"/>
      <c r="BM92" s="619"/>
      <c r="BN92" s="619"/>
      <c r="BO92" s="412"/>
      <c r="BP92" s="619"/>
      <c r="BQ92" s="619"/>
      <c r="BR92" s="412"/>
      <c r="BS92" s="412"/>
      <c r="BT92" s="412"/>
    </row>
    <row r="93" spans="1:72" ht="20" customHeight="1">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412"/>
      <c r="AN93" s="619"/>
      <c r="AO93" s="619"/>
      <c r="AP93" s="619"/>
      <c r="AQ93" s="619"/>
      <c r="AR93" s="619"/>
      <c r="AS93" s="619"/>
      <c r="AT93" s="619"/>
      <c r="AU93" s="619"/>
      <c r="AV93" s="619"/>
      <c r="AW93" s="619"/>
      <c r="AX93" s="619"/>
      <c r="AY93" s="619"/>
      <c r="AZ93" s="619"/>
      <c r="BA93" s="619"/>
      <c r="BB93" s="619"/>
      <c r="BC93" s="412"/>
      <c r="BD93" s="619"/>
      <c r="BE93" s="619"/>
      <c r="BF93" s="619"/>
      <c r="BG93" s="619"/>
      <c r="BH93" s="619"/>
      <c r="BI93" s="619"/>
      <c r="BJ93" s="412"/>
      <c r="BK93" s="619"/>
      <c r="BL93" s="619"/>
      <c r="BM93" s="619"/>
      <c r="BN93" s="619"/>
      <c r="BO93" s="412"/>
      <c r="BP93" s="619"/>
      <c r="BQ93" s="619"/>
      <c r="BR93" s="412"/>
      <c r="BS93" s="412"/>
      <c r="BT93" s="412"/>
    </row>
    <row r="94" spans="1:72" ht="20" customHeight="1">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619"/>
      <c r="AO94" s="619"/>
      <c r="AP94" s="619"/>
      <c r="AQ94" s="619"/>
      <c r="AR94" s="619"/>
      <c r="AS94" s="619"/>
      <c r="AT94" s="619"/>
      <c r="AU94" s="619"/>
      <c r="AV94" s="619"/>
      <c r="AW94" s="619"/>
      <c r="AX94" s="619"/>
      <c r="AY94" s="619"/>
      <c r="AZ94" s="619"/>
      <c r="BA94" s="619"/>
      <c r="BB94" s="619"/>
      <c r="BC94" s="412"/>
      <c r="BD94" s="619"/>
      <c r="BE94" s="619"/>
      <c r="BF94" s="619"/>
      <c r="BG94" s="619"/>
      <c r="BH94" s="619"/>
      <c r="BI94" s="619"/>
      <c r="BJ94" s="412"/>
      <c r="BK94" s="619"/>
      <c r="BL94" s="619"/>
      <c r="BM94" s="619"/>
      <c r="BN94" s="619"/>
      <c r="BO94" s="412"/>
      <c r="BP94" s="619"/>
      <c r="BQ94" s="619"/>
      <c r="BR94" s="412"/>
      <c r="BS94" s="412"/>
      <c r="BT94" s="412"/>
    </row>
    <row r="95" spans="1:72" ht="20" customHeight="1">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412"/>
      <c r="AN95" s="619"/>
      <c r="AO95" s="619"/>
      <c r="AP95" s="619"/>
      <c r="AQ95" s="619"/>
      <c r="AR95" s="619"/>
      <c r="AS95" s="619"/>
      <c r="AT95" s="619"/>
      <c r="AU95" s="619"/>
      <c r="AV95" s="619"/>
      <c r="AW95" s="619"/>
      <c r="AX95" s="619"/>
      <c r="AY95" s="619"/>
      <c r="AZ95" s="619"/>
      <c r="BA95" s="619"/>
      <c r="BB95" s="619"/>
      <c r="BC95" s="412"/>
      <c r="BD95" s="619"/>
      <c r="BE95" s="619"/>
      <c r="BF95" s="619"/>
      <c r="BG95" s="619"/>
      <c r="BH95" s="619"/>
      <c r="BI95" s="619"/>
      <c r="BJ95" s="412"/>
      <c r="BK95" s="619"/>
      <c r="BL95" s="619"/>
      <c r="BM95" s="619"/>
      <c r="BN95" s="619"/>
      <c r="BO95" s="412"/>
      <c r="BP95" s="619"/>
      <c r="BQ95" s="619"/>
      <c r="BR95" s="412"/>
      <c r="BS95" s="412"/>
      <c r="BT95" s="412"/>
    </row>
    <row r="96" spans="1:72" ht="20" customHeight="1">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619"/>
      <c r="AO96" s="619"/>
      <c r="AP96" s="619"/>
      <c r="AQ96" s="619"/>
      <c r="AR96" s="619"/>
      <c r="AS96" s="619"/>
      <c r="AT96" s="619"/>
      <c r="AU96" s="619"/>
      <c r="AV96" s="619"/>
      <c r="AW96" s="619"/>
      <c r="AX96" s="619"/>
      <c r="AY96" s="619"/>
      <c r="AZ96" s="619"/>
      <c r="BA96" s="619"/>
      <c r="BB96" s="619"/>
      <c r="BC96" s="412"/>
      <c r="BD96" s="619"/>
      <c r="BE96" s="619"/>
      <c r="BF96" s="619"/>
      <c r="BG96" s="619"/>
      <c r="BH96" s="619"/>
      <c r="BI96" s="619"/>
      <c r="BJ96" s="412"/>
      <c r="BK96" s="619"/>
      <c r="BL96" s="619"/>
      <c r="BM96" s="619"/>
      <c r="BN96" s="619"/>
      <c r="BO96" s="412"/>
      <c r="BP96" s="619"/>
      <c r="BQ96" s="619"/>
      <c r="BR96" s="412"/>
      <c r="BS96" s="412"/>
      <c r="BT96" s="412"/>
    </row>
    <row r="97" spans="4:72" ht="20" customHeight="1">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619"/>
      <c r="AO97" s="619"/>
      <c r="AP97" s="619"/>
      <c r="AQ97" s="619"/>
      <c r="AR97" s="619"/>
      <c r="AS97" s="619"/>
      <c r="AT97" s="619"/>
      <c r="AU97" s="619"/>
      <c r="AV97" s="619"/>
      <c r="AW97" s="619"/>
      <c r="AX97" s="619"/>
      <c r="AY97" s="619"/>
      <c r="AZ97" s="619"/>
      <c r="BA97" s="619"/>
      <c r="BB97" s="619"/>
      <c r="BC97" s="412"/>
      <c r="BD97" s="619"/>
      <c r="BE97" s="619"/>
      <c r="BF97" s="619"/>
      <c r="BG97" s="619"/>
      <c r="BH97" s="619"/>
      <c r="BI97" s="619"/>
      <c r="BJ97" s="412"/>
      <c r="BK97" s="619"/>
      <c r="BL97" s="619"/>
      <c r="BM97" s="619"/>
      <c r="BN97" s="619"/>
      <c r="BO97" s="412"/>
      <c r="BP97" s="619"/>
      <c r="BQ97" s="619"/>
      <c r="BR97" s="412"/>
      <c r="BS97" s="412"/>
      <c r="BT97" s="412"/>
    </row>
    <row r="98" spans="4:72" ht="20" customHeight="1">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412"/>
      <c r="AN98" s="619"/>
      <c r="AO98" s="619"/>
      <c r="AP98" s="619"/>
      <c r="AQ98" s="619"/>
      <c r="AR98" s="619"/>
      <c r="AS98" s="619"/>
      <c r="AT98" s="619"/>
      <c r="AU98" s="619"/>
      <c r="AV98" s="619"/>
      <c r="AW98" s="619"/>
      <c r="AX98" s="619"/>
      <c r="AY98" s="619"/>
      <c r="AZ98" s="619"/>
      <c r="BA98" s="619"/>
      <c r="BB98" s="619"/>
      <c r="BC98" s="412"/>
      <c r="BD98" s="619"/>
      <c r="BE98" s="619"/>
      <c r="BF98" s="619"/>
      <c r="BG98" s="619"/>
      <c r="BH98" s="619"/>
      <c r="BI98" s="619"/>
      <c r="BJ98" s="412"/>
      <c r="BK98" s="619"/>
      <c r="BL98" s="619"/>
      <c r="BM98" s="619"/>
      <c r="BN98" s="619"/>
      <c r="BO98" s="412"/>
      <c r="BP98" s="619"/>
      <c r="BQ98" s="619"/>
      <c r="BR98" s="412"/>
      <c r="BS98" s="412"/>
      <c r="BT98" s="412"/>
    </row>
    <row r="99" spans="4:72" ht="20" customHeight="1">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619"/>
      <c r="AO99" s="619"/>
      <c r="AP99" s="619"/>
      <c r="AQ99" s="619"/>
      <c r="AR99" s="619"/>
      <c r="AS99" s="619"/>
      <c r="AT99" s="619"/>
      <c r="AU99" s="619"/>
      <c r="AV99" s="619"/>
      <c r="AW99" s="619"/>
      <c r="AX99" s="619"/>
      <c r="AY99" s="619"/>
      <c r="AZ99" s="619"/>
      <c r="BA99" s="619"/>
      <c r="BB99" s="619"/>
      <c r="BC99" s="412"/>
      <c r="BD99" s="619"/>
      <c r="BE99" s="619"/>
      <c r="BF99" s="619"/>
      <c r="BG99" s="619"/>
      <c r="BH99" s="619"/>
      <c r="BI99" s="619"/>
      <c r="BJ99" s="412"/>
      <c r="BK99" s="619"/>
      <c r="BL99" s="619"/>
      <c r="BM99" s="619"/>
      <c r="BN99" s="619"/>
      <c r="BO99" s="412"/>
      <c r="BP99" s="619"/>
      <c r="BQ99" s="619"/>
      <c r="BR99" s="412"/>
      <c r="BS99" s="412"/>
      <c r="BT99" s="412"/>
    </row>
    <row r="100" spans="4:72" ht="20" customHeight="1">
      <c r="D100" s="412"/>
      <c r="E100" s="412"/>
      <c r="F100" s="412"/>
      <c r="G100" s="412"/>
      <c r="H100" s="412"/>
      <c r="I100" s="412"/>
      <c r="J100" s="412"/>
      <c r="K100" s="412"/>
      <c r="L100" s="412"/>
      <c r="M100" s="412"/>
      <c r="N100" s="412"/>
      <c r="O100" s="412"/>
      <c r="P100" s="412"/>
      <c r="Q100" s="412"/>
      <c r="R100" s="412"/>
      <c r="S100" s="412"/>
      <c r="T100" s="412"/>
      <c r="U100" s="412"/>
      <c r="V100" s="412"/>
      <c r="W100" s="412"/>
      <c r="X100" s="412"/>
      <c r="Y100" s="412"/>
      <c r="Z100" s="412"/>
      <c r="AA100" s="412"/>
      <c r="AB100" s="412"/>
      <c r="AC100" s="412"/>
      <c r="AD100" s="412"/>
      <c r="AE100" s="412"/>
      <c r="AF100" s="412"/>
      <c r="AG100" s="412"/>
      <c r="AH100" s="412"/>
      <c r="AI100" s="412"/>
      <c r="AJ100" s="412"/>
      <c r="AK100" s="412"/>
      <c r="AL100" s="412"/>
      <c r="AM100" s="412"/>
      <c r="AN100" s="619"/>
      <c r="AO100" s="619"/>
      <c r="AP100" s="619"/>
      <c r="AQ100" s="619"/>
      <c r="AR100" s="619"/>
      <c r="AS100" s="619"/>
      <c r="AT100" s="619"/>
      <c r="AU100" s="619"/>
      <c r="AV100" s="619"/>
      <c r="AW100" s="619"/>
      <c r="AX100" s="619"/>
      <c r="AY100" s="619"/>
      <c r="AZ100" s="619"/>
      <c r="BA100" s="619"/>
      <c r="BB100" s="619"/>
      <c r="BC100" s="412"/>
      <c r="BD100" s="619"/>
      <c r="BE100" s="619"/>
      <c r="BF100" s="619"/>
      <c r="BG100" s="619"/>
      <c r="BH100" s="619"/>
      <c r="BI100" s="619"/>
      <c r="BJ100" s="412"/>
      <c r="BK100" s="619"/>
      <c r="BL100" s="619"/>
      <c r="BM100" s="619"/>
      <c r="BN100" s="619"/>
      <c r="BO100" s="412"/>
      <c r="BP100" s="619"/>
      <c r="BQ100" s="619"/>
      <c r="BR100" s="412"/>
      <c r="BS100" s="412"/>
      <c r="BT100" s="412"/>
    </row>
    <row r="101" spans="4:72" ht="20" customHeight="1">
      <c r="D101" s="412"/>
      <c r="E101" s="412"/>
      <c r="F101" s="412"/>
      <c r="G101" s="412"/>
      <c r="H101" s="412"/>
      <c r="I101" s="412"/>
      <c r="J101" s="412"/>
      <c r="K101" s="412"/>
      <c r="L101" s="412"/>
      <c r="M101" s="412"/>
      <c r="N101" s="412"/>
      <c r="O101" s="412"/>
      <c r="P101" s="412"/>
      <c r="Q101" s="412"/>
      <c r="R101" s="412"/>
      <c r="S101" s="412"/>
      <c r="T101" s="412"/>
      <c r="U101" s="412"/>
      <c r="V101" s="412"/>
      <c r="W101" s="412"/>
      <c r="X101" s="412"/>
      <c r="Y101" s="412"/>
      <c r="Z101" s="412"/>
      <c r="AA101" s="412"/>
      <c r="AB101" s="412"/>
      <c r="AC101" s="412"/>
      <c r="AD101" s="412"/>
      <c r="AE101" s="412"/>
      <c r="AF101" s="412"/>
      <c r="AG101" s="412"/>
      <c r="AH101" s="412"/>
      <c r="AI101" s="412"/>
      <c r="AJ101" s="412"/>
      <c r="AK101" s="412"/>
      <c r="AL101" s="412"/>
      <c r="AM101" s="412"/>
      <c r="AN101" s="619"/>
      <c r="AO101" s="619"/>
      <c r="AP101" s="619"/>
      <c r="AQ101" s="619"/>
      <c r="AR101" s="619"/>
      <c r="AS101" s="619"/>
      <c r="AT101" s="619"/>
      <c r="AU101" s="619"/>
      <c r="AV101" s="619"/>
      <c r="AW101" s="619"/>
      <c r="AX101" s="619"/>
      <c r="AY101" s="619"/>
      <c r="AZ101" s="619"/>
      <c r="BA101" s="619"/>
      <c r="BB101" s="619"/>
      <c r="BC101" s="412"/>
      <c r="BD101" s="619"/>
      <c r="BE101" s="619"/>
      <c r="BF101" s="619"/>
      <c r="BG101" s="619"/>
      <c r="BH101" s="619"/>
      <c r="BI101" s="619"/>
      <c r="BJ101" s="412"/>
      <c r="BK101" s="619"/>
      <c r="BL101" s="619"/>
      <c r="BM101" s="619"/>
      <c r="BN101" s="619"/>
      <c r="BO101" s="412"/>
      <c r="BP101" s="619"/>
      <c r="BQ101" s="619"/>
      <c r="BR101" s="412"/>
      <c r="BS101" s="412"/>
      <c r="BT101" s="412"/>
    </row>
    <row r="102" spans="4:72" ht="20" customHeight="1">
      <c r="D102" s="412"/>
      <c r="E102" s="412"/>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412"/>
      <c r="AB102" s="412"/>
      <c r="AC102" s="412"/>
      <c r="AD102" s="412"/>
      <c r="AE102" s="412"/>
      <c r="AF102" s="412"/>
      <c r="AG102" s="412"/>
      <c r="AH102" s="412"/>
      <c r="AI102" s="412"/>
      <c r="AJ102" s="412"/>
      <c r="AK102" s="412"/>
      <c r="AL102" s="412"/>
      <c r="AM102" s="412"/>
      <c r="AN102" s="619"/>
      <c r="AO102" s="619"/>
      <c r="AP102" s="619"/>
      <c r="AQ102" s="619"/>
      <c r="AR102" s="619"/>
      <c r="AS102" s="619"/>
      <c r="AT102" s="619"/>
      <c r="AU102" s="619"/>
      <c r="AV102" s="619"/>
      <c r="AW102" s="619"/>
      <c r="AX102" s="619"/>
      <c r="AY102" s="619"/>
      <c r="AZ102" s="619"/>
      <c r="BA102" s="619"/>
      <c r="BB102" s="619"/>
      <c r="BC102" s="412"/>
      <c r="BD102" s="619"/>
      <c r="BE102" s="619"/>
      <c r="BF102" s="619"/>
      <c r="BG102" s="619"/>
      <c r="BH102" s="619"/>
      <c r="BI102" s="619"/>
      <c r="BJ102" s="412"/>
      <c r="BK102" s="619"/>
      <c r="BL102" s="619"/>
      <c r="BM102" s="619"/>
      <c r="BN102" s="619"/>
      <c r="BO102" s="412"/>
      <c r="BP102" s="619"/>
      <c r="BQ102" s="619"/>
      <c r="BR102" s="412"/>
      <c r="BS102" s="412"/>
      <c r="BT102" s="412"/>
    </row>
    <row r="103" spans="4:72" ht="20" customHeight="1">
      <c r="D103" s="412"/>
      <c r="E103" s="412"/>
      <c r="F103" s="412"/>
      <c r="G103" s="412"/>
      <c r="H103" s="412"/>
      <c r="I103" s="412"/>
      <c r="J103" s="412"/>
      <c r="K103" s="412"/>
      <c r="L103" s="412"/>
      <c r="M103" s="412"/>
      <c r="N103" s="412"/>
      <c r="O103" s="412"/>
      <c r="P103" s="412"/>
      <c r="Q103" s="412"/>
      <c r="R103" s="412"/>
      <c r="S103" s="412"/>
      <c r="T103" s="412"/>
      <c r="U103" s="412"/>
      <c r="V103" s="412"/>
      <c r="W103" s="412"/>
      <c r="X103" s="412"/>
      <c r="Y103" s="412"/>
      <c r="Z103" s="412"/>
      <c r="AA103" s="412"/>
      <c r="AB103" s="412"/>
      <c r="AC103" s="412"/>
      <c r="AD103" s="412"/>
      <c r="AE103" s="412"/>
      <c r="AF103" s="412"/>
      <c r="AG103" s="412"/>
      <c r="AH103" s="412"/>
      <c r="AI103" s="412"/>
      <c r="AJ103" s="412"/>
      <c r="AK103" s="412"/>
      <c r="AL103" s="412"/>
      <c r="AM103" s="412"/>
      <c r="AN103" s="619"/>
      <c r="AO103" s="619"/>
      <c r="AP103" s="619"/>
      <c r="AQ103" s="619"/>
      <c r="AR103" s="619"/>
      <c r="AS103" s="619"/>
      <c r="AT103" s="619"/>
      <c r="AU103" s="619"/>
      <c r="AV103" s="619"/>
      <c r="AW103" s="619"/>
      <c r="AX103" s="619"/>
      <c r="AY103" s="619"/>
      <c r="AZ103" s="619"/>
      <c r="BA103" s="619"/>
      <c r="BB103" s="619"/>
      <c r="BC103" s="412"/>
      <c r="BD103" s="619"/>
      <c r="BE103" s="619"/>
      <c r="BF103" s="619"/>
      <c r="BG103" s="619"/>
      <c r="BH103" s="619"/>
      <c r="BI103" s="619"/>
      <c r="BJ103" s="412"/>
      <c r="BK103" s="619"/>
      <c r="BL103" s="619"/>
      <c r="BM103" s="619"/>
      <c r="BN103" s="619"/>
      <c r="BO103" s="412"/>
      <c r="BP103" s="619"/>
      <c r="BQ103" s="619"/>
      <c r="BR103" s="412"/>
      <c r="BS103" s="412"/>
      <c r="BT103" s="412"/>
    </row>
    <row r="104" spans="4:72" ht="20" customHeight="1">
      <c r="D104" s="412"/>
      <c r="E104" s="412"/>
      <c r="F104" s="412"/>
      <c r="G104" s="412"/>
      <c r="H104" s="412"/>
      <c r="I104" s="412"/>
      <c r="J104" s="412"/>
      <c r="K104" s="412"/>
      <c r="L104" s="412"/>
      <c r="M104" s="412"/>
      <c r="N104" s="412"/>
      <c r="O104" s="412"/>
      <c r="P104" s="412"/>
      <c r="Q104" s="412"/>
      <c r="R104" s="412"/>
      <c r="S104" s="412"/>
      <c r="T104" s="412"/>
      <c r="U104" s="412"/>
      <c r="V104" s="412"/>
      <c r="W104" s="412"/>
      <c r="X104" s="412"/>
      <c r="Y104" s="412"/>
      <c r="Z104" s="412"/>
      <c r="AA104" s="412"/>
      <c r="AB104" s="412"/>
      <c r="AC104" s="412"/>
      <c r="AD104" s="412"/>
      <c r="AE104" s="412"/>
      <c r="AF104" s="412"/>
      <c r="AG104" s="412"/>
      <c r="AH104" s="412"/>
      <c r="AI104" s="412"/>
      <c r="AJ104" s="412"/>
      <c r="AK104" s="412"/>
      <c r="AL104" s="412"/>
      <c r="AM104" s="412"/>
      <c r="AN104" s="619"/>
      <c r="AO104" s="619"/>
      <c r="AP104" s="619"/>
      <c r="AQ104" s="619"/>
      <c r="AR104" s="619"/>
      <c r="AS104" s="619"/>
      <c r="AT104" s="619"/>
      <c r="AU104" s="619"/>
      <c r="AV104" s="619"/>
      <c r="AW104" s="619"/>
      <c r="AX104" s="619"/>
      <c r="AY104" s="619"/>
      <c r="AZ104" s="619"/>
      <c r="BA104" s="619"/>
      <c r="BB104" s="619"/>
      <c r="BC104" s="412"/>
      <c r="BD104" s="619"/>
      <c r="BE104" s="619"/>
      <c r="BF104" s="619"/>
      <c r="BG104" s="619"/>
      <c r="BH104" s="619"/>
      <c r="BI104" s="619"/>
      <c r="BJ104" s="412"/>
      <c r="BK104" s="619"/>
      <c r="BL104" s="619"/>
      <c r="BM104" s="619"/>
      <c r="BN104" s="619"/>
      <c r="BO104" s="412"/>
      <c r="BP104" s="619"/>
      <c r="BQ104" s="619"/>
      <c r="BR104" s="412"/>
      <c r="BS104" s="412"/>
      <c r="BT104" s="412"/>
    </row>
    <row r="105" spans="4:72" ht="20" customHeight="1">
      <c r="D105" s="412"/>
      <c r="E105" s="412"/>
      <c r="F105" s="412"/>
      <c r="G105" s="412"/>
      <c r="H105" s="412"/>
      <c r="I105" s="412"/>
      <c r="J105" s="412"/>
      <c r="K105" s="412"/>
      <c r="L105" s="412"/>
      <c r="M105" s="412"/>
      <c r="N105" s="412"/>
      <c r="O105" s="412"/>
      <c r="P105" s="412"/>
      <c r="Q105" s="412"/>
      <c r="R105" s="412"/>
      <c r="S105" s="412"/>
      <c r="T105" s="412"/>
      <c r="U105" s="412"/>
      <c r="V105" s="412"/>
      <c r="W105" s="412"/>
      <c r="X105" s="412"/>
      <c r="Y105" s="412"/>
      <c r="Z105" s="412"/>
      <c r="AA105" s="412"/>
      <c r="AB105" s="412"/>
      <c r="AC105" s="412"/>
      <c r="AD105" s="412"/>
      <c r="AE105" s="412"/>
      <c r="AF105" s="412"/>
      <c r="AG105" s="412"/>
      <c r="AH105" s="412"/>
      <c r="AI105" s="412"/>
      <c r="AJ105" s="412"/>
      <c r="AK105" s="412"/>
      <c r="AL105" s="412"/>
      <c r="AM105" s="412"/>
      <c r="AN105" s="619"/>
      <c r="AO105" s="619"/>
      <c r="AP105" s="619"/>
      <c r="AQ105" s="619"/>
      <c r="AR105" s="619"/>
      <c r="AS105" s="619"/>
      <c r="AT105" s="619"/>
      <c r="AU105" s="619"/>
      <c r="AV105" s="619"/>
      <c r="AW105" s="619"/>
      <c r="AX105" s="619"/>
      <c r="AY105" s="619"/>
      <c r="AZ105" s="619"/>
      <c r="BA105" s="619"/>
      <c r="BB105" s="619"/>
      <c r="BC105" s="412"/>
      <c r="BD105" s="619"/>
      <c r="BE105" s="619"/>
      <c r="BF105" s="619"/>
      <c r="BG105" s="619"/>
      <c r="BH105" s="619"/>
      <c r="BI105" s="619"/>
      <c r="BJ105" s="412"/>
      <c r="BK105" s="619"/>
      <c r="BL105" s="619"/>
      <c r="BM105" s="619"/>
      <c r="BN105" s="619"/>
      <c r="BO105" s="412"/>
      <c r="BP105" s="619"/>
      <c r="BQ105" s="619"/>
      <c r="BR105" s="412"/>
      <c r="BS105" s="412"/>
      <c r="BT105" s="412"/>
    </row>
    <row r="106" spans="4:72" ht="20" customHeight="1">
      <c r="D106" s="412"/>
      <c r="E106" s="412"/>
      <c r="F106" s="412"/>
      <c r="G106" s="412"/>
      <c r="H106" s="412"/>
      <c r="I106" s="412"/>
      <c r="J106" s="412"/>
      <c r="K106" s="412"/>
      <c r="L106" s="412"/>
      <c r="M106" s="412"/>
      <c r="N106" s="412"/>
      <c r="O106" s="412"/>
      <c r="P106" s="412"/>
      <c r="Q106" s="412"/>
      <c r="R106" s="412"/>
      <c r="S106" s="412"/>
      <c r="T106" s="412"/>
      <c r="U106" s="412"/>
      <c r="V106" s="412"/>
      <c r="W106" s="412"/>
      <c r="X106" s="412"/>
      <c r="Y106" s="412"/>
      <c r="Z106" s="412"/>
      <c r="AA106" s="412"/>
      <c r="AB106" s="412"/>
      <c r="AC106" s="412"/>
      <c r="AD106" s="412"/>
      <c r="AE106" s="412"/>
      <c r="AF106" s="412"/>
      <c r="AG106" s="412"/>
      <c r="AH106" s="412"/>
      <c r="AI106" s="412"/>
      <c r="AJ106" s="412"/>
      <c r="AK106" s="412"/>
      <c r="AL106" s="412"/>
      <c r="AM106" s="412"/>
      <c r="AN106" s="619"/>
      <c r="AO106" s="619"/>
      <c r="AP106" s="619"/>
      <c r="AQ106" s="619"/>
      <c r="AR106" s="619"/>
      <c r="AS106" s="619"/>
      <c r="AT106" s="619"/>
      <c r="AU106" s="619"/>
      <c r="AV106" s="619"/>
      <c r="AW106" s="619"/>
      <c r="AX106" s="619"/>
      <c r="AY106" s="619"/>
      <c r="AZ106" s="619"/>
      <c r="BA106" s="619"/>
      <c r="BB106" s="619"/>
      <c r="BC106" s="412"/>
      <c r="BD106" s="619"/>
      <c r="BE106" s="619"/>
      <c r="BF106" s="619"/>
      <c r="BG106" s="619"/>
      <c r="BH106" s="619"/>
      <c r="BI106" s="619"/>
      <c r="BJ106" s="412"/>
      <c r="BK106" s="619"/>
      <c r="BL106" s="619"/>
      <c r="BM106" s="619"/>
      <c r="BN106" s="619"/>
      <c r="BO106" s="412"/>
      <c r="BP106" s="619"/>
      <c r="BQ106" s="619"/>
      <c r="BR106" s="412"/>
      <c r="BS106" s="412"/>
      <c r="BT106" s="412"/>
    </row>
    <row r="107" spans="4:72" ht="20" customHeight="1">
      <c r="D107" s="412"/>
      <c r="E107" s="412"/>
      <c r="F107" s="412"/>
      <c r="G107" s="412"/>
      <c r="H107" s="412"/>
      <c r="I107" s="412"/>
      <c r="J107" s="412"/>
      <c r="K107" s="412"/>
      <c r="L107" s="412"/>
      <c r="M107" s="412"/>
      <c r="N107" s="412"/>
      <c r="O107" s="412"/>
      <c r="P107" s="412"/>
      <c r="Q107" s="412"/>
      <c r="R107" s="412"/>
      <c r="S107" s="412"/>
      <c r="T107" s="412"/>
      <c r="U107" s="412"/>
      <c r="V107" s="412"/>
      <c r="W107" s="412"/>
      <c r="X107" s="412"/>
      <c r="Y107" s="412"/>
      <c r="Z107" s="412"/>
      <c r="AA107" s="412"/>
      <c r="AB107" s="412"/>
      <c r="AC107" s="412"/>
      <c r="AD107" s="412"/>
      <c r="AE107" s="412"/>
      <c r="AF107" s="412"/>
      <c r="AG107" s="412"/>
      <c r="AH107" s="412"/>
      <c r="AI107" s="412"/>
      <c r="AJ107" s="412"/>
      <c r="AK107" s="412"/>
      <c r="AL107" s="412"/>
      <c r="AM107" s="412"/>
      <c r="AN107" s="619"/>
      <c r="AO107" s="619"/>
      <c r="AP107" s="619"/>
      <c r="AQ107" s="619"/>
      <c r="AR107" s="619"/>
      <c r="AS107" s="619"/>
      <c r="AT107" s="619"/>
      <c r="AU107" s="619"/>
      <c r="AV107" s="619"/>
      <c r="AW107" s="619"/>
      <c r="AX107" s="619"/>
      <c r="AY107" s="619"/>
      <c r="AZ107" s="619"/>
      <c r="BA107" s="619"/>
      <c r="BB107" s="619"/>
      <c r="BC107" s="412"/>
      <c r="BD107" s="619"/>
      <c r="BE107" s="619"/>
      <c r="BF107" s="619"/>
      <c r="BG107" s="619"/>
      <c r="BH107" s="619"/>
      <c r="BI107" s="619"/>
      <c r="BJ107" s="412"/>
      <c r="BK107" s="619"/>
      <c r="BL107" s="619"/>
      <c r="BM107" s="619"/>
      <c r="BN107" s="619"/>
      <c r="BO107" s="412"/>
      <c r="BP107" s="619"/>
      <c r="BQ107" s="619"/>
      <c r="BR107" s="412"/>
      <c r="BS107" s="412"/>
      <c r="BT107" s="412"/>
    </row>
    <row r="108" spans="4:72" ht="20" customHeight="1">
      <c r="D108" s="412"/>
      <c r="E108" s="412"/>
      <c r="F108" s="412"/>
      <c r="G108" s="412"/>
      <c r="H108" s="412"/>
      <c r="I108" s="412"/>
      <c r="J108" s="412"/>
      <c r="K108" s="412"/>
      <c r="L108" s="412"/>
      <c r="M108" s="412"/>
      <c r="N108" s="412"/>
      <c r="O108" s="412"/>
      <c r="P108" s="412"/>
      <c r="Q108" s="412"/>
      <c r="R108" s="412"/>
      <c r="S108" s="412"/>
      <c r="T108" s="412"/>
      <c r="U108" s="412"/>
      <c r="V108" s="412"/>
      <c r="W108" s="412"/>
      <c r="X108" s="412"/>
      <c r="Y108" s="412"/>
      <c r="Z108" s="412"/>
      <c r="AA108" s="412"/>
      <c r="AB108" s="412"/>
      <c r="AC108" s="412"/>
      <c r="AD108" s="412"/>
      <c r="AE108" s="412"/>
      <c r="AF108" s="412"/>
      <c r="AG108" s="412"/>
      <c r="AH108" s="412"/>
      <c r="AI108" s="412"/>
      <c r="AJ108" s="412"/>
      <c r="AK108" s="412"/>
      <c r="AL108" s="412"/>
      <c r="AM108" s="412"/>
      <c r="AN108" s="619"/>
      <c r="AO108" s="619"/>
      <c r="AP108" s="619"/>
      <c r="AQ108" s="619"/>
      <c r="AR108" s="619"/>
      <c r="AS108" s="619"/>
      <c r="AT108" s="619"/>
      <c r="AU108" s="619"/>
      <c r="AV108" s="619"/>
      <c r="AW108" s="619"/>
      <c r="AX108" s="619"/>
      <c r="AY108" s="619"/>
      <c r="AZ108" s="619"/>
      <c r="BA108" s="619"/>
      <c r="BB108" s="619"/>
      <c r="BC108" s="412"/>
      <c r="BD108" s="619"/>
      <c r="BE108" s="619"/>
      <c r="BF108" s="619"/>
      <c r="BG108" s="619"/>
      <c r="BH108" s="619"/>
      <c r="BI108" s="619"/>
      <c r="BJ108" s="412"/>
      <c r="BK108" s="619"/>
      <c r="BL108" s="619"/>
      <c r="BM108" s="619"/>
      <c r="BN108" s="619"/>
      <c r="BO108" s="412"/>
      <c r="BP108" s="619"/>
      <c r="BQ108" s="619"/>
      <c r="BR108" s="412"/>
      <c r="BS108" s="412"/>
      <c r="BT108" s="412"/>
    </row>
    <row r="109" spans="4:72" ht="20" customHeight="1">
      <c r="D109" s="412"/>
      <c r="E109" s="412"/>
      <c r="F109" s="412"/>
      <c r="G109" s="412"/>
      <c r="H109" s="412"/>
      <c r="I109" s="412"/>
      <c r="J109" s="412"/>
      <c r="K109" s="412"/>
      <c r="L109" s="412"/>
      <c r="M109" s="412"/>
      <c r="N109" s="412"/>
      <c r="O109" s="412"/>
      <c r="P109" s="412"/>
      <c r="Q109" s="412"/>
      <c r="R109" s="412"/>
      <c r="S109" s="412"/>
      <c r="T109" s="412"/>
      <c r="U109" s="412"/>
      <c r="V109" s="412"/>
      <c r="W109" s="412"/>
      <c r="X109" s="412"/>
      <c r="Y109" s="412"/>
      <c r="Z109" s="412"/>
      <c r="AA109" s="412"/>
      <c r="AB109" s="412"/>
      <c r="AC109" s="412"/>
      <c r="AD109" s="412"/>
      <c r="AE109" s="412"/>
      <c r="AF109" s="412"/>
      <c r="AG109" s="412"/>
      <c r="AH109" s="412"/>
      <c r="AI109" s="412"/>
      <c r="AJ109" s="412"/>
      <c r="AK109" s="412"/>
      <c r="AL109" s="412"/>
      <c r="AM109" s="412"/>
      <c r="AN109" s="619"/>
      <c r="AO109" s="619"/>
      <c r="AP109" s="619"/>
      <c r="AQ109" s="619"/>
      <c r="AR109" s="619"/>
      <c r="AS109" s="619"/>
      <c r="AT109" s="619"/>
      <c r="AU109" s="619"/>
      <c r="AV109" s="619"/>
      <c r="AW109" s="619"/>
      <c r="AX109" s="619"/>
      <c r="AY109" s="619"/>
      <c r="AZ109" s="619"/>
      <c r="BA109" s="619"/>
      <c r="BB109" s="619"/>
      <c r="BC109" s="412"/>
      <c r="BD109" s="619"/>
      <c r="BE109" s="619"/>
      <c r="BF109" s="619"/>
      <c r="BG109" s="619"/>
      <c r="BH109" s="619"/>
      <c r="BI109" s="619"/>
      <c r="BJ109" s="412"/>
      <c r="BK109" s="619"/>
      <c r="BL109" s="619"/>
      <c r="BM109" s="619"/>
      <c r="BN109" s="619"/>
      <c r="BO109" s="412"/>
      <c r="BP109" s="619"/>
      <c r="BQ109" s="619"/>
      <c r="BR109" s="412"/>
      <c r="BS109" s="412"/>
      <c r="BT109" s="412"/>
    </row>
    <row r="110" spans="4:72" ht="20" customHeight="1">
      <c r="D110" s="412"/>
      <c r="E110" s="412"/>
      <c r="F110" s="412"/>
      <c r="G110" s="412"/>
      <c r="H110" s="412"/>
      <c r="I110" s="412"/>
      <c r="J110" s="412"/>
      <c r="K110" s="412"/>
      <c r="L110" s="412"/>
      <c r="M110" s="412"/>
      <c r="N110" s="412"/>
      <c r="O110" s="412"/>
      <c r="P110" s="412"/>
      <c r="Q110" s="412"/>
      <c r="R110" s="412"/>
      <c r="S110" s="412"/>
      <c r="T110" s="412"/>
      <c r="U110" s="412"/>
      <c r="V110" s="412"/>
      <c r="W110" s="412"/>
      <c r="X110" s="412"/>
      <c r="Y110" s="412"/>
      <c r="Z110" s="412"/>
      <c r="AA110" s="412"/>
      <c r="AB110" s="412"/>
      <c r="AC110" s="412"/>
      <c r="AD110" s="412"/>
      <c r="AE110" s="412"/>
      <c r="AF110" s="412"/>
      <c r="AG110" s="412"/>
      <c r="AH110" s="412"/>
      <c r="AI110" s="412"/>
      <c r="AJ110" s="412"/>
      <c r="AK110" s="412"/>
      <c r="AL110" s="412"/>
      <c r="AM110" s="412"/>
      <c r="AN110" s="619"/>
      <c r="AO110" s="619"/>
      <c r="AP110" s="619"/>
      <c r="AQ110" s="619"/>
      <c r="AR110" s="619"/>
      <c r="AS110" s="619"/>
      <c r="AT110" s="619"/>
      <c r="AU110" s="619"/>
      <c r="AV110" s="619"/>
      <c r="AW110" s="619"/>
      <c r="AX110" s="619"/>
      <c r="AY110" s="619"/>
      <c r="AZ110" s="619"/>
      <c r="BA110" s="619"/>
      <c r="BB110" s="619"/>
      <c r="BC110" s="412"/>
      <c r="BD110" s="619"/>
      <c r="BE110" s="619"/>
      <c r="BF110" s="619"/>
      <c r="BG110" s="619"/>
      <c r="BH110" s="619"/>
      <c r="BI110" s="619"/>
      <c r="BJ110" s="412"/>
      <c r="BK110" s="619"/>
      <c r="BL110" s="619"/>
      <c r="BM110" s="619"/>
      <c r="BN110" s="619"/>
      <c r="BO110" s="412"/>
      <c r="BP110" s="619"/>
      <c r="BQ110" s="619"/>
      <c r="BR110" s="412"/>
      <c r="BS110" s="412"/>
      <c r="BT110" s="412"/>
    </row>
    <row r="111" spans="4:72" ht="20" customHeight="1">
      <c r="D111" s="412"/>
      <c r="E111" s="412"/>
      <c r="F111" s="412"/>
      <c r="G111" s="412"/>
      <c r="H111" s="412"/>
      <c r="I111" s="412"/>
      <c r="J111" s="412"/>
      <c r="K111" s="412"/>
      <c r="L111" s="412"/>
      <c r="M111" s="412"/>
      <c r="N111" s="412"/>
      <c r="O111" s="412"/>
      <c r="P111" s="412"/>
      <c r="Q111" s="412"/>
      <c r="R111" s="412"/>
      <c r="S111" s="412"/>
      <c r="T111" s="412"/>
      <c r="U111" s="412"/>
      <c r="V111" s="412"/>
      <c r="W111" s="412"/>
      <c r="X111" s="412"/>
      <c r="Y111" s="412"/>
      <c r="Z111" s="412"/>
      <c r="AA111" s="412"/>
      <c r="AB111" s="412"/>
      <c r="AC111" s="412"/>
      <c r="AD111" s="412"/>
      <c r="AE111" s="412"/>
      <c r="AF111" s="412"/>
      <c r="AG111" s="412"/>
      <c r="AH111" s="412"/>
      <c r="AI111" s="412"/>
      <c r="AJ111" s="412"/>
      <c r="AK111" s="412"/>
      <c r="AL111" s="412"/>
      <c r="AM111" s="412"/>
      <c r="AN111" s="619"/>
      <c r="AO111" s="619"/>
      <c r="AP111" s="619"/>
      <c r="AQ111" s="619"/>
      <c r="AR111" s="619"/>
      <c r="AS111" s="619"/>
      <c r="AT111" s="619"/>
      <c r="AU111" s="619"/>
      <c r="AV111" s="619"/>
      <c r="AW111" s="619"/>
      <c r="AX111" s="619"/>
      <c r="AY111" s="619"/>
      <c r="AZ111" s="619"/>
      <c r="BA111" s="619"/>
      <c r="BB111" s="619"/>
      <c r="BC111" s="412"/>
      <c r="BD111" s="619"/>
      <c r="BE111" s="619"/>
      <c r="BF111" s="619"/>
      <c r="BG111" s="619"/>
      <c r="BH111" s="619"/>
      <c r="BI111" s="619"/>
      <c r="BJ111" s="412"/>
      <c r="BK111" s="619"/>
      <c r="BL111" s="619"/>
      <c r="BM111" s="619"/>
      <c r="BN111" s="619"/>
      <c r="BO111" s="412"/>
      <c r="BP111" s="619"/>
      <c r="BQ111" s="619"/>
      <c r="BR111" s="412"/>
      <c r="BS111" s="412"/>
      <c r="BT111" s="412"/>
    </row>
    <row r="112" spans="4:72" ht="20" customHeight="1">
      <c r="D112" s="412"/>
      <c r="E112" s="412"/>
      <c r="F112" s="412"/>
      <c r="G112" s="412"/>
      <c r="H112" s="412"/>
      <c r="I112" s="412"/>
      <c r="J112" s="412"/>
      <c r="K112" s="412"/>
      <c r="L112" s="412"/>
      <c r="M112" s="412"/>
      <c r="N112" s="412"/>
      <c r="O112" s="412"/>
      <c r="P112" s="412"/>
      <c r="Q112" s="412"/>
      <c r="R112" s="412"/>
      <c r="S112" s="412"/>
      <c r="T112" s="412"/>
      <c r="U112" s="412"/>
      <c r="V112" s="412"/>
      <c r="W112" s="412"/>
      <c r="X112" s="412"/>
      <c r="Y112" s="412"/>
      <c r="Z112" s="412"/>
      <c r="AA112" s="412"/>
      <c r="AB112" s="412"/>
      <c r="AC112" s="412"/>
      <c r="AD112" s="412"/>
      <c r="AE112" s="412"/>
      <c r="AF112" s="412"/>
      <c r="AG112" s="412"/>
      <c r="AH112" s="412"/>
      <c r="AI112" s="412"/>
      <c r="AJ112" s="412"/>
      <c r="AK112" s="412"/>
      <c r="AL112" s="412"/>
      <c r="AM112" s="412"/>
      <c r="AN112" s="619"/>
      <c r="AO112" s="619"/>
      <c r="AP112" s="619"/>
      <c r="AQ112" s="619"/>
      <c r="AR112" s="619"/>
      <c r="AS112" s="619"/>
      <c r="AT112" s="619"/>
      <c r="AU112" s="619"/>
      <c r="AV112" s="619"/>
      <c r="AW112" s="619"/>
      <c r="AX112" s="619"/>
      <c r="AY112" s="619"/>
      <c r="AZ112" s="619"/>
      <c r="BA112" s="619"/>
      <c r="BB112" s="619"/>
      <c r="BC112" s="412"/>
      <c r="BD112" s="619"/>
      <c r="BE112" s="619"/>
      <c r="BF112" s="619"/>
      <c r="BG112" s="619"/>
      <c r="BH112" s="619"/>
      <c r="BI112" s="619"/>
      <c r="BJ112" s="412"/>
      <c r="BK112" s="619"/>
      <c r="BL112" s="619"/>
      <c r="BM112" s="619"/>
      <c r="BN112" s="619"/>
      <c r="BO112" s="412"/>
      <c r="BP112" s="619"/>
      <c r="BQ112" s="619"/>
      <c r="BR112" s="412"/>
      <c r="BS112" s="412"/>
      <c r="BT112" s="412"/>
    </row>
    <row r="113" spans="4:72" ht="20" customHeight="1">
      <c r="D113" s="412"/>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412"/>
      <c r="AN113" s="619"/>
      <c r="AO113" s="619"/>
      <c r="AP113" s="619"/>
      <c r="AQ113" s="619"/>
      <c r="AR113" s="619"/>
      <c r="AS113" s="619"/>
      <c r="AT113" s="619"/>
      <c r="AU113" s="619"/>
      <c r="AV113" s="619"/>
      <c r="AW113" s="619"/>
      <c r="AX113" s="619"/>
      <c r="AY113" s="619"/>
      <c r="AZ113" s="619"/>
      <c r="BA113" s="619"/>
      <c r="BB113" s="619"/>
      <c r="BC113" s="412"/>
      <c r="BD113" s="619"/>
      <c r="BE113" s="619"/>
      <c r="BF113" s="619"/>
      <c r="BG113" s="619"/>
      <c r="BH113" s="619"/>
      <c r="BI113" s="619"/>
      <c r="BJ113" s="412"/>
      <c r="BK113" s="619"/>
      <c r="BL113" s="619"/>
      <c r="BM113" s="619"/>
      <c r="BN113" s="619"/>
      <c r="BO113" s="412"/>
      <c r="BP113" s="619"/>
      <c r="BQ113" s="619"/>
      <c r="BR113" s="412"/>
      <c r="BS113" s="412"/>
      <c r="BT113" s="412"/>
    </row>
    <row r="114" spans="4:72" ht="20" customHeight="1">
      <c r="D114" s="412"/>
      <c r="E114" s="412"/>
      <c r="F114" s="412"/>
      <c r="G114" s="412"/>
      <c r="H114" s="412"/>
      <c r="I114" s="412"/>
      <c r="J114" s="412"/>
      <c r="K114" s="412"/>
      <c r="L114" s="412"/>
      <c r="M114" s="412"/>
      <c r="N114" s="412"/>
      <c r="O114" s="412"/>
      <c r="P114" s="412"/>
      <c r="Q114" s="412"/>
      <c r="R114" s="412"/>
      <c r="S114" s="412"/>
      <c r="T114" s="412"/>
      <c r="U114" s="412"/>
      <c r="V114" s="412"/>
      <c r="W114" s="412"/>
      <c r="X114" s="412"/>
      <c r="Y114" s="412"/>
      <c r="Z114" s="412"/>
      <c r="AA114" s="412"/>
      <c r="AB114" s="412"/>
      <c r="AC114" s="412"/>
      <c r="AD114" s="412"/>
      <c r="AE114" s="412"/>
      <c r="AF114" s="412"/>
      <c r="AG114" s="412"/>
      <c r="AH114" s="412"/>
      <c r="AI114" s="412"/>
      <c r="AJ114" s="412"/>
      <c r="AK114" s="412"/>
      <c r="AL114" s="412"/>
      <c r="AM114" s="412"/>
      <c r="AN114" s="619"/>
      <c r="AO114" s="619"/>
      <c r="AP114" s="619"/>
      <c r="AQ114" s="619"/>
      <c r="AR114" s="619"/>
      <c r="AS114" s="619"/>
      <c r="AT114" s="619"/>
      <c r="AU114" s="619"/>
      <c r="AV114" s="619"/>
      <c r="AW114" s="619"/>
      <c r="AX114" s="619"/>
      <c r="AY114" s="619"/>
      <c r="AZ114" s="619"/>
      <c r="BA114" s="619"/>
      <c r="BB114" s="619"/>
      <c r="BC114" s="412"/>
      <c r="BD114" s="619"/>
      <c r="BE114" s="619"/>
      <c r="BF114" s="619"/>
      <c r="BG114" s="619"/>
      <c r="BH114" s="619"/>
      <c r="BI114" s="619"/>
      <c r="BJ114" s="412"/>
      <c r="BK114" s="619"/>
      <c r="BL114" s="619"/>
      <c r="BM114" s="619"/>
      <c r="BN114" s="619"/>
      <c r="BO114" s="412"/>
      <c r="BP114" s="619"/>
      <c r="BQ114" s="619"/>
      <c r="BR114" s="412"/>
      <c r="BS114" s="412"/>
      <c r="BT114" s="412"/>
    </row>
    <row r="115" spans="4:72" ht="20" customHeight="1">
      <c r="D115" s="412"/>
      <c r="E115" s="412"/>
      <c r="F115" s="412"/>
      <c r="G115" s="412"/>
      <c r="H115" s="412"/>
      <c r="I115" s="412"/>
      <c r="J115" s="412"/>
      <c r="K115" s="412"/>
      <c r="L115" s="412"/>
      <c r="M115" s="412"/>
      <c r="N115" s="412"/>
      <c r="O115" s="412"/>
      <c r="P115" s="412"/>
      <c r="Q115" s="412"/>
      <c r="R115" s="412"/>
      <c r="S115" s="412"/>
      <c r="T115" s="412"/>
      <c r="U115" s="412"/>
      <c r="V115" s="412"/>
      <c r="W115" s="412"/>
      <c r="X115" s="412"/>
      <c r="Y115" s="412"/>
      <c r="Z115" s="412"/>
      <c r="AA115" s="412"/>
      <c r="AB115" s="412"/>
      <c r="AC115" s="412"/>
      <c r="AD115" s="412"/>
      <c r="AE115" s="412"/>
      <c r="AF115" s="412"/>
      <c r="AG115" s="412"/>
      <c r="AH115" s="412"/>
      <c r="AI115" s="412"/>
      <c r="AJ115" s="412"/>
      <c r="AK115" s="412"/>
      <c r="AL115" s="412"/>
      <c r="AM115" s="412"/>
      <c r="AN115" s="619"/>
      <c r="AO115" s="619"/>
      <c r="AP115" s="619"/>
      <c r="AQ115" s="619"/>
      <c r="AR115" s="619"/>
      <c r="AS115" s="619"/>
      <c r="AT115" s="619"/>
      <c r="AU115" s="619"/>
      <c r="AV115" s="619"/>
      <c r="AW115" s="619"/>
      <c r="AX115" s="619"/>
      <c r="AY115" s="619"/>
      <c r="AZ115" s="619"/>
      <c r="BA115" s="619"/>
      <c r="BB115" s="619"/>
      <c r="BC115" s="412"/>
      <c r="BD115" s="619"/>
      <c r="BE115" s="619"/>
      <c r="BF115" s="619"/>
      <c r="BG115" s="619"/>
      <c r="BH115" s="619"/>
      <c r="BI115" s="619"/>
      <c r="BJ115" s="412"/>
      <c r="BK115" s="619"/>
      <c r="BL115" s="619"/>
      <c r="BM115" s="619"/>
      <c r="BN115" s="619"/>
      <c r="BO115" s="412"/>
      <c r="BP115" s="619"/>
      <c r="BQ115" s="619"/>
      <c r="BR115" s="412"/>
      <c r="BS115" s="412"/>
      <c r="BT115" s="412"/>
    </row>
    <row r="116" spans="4:72" ht="20" customHeight="1">
      <c r="D116" s="412"/>
      <c r="E116" s="412"/>
      <c r="F116" s="412"/>
      <c r="G116" s="412"/>
      <c r="H116" s="412"/>
      <c r="I116" s="412"/>
      <c r="J116" s="412"/>
      <c r="K116" s="412"/>
      <c r="L116" s="412"/>
      <c r="M116" s="412"/>
      <c r="N116" s="412"/>
      <c r="O116" s="412"/>
      <c r="P116" s="412"/>
      <c r="Q116" s="412"/>
      <c r="R116" s="412"/>
      <c r="S116" s="412"/>
      <c r="T116" s="412"/>
      <c r="U116" s="412"/>
      <c r="V116" s="412"/>
      <c r="W116" s="412"/>
      <c r="X116" s="412"/>
      <c r="Y116" s="412"/>
      <c r="Z116" s="412"/>
      <c r="AA116" s="412"/>
      <c r="AB116" s="412"/>
      <c r="AC116" s="412"/>
      <c r="AD116" s="412"/>
      <c r="AE116" s="412"/>
      <c r="AF116" s="412"/>
      <c r="AG116" s="412"/>
      <c r="AH116" s="412"/>
      <c r="AI116" s="412"/>
      <c r="AJ116" s="412"/>
      <c r="AK116" s="412"/>
      <c r="AL116" s="412"/>
      <c r="AM116" s="412"/>
      <c r="AN116" s="619"/>
      <c r="AO116" s="619"/>
      <c r="AP116" s="619"/>
      <c r="AQ116" s="619"/>
      <c r="AR116" s="619"/>
      <c r="AS116" s="619"/>
      <c r="AT116" s="619"/>
      <c r="AU116" s="619"/>
      <c r="AV116" s="619"/>
      <c r="AW116" s="619"/>
      <c r="AX116" s="619"/>
      <c r="AY116" s="619"/>
      <c r="AZ116" s="619"/>
      <c r="BA116" s="619"/>
      <c r="BB116" s="619"/>
      <c r="BC116" s="412"/>
      <c r="BD116" s="619"/>
      <c r="BE116" s="619"/>
      <c r="BF116" s="619"/>
      <c r="BG116" s="619"/>
      <c r="BH116" s="619"/>
      <c r="BI116" s="619"/>
      <c r="BJ116" s="412"/>
      <c r="BK116" s="619"/>
      <c r="BL116" s="619"/>
      <c r="BM116" s="619"/>
      <c r="BN116" s="619"/>
      <c r="BO116" s="412"/>
      <c r="BP116" s="619"/>
      <c r="BQ116" s="619"/>
      <c r="BR116" s="412"/>
      <c r="BS116" s="412"/>
      <c r="BT116" s="412"/>
    </row>
    <row r="117" spans="4:72" ht="20" customHeight="1">
      <c r="D117" s="412"/>
      <c r="E117" s="412"/>
      <c r="F117" s="412"/>
      <c r="G117" s="412"/>
      <c r="H117" s="412"/>
      <c r="I117" s="412"/>
      <c r="J117" s="412"/>
      <c r="K117" s="412"/>
      <c r="L117" s="412"/>
      <c r="M117" s="412"/>
      <c r="N117" s="412"/>
      <c r="O117" s="412"/>
      <c r="P117" s="412"/>
      <c r="Q117" s="412"/>
      <c r="R117" s="412"/>
      <c r="S117" s="412"/>
      <c r="T117" s="412"/>
      <c r="U117" s="412"/>
      <c r="V117" s="412"/>
      <c r="W117" s="412"/>
      <c r="X117" s="412"/>
      <c r="Y117" s="412"/>
      <c r="Z117" s="412"/>
      <c r="AA117" s="412"/>
      <c r="AB117" s="412"/>
      <c r="AC117" s="412"/>
      <c r="AD117" s="412"/>
      <c r="AE117" s="412"/>
      <c r="AF117" s="412"/>
      <c r="AG117" s="412"/>
      <c r="AH117" s="412"/>
      <c r="AI117" s="412"/>
      <c r="AJ117" s="412"/>
      <c r="AK117" s="412"/>
      <c r="AL117" s="412"/>
      <c r="AM117" s="412"/>
      <c r="AN117" s="619"/>
      <c r="AO117" s="619"/>
      <c r="AP117" s="619"/>
      <c r="AQ117" s="619"/>
      <c r="AR117" s="619"/>
      <c r="AS117" s="619"/>
      <c r="AT117" s="619"/>
      <c r="AU117" s="619"/>
      <c r="AV117" s="619"/>
      <c r="AW117" s="619"/>
      <c r="AX117" s="619"/>
      <c r="AY117" s="619"/>
      <c r="AZ117" s="619"/>
      <c r="BA117" s="619"/>
      <c r="BB117" s="619"/>
      <c r="BC117" s="412"/>
      <c r="BD117" s="619"/>
      <c r="BE117" s="619"/>
      <c r="BF117" s="619"/>
      <c r="BG117" s="619"/>
      <c r="BH117" s="619"/>
      <c r="BI117" s="619"/>
      <c r="BJ117" s="412"/>
      <c r="BK117" s="619"/>
      <c r="BL117" s="619"/>
      <c r="BM117" s="619"/>
      <c r="BN117" s="619"/>
      <c r="BO117" s="412"/>
      <c r="BP117" s="619"/>
      <c r="BQ117" s="619"/>
      <c r="BR117" s="412"/>
      <c r="BS117" s="412"/>
      <c r="BT117" s="412"/>
    </row>
    <row r="118" spans="4:72" ht="20" customHeight="1">
      <c r="D118" s="412"/>
      <c r="E118" s="412"/>
      <c r="F118" s="412"/>
      <c r="G118" s="412"/>
      <c r="H118" s="412"/>
      <c r="I118" s="412"/>
      <c r="J118" s="412"/>
      <c r="K118" s="412"/>
      <c r="L118" s="412"/>
      <c r="M118" s="412"/>
      <c r="N118" s="412"/>
      <c r="O118" s="412"/>
      <c r="P118" s="412"/>
      <c r="Q118" s="412"/>
      <c r="R118" s="412"/>
      <c r="S118" s="412"/>
      <c r="T118" s="412"/>
      <c r="U118" s="412"/>
      <c r="V118" s="412"/>
      <c r="W118" s="412"/>
      <c r="X118" s="412"/>
      <c r="Y118" s="412"/>
      <c r="Z118" s="412"/>
      <c r="AA118" s="412"/>
      <c r="AB118" s="412"/>
      <c r="AC118" s="412"/>
      <c r="AD118" s="412"/>
      <c r="AE118" s="412"/>
      <c r="AF118" s="412"/>
      <c r="AG118" s="412"/>
      <c r="AH118" s="412"/>
      <c r="AI118" s="412"/>
      <c r="AJ118" s="412"/>
      <c r="AK118" s="412"/>
      <c r="AL118" s="412"/>
      <c r="AM118" s="412"/>
      <c r="AN118" s="619"/>
      <c r="AO118" s="619"/>
      <c r="AP118" s="619"/>
      <c r="AQ118" s="619"/>
      <c r="AR118" s="619"/>
      <c r="AS118" s="619"/>
      <c r="AT118" s="619"/>
      <c r="AU118" s="619"/>
      <c r="AV118" s="619"/>
      <c r="AW118" s="619"/>
      <c r="AX118" s="619"/>
      <c r="AY118" s="619"/>
      <c r="AZ118" s="619"/>
      <c r="BA118" s="619"/>
      <c r="BB118" s="619"/>
      <c r="BC118" s="412"/>
      <c r="BD118" s="619"/>
      <c r="BE118" s="619"/>
      <c r="BF118" s="619"/>
      <c r="BG118" s="619"/>
      <c r="BH118" s="619"/>
      <c r="BI118" s="619"/>
      <c r="BJ118" s="412"/>
      <c r="BK118" s="619"/>
      <c r="BL118" s="619"/>
      <c r="BM118" s="619"/>
      <c r="BN118" s="619"/>
      <c r="BO118" s="412"/>
      <c r="BP118" s="619"/>
      <c r="BQ118" s="619"/>
      <c r="BR118" s="412"/>
      <c r="BS118" s="412"/>
      <c r="BT118" s="412"/>
    </row>
    <row r="119" spans="4:72" ht="20" customHeight="1">
      <c r="D119" s="412"/>
      <c r="E119" s="412"/>
      <c r="F119" s="412"/>
      <c r="G119" s="412"/>
      <c r="H119" s="412"/>
      <c r="I119" s="412"/>
      <c r="J119" s="412"/>
      <c r="K119" s="412"/>
      <c r="L119" s="412"/>
      <c r="M119" s="412"/>
      <c r="N119" s="412"/>
      <c r="O119" s="412"/>
      <c r="P119" s="412"/>
      <c r="Q119" s="412"/>
      <c r="R119" s="412"/>
      <c r="S119" s="412"/>
      <c r="T119" s="412"/>
      <c r="U119" s="412"/>
      <c r="V119" s="412"/>
      <c r="W119" s="412"/>
      <c r="X119" s="412"/>
      <c r="Y119" s="412"/>
      <c r="Z119" s="412"/>
      <c r="AA119" s="412"/>
      <c r="AB119" s="412"/>
      <c r="AC119" s="412"/>
      <c r="AD119" s="412"/>
      <c r="AE119" s="412"/>
      <c r="AF119" s="412"/>
      <c r="AG119" s="412"/>
      <c r="AH119" s="412"/>
      <c r="AI119" s="412"/>
      <c r="AJ119" s="412"/>
      <c r="AK119" s="412"/>
      <c r="AL119" s="412"/>
      <c r="AM119" s="412"/>
      <c r="AN119" s="619"/>
      <c r="AO119" s="619"/>
      <c r="AP119" s="619"/>
      <c r="AQ119" s="619"/>
      <c r="AR119" s="619"/>
      <c r="AS119" s="619"/>
      <c r="AT119" s="619"/>
      <c r="AU119" s="619"/>
      <c r="AV119" s="619"/>
      <c r="AW119" s="619"/>
      <c r="AX119" s="619"/>
      <c r="AY119" s="619"/>
      <c r="AZ119" s="619"/>
      <c r="BA119" s="619"/>
      <c r="BB119" s="619"/>
      <c r="BC119" s="412"/>
      <c r="BD119" s="619"/>
      <c r="BE119" s="619"/>
      <c r="BF119" s="619"/>
      <c r="BG119" s="619"/>
      <c r="BH119" s="619"/>
      <c r="BI119" s="619"/>
      <c r="BJ119" s="412"/>
      <c r="BK119" s="619"/>
      <c r="BL119" s="619"/>
      <c r="BM119" s="619"/>
      <c r="BN119" s="619"/>
      <c r="BO119" s="412"/>
      <c r="BP119" s="619"/>
      <c r="BQ119" s="619"/>
      <c r="BR119" s="412"/>
      <c r="BS119" s="412"/>
      <c r="BT119" s="412"/>
    </row>
    <row r="120" spans="4:72" ht="20" customHeight="1">
      <c r="D120" s="412"/>
      <c r="E120" s="412"/>
      <c r="F120" s="412"/>
      <c r="G120" s="412"/>
      <c r="H120" s="412"/>
      <c r="I120" s="412"/>
      <c r="J120" s="412"/>
      <c r="K120" s="412"/>
      <c r="L120" s="412"/>
      <c r="M120" s="412"/>
      <c r="N120" s="412"/>
      <c r="O120" s="412"/>
      <c r="P120" s="412"/>
      <c r="Q120" s="412"/>
      <c r="R120" s="412"/>
      <c r="S120" s="412"/>
      <c r="T120" s="412"/>
      <c r="U120" s="412"/>
      <c r="V120" s="412"/>
      <c r="W120" s="412"/>
      <c r="X120" s="412"/>
      <c r="Y120" s="412"/>
      <c r="Z120" s="412"/>
      <c r="AA120" s="412"/>
      <c r="AB120" s="412"/>
      <c r="AC120" s="412"/>
      <c r="AD120" s="412"/>
      <c r="AE120" s="412"/>
      <c r="AF120" s="412"/>
      <c r="AG120" s="412"/>
      <c r="AH120" s="412"/>
      <c r="AI120" s="412"/>
      <c r="AJ120" s="412"/>
      <c r="AK120" s="412"/>
      <c r="AL120" s="412"/>
      <c r="AM120" s="412"/>
      <c r="AN120" s="619"/>
      <c r="AO120" s="619"/>
      <c r="AP120" s="619"/>
      <c r="AQ120" s="619"/>
      <c r="AR120" s="619"/>
      <c r="AS120" s="619"/>
      <c r="AT120" s="619"/>
      <c r="AU120" s="619"/>
      <c r="AV120" s="619"/>
      <c r="AW120" s="619"/>
      <c r="AX120" s="619"/>
      <c r="AY120" s="619"/>
      <c r="AZ120" s="619"/>
      <c r="BA120" s="619"/>
      <c r="BB120" s="619"/>
      <c r="BC120" s="412"/>
      <c r="BD120" s="619"/>
      <c r="BE120" s="619"/>
      <c r="BF120" s="619"/>
      <c r="BG120" s="619"/>
      <c r="BH120" s="619"/>
      <c r="BI120" s="619"/>
      <c r="BJ120" s="412"/>
      <c r="BK120" s="619"/>
      <c r="BL120" s="619"/>
      <c r="BM120" s="619"/>
      <c r="BN120" s="619"/>
      <c r="BO120" s="412"/>
      <c r="BP120" s="619"/>
      <c r="BQ120" s="619"/>
      <c r="BR120" s="412"/>
      <c r="BS120" s="412"/>
      <c r="BT120" s="412"/>
    </row>
    <row r="121" spans="4:72" ht="20" customHeight="1">
      <c r="D121" s="412"/>
      <c r="E121" s="412"/>
      <c r="F121" s="412"/>
      <c r="G121" s="412"/>
      <c r="H121" s="412"/>
      <c r="I121" s="412"/>
      <c r="J121" s="412"/>
      <c r="K121" s="412"/>
      <c r="L121" s="412"/>
      <c r="M121" s="412"/>
      <c r="N121" s="412"/>
      <c r="O121" s="412"/>
      <c r="P121" s="412"/>
      <c r="Q121" s="412"/>
      <c r="R121" s="412"/>
      <c r="S121" s="412"/>
      <c r="T121" s="412"/>
      <c r="U121" s="412"/>
      <c r="V121" s="412"/>
      <c r="W121" s="412"/>
      <c r="X121" s="412"/>
      <c r="Y121" s="412"/>
      <c r="Z121" s="412"/>
      <c r="AA121" s="412"/>
      <c r="AB121" s="412"/>
      <c r="AC121" s="412"/>
      <c r="AD121" s="412"/>
      <c r="AE121" s="412"/>
      <c r="AF121" s="412"/>
      <c r="AG121" s="412"/>
      <c r="AH121" s="412"/>
      <c r="AI121" s="412"/>
      <c r="AJ121" s="412"/>
      <c r="AK121" s="412"/>
      <c r="AL121" s="412"/>
      <c r="AM121" s="412"/>
      <c r="AN121" s="619"/>
      <c r="AO121" s="619"/>
      <c r="AP121" s="619"/>
      <c r="AQ121" s="619"/>
      <c r="AR121" s="619"/>
      <c r="AS121" s="619"/>
      <c r="AT121" s="619"/>
      <c r="AU121" s="619"/>
      <c r="AV121" s="619"/>
      <c r="AW121" s="619"/>
      <c r="AX121" s="619"/>
      <c r="AY121" s="619"/>
      <c r="AZ121" s="619"/>
      <c r="BA121" s="619"/>
      <c r="BB121" s="619"/>
      <c r="BC121" s="412"/>
      <c r="BD121" s="619"/>
      <c r="BE121" s="619"/>
      <c r="BF121" s="619"/>
      <c r="BG121" s="619"/>
      <c r="BH121" s="619"/>
      <c r="BI121" s="619"/>
      <c r="BJ121" s="412"/>
      <c r="BK121" s="619"/>
      <c r="BL121" s="619"/>
      <c r="BM121" s="619"/>
      <c r="BN121" s="619"/>
      <c r="BO121" s="412"/>
      <c r="BP121" s="619"/>
      <c r="BQ121" s="619"/>
      <c r="BR121" s="412"/>
      <c r="BS121" s="412"/>
      <c r="BT121" s="412"/>
    </row>
    <row r="122" spans="4:72" ht="20" customHeight="1">
      <c r="D122" s="412"/>
      <c r="E122" s="412"/>
      <c r="F122" s="412"/>
      <c r="G122" s="412"/>
      <c r="H122" s="412"/>
      <c r="I122" s="412"/>
      <c r="J122" s="412"/>
      <c r="K122" s="412"/>
      <c r="L122" s="412"/>
      <c r="M122" s="412"/>
      <c r="N122" s="412"/>
      <c r="O122" s="412"/>
      <c r="P122" s="412"/>
      <c r="Q122" s="412"/>
      <c r="R122" s="412"/>
      <c r="S122" s="412"/>
      <c r="T122" s="412"/>
      <c r="U122" s="412"/>
      <c r="V122" s="412"/>
      <c r="W122" s="412"/>
      <c r="X122" s="412"/>
      <c r="Y122" s="412"/>
      <c r="Z122" s="412"/>
      <c r="AA122" s="412"/>
      <c r="AB122" s="412"/>
      <c r="AC122" s="412"/>
      <c r="AD122" s="412"/>
      <c r="AE122" s="412"/>
      <c r="AF122" s="412"/>
      <c r="AG122" s="412"/>
      <c r="AH122" s="412"/>
      <c r="AI122" s="412"/>
      <c r="AJ122" s="412"/>
      <c r="AK122" s="412"/>
      <c r="AL122" s="412"/>
      <c r="AM122" s="412"/>
      <c r="AN122" s="619"/>
      <c r="AO122" s="619"/>
      <c r="AP122" s="619"/>
      <c r="AQ122" s="619"/>
      <c r="AR122" s="619"/>
      <c r="AS122" s="619"/>
      <c r="AT122" s="619"/>
      <c r="AU122" s="619"/>
      <c r="AV122" s="619"/>
      <c r="AW122" s="619"/>
      <c r="AX122" s="619"/>
      <c r="AY122" s="619"/>
      <c r="AZ122" s="619"/>
      <c r="BA122" s="619"/>
      <c r="BB122" s="619"/>
      <c r="BC122" s="412"/>
      <c r="BD122" s="619"/>
      <c r="BE122" s="619"/>
      <c r="BF122" s="619"/>
      <c r="BG122" s="619"/>
      <c r="BH122" s="619"/>
      <c r="BI122" s="619"/>
      <c r="BJ122" s="412"/>
      <c r="BK122" s="619"/>
      <c r="BL122" s="619"/>
      <c r="BM122" s="619"/>
      <c r="BN122" s="619"/>
      <c r="BO122" s="412"/>
      <c r="BP122" s="619"/>
      <c r="BQ122" s="619"/>
      <c r="BR122" s="412"/>
      <c r="BS122" s="412"/>
      <c r="BT122" s="412"/>
    </row>
    <row r="123" spans="4:72" ht="20" customHeight="1">
      <c r="D123" s="412"/>
      <c r="E123" s="412"/>
      <c r="F123" s="412"/>
      <c r="G123" s="412"/>
      <c r="H123" s="412"/>
      <c r="I123" s="412"/>
      <c r="J123" s="412"/>
      <c r="K123" s="412"/>
      <c r="L123" s="412"/>
      <c r="M123" s="412"/>
      <c r="N123" s="412"/>
      <c r="O123" s="412"/>
      <c r="P123" s="412"/>
      <c r="Q123" s="412"/>
      <c r="R123" s="412"/>
      <c r="S123" s="412"/>
      <c r="T123" s="412"/>
      <c r="U123" s="412"/>
      <c r="V123" s="412"/>
      <c r="W123" s="412"/>
      <c r="X123" s="412"/>
      <c r="Y123" s="412"/>
      <c r="Z123" s="412"/>
      <c r="AA123" s="412"/>
      <c r="AB123" s="412"/>
      <c r="AC123" s="412"/>
      <c r="AD123" s="412"/>
      <c r="AE123" s="412"/>
      <c r="AF123" s="412"/>
      <c r="AG123" s="412"/>
      <c r="AH123" s="412"/>
      <c r="AI123" s="412"/>
      <c r="AJ123" s="412"/>
      <c r="AK123" s="412"/>
      <c r="AL123" s="412"/>
      <c r="AM123" s="412"/>
      <c r="AN123" s="619"/>
      <c r="AO123" s="619"/>
      <c r="AP123" s="619"/>
      <c r="AQ123" s="619"/>
      <c r="AR123" s="619"/>
      <c r="AS123" s="619"/>
      <c r="AT123" s="619"/>
      <c r="AU123" s="619"/>
      <c r="AV123" s="619"/>
      <c r="AW123" s="619"/>
      <c r="AX123" s="619"/>
      <c r="AY123" s="619"/>
      <c r="AZ123" s="619"/>
      <c r="BA123" s="619"/>
      <c r="BB123" s="619"/>
      <c r="BC123" s="412"/>
      <c r="BD123" s="619"/>
      <c r="BE123" s="619"/>
      <c r="BF123" s="619"/>
      <c r="BG123" s="619"/>
      <c r="BH123" s="619"/>
      <c r="BI123" s="619"/>
      <c r="BJ123" s="412"/>
      <c r="BK123" s="619"/>
      <c r="BL123" s="619"/>
      <c r="BM123" s="619"/>
      <c r="BN123" s="619"/>
      <c r="BO123" s="412"/>
      <c r="BP123" s="619"/>
      <c r="BQ123" s="619"/>
      <c r="BR123" s="412"/>
      <c r="BS123" s="412"/>
      <c r="BT123" s="412"/>
    </row>
    <row r="124" spans="4:72" ht="20" customHeight="1">
      <c r="D124" s="412"/>
      <c r="E124" s="412"/>
      <c r="F124" s="412"/>
      <c r="G124" s="412"/>
      <c r="H124" s="412"/>
      <c r="I124" s="412"/>
      <c r="J124" s="412"/>
      <c r="K124" s="412"/>
      <c r="L124" s="412"/>
      <c r="M124" s="412"/>
      <c r="N124" s="412"/>
      <c r="O124" s="412"/>
      <c r="P124" s="412"/>
      <c r="Q124" s="412"/>
      <c r="R124" s="412"/>
      <c r="S124" s="412"/>
      <c r="T124" s="412"/>
      <c r="U124" s="412"/>
      <c r="V124" s="412"/>
      <c r="W124" s="412"/>
      <c r="X124" s="412"/>
      <c r="Y124" s="412"/>
      <c r="Z124" s="412"/>
      <c r="AA124" s="412"/>
      <c r="AB124" s="412"/>
      <c r="AC124" s="412"/>
      <c r="AD124" s="412"/>
      <c r="AE124" s="412"/>
      <c r="AF124" s="412"/>
      <c r="AG124" s="412"/>
      <c r="AH124" s="412"/>
      <c r="AI124" s="412"/>
      <c r="AJ124" s="412"/>
      <c r="AK124" s="412"/>
      <c r="AL124" s="412"/>
      <c r="AM124" s="412"/>
      <c r="AN124" s="619"/>
      <c r="AO124" s="619"/>
      <c r="AP124" s="619"/>
      <c r="AQ124" s="619"/>
      <c r="AR124" s="619"/>
      <c r="AS124" s="619"/>
      <c r="AT124" s="619"/>
      <c r="AU124" s="619"/>
      <c r="AV124" s="619"/>
      <c r="AW124" s="619"/>
      <c r="AX124" s="619"/>
      <c r="AY124" s="619"/>
      <c r="AZ124" s="619"/>
      <c r="BA124" s="619"/>
      <c r="BB124" s="619"/>
      <c r="BC124" s="412"/>
      <c r="BD124" s="619"/>
      <c r="BE124" s="619"/>
      <c r="BF124" s="619"/>
      <c r="BG124" s="619"/>
      <c r="BH124" s="619"/>
      <c r="BI124" s="619"/>
      <c r="BJ124" s="412"/>
      <c r="BK124" s="619"/>
      <c r="BL124" s="619"/>
      <c r="BM124" s="619"/>
      <c r="BN124" s="619"/>
      <c r="BO124" s="412"/>
      <c r="BP124" s="619"/>
      <c r="BQ124" s="619"/>
      <c r="BR124" s="412"/>
      <c r="BS124" s="412"/>
      <c r="BT124" s="412"/>
    </row>
    <row r="125" spans="4:72" ht="20" customHeight="1">
      <c r="D125" s="412"/>
      <c r="E125" s="412"/>
      <c r="F125" s="412"/>
      <c r="G125" s="412"/>
      <c r="H125" s="412"/>
      <c r="I125" s="412"/>
      <c r="J125" s="412"/>
      <c r="K125" s="412"/>
      <c r="L125" s="412"/>
      <c r="M125" s="412"/>
      <c r="N125" s="412"/>
      <c r="O125" s="412"/>
      <c r="P125" s="412"/>
      <c r="Q125" s="412"/>
      <c r="R125" s="412"/>
      <c r="S125" s="412"/>
      <c r="T125" s="412"/>
      <c r="U125" s="412"/>
      <c r="V125" s="412"/>
      <c r="W125" s="412"/>
      <c r="X125" s="412"/>
      <c r="Y125" s="412"/>
      <c r="Z125" s="412"/>
      <c r="AA125" s="412"/>
      <c r="AB125" s="412"/>
      <c r="AC125" s="412"/>
      <c r="AD125" s="412"/>
      <c r="AE125" s="412"/>
      <c r="AF125" s="412"/>
      <c r="AG125" s="412"/>
      <c r="AH125" s="412"/>
      <c r="AI125" s="412"/>
      <c r="AJ125" s="412"/>
      <c r="AK125" s="412"/>
      <c r="AL125" s="412"/>
      <c r="AM125" s="412"/>
      <c r="AN125" s="619"/>
      <c r="AO125" s="619"/>
      <c r="AP125" s="619"/>
      <c r="AQ125" s="619"/>
      <c r="AR125" s="619"/>
      <c r="AS125" s="619"/>
      <c r="AT125" s="619"/>
      <c r="AU125" s="619"/>
      <c r="AV125" s="619"/>
      <c r="AW125" s="619"/>
      <c r="AX125" s="619"/>
      <c r="AY125" s="619"/>
      <c r="AZ125" s="619"/>
      <c r="BA125" s="619"/>
      <c r="BB125" s="619"/>
      <c r="BC125" s="412"/>
      <c r="BD125" s="619"/>
      <c r="BE125" s="619"/>
      <c r="BF125" s="619"/>
      <c r="BG125" s="619"/>
      <c r="BH125" s="619"/>
      <c r="BI125" s="619"/>
      <c r="BJ125" s="412"/>
      <c r="BK125" s="619"/>
      <c r="BL125" s="619"/>
      <c r="BM125" s="619"/>
      <c r="BN125" s="619"/>
      <c r="BO125" s="412"/>
      <c r="BP125" s="619"/>
      <c r="BQ125" s="619"/>
      <c r="BR125" s="412"/>
      <c r="BS125" s="412"/>
      <c r="BT125" s="412"/>
    </row>
    <row r="126" spans="4:72" ht="20" customHeight="1">
      <c r="D126" s="412"/>
      <c r="E126" s="412"/>
      <c r="F126" s="412"/>
      <c r="G126" s="412"/>
      <c r="H126" s="412"/>
      <c r="I126" s="412"/>
      <c r="J126" s="412"/>
      <c r="K126" s="412"/>
      <c r="L126" s="412"/>
      <c r="M126" s="412"/>
      <c r="N126" s="412"/>
      <c r="O126" s="412"/>
      <c r="P126" s="412"/>
      <c r="Q126" s="412"/>
      <c r="R126" s="412"/>
      <c r="S126" s="412"/>
      <c r="T126" s="412"/>
      <c r="U126" s="412"/>
      <c r="V126" s="412"/>
      <c r="W126" s="412"/>
      <c r="X126" s="412"/>
      <c r="Y126" s="412"/>
      <c r="Z126" s="412"/>
      <c r="AA126" s="412"/>
      <c r="AB126" s="412"/>
      <c r="AC126" s="412"/>
      <c r="AD126" s="412"/>
      <c r="AE126" s="412"/>
      <c r="AF126" s="412"/>
      <c r="AG126" s="412"/>
      <c r="AH126" s="412"/>
      <c r="AI126" s="412"/>
      <c r="AJ126" s="412"/>
      <c r="AK126" s="412"/>
      <c r="AL126" s="412"/>
      <c r="AM126" s="412"/>
      <c r="AN126" s="619"/>
      <c r="AO126" s="619"/>
      <c r="AP126" s="619"/>
      <c r="AQ126" s="619"/>
      <c r="AR126" s="619"/>
      <c r="AS126" s="619"/>
      <c r="AT126" s="619"/>
      <c r="AU126" s="619"/>
      <c r="AV126" s="619"/>
      <c r="AW126" s="619"/>
      <c r="AX126" s="619"/>
      <c r="AY126" s="619"/>
      <c r="AZ126" s="619"/>
      <c r="BA126" s="619"/>
      <c r="BB126" s="619"/>
      <c r="BC126" s="412"/>
      <c r="BD126" s="619"/>
      <c r="BE126" s="619"/>
      <c r="BF126" s="619"/>
      <c r="BG126" s="619"/>
      <c r="BH126" s="619"/>
      <c r="BI126" s="619"/>
      <c r="BJ126" s="412"/>
      <c r="BK126" s="619"/>
      <c r="BL126" s="619"/>
      <c r="BM126" s="619"/>
      <c r="BN126" s="619"/>
      <c r="BO126" s="412"/>
      <c r="BP126" s="619"/>
      <c r="BQ126" s="619"/>
      <c r="BR126" s="412"/>
      <c r="BS126" s="412"/>
      <c r="BT126" s="412"/>
    </row>
    <row r="127" spans="4:72" ht="20" customHeight="1">
      <c r="D127" s="412"/>
      <c r="E127" s="412"/>
      <c r="F127" s="412"/>
      <c r="G127" s="412"/>
      <c r="H127" s="412"/>
      <c r="I127" s="412"/>
      <c r="J127" s="412"/>
      <c r="K127" s="412"/>
      <c r="L127" s="412"/>
      <c r="M127" s="412"/>
      <c r="N127" s="412"/>
      <c r="O127" s="412"/>
      <c r="P127" s="412"/>
      <c r="Q127" s="412"/>
      <c r="R127" s="412"/>
      <c r="S127" s="412"/>
      <c r="T127" s="412"/>
      <c r="U127" s="412"/>
      <c r="V127" s="412"/>
      <c r="W127" s="412"/>
      <c r="X127" s="412"/>
      <c r="Y127" s="412"/>
      <c r="Z127" s="412"/>
      <c r="AA127" s="412"/>
      <c r="AB127" s="412"/>
      <c r="AC127" s="412"/>
      <c r="AD127" s="412"/>
      <c r="AE127" s="412"/>
      <c r="AF127" s="412"/>
      <c r="AG127" s="412"/>
      <c r="AH127" s="412"/>
      <c r="AI127" s="412"/>
      <c r="AJ127" s="412"/>
      <c r="AK127" s="412"/>
      <c r="AL127" s="412"/>
      <c r="AM127" s="412"/>
      <c r="AN127" s="619"/>
      <c r="AO127" s="619"/>
      <c r="AP127" s="619"/>
      <c r="AQ127" s="619"/>
      <c r="AR127" s="619"/>
      <c r="AS127" s="619"/>
      <c r="AT127" s="619"/>
      <c r="AU127" s="619"/>
      <c r="AV127" s="619"/>
      <c r="AW127" s="619"/>
      <c r="AX127" s="619"/>
      <c r="AY127" s="619"/>
      <c r="AZ127" s="619"/>
      <c r="BA127" s="619"/>
      <c r="BB127" s="619"/>
      <c r="BC127" s="412"/>
      <c r="BD127" s="619"/>
      <c r="BE127" s="619"/>
      <c r="BF127" s="619"/>
      <c r="BG127" s="619"/>
      <c r="BH127" s="619"/>
      <c r="BI127" s="619"/>
      <c r="BJ127" s="412"/>
      <c r="BK127" s="619"/>
      <c r="BL127" s="619"/>
      <c r="BM127" s="619"/>
      <c r="BN127" s="619"/>
      <c r="BO127" s="412"/>
      <c r="BP127" s="619"/>
      <c r="BQ127" s="619"/>
      <c r="BR127" s="412"/>
      <c r="BS127" s="412"/>
      <c r="BT127" s="412"/>
    </row>
    <row r="128" spans="4:72" ht="20" customHeight="1">
      <c r="D128" s="412"/>
      <c r="E128" s="412"/>
      <c r="F128" s="412"/>
      <c r="G128" s="412"/>
      <c r="H128" s="412"/>
      <c r="I128" s="412"/>
      <c r="J128" s="412"/>
      <c r="K128" s="412"/>
      <c r="L128" s="412"/>
      <c r="M128" s="412"/>
      <c r="N128" s="412"/>
      <c r="O128" s="412"/>
      <c r="P128" s="412"/>
      <c r="Q128" s="412"/>
      <c r="R128" s="412"/>
      <c r="S128" s="412"/>
      <c r="T128" s="412"/>
      <c r="U128" s="412"/>
      <c r="V128" s="412"/>
      <c r="W128" s="412"/>
      <c r="X128" s="412"/>
      <c r="Y128" s="412"/>
      <c r="Z128" s="412"/>
      <c r="AA128" s="412"/>
      <c r="AB128" s="412"/>
      <c r="AC128" s="412"/>
      <c r="AD128" s="412"/>
      <c r="AE128" s="412"/>
      <c r="AF128" s="412"/>
      <c r="AG128" s="412"/>
      <c r="AH128" s="412"/>
      <c r="AI128" s="412"/>
      <c r="AJ128" s="412"/>
      <c r="AK128" s="412"/>
      <c r="AL128" s="412"/>
      <c r="AM128" s="412"/>
      <c r="AN128" s="619"/>
      <c r="AO128" s="619"/>
      <c r="AP128" s="619"/>
      <c r="AQ128" s="619"/>
      <c r="AR128" s="619"/>
      <c r="AS128" s="619"/>
      <c r="AT128" s="619"/>
      <c r="AU128" s="619"/>
      <c r="AV128" s="619"/>
      <c r="AW128" s="619"/>
      <c r="AX128" s="619"/>
      <c r="AY128" s="619"/>
      <c r="AZ128" s="619"/>
      <c r="BA128" s="619"/>
      <c r="BB128" s="619"/>
      <c r="BC128" s="412"/>
      <c r="BD128" s="619"/>
      <c r="BE128" s="619"/>
      <c r="BF128" s="619"/>
      <c r="BG128" s="619"/>
      <c r="BH128" s="619"/>
      <c r="BI128" s="619"/>
      <c r="BJ128" s="412"/>
      <c r="BK128" s="619"/>
      <c r="BL128" s="619"/>
      <c r="BM128" s="619"/>
      <c r="BN128" s="619"/>
      <c r="BO128" s="412"/>
      <c r="BP128" s="619"/>
      <c r="BQ128" s="619"/>
      <c r="BR128" s="412"/>
      <c r="BS128" s="412"/>
      <c r="BT128" s="412"/>
    </row>
    <row r="129" spans="4:72" ht="20" customHeight="1">
      <c r="D129" s="412"/>
      <c r="E129" s="412"/>
      <c r="F129" s="412"/>
      <c r="G129" s="412"/>
      <c r="H129" s="412"/>
      <c r="I129" s="412"/>
      <c r="J129" s="412"/>
      <c r="K129" s="412"/>
      <c r="L129" s="412"/>
      <c r="M129" s="412"/>
      <c r="N129" s="412"/>
      <c r="O129" s="412"/>
      <c r="P129" s="412"/>
      <c r="Q129" s="412"/>
      <c r="R129" s="412"/>
      <c r="S129" s="412"/>
      <c r="T129" s="412"/>
      <c r="U129" s="412"/>
      <c r="V129" s="412"/>
      <c r="W129" s="412"/>
      <c r="X129" s="412"/>
      <c r="Y129" s="412"/>
      <c r="Z129" s="412"/>
      <c r="AA129" s="412"/>
      <c r="AB129" s="412"/>
      <c r="AC129" s="412"/>
      <c r="AD129" s="412"/>
      <c r="AE129" s="412"/>
      <c r="AF129" s="412"/>
      <c r="AG129" s="412"/>
      <c r="AH129" s="412"/>
      <c r="AI129" s="412"/>
      <c r="AJ129" s="412"/>
      <c r="AK129" s="412"/>
      <c r="AL129" s="412"/>
      <c r="AM129" s="412"/>
      <c r="AN129" s="619"/>
      <c r="AO129" s="619"/>
      <c r="AP129" s="619"/>
      <c r="AQ129" s="619"/>
      <c r="AR129" s="619"/>
      <c r="AS129" s="619"/>
      <c r="AT129" s="619"/>
      <c r="AU129" s="619"/>
      <c r="AV129" s="619"/>
      <c r="AW129" s="619"/>
      <c r="AX129" s="619"/>
      <c r="AY129" s="619"/>
      <c r="AZ129" s="619"/>
      <c r="BA129" s="619"/>
      <c r="BB129" s="619"/>
      <c r="BC129" s="412"/>
      <c r="BD129" s="619"/>
      <c r="BE129" s="619"/>
      <c r="BF129" s="619"/>
      <c r="BG129" s="619"/>
      <c r="BH129" s="619"/>
      <c r="BI129" s="619"/>
      <c r="BJ129" s="412"/>
      <c r="BK129" s="619"/>
      <c r="BL129" s="619"/>
      <c r="BM129" s="619"/>
      <c r="BN129" s="619"/>
      <c r="BO129" s="412"/>
      <c r="BP129" s="619"/>
      <c r="BQ129" s="619"/>
      <c r="BR129" s="412"/>
      <c r="BS129" s="412"/>
      <c r="BT129" s="412"/>
    </row>
    <row r="130" spans="4:72" ht="20" customHeight="1">
      <c r="D130" s="412"/>
      <c r="E130" s="412"/>
      <c r="F130" s="412"/>
      <c r="G130" s="412"/>
      <c r="H130" s="412"/>
      <c r="I130" s="412"/>
      <c r="J130" s="412"/>
      <c r="K130" s="412"/>
      <c r="L130" s="412"/>
      <c r="M130" s="412"/>
      <c r="N130" s="412"/>
      <c r="O130" s="412"/>
      <c r="P130" s="412"/>
      <c r="Q130" s="412"/>
      <c r="R130" s="412"/>
      <c r="S130" s="412"/>
      <c r="T130" s="412"/>
      <c r="U130" s="412"/>
      <c r="V130" s="412"/>
      <c r="W130" s="412"/>
      <c r="X130" s="412"/>
      <c r="Y130" s="412"/>
      <c r="Z130" s="412"/>
      <c r="AA130" s="412"/>
      <c r="AB130" s="412"/>
      <c r="AC130" s="412"/>
      <c r="AD130" s="412"/>
      <c r="AE130" s="412"/>
      <c r="AF130" s="412"/>
      <c r="AG130" s="412"/>
      <c r="AH130" s="412"/>
      <c r="AI130" s="412"/>
      <c r="AJ130" s="412"/>
      <c r="AK130" s="412"/>
      <c r="AL130" s="412"/>
      <c r="AM130" s="412"/>
      <c r="AN130" s="619"/>
      <c r="AO130" s="619"/>
      <c r="AP130" s="619"/>
      <c r="AQ130" s="619"/>
      <c r="AR130" s="619"/>
      <c r="AS130" s="619"/>
      <c r="AT130" s="619"/>
      <c r="AU130" s="619"/>
      <c r="AV130" s="619"/>
      <c r="AW130" s="619"/>
      <c r="AX130" s="619"/>
      <c r="AY130" s="619"/>
      <c r="AZ130" s="619"/>
      <c r="BA130" s="619"/>
      <c r="BB130" s="619"/>
      <c r="BC130" s="412"/>
      <c r="BD130" s="619"/>
      <c r="BE130" s="619"/>
      <c r="BF130" s="619"/>
      <c r="BG130" s="619"/>
      <c r="BH130" s="619"/>
      <c r="BI130" s="619"/>
      <c r="BJ130" s="412"/>
      <c r="BK130" s="619"/>
      <c r="BL130" s="619"/>
      <c r="BM130" s="619"/>
      <c r="BN130" s="619"/>
      <c r="BO130" s="412"/>
      <c r="BP130" s="619"/>
      <c r="BQ130" s="619"/>
      <c r="BR130" s="412"/>
      <c r="BS130" s="412"/>
      <c r="BT130" s="412"/>
    </row>
    <row r="131" spans="4:72" ht="20" customHeight="1">
      <c r="D131" s="412"/>
      <c r="E131" s="412"/>
      <c r="F131" s="412"/>
      <c r="G131" s="412"/>
      <c r="H131" s="412"/>
      <c r="I131" s="412"/>
      <c r="J131" s="412"/>
      <c r="K131" s="412"/>
      <c r="L131" s="412"/>
      <c r="M131" s="412"/>
      <c r="N131" s="412"/>
      <c r="O131" s="412"/>
      <c r="P131" s="412"/>
      <c r="Q131" s="412"/>
      <c r="R131" s="412"/>
      <c r="S131" s="412"/>
      <c r="T131" s="412"/>
      <c r="U131" s="412"/>
      <c r="V131" s="412"/>
      <c r="W131" s="412"/>
      <c r="X131" s="412"/>
      <c r="Y131" s="412"/>
      <c r="Z131" s="412"/>
      <c r="AA131" s="412"/>
      <c r="AB131" s="412"/>
      <c r="AC131" s="412"/>
      <c r="AD131" s="412"/>
      <c r="AE131" s="412"/>
      <c r="AF131" s="412"/>
      <c r="AG131" s="412"/>
      <c r="AH131" s="412"/>
      <c r="AI131" s="412"/>
      <c r="AJ131" s="412"/>
      <c r="AK131" s="412"/>
      <c r="AL131" s="412"/>
      <c r="AM131" s="412"/>
      <c r="AN131" s="619"/>
      <c r="AO131" s="619"/>
      <c r="AP131" s="619"/>
      <c r="AQ131" s="619"/>
      <c r="AR131" s="619"/>
      <c r="AS131" s="619"/>
      <c r="AT131" s="619"/>
      <c r="AU131" s="619"/>
      <c r="AV131" s="619"/>
      <c r="AW131" s="619"/>
      <c r="AX131" s="619"/>
      <c r="AY131" s="619"/>
      <c r="AZ131" s="619"/>
      <c r="BA131" s="619"/>
      <c r="BB131" s="619"/>
      <c r="BC131" s="412"/>
      <c r="BD131" s="619"/>
      <c r="BE131" s="619"/>
      <c r="BF131" s="619"/>
      <c r="BG131" s="619"/>
      <c r="BH131" s="619"/>
      <c r="BI131" s="619"/>
      <c r="BJ131" s="412"/>
      <c r="BK131" s="619"/>
      <c r="BL131" s="619"/>
      <c r="BM131" s="619"/>
      <c r="BN131" s="619"/>
      <c r="BO131" s="412"/>
      <c r="BP131" s="619"/>
      <c r="BQ131" s="619"/>
      <c r="BR131" s="412"/>
      <c r="BS131" s="412"/>
      <c r="BT131" s="412"/>
    </row>
    <row r="132" spans="4:72" ht="20" customHeight="1">
      <c r="D132" s="412"/>
      <c r="E132" s="412"/>
      <c r="F132" s="412"/>
      <c r="G132" s="412"/>
      <c r="H132" s="412"/>
      <c r="I132" s="412"/>
      <c r="J132" s="412"/>
      <c r="K132" s="412"/>
      <c r="L132" s="412"/>
      <c r="M132" s="412"/>
      <c r="N132" s="412"/>
      <c r="O132" s="412"/>
      <c r="P132" s="412"/>
      <c r="Q132" s="412"/>
      <c r="R132" s="412"/>
      <c r="S132" s="412"/>
      <c r="T132" s="412"/>
      <c r="U132" s="412"/>
      <c r="V132" s="412"/>
      <c r="W132" s="412"/>
      <c r="X132" s="412"/>
      <c r="Y132" s="412"/>
      <c r="Z132" s="412"/>
      <c r="AA132" s="412"/>
      <c r="AB132" s="412"/>
      <c r="AC132" s="412"/>
      <c r="AD132" s="412"/>
      <c r="AE132" s="412"/>
      <c r="AF132" s="412"/>
      <c r="AG132" s="412"/>
      <c r="AH132" s="412"/>
      <c r="AI132" s="412"/>
      <c r="AJ132" s="412"/>
      <c r="AK132" s="412"/>
      <c r="AL132" s="412"/>
      <c r="AM132" s="412"/>
      <c r="AN132" s="619"/>
      <c r="AO132" s="619"/>
      <c r="AP132" s="619"/>
      <c r="AQ132" s="619"/>
      <c r="AR132" s="619"/>
      <c r="AS132" s="619"/>
      <c r="AT132" s="619"/>
      <c r="AU132" s="619"/>
      <c r="AV132" s="619"/>
      <c r="AW132" s="619"/>
      <c r="AX132" s="619"/>
      <c r="AY132" s="619"/>
      <c r="AZ132" s="619"/>
      <c r="BA132" s="619"/>
      <c r="BB132" s="619"/>
      <c r="BC132" s="412"/>
      <c r="BD132" s="619"/>
      <c r="BE132" s="619"/>
      <c r="BF132" s="619"/>
      <c r="BG132" s="619"/>
      <c r="BH132" s="619"/>
      <c r="BI132" s="619"/>
      <c r="BJ132" s="412"/>
      <c r="BK132" s="619"/>
      <c r="BL132" s="619"/>
      <c r="BM132" s="619"/>
      <c r="BN132" s="619"/>
      <c r="BO132" s="412"/>
      <c r="BP132" s="619"/>
      <c r="BQ132" s="619"/>
      <c r="BR132" s="412"/>
      <c r="BS132" s="412"/>
      <c r="BT132" s="412"/>
    </row>
    <row r="133" spans="4:72" ht="20" customHeight="1">
      <c r="D133" s="412"/>
      <c r="E133" s="412"/>
      <c r="F133" s="412"/>
      <c r="G133" s="412"/>
      <c r="H133" s="412"/>
      <c r="I133" s="412"/>
      <c r="J133" s="412"/>
      <c r="K133" s="412"/>
      <c r="L133" s="412"/>
      <c r="M133" s="412"/>
      <c r="N133" s="412"/>
      <c r="O133" s="412"/>
      <c r="P133" s="412"/>
      <c r="Q133" s="412"/>
      <c r="R133" s="412"/>
      <c r="S133" s="412"/>
      <c r="T133" s="412"/>
      <c r="U133" s="412"/>
      <c r="V133" s="412"/>
      <c r="W133" s="412"/>
      <c r="X133" s="412"/>
      <c r="Y133" s="412"/>
      <c r="Z133" s="412"/>
      <c r="AA133" s="412"/>
      <c r="AB133" s="412"/>
      <c r="AC133" s="412"/>
      <c r="AD133" s="412"/>
      <c r="AE133" s="412"/>
      <c r="AF133" s="412"/>
      <c r="AG133" s="412"/>
      <c r="AH133" s="412"/>
      <c r="AI133" s="412"/>
      <c r="AJ133" s="412"/>
      <c r="AK133" s="412"/>
      <c r="AL133" s="412"/>
      <c r="AM133" s="412"/>
      <c r="AN133" s="619"/>
      <c r="AO133" s="619"/>
      <c r="AP133" s="619"/>
      <c r="AQ133" s="619"/>
      <c r="AR133" s="619"/>
      <c r="AS133" s="619"/>
      <c r="AT133" s="619"/>
      <c r="AU133" s="619"/>
      <c r="AV133" s="619"/>
      <c r="AW133" s="619"/>
      <c r="AX133" s="619"/>
      <c r="AY133" s="619"/>
      <c r="AZ133" s="619"/>
      <c r="BA133" s="619"/>
      <c r="BB133" s="619"/>
      <c r="BC133" s="412"/>
      <c r="BD133" s="619"/>
      <c r="BE133" s="619"/>
      <c r="BF133" s="619"/>
      <c r="BG133" s="619"/>
      <c r="BH133" s="619"/>
      <c r="BI133" s="619"/>
      <c r="BJ133" s="412"/>
      <c r="BK133" s="619"/>
      <c r="BL133" s="619"/>
      <c r="BM133" s="619"/>
      <c r="BN133" s="619"/>
      <c r="BO133" s="412"/>
      <c r="BP133" s="619"/>
      <c r="BQ133" s="619"/>
      <c r="BR133" s="412"/>
      <c r="BS133" s="412"/>
      <c r="BT133" s="412"/>
    </row>
    <row r="134" spans="4:72" ht="20" customHeight="1">
      <c r="D134" s="412"/>
      <c r="E134" s="412"/>
      <c r="F134" s="412"/>
      <c r="G134" s="412"/>
      <c r="H134" s="412"/>
      <c r="I134" s="412"/>
      <c r="J134" s="412"/>
      <c r="K134" s="412"/>
      <c r="L134" s="412"/>
      <c r="M134" s="412"/>
      <c r="N134" s="412"/>
      <c r="O134" s="412"/>
      <c r="P134" s="412"/>
      <c r="Q134" s="412"/>
      <c r="R134" s="412"/>
      <c r="S134" s="412"/>
      <c r="T134" s="412"/>
      <c r="U134" s="412"/>
      <c r="V134" s="412"/>
      <c r="W134" s="412"/>
      <c r="X134" s="412"/>
      <c r="Y134" s="412"/>
      <c r="Z134" s="412"/>
      <c r="AA134" s="412"/>
      <c r="AB134" s="412"/>
      <c r="AC134" s="412"/>
      <c r="AD134" s="412"/>
      <c r="AE134" s="412"/>
      <c r="AF134" s="412"/>
      <c r="AG134" s="412"/>
      <c r="AH134" s="412"/>
      <c r="AI134" s="412"/>
      <c r="AJ134" s="412"/>
      <c r="AK134" s="412"/>
      <c r="AL134" s="412"/>
      <c r="AM134" s="412"/>
      <c r="AN134" s="619"/>
      <c r="AO134" s="619"/>
      <c r="AP134" s="619"/>
      <c r="AQ134" s="619"/>
      <c r="AR134" s="619"/>
      <c r="AS134" s="619"/>
      <c r="AT134" s="619"/>
      <c r="AU134" s="619"/>
      <c r="AV134" s="619"/>
      <c r="AW134" s="619"/>
      <c r="AX134" s="619"/>
      <c r="AY134" s="619"/>
      <c r="AZ134" s="619"/>
      <c r="BA134" s="619"/>
      <c r="BB134" s="619"/>
      <c r="BC134" s="412"/>
      <c r="BD134" s="619"/>
      <c r="BE134" s="619"/>
      <c r="BF134" s="619"/>
      <c r="BG134" s="619"/>
      <c r="BH134" s="619"/>
      <c r="BI134" s="619"/>
      <c r="BJ134" s="412"/>
      <c r="BK134" s="619"/>
      <c r="BL134" s="619"/>
      <c r="BM134" s="619"/>
      <c r="BN134" s="619"/>
      <c r="BO134" s="412"/>
      <c r="BP134" s="619"/>
      <c r="BQ134" s="619"/>
      <c r="BR134" s="412"/>
      <c r="BS134" s="412"/>
      <c r="BT134" s="412"/>
    </row>
    <row r="135" spans="4:72" ht="20" customHeight="1">
      <c r="D135" s="412"/>
      <c r="E135" s="412"/>
      <c r="F135" s="412"/>
      <c r="G135" s="412"/>
      <c r="H135" s="412"/>
      <c r="I135" s="412"/>
      <c r="J135" s="412"/>
      <c r="K135" s="412"/>
      <c r="L135" s="412"/>
      <c r="M135" s="412"/>
      <c r="N135" s="412"/>
      <c r="O135" s="412"/>
      <c r="P135" s="412"/>
      <c r="Q135" s="412"/>
      <c r="R135" s="412"/>
      <c r="S135" s="412"/>
      <c r="T135" s="412"/>
      <c r="U135" s="412"/>
      <c r="V135" s="412"/>
      <c r="W135" s="412"/>
      <c r="X135" s="412"/>
      <c r="Y135" s="412"/>
      <c r="Z135" s="412"/>
      <c r="AA135" s="412"/>
      <c r="AB135" s="412"/>
      <c r="AC135" s="412"/>
      <c r="AD135" s="412"/>
      <c r="AE135" s="412"/>
      <c r="AF135" s="412"/>
      <c r="AG135" s="412"/>
      <c r="AH135" s="412"/>
      <c r="AI135" s="412"/>
      <c r="AJ135" s="412"/>
      <c r="AK135" s="412"/>
      <c r="AL135" s="412"/>
      <c r="AM135" s="412"/>
      <c r="AN135" s="619"/>
      <c r="AO135" s="619"/>
      <c r="AP135" s="619"/>
      <c r="AQ135" s="619"/>
      <c r="AR135" s="619"/>
      <c r="AS135" s="619"/>
      <c r="AT135" s="619"/>
      <c r="AU135" s="619"/>
      <c r="AV135" s="619"/>
      <c r="AW135" s="619"/>
      <c r="AX135" s="619"/>
      <c r="AY135" s="619"/>
      <c r="AZ135" s="619"/>
      <c r="BA135" s="619"/>
      <c r="BB135" s="619"/>
      <c r="BC135" s="412"/>
      <c r="BD135" s="619"/>
      <c r="BE135" s="619"/>
      <c r="BF135" s="619"/>
      <c r="BG135" s="619"/>
      <c r="BH135" s="619"/>
      <c r="BI135" s="619"/>
      <c r="BJ135" s="412"/>
      <c r="BK135" s="619"/>
      <c r="BL135" s="619"/>
      <c r="BM135" s="619"/>
      <c r="BN135" s="619"/>
      <c r="BO135" s="412"/>
      <c r="BP135" s="619"/>
      <c r="BQ135" s="619"/>
      <c r="BR135" s="412"/>
      <c r="BS135" s="412"/>
      <c r="BT135" s="412"/>
    </row>
    <row r="136" spans="4:72" ht="20" customHeight="1">
      <c r="D136" s="412"/>
      <c r="E136" s="412"/>
      <c r="F136" s="412"/>
      <c r="G136" s="412"/>
      <c r="H136" s="412"/>
      <c r="I136" s="412"/>
      <c r="J136" s="412"/>
      <c r="K136" s="412"/>
      <c r="L136" s="412"/>
      <c r="M136" s="412"/>
      <c r="N136" s="412"/>
      <c r="O136" s="412"/>
      <c r="P136" s="412"/>
      <c r="Q136" s="412"/>
      <c r="R136" s="412"/>
      <c r="S136" s="412"/>
      <c r="T136" s="412"/>
      <c r="U136" s="412"/>
      <c r="V136" s="412"/>
      <c r="W136" s="412"/>
      <c r="X136" s="412"/>
      <c r="Y136" s="412"/>
      <c r="Z136" s="412"/>
      <c r="AA136" s="412"/>
      <c r="AB136" s="412"/>
      <c r="AC136" s="412"/>
      <c r="AD136" s="412"/>
      <c r="AE136" s="412"/>
      <c r="AF136" s="412"/>
      <c r="AG136" s="412"/>
      <c r="AH136" s="412"/>
      <c r="AI136" s="412"/>
      <c r="AJ136" s="412"/>
      <c r="AK136" s="412"/>
      <c r="AL136" s="412"/>
      <c r="AM136" s="412"/>
      <c r="AN136" s="619"/>
      <c r="AO136" s="619"/>
      <c r="AP136" s="619"/>
      <c r="AQ136" s="619"/>
      <c r="AR136" s="619"/>
      <c r="AS136" s="619"/>
      <c r="AT136" s="619"/>
      <c r="AU136" s="619"/>
      <c r="AV136" s="619"/>
      <c r="AW136" s="619"/>
      <c r="AX136" s="619"/>
      <c r="AY136" s="619"/>
      <c r="AZ136" s="619"/>
      <c r="BA136" s="619"/>
      <c r="BB136" s="619"/>
      <c r="BC136" s="412"/>
      <c r="BD136" s="619"/>
      <c r="BE136" s="619"/>
      <c r="BF136" s="619"/>
      <c r="BG136" s="619"/>
      <c r="BH136" s="619"/>
      <c r="BI136" s="619"/>
      <c r="BJ136" s="412"/>
      <c r="BK136" s="619"/>
      <c r="BL136" s="619"/>
      <c r="BM136" s="619"/>
      <c r="BN136" s="619"/>
      <c r="BO136" s="412"/>
      <c r="BP136" s="619"/>
      <c r="BQ136" s="619"/>
      <c r="BR136" s="412"/>
      <c r="BS136" s="412"/>
      <c r="BT136" s="412"/>
    </row>
    <row r="137" spans="4:72" ht="20" customHeight="1">
      <c r="D137" s="412"/>
      <c r="E137" s="412"/>
      <c r="F137" s="412"/>
      <c r="G137" s="412"/>
      <c r="H137" s="412"/>
      <c r="I137" s="412"/>
      <c r="J137" s="412"/>
      <c r="K137" s="412"/>
      <c r="L137" s="412"/>
      <c r="M137" s="412"/>
      <c r="N137" s="412"/>
      <c r="O137" s="412"/>
      <c r="P137" s="412"/>
      <c r="Q137" s="412"/>
      <c r="R137" s="412"/>
      <c r="S137" s="412"/>
      <c r="T137" s="412"/>
      <c r="U137" s="412"/>
      <c r="V137" s="412"/>
      <c r="W137" s="412"/>
      <c r="X137" s="412"/>
      <c r="Y137" s="412"/>
      <c r="Z137" s="412"/>
      <c r="AA137" s="412"/>
      <c r="AB137" s="412"/>
      <c r="AC137" s="412"/>
      <c r="AD137" s="412"/>
      <c r="AE137" s="412"/>
      <c r="AF137" s="412"/>
      <c r="AG137" s="412"/>
      <c r="AH137" s="412"/>
      <c r="AI137" s="412"/>
      <c r="AJ137" s="412"/>
      <c r="AK137" s="412"/>
      <c r="AL137" s="412"/>
      <c r="AM137" s="412"/>
      <c r="AN137" s="619"/>
      <c r="AO137" s="619"/>
      <c r="AP137" s="619"/>
      <c r="AQ137" s="619"/>
      <c r="AR137" s="619"/>
      <c r="AS137" s="619"/>
      <c r="AT137" s="619"/>
      <c r="AU137" s="619"/>
      <c r="AV137" s="619"/>
      <c r="AW137" s="619"/>
      <c r="AX137" s="619"/>
      <c r="AY137" s="619"/>
      <c r="AZ137" s="619"/>
      <c r="BA137" s="619"/>
      <c r="BB137" s="619"/>
      <c r="BC137" s="412"/>
      <c r="BD137" s="619"/>
      <c r="BE137" s="619"/>
      <c r="BF137" s="619"/>
      <c r="BG137" s="619"/>
      <c r="BH137" s="619"/>
      <c r="BI137" s="619"/>
      <c r="BJ137" s="412"/>
      <c r="BK137" s="619"/>
      <c r="BL137" s="619"/>
      <c r="BM137" s="619"/>
      <c r="BN137" s="619"/>
      <c r="BO137" s="412"/>
      <c r="BP137" s="619"/>
      <c r="BQ137" s="619"/>
      <c r="BR137" s="412"/>
      <c r="BS137" s="412"/>
      <c r="BT137" s="412"/>
    </row>
    <row r="138" spans="4:72" ht="20" customHeight="1">
      <c r="D138" s="412"/>
      <c r="E138" s="412"/>
      <c r="F138" s="412"/>
      <c r="G138" s="412"/>
      <c r="H138" s="412"/>
      <c r="I138" s="412"/>
      <c r="J138" s="412"/>
      <c r="K138" s="412"/>
      <c r="L138" s="412"/>
      <c r="M138" s="412"/>
      <c r="N138" s="412"/>
      <c r="O138" s="412"/>
      <c r="P138" s="412"/>
      <c r="Q138" s="412"/>
      <c r="R138" s="412"/>
      <c r="S138" s="412"/>
      <c r="T138" s="412"/>
      <c r="U138" s="412"/>
      <c r="V138" s="412"/>
      <c r="W138" s="412"/>
      <c r="X138" s="412"/>
      <c r="Y138" s="412"/>
      <c r="Z138" s="412"/>
      <c r="AA138" s="412"/>
      <c r="AB138" s="412"/>
      <c r="AC138" s="412"/>
      <c r="AD138" s="412"/>
      <c r="AE138" s="412"/>
      <c r="AF138" s="412"/>
      <c r="AG138" s="412"/>
      <c r="AH138" s="412"/>
      <c r="AI138" s="412"/>
      <c r="AJ138" s="412"/>
      <c r="AK138" s="412"/>
      <c r="AL138" s="412"/>
      <c r="AM138" s="412"/>
      <c r="AN138" s="619"/>
      <c r="AO138" s="619"/>
      <c r="AP138" s="619"/>
      <c r="AQ138" s="619"/>
      <c r="AR138" s="619"/>
      <c r="AS138" s="619"/>
      <c r="AT138" s="619"/>
      <c r="AU138" s="619"/>
      <c r="AV138" s="619"/>
      <c r="AW138" s="619"/>
      <c r="AX138" s="619"/>
      <c r="AY138" s="619"/>
      <c r="AZ138" s="619"/>
      <c r="BA138" s="619"/>
      <c r="BB138" s="619"/>
      <c r="BC138" s="412"/>
      <c r="BD138" s="619"/>
      <c r="BE138" s="619"/>
      <c r="BF138" s="619"/>
      <c r="BG138" s="619"/>
      <c r="BH138" s="619"/>
      <c r="BI138" s="619"/>
      <c r="BJ138" s="412"/>
      <c r="BK138" s="619"/>
      <c r="BL138" s="619"/>
      <c r="BM138" s="619"/>
      <c r="BN138" s="619"/>
      <c r="BO138" s="412"/>
      <c r="BP138" s="619"/>
      <c r="BQ138" s="619"/>
      <c r="BR138" s="412"/>
      <c r="BS138" s="412"/>
      <c r="BT138" s="412"/>
    </row>
    <row r="139" spans="4:72" ht="20" customHeight="1">
      <c r="D139" s="412"/>
      <c r="E139" s="412"/>
      <c r="F139" s="412"/>
      <c r="G139" s="412"/>
      <c r="H139" s="412"/>
      <c r="I139" s="412"/>
      <c r="J139" s="412"/>
      <c r="K139" s="412"/>
      <c r="L139" s="412"/>
      <c r="M139" s="412"/>
      <c r="N139" s="412"/>
      <c r="O139" s="412"/>
      <c r="P139" s="412"/>
      <c r="Q139" s="412"/>
      <c r="R139" s="412"/>
      <c r="S139" s="412"/>
      <c r="T139" s="412"/>
      <c r="U139" s="412"/>
      <c r="V139" s="412"/>
      <c r="W139" s="412"/>
      <c r="X139" s="412"/>
      <c r="Y139" s="412"/>
      <c r="Z139" s="412"/>
      <c r="AA139" s="412"/>
      <c r="AB139" s="412"/>
      <c r="AC139" s="412"/>
      <c r="AD139" s="412"/>
      <c r="AE139" s="412"/>
      <c r="AF139" s="412"/>
      <c r="AG139" s="412"/>
      <c r="AH139" s="412"/>
      <c r="AI139" s="412"/>
      <c r="AJ139" s="412"/>
      <c r="AK139" s="412"/>
      <c r="AL139" s="412"/>
      <c r="AM139" s="412"/>
      <c r="AN139" s="619"/>
      <c r="AO139" s="619"/>
      <c r="AP139" s="619"/>
      <c r="AQ139" s="619"/>
      <c r="AR139" s="619"/>
      <c r="AS139" s="619"/>
      <c r="AT139" s="619"/>
      <c r="AU139" s="619"/>
      <c r="AV139" s="619"/>
      <c r="AW139" s="619"/>
      <c r="AX139" s="619"/>
      <c r="AY139" s="619"/>
      <c r="AZ139" s="619"/>
      <c r="BA139" s="619"/>
      <c r="BB139" s="619"/>
      <c r="BC139" s="412"/>
      <c r="BD139" s="619"/>
      <c r="BE139" s="619"/>
      <c r="BF139" s="619"/>
      <c r="BG139" s="619"/>
      <c r="BH139" s="619"/>
      <c r="BI139" s="619"/>
      <c r="BJ139" s="412"/>
      <c r="BK139" s="619"/>
      <c r="BL139" s="619"/>
      <c r="BM139" s="619"/>
      <c r="BN139" s="619"/>
      <c r="BO139" s="412"/>
      <c r="BP139" s="619"/>
      <c r="BQ139" s="619"/>
      <c r="BR139" s="412"/>
      <c r="BS139" s="412"/>
      <c r="BT139" s="412"/>
    </row>
    <row r="140" spans="4:72" ht="20" customHeight="1">
      <c r="D140" s="412"/>
      <c r="E140" s="412"/>
      <c r="F140" s="412"/>
      <c r="G140" s="412"/>
      <c r="H140" s="412"/>
      <c r="I140" s="412"/>
      <c r="J140" s="412"/>
      <c r="K140" s="412"/>
      <c r="L140" s="412"/>
      <c r="M140" s="412"/>
      <c r="N140" s="412"/>
      <c r="O140" s="412"/>
      <c r="P140" s="412"/>
      <c r="Q140" s="412"/>
      <c r="R140" s="412"/>
      <c r="S140" s="412"/>
      <c r="T140" s="412"/>
      <c r="U140" s="412"/>
      <c r="V140" s="412"/>
      <c r="W140" s="412"/>
      <c r="X140" s="412"/>
      <c r="Y140" s="412"/>
      <c r="Z140" s="412"/>
      <c r="AA140" s="412"/>
      <c r="AB140" s="412"/>
      <c r="AC140" s="412"/>
      <c r="AD140" s="412"/>
      <c r="AE140" s="412"/>
      <c r="AF140" s="412"/>
      <c r="AG140" s="412"/>
      <c r="AH140" s="412"/>
      <c r="AI140" s="412"/>
      <c r="AJ140" s="412"/>
      <c r="AK140" s="412"/>
      <c r="AL140" s="412"/>
      <c r="AM140" s="412"/>
      <c r="AN140" s="619"/>
      <c r="AO140" s="619"/>
      <c r="AP140" s="619"/>
      <c r="AQ140" s="619"/>
      <c r="AR140" s="619"/>
      <c r="AS140" s="619"/>
      <c r="AT140" s="619"/>
      <c r="AU140" s="619"/>
      <c r="AV140" s="619"/>
      <c r="AW140" s="619"/>
      <c r="AX140" s="619"/>
      <c r="AY140" s="619"/>
      <c r="AZ140" s="619"/>
      <c r="BA140" s="619"/>
      <c r="BB140" s="619"/>
      <c r="BC140" s="412"/>
      <c r="BD140" s="619"/>
      <c r="BE140" s="619"/>
      <c r="BF140" s="619"/>
      <c r="BG140" s="619"/>
      <c r="BH140" s="619"/>
      <c r="BI140" s="619"/>
      <c r="BJ140" s="412"/>
      <c r="BK140" s="619"/>
      <c r="BL140" s="619"/>
      <c r="BM140" s="619"/>
      <c r="BN140" s="619"/>
      <c r="BO140" s="412"/>
      <c r="BP140" s="619"/>
      <c r="BQ140" s="619"/>
      <c r="BR140" s="412"/>
      <c r="BS140" s="412"/>
      <c r="BT140" s="412"/>
    </row>
    <row r="141" spans="4:72" ht="20" customHeight="1">
      <c r="D141" s="412"/>
      <c r="E141" s="412"/>
      <c r="F141" s="412"/>
      <c r="G141" s="412"/>
      <c r="H141" s="412"/>
      <c r="I141" s="412"/>
      <c r="J141" s="412"/>
      <c r="K141" s="412"/>
      <c r="L141" s="412"/>
      <c r="M141" s="412"/>
      <c r="N141" s="412"/>
      <c r="O141" s="412"/>
      <c r="P141" s="412"/>
      <c r="Q141" s="412"/>
      <c r="R141" s="412"/>
      <c r="S141" s="412"/>
      <c r="T141" s="412"/>
      <c r="U141" s="412"/>
      <c r="V141" s="412"/>
      <c r="W141" s="412"/>
      <c r="X141" s="412"/>
      <c r="Y141" s="412"/>
      <c r="Z141" s="412"/>
      <c r="AA141" s="412"/>
      <c r="AB141" s="412"/>
      <c r="AC141" s="412"/>
      <c r="AD141" s="412"/>
      <c r="AE141" s="412"/>
      <c r="AF141" s="412"/>
      <c r="AG141" s="412"/>
      <c r="AH141" s="412"/>
      <c r="AI141" s="412"/>
      <c r="AJ141" s="412"/>
      <c r="AK141" s="412"/>
      <c r="AL141" s="412"/>
      <c r="AM141" s="412"/>
      <c r="AN141" s="619"/>
      <c r="AO141" s="619"/>
      <c r="AP141" s="619"/>
      <c r="AQ141" s="619"/>
      <c r="AR141" s="619"/>
      <c r="AS141" s="619"/>
      <c r="AT141" s="619"/>
      <c r="AU141" s="619"/>
      <c r="AV141" s="619"/>
      <c r="AW141" s="619"/>
      <c r="AX141" s="619"/>
      <c r="AY141" s="619"/>
      <c r="AZ141" s="619"/>
      <c r="BA141" s="619"/>
      <c r="BB141" s="619"/>
      <c r="BC141" s="412"/>
      <c r="BD141" s="619"/>
      <c r="BE141" s="619"/>
      <c r="BF141" s="619"/>
      <c r="BG141" s="619"/>
      <c r="BH141" s="619"/>
      <c r="BI141" s="619"/>
      <c r="BJ141" s="412"/>
      <c r="BK141" s="619"/>
      <c r="BL141" s="619"/>
      <c r="BM141" s="619"/>
      <c r="BN141" s="619"/>
      <c r="BO141" s="412"/>
      <c r="BP141" s="619"/>
      <c r="BQ141" s="619"/>
      <c r="BR141" s="412"/>
      <c r="BS141" s="412"/>
      <c r="BT141" s="412"/>
    </row>
    <row r="142" spans="4:72" ht="20" customHeight="1">
      <c r="D142" s="412"/>
      <c r="E142" s="412"/>
      <c r="F142" s="412"/>
      <c r="G142" s="412"/>
      <c r="H142" s="412"/>
      <c r="I142" s="412"/>
      <c r="J142" s="412"/>
      <c r="K142" s="412"/>
      <c r="L142" s="412"/>
      <c r="M142" s="412"/>
      <c r="N142" s="412"/>
      <c r="O142" s="412"/>
      <c r="P142" s="412"/>
      <c r="Q142" s="412"/>
      <c r="R142" s="412"/>
      <c r="S142" s="412"/>
      <c r="T142" s="412"/>
      <c r="U142" s="412"/>
      <c r="V142" s="412"/>
      <c r="W142" s="412"/>
      <c r="X142" s="412"/>
      <c r="Y142" s="412"/>
      <c r="Z142" s="412"/>
      <c r="AA142" s="412"/>
      <c r="AB142" s="412"/>
      <c r="AC142" s="412"/>
      <c r="AD142" s="412"/>
      <c r="AE142" s="412"/>
      <c r="AF142" s="412"/>
      <c r="AG142" s="412"/>
      <c r="AH142" s="412"/>
      <c r="AI142" s="412"/>
      <c r="AJ142" s="412"/>
      <c r="AK142" s="412"/>
      <c r="AL142" s="412"/>
      <c r="AM142" s="412"/>
      <c r="AN142" s="619"/>
      <c r="AO142" s="619"/>
      <c r="AP142" s="619"/>
      <c r="AQ142" s="619"/>
      <c r="AR142" s="619"/>
      <c r="AS142" s="619"/>
      <c r="AT142" s="619"/>
      <c r="AU142" s="619"/>
      <c r="AV142" s="619"/>
      <c r="AW142" s="619"/>
      <c r="AX142" s="619"/>
      <c r="AY142" s="619"/>
      <c r="AZ142" s="619"/>
      <c r="BA142" s="619"/>
      <c r="BB142" s="619"/>
      <c r="BC142" s="412"/>
      <c r="BD142" s="619"/>
      <c r="BE142" s="619"/>
      <c r="BF142" s="619"/>
      <c r="BG142" s="619"/>
      <c r="BH142" s="619"/>
      <c r="BI142" s="619"/>
      <c r="BJ142" s="412"/>
      <c r="BK142" s="619"/>
      <c r="BL142" s="619"/>
      <c r="BM142" s="619"/>
      <c r="BN142" s="619"/>
      <c r="BO142" s="412"/>
      <c r="BP142" s="619"/>
      <c r="BQ142" s="619"/>
      <c r="BR142" s="412"/>
      <c r="BS142" s="412"/>
      <c r="BT142" s="412"/>
    </row>
    <row r="143" spans="4:72" ht="20" customHeight="1">
      <c r="D143" s="412"/>
      <c r="E143" s="412"/>
      <c r="F143" s="412"/>
      <c r="G143" s="412"/>
      <c r="H143" s="412"/>
      <c r="I143" s="412"/>
      <c r="J143" s="412"/>
      <c r="K143" s="412"/>
      <c r="L143" s="412"/>
      <c r="M143" s="412"/>
      <c r="N143" s="412"/>
      <c r="O143" s="412"/>
      <c r="P143" s="412"/>
      <c r="Q143" s="412"/>
      <c r="R143" s="412"/>
      <c r="S143" s="412"/>
      <c r="T143" s="412"/>
      <c r="U143" s="412"/>
      <c r="V143" s="412"/>
      <c r="W143" s="412"/>
      <c r="X143" s="412"/>
      <c r="Y143" s="412"/>
      <c r="Z143" s="412"/>
      <c r="AA143" s="412"/>
      <c r="AB143" s="412"/>
      <c r="AC143" s="412"/>
      <c r="AD143" s="412"/>
      <c r="AE143" s="412"/>
      <c r="AF143" s="412"/>
      <c r="AG143" s="412"/>
      <c r="AH143" s="412"/>
      <c r="AI143" s="412"/>
      <c r="AJ143" s="412"/>
      <c r="AK143" s="412"/>
      <c r="AL143" s="412"/>
      <c r="AM143" s="412"/>
      <c r="AN143" s="619"/>
      <c r="AO143" s="619"/>
      <c r="AP143" s="619"/>
      <c r="AQ143" s="619"/>
      <c r="AR143" s="619"/>
      <c r="AS143" s="619"/>
      <c r="AT143" s="619"/>
      <c r="AU143" s="619"/>
      <c r="AV143" s="619"/>
      <c r="AW143" s="619"/>
      <c r="AX143" s="619"/>
      <c r="AY143" s="619"/>
      <c r="AZ143" s="619"/>
      <c r="BA143" s="619"/>
      <c r="BB143" s="619"/>
      <c r="BC143" s="412"/>
      <c r="BD143" s="619"/>
      <c r="BE143" s="619"/>
      <c r="BF143" s="619"/>
      <c r="BG143" s="619"/>
      <c r="BH143" s="619"/>
      <c r="BI143" s="619"/>
      <c r="BJ143" s="412"/>
      <c r="BK143" s="619"/>
      <c r="BL143" s="619"/>
      <c r="BM143" s="619"/>
      <c r="BN143" s="619"/>
      <c r="BO143" s="412"/>
      <c r="BP143" s="619"/>
      <c r="BQ143" s="619"/>
      <c r="BR143" s="412"/>
      <c r="BS143" s="412"/>
      <c r="BT143" s="412"/>
    </row>
    <row r="144" spans="4:72" ht="20" customHeight="1">
      <c r="D144" s="412"/>
      <c r="E144" s="412"/>
      <c r="F144" s="412"/>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412"/>
      <c r="AM144" s="412"/>
      <c r="AN144" s="619"/>
      <c r="AO144" s="619"/>
      <c r="AP144" s="619"/>
      <c r="AQ144" s="619"/>
      <c r="AR144" s="619"/>
      <c r="AS144" s="619"/>
      <c r="AT144" s="619"/>
      <c r="AU144" s="619"/>
      <c r="AV144" s="619"/>
      <c r="AW144" s="619"/>
      <c r="AX144" s="619"/>
      <c r="AY144" s="619"/>
      <c r="AZ144" s="619"/>
      <c r="BA144" s="619"/>
      <c r="BB144" s="619"/>
      <c r="BC144" s="412"/>
      <c r="BD144" s="619"/>
      <c r="BE144" s="619"/>
      <c r="BF144" s="619"/>
      <c r="BG144" s="619"/>
      <c r="BH144" s="619"/>
      <c r="BI144" s="619"/>
      <c r="BJ144" s="412"/>
      <c r="BK144" s="619"/>
      <c r="BL144" s="619"/>
      <c r="BM144" s="619"/>
      <c r="BN144" s="619"/>
      <c r="BO144" s="412"/>
      <c r="BP144" s="619"/>
      <c r="BQ144" s="619"/>
      <c r="BR144" s="412"/>
      <c r="BS144" s="412"/>
      <c r="BT144" s="412"/>
    </row>
    <row r="145" spans="4:72" ht="20" customHeight="1">
      <c r="D145" s="412"/>
      <c r="E145" s="412"/>
      <c r="F145" s="412"/>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412"/>
      <c r="AM145" s="412"/>
      <c r="AN145" s="619"/>
      <c r="AO145" s="619"/>
      <c r="AP145" s="619"/>
      <c r="AQ145" s="619"/>
      <c r="AR145" s="619"/>
      <c r="AS145" s="619"/>
      <c r="AT145" s="619"/>
      <c r="AU145" s="619"/>
      <c r="AV145" s="619"/>
      <c r="AW145" s="619"/>
      <c r="AX145" s="619"/>
      <c r="AY145" s="619"/>
      <c r="AZ145" s="619"/>
      <c r="BA145" s="619"/>
      <c r="BB145" s="619"/>
      <c r="BC145" s="412"/>
      <c r="BD145" s="619"/>
      <c r="BE145" s="619"/>
      <c r="BF145" s="619"/>
      <c r="BG145" s="619"/>
      <c r="BH145" s="619"/>
      <c r="BI145" s="619"/>
      <c r="BJ145" s="412"/>
      <c r="BK145" s="619"/>
      <c r="BL145" s="619"/>
      <c r="BM145" s="619"/>
      <c r="BN145" s="619"/>
      <c r="BO145" s="412"/>
      <c r="BP145" s="619"/>
      <c r="BQ145" s="619"/>
      <c r="BR145" s="412"/>
      <c r="BS145" s="412"/>
      <c r="BT145" s="412"/>
    </row>
    <row r="146" spans="4:72" ht="20" customHeight="1">
      <c r="D146" s="412"/>
      <c r="E146" s="412"/>
      <c r="F146" s="412"/>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412"/>
      <c r="AM146" s="412"/>
      <c r="AN146" s="619"/>
      <c r="AO146" s="619"/>
      <c r="AP146" s="619"/>
      <c r="AQ146" s="619"/>
      <c r="AR146" s="619"/>
      <c r="AS146" s="619"/>
      <c r="AT146" s="619"/>
      <c r="AU146" s="619"/>
      <c r="AV146" s="619"/>
      <c r="AW146" s="619"/>
      <c r="AX146" s="619"/>
      <c r="AY146" s="619"/>
      <c r="AZ146" s="619"/>
      <c r="BA146" s="619"/>
      <c r="BB146" s="619"/>
      <c r="BC146" s="412"/>
      <c r="BD146" s="619"/>
      <c r="BE146" s="619"/>
      <c r="BF146" s="619"/>
      <c r="BG146" s="619"/>
      <c r="BH146" s="619"/>
      <c r="BI146" s="619"/>
      <c r="BJ146" s="412"/>
      <c r="BK146" s="619"/>
      <c r="BL146" s="619"/>
      <c r="BM146" s="619"/>
      <c r="BN146" s="619"/>
      <c r="BO146" s="412"/>
      <c r="BP146" s="619"/>
      <c r="BQ146" s="619"/>
      <c r="BR146" s="412"/>
      <c r="BS146" s="412"/>
      <c r="BT146" s="412"/>
    </row>
    <row r="147" spans="4:72" ht="20" customHeight="1">
      <c r="D147" s="412"/>
      <c r="E147" s="412"/>
      <c r="F147" s="412"/>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412"/>
      <c r="AM147" s="412"/>
      <c r="AN147" s="619"/>
      <c r="AO147" s="619"/>
      <c r="AP147" s="619"/>
      <c r="AQ147" s="619"/>
      <c r="AR147" s="619"/>
      <c r="AS147" s="619"/>
      <c r="AT147" s="619"/>
      <c r="AU147" s="619"/>
      <c r="AV147" s="619"/>
      <c r="AW147" s="619"/>
      <c r="AX147" s="619"/>
      <c r="AY147" s="619"/>
      <c r="AZ147" s="619"/>
      <c r="BA147" s="619"/>
      <c r="BB147" s="619"/>
      <c r="BC147" s="412"/>
      <c r="BD147" s="619"/>
      <c r="BE147" s="619"/>
      <c r="BF147" s="619"/>
      <c r="BG147" s="619"/>
      <c r="BH147" s="619"/>
      <c r="BI147" s="619"/>
      <c r="BJ147" s="412"/>
      <c r="BK147" s="619"/>
      <c r="BL147" s="619"/>
      <c r="BM147" s="619"/>
      <c r="BN147" s="619"/>
      <c r="BO147" s="412"/>
      <c r="BP147" s="619"/>
      <c r="BQ147" s="619"/>
      <c r="BR147" s="412"/>
      <c r="BS147" s="412"/>
      <c r="BT147" s="412"/>
    </row>
    <row r="148" spans="4:72" ht="20" customHeight="1">
      <c r="D148" s="412"/>
      <c r="E148" s="412"/>
      <c r="F148" s="412"/>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412"/>
      <c r="AM148" s="412"/>
      <c r="AN148" s="619"/>
      <c r="AO148" s="619"/>
      <c r="AP148" s="619"/>
      <c r="AQ148" s="619"/>
      <c r="AR148" s="619"/>
      <c r="AS148" s="619"/>
      <c r="AT148" s="619"/>
      <c r="AU148" s="619"/>
      <c r="AV148" s="619"/>
      <c r="AW148" s="619"/>
      <c r="AX148" s="619"/>
      <c r="AY148" s="619"/>
      <c r="AZ148" s="619"/>
      <c r="BA148" s="619"/>
      <c r="BB148" s="619"/>
      <c r="BC148" s="412"/>
      <c r="BD148" s="619"/>
      <c r="BE148" s="619"/>
      <c r="BF148" s="619"/>
      <c r="BG148" s="619"/>
      <c r="BH148" s="619"/>
      <c r="BI148" s="619"/>
      <c r="BJ148" s="412"/>
      <c r="BK148" s="619"/>
      <c r="BL148" s="619"/>
      <c r="BM148" s="619"/>
      <c r="BN148" s="619"/>
      <c r="BO148" s="412"/>
      <c r="BP148" s="619"/>
      <c r="BQ148" s="619"/>
      <c r="BR148" s="412"/>
      <c r="BS148" s="412"/>
      <c r="BT148" s="412"/>
    </row>
    <row r="149" spans="4:72" ht="20" customHeight="1">
      <c r="D149" s="412"/>
      <c r="E149" s="412"/>
      <c r="F149" s="412"/>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412"/>
      <c r="AM149" s="412"/>
      <c r="AN149" s="619"/>
      <c r="AO149" s="619"/>
      <c r="AP149" s="619"/>
      <c r="AQ149" s="619"/>
      <c r="AR149" s="619"/>
      <c r="AS149" s="619"/>
      <c r="AT149" s="619"/>
      <c r="AU149" s="619"/>
      <c r="AV149" s="619"/>
      <c r="AW149" s="619"/>
      <c r="AX149" s="619"/>
      <c r="AY149" s="619"/>
      <c r="AZ149" s="619"/>
      <c r="BA149" s="619"/>
      <c r="BB149" s="619"/>
      <c r="BC149" s="412"/>
      <c r="BD149" s="619"/>
      <c r="BE149" s="619"/>
      <c r="BF149" s="619"/>
      <c r="BG149" s="619"/>
      <c r="BH149" s="619"/>
      <c r="BI149" s="619"/>
      <c r="BJ149" s="412"/>
      <c r="BK149" s="619"/>
      <c r="BL149" s="619"/>
      <c r="BM149" s="619"/>
      <c r="BN149" s="619"/>
      <c r="BO149" s="412"/>
      <c r="BP149" s="619"/>
      <c r="BQ149" s="619"/>
      <c r="BR149" s="412"/>
      <c r="BS149" s="412"/>
      <c r="BT149" s="412"/>
    </row>
    <row r="150" spans="4:72" ht="20" customHeight="1">
      <c r="D150" s="412"/>
      <c r="E150" s="412"/>
      <c r="F150" s="412"/>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412"/>
      <c r="AM150" s="412"/>
      <c r="AN150" s="619"/>
      <c r="AO150" s="619"/>
      <c r="AP150" s="619"/>
      <c r="AQ150" s="619"/>
      <c r="AR150" s="619"/>
      <c r="AS150" s="619"/>
      <c r="AT150" s="619"/>
      <c r="AU150" s="619"/>
      <c r="AV150" s="619"/>
      <c r="AW150" s="619"/>
      <c r="AX150" s="619"/>
      <c r="AY150" s="619"/>
      <c r="AZ150" s="619"/>
      <c r="BA150" s="619"/>
      <c r="BB150" s="619"/>
      <c r="BC150" s="412"/>
      <c r="BD150" s="619"/>
      <c r="BE150" s="619"/>
      <c r="BF150" s="619"/>
      <c r="BG150" s="619"/>
      <c r="BH150" s="619"/>
      <c r="BI150" s="619"/>
      <c r="BJ150" s="412"/>
      <c r="BK150" s="619"/>
      <c r="BL150" s="619"/>
      <c r="BM150" s="619"/>
      <c r="BN150" s="619"/>
      <c r="BO150" s="412"/>
      <c r="BP150" s="619"/>
      <c r="BQ150" s="619"/>
      <c r="BR150" s="412"/>
      <c r="BS150" s="412"/>
      <c r="BT150" s="412"/>
    </row>
    <row r="151" spans="4:72" ht="20" customHeight="1">
      <c r="D151" s="412"/>
      <c r="E151" s="412"/>
      <c r="F151" s="412"/>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412"/>
      <c r="AM151" s="412"/>
      <c r="AN151" s="619"/>
      <c r="AO151" s="619"/>
      <c r="AP151" s="619"/>
      <c r="AQ151" s="619"/>
      <c r="AR151" s="619"/>
      <c r="AS151" s="619"/>
      <c r="AT151" s="619"/>
      <c r="AU151" s="619"/>
      <c r="AV151" s="619"/>
      <c r="AW151" s="619"/>
      <c r="AX151" s="619"/>
      <c r="AY151" s="619"/>
      <c r="AZ151" s="619"/>
      <c r="BA151" s="619"/>
      <c r="BB151" s="619"/>
      <c r="BC151" s="412"/>
      <c r="BD151" s="619"/>
      <c r="BE151" s="619"/>
      <c r="BF151" s="619"/>
      <c r="BG151" s="619"/>
      <c r="BH151" s="619"/>
      <c r="BI151" s="619"/>
      <c r="BJ151" s="412"/>
      <c r="BK151" s="619"/>
      <c r="BL151" s="619"/>
      <c r="BM151" s="619"/>
      <c r="BN151" s="619"/>
      <c r="BO151" s="412"/>
      <c r="BP151" s="619"/>
      <c r="BQ151" s="619"/>
      <c r="BR151" s="412"/>
      <c r="BS151" s="412"/>
      <c r="BT151" s="412"/>
    </row>
    <row r="152" spans="4:72" ht="20" customHeight="1">
      <c r="D152" s="412"/>
      <c r="E152" s="412"/>
      <c r="F152" s="412"/>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412"/>
      <c r="AM152" s="412"/>
      <c r="AN152" s="619"/>
      <c r="AO152" s="619"/>
      <c r="AP152" s="619"/>
      <c r="AQ152" s="619"/>
      <c r="AR152" s="619"/>
      <c r="AS152" s="619"/>
      <c r="AT152" s="619"/>
      <c r="AU152" s="619"/>
      <c r="AV152" s="619"/>
      <c r="AW152" s="619"/>
      <c r="AX152" s="619"/>
      <c r="AY152" s="619"/>
      <c r="AZ152" s="619"/>
      <c r="BA152" s="619"/>
      <c r="BB152" s="619"/>
      <c r="BC152" s="412"/>
      <c r="BD152" s="619"/>
      <c r="BE152" s="619"/>
      <c r="BF152" s="619"/>
      <c r="BG152" s="619"/>
      <c r="BH152" s="619"/>
      <c r="BI152" s="619"/>
      <c r="BJ152" s="412"/>
      <c r="BK152" s="619"/>
      <c r="BL152" s="619"/>
      <c r="BM152" s="619"/>
      <c r="BN152" s="619"/>
      <c r="BO152" s="412"/>
      <c r="BP152" s="619"/>
      <c r="BQ152" s="619"/>
      <c r="BR152" s="412"/>
      <c r="BS152" s="412"/>
      <c r="BT152" s="412"/>
    </row>
    <row r="153" spans="4:72" ht="20" customHeight="1">
      <c r="D153" s="412"/>
      <c r="E153" s="412"/>
      <c r="F153" s="412"/>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412"/>
      <c r="AM153" s="412"/>
      <c r="AN153" s="619"/>
      <c r="AO153" s="619"/>
      <c r="AP153" s="619"/>
      <c r="AQ153" s="619"/>
      <c r="AR153" s="619"/>
      <c r="AS153" s="619"/>
      <c r="AT153" s="619"/>
      <c r="AU153" s="619"/>
      <c r="AV153" s="619"/>
      <c r="AW153" s="619"/>
      <c r="AX153" s="619"/>
      <c r="AY153" s="619"/>
      <c r="AZ153" s="619"/>
      <c r="BA153" s="619"/>
      <c r="BB153" s="619"/>
      <c r="BC153" s="412"/>
      <c r="BD153" s="619"/>
      <c r="BE153" s="619"/>
      <c r="BF153" s="619"/>
      <c r="BG153" s="619"/>
      <c r="BH153" s="619"/>
      <c r="BI153" s="619"/>
      <c r="BJ153" s="412"/>
      <c r="BK153" s="619"/>
      <c r="BL153" s="619"/>
      <c r="BM153" s="619"/>
      <c r="BN153" s="619"/>
      <c r="BO153" s="412"/>
      <c r="BP153" s="619"/>
      <c r="BQ153" s="619"/>
      <c r="BR153" s="412"/>
      <c r="BS153" s="412"/>
      <c r="BT153" s="412"/>
    </row>
    <row r="154" spans="4:72" ht="20" customHeight="1">
      <c r="D154" s="412"/>
      <c r="E154" s="412"/>
      <c r="F154" s="412"/>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412"/>
      <c r="AM154" s="412"/>
      <c r="AN154" s="619"/>
      <c r="AO154" s="619"/>
      <c r="AP154" s="619"/>
      <c r="AQ154" s="619"/>
      <c r="AR154" s="619"/>
      <c r="AS154" s="619"/>
      <c r="AT154" s="619"/>
      <c r="AU154" s="619"/>
      <c r="AV154" s="619"/>
      <c r="AW154" s="619"/>
      <c r="AX154" s="619"/>
      <c r="AY154" s="619"/>
      <c r="AZ154" s="619"/>
      <c r="BA154" s="619"/>
      <c r="BB154" s="619"/>
      <c r="BC154" s="412"/>
      <c r="BD154" s="619"/>
      <c r="BE154" s="619"/>
      <c r="BF154" s="619"/>
      <c r="BG154" s="619"/>
      <c r="BH154" s="619"/>
      <c r="BI154" s="619"/>
      <c r="BJ154" s="412"/>
      <c r="BK154" s="619"/>
      <c r="BL154" s="619"/>
      <c r="BM154" s="619"/>
      <c r="BN154" s="619"/>
      <c r="BO154" s="412"/>
      <c r="BP154" s="619"/>
      <c r="BQ154" s="619"/>
      <c r="BR154" s="412"/>
      <c r="BS154" s="412"/>
      <c r="BT154" s="412"/>
    </row>
    <row r="155" spans="4:72" ht="20" customHeight="1">
      <c r="D155" s="412"/>
      <c r="E155" s="412"/>
      <c r="F155" s="412"/>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619"/>
      <c r="AO155" s="619"/>
      <c r="AP155" s="619"/>
      <c r="AQ155" s="619"/>
      <c r="AR155" s="619"/>
      <c r="AS155" s="619"/>
      <c r="AT155" s="619"/>
      <c r="AU155" s="619"/>
      <c r="AV155" s="619"/>
      <c r="AW155" s="619"/>
      <c r="AX155" s="619"/>
      <c r="AY155" s="619"/>
      <c r="AZ155" s="619"/>
      <c r="BA155" s="619"/>
      <c r="BB155" s="619"/>
      <c r="BC155" s="412"/>
      <c r="BD155" s="619"/>
      <c r="BE155" s="619"/>
      <c r="BF155" s="619"/>
      <c r="BG155" s="619"/>
      <c r="BH155" s="619"/>
      <c r="BI155" s="619"/>
      <c r="BJ155" s="412"/>
      <c r="BK155" s="619"/>
      <c r="BL155" s="619"/>
      <c r="BM155" s="619"/>
      <c r="BN155" s="619"/>
      <c r="BO155" s="412"/>
      <c r="BP155" s="619"/>
      <c r="BQ155" s="619"/>
      <c r="BR155" s="412"/>
      <c r="BS155" s="412"/>
      <c r="BT155" s="412"/>
    </row>
    <row r="156" spans="4:72" ht="20" customHeight="1">
      <c r="D156" s="412"/>
      <c r="E156" s="412"/>
      <c r="F156" s="412"/>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412"/>
      <c r="AM156" s="412"/>
      <c r="AN156" s="619"/>
      <c r="AO156" s="619"/>
      <c r="AP156" s="619"/>
      <c r="AQ156" s="619"/>
      <c r="AR156" s="619"/>
      <c r="AS156" s="619"/>
      <c r="AT156" s="619"/>
      <c r="AU156" s="619"/>
      <c r="AV156" s="619"/>
      <c r="AW156" s="619"/>
      <c r="AX156" s="619"/>
      <c r="AY156" s="619"/>
      <c r="AZ156" s="619"/>
      <c r="BA156" s="619"/>
      <c r="BB156" s="619"/>
      <c r="BC156" s="412"/>
      <c r="BD156" s="619"/>
      <c r="BE156" s="619"/>
      <c r="BF156" s="619"/>
      <c r="BG156" s="619"/>
      <c r="BH156" s="619"/>
      <c r="BI156" s="619"/>
      <c r="BJ156" s="412"/>
      <c r="BK156" s="619"/>
      <c r="BL156" s="619"/>
      <c r="BM156" s="619"/>
      <c r="BN156" s="619"/>
      <c r="BO156" s="412"/>
      <c r="BP156" s="619"/>
      <c r="BQ156" s="619"/>
      <c r="BR156" s="412"/>
      <c r="BS156" s="412"/>
      <c r="BT156" s="412"/>
    </row>
    <row r="157" spans="4:72" ht="20" customHeight="1">
      <c r="D157" s="412"/>
      <c r="E157" s="412"/>
      <c r="F157" s="412"/>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412"/>
      <c r="AM157" s="412"/>
      <c r="AN157" s="619"/>
      <c r="AO157" s="619"/>
      <c r="AP157" s="619"/>
      <c r="AQ157" s="619"/>
      <c r="AR157" s="619"/>
      <c r="AS157" s="619"/>
      <c r="AT157" s="619"/>
      <c r="AU157" s="619"/>
      <c r="AV157" s="619"/>
      <c r="AW157" s="619"/>
      <c r="AX157" s="619"/>
      <c r="AY157" s="619"/>
      <c r="AZ157" s="619"/>
      <c r="BA157" s="619"/>
      <c r="BB157" s="619"/>
      <c r="BC157" s="412"/>
      <c r="BD157" s="619"/>
      <c r="BE157" s="619"/>
      <c r="BF157" s="619"/>
      <c r="BG157" s="619"/>
      <c r="BH157" s="619"/>
      <c r="BI157" s="619"/>
      <c r="BJ157" s="412"/>
      <c r="BK157" s="619"/>
      <c r="BL157" s="619"/>
      <c r="BM157" s="619"/>
      <c r="BN157" s="619"/>
      <c r="BO157" s="412"/>
      <c r="BP157" s="619"/>
      <c r="BQ157" s="619"/>
      <c r="BR157" s="412"/>
      <c r="BS157" s="412"/>
      <c r="BT157" s="412"/>
    </row>
    <row r="158" spans="4:72" ht="20" customHeight="1">
      <c r="D158" s="412"/>
      <c r="E158" s="412"/>
      <c r="F158" s="412"/>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412"/>
      <c r="AM158" s="412"/>
      <c r="AN158" s="619"/>
      <c r="AO158" s="619"/>
      <c r="AP158" s="619"/>
      <c r="AQ158" s="619"/>
      <c r="AR158" s="619"/>
      <c r="AS158" s="619"/>
      <c r="AT158" s="619"/>
      <c r="AU158" s="619"/>
      <c r="AV158" s="619"/>
      <c r="AW158" s="619"/>
      <c r="AX158" s="619"/>
      <c r="AY158" s="619"/>
      <c r="AZ158" s="619"/>
      <c r="BA158" s="619"/>
      <c r="BB158" s="619"/>
      <c r="BC158" s="412"/>
      <c r="BD158" s="619"/>
      <c r="BE158" s="619"/>
      <c r="BF158" s="619"/>
      <c r="BG158" s="619"/>
      <c r="BH158" s="619"/>
      <c r="BI158" s="619"/>
      <c r="BJ158" s="412"/>
      <c r="BK158" s="619"/>
      <c r="BL158" s="619"/>
      <c r="BM158" s="619"/>
      <c r="BN158" s="619"/>
      <c r="BO158" s="412"/>
      <c r="BP158" s="619"/>
      <c r="BQ158" s="619"/>
      <c r="BR158" s="412"/>
      <c r="BS158" s="412"/>
      <c r="BT158" s="412"/>
    </row>
    <row r="159" spans="4:72" ht="20" customHeight="1">
      <c r="D159" s="412"/>
      <c r="E159" s="412"/>
      <c r="F159" s="412"/>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619"/>
      <c r="AO159" s="619"/>
      <c r="AP159" s="619"/>
      <c r="AQ159" s="619"/>
      <c r="AR159" s="619"/>
      <c r="AS159" s="619"/>
      <c r="AT159" s="619"/>
      <c r="AU159" s="619"/>
      <c r="AV159" s="619"/>
      <c r="AW159" s="619"/>
      <c r="AX159" s="619"/>
      <c r="AY159" s="619"/>
      <c r="AZ159" s="619"/>
      <c r="BA159" s="619"/>
      <c r="BB159" s="619"/>
      <c r="BC159" s="412"/>
      <c r="BD159" s="619"/>
      <c r="BE159" s="619"/>
      <c r="BF159" s="619"/>
      <c r="BG159" s="619"/>
      <c r="BH159" s="619"/>
      <c r="BI159" s="619"/>
      <c r="BJ159" s="412"/>
      <c r="BK159" s="619"/>
      <c r="BL159" s="619"/>
      <c r="BM159" s="619"/>
      <c r="BN159" s="619"/>
      <c r="BO159" s="412"/>
      <c r="BP159" s="619"/>
      <c r="BQ159" s="619"/>
      <c r="BR159" s="412"/>
      <c r="BS159" s="412"/>
      <c r="BT159" s="412"/>
    </row>
    <row r="160" spans="4:72" ht="20" customHeight="1">
      <c r="D160" s="412"/>
      <c r="E160" s="412"/>
      <c r="F160" s="412"/>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412"/>
      <c r="AM160" s="412"/>
      <c r="AN160" s="619"/>
      <c r="AO160" s="619"/>
      <c r="AP160" s="619"/>
      <c r="AQ160" s="619"/>
      <c r="AR160" s="619"/>
      <c r="AS160" s="619"/>
      <c r="AT160" s="619"/>
      <c r="AU160" s="619"/>
      <c r="AV160" s="619"/>
      <c r="AW160" s="619"/>
      <c r="AX160" s="619"/>
      <c r="AY160" s="619"/>
      <c r="AZ160" s="619"/>
      <c r="BA160" s="619"/>
      <c r="BB160" s="619"/>
      <c r="BC160" s="412"/>
      <c r="BD160" s="619"/>
      <c r="BE160" s="619"/>
      <c r="BF160" s="619"/>
      <c r="BG160" s="619"/>
      <c r="BH160" s="619"/>
      <c r="BI160" s="619"/>
      <c r="BJ160" s="412"/>
      <c r="BK160" s="619"/>
      <c r="BL160" s="619"/>
      <c r="BM160" s="619"/>
      <c r="BN160" s="619"/>
      <c r="BO160" s="412"/>
      <c r="BP160" s="619"/>
      <c r="BQ160" s="619"/>
      <c r="BR160" s="412"/>
      <c r="BS160" s="412"/>
      <c r="BT160" s="412"/>
    </row>
    <row r="161" spans="4:72" ht="20" customHeight="1">
      <c r="D161" s="412"/>
      <c r="E161" s="412"/>
      <c r="F161" s="412"/>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412"/>
      <c r="AM161" s="412"/>
      <c r="AN161" s="619"/>
      <c r="AO161" s="619"/>
      <c r="AP161" s="619"/>
      <c r="AQ161" s="619"/>
      <c r="AR161" s="619"/>
      <c r="AS161" s="619"/>
      <c r="AT161" s="619"/>
      <c r="AU161" s="619"/>
      <c r="AV161" s="619"/>
      <c r="AW161" s="619"/>
      <c r="AX161" s="619"/>
      <c r="AY161" s="619"/>
      <c r="AZ161" s="619"/>
      <c r="BA161" s="619"/>
      <c r="BB161" s="619"/>
      <c r="BC161" s="412"/>
      <c r="BD161" s="619"/>
      <c r="BE161" s="619"/>
      <c r="BF161" s="619"/>
      <c r="BG161" s="619"/>
      <c r="BH161" s="619"/>
      <c r="BI161" s="619"/>
      <c r="BJ161" s="412"/>
      <c r="BK161" s="619"/>
      <c r="BL161" s="619"/>
      <c r="BM161" s="619"/>
      <c r="BN161" s="619"/>
      <c r="BO161" s="412"/>
      <c r="BP161" s="619"/>
      <c r="BQ161" s="619"/>
      <c r="BR161" s="412"/>
      <c r="BS161" s="412"/>
      <c r="BT161" s="412"/>
    </row>
    <row r="162" spans="4:72" ht="20" customHeight="1">
      <c r="D162" s="412"/>
      <c r="E162" s="412"/>
      <c r="F162" s="412"/>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412"/>
      <c r="AM162" s="412"/>
      <c r="AN162" s="619"/>
      <c r="AO162" s="619"/>
      <c r="AP162" s="619"/>
      <c r="AQ162" s="619"/>
      <c r="AR162" s="619"/>
      <c r="AS162" s="619"/>
      <c r="AT162" s="619"/>
      <c r="AU162" s="619"/>
      <c r="AV162" s="619"/>
      <c r="AW162" s="619"/>
      <c r="AX162" s="619"/>
      <c r="AY162" s="619"/>
      <c r="AZ162" s="619"/>
      <c r="BA162" s="619"/>
      <c r="BB162" s="619"/>
      <c r="BC162" s="412"/>
      <c r="BD162" s="619"/>
      <c r="BE162" s="619"/>
      <c r="BF162" s="619"/>
      <c r="BG162" s="619"/>
      <c r="BH162" s="619"/>
      <c r="BI162" s="619"/>
      <c r="BJ162" s="412"/>
      <c r="BK162" s="619"/>
      <c r="BL162" s="619"/>
      <c r="BM162" s="619"/>
      <c r="BN162" s="619"/>
      <c r="BO162" s="412"/>
      <c r="BP162" s="619"/>
      <c r="BQ162" s="619"/>
      <c r="BR162" s="412"/>
      <c r="BS162" s="412"/>
      <c r="BT162" s="412"/>
    </row>
    <row r="163" spans="4:72" ht="20" customHeight="1">
      <c r="D163" s="412"/>
      <c r="E163" s="412"/>
      <c r="F163" s="412"/>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412"/>
      <c r="AM163" s="412"/>
      <c r="AN163" s="619"/>
      <c r="AO163" s="619"/>
      <c r="AP163" s="619"/>
      <c r="AQ163" s="619"/>
      <c r="AR163" s="619"/>
      <c r="AS163" s="619"/>
      <c r="AT163" s="619"/>
      <c r="AU163" s="619"/>
      <c r="AV163" s="619"/>
      <c r="AW163" s="619"/>
      <c r="AX163" s="619"/>
      <c r="AY163" s="619"/>
      <c r="AZ163" s="619"/>
      <c r="BA163" s="619"/>
      <c r="BB163" s="619"/>
      <c r="BC163" s="412"/>
      <c r="BD163" s="619"/>
      <c r="BE163" s="619"/>
      <c r="BF163" s="619"/>
      <c r="BG163" s="619"/>
      <c r="BH163" s="619"/>
      <c r="BI163" s="619"/>
      <c r="BJ163" s="412"/>
      <c r="BK163" s="619"/>
      <c r="BL163" s="619"/>
      <c r="BM163" s="619"/>
      <c r="BN163" s="619"/>
      <c r="BO163" s="412"/>
      <c r="BP163" s="619"/>
      <c r="BQ163" s="619"/>
      <c r="BR163" s="412"/>
      <c r="BS163" s="412"/>
      <c r="BT163" s="412"/>
    </row>
    <row r="164" spans="4:72" ht="20" customHeight="1">
      <c r="D164" s="412"/>
      <c r="E164" s="412"/>
      <c r="F164" s="412"/>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412"/>
      <c r="AM164" s="412"/>
      <c r="AN164" s="619"/>
      <c r="AO164" s="619"/>
      <c r="AP164" s="619"/>
      <c r="AQ164" s="619"/>
      <c r="AR164" s="619"/>
      <c r="AS164" s="619"/>
      <c r="AT164" s="619"/>
      <c r="AU164" s="619"/>
      <c r="AV164" s="619"/>
      <c r="AW164" s="619"/>
      <c r="AX164" s="619"/>
      <c r="AY164" s="619"/>
      <c r="AZ164" s="619"/>
      <c r="BA164" s="619"/>
      <c r="BB164" s="619"/>
      <c r="BC164" s="412"/>
      <c r="BD164" s="619"/>
      <c r="BE164" s="619"/>
      <c r="BF164" s="619"/>
      <c r="BG164" s="619"/>
      <c r="BH164" s="619"/>
      <c r="BI164" s="619"/>
      <c r="BJ164" s="412"/>
      <c r="BK164" s="619"/>
      <c r="BL164" s="619"/>
      <c r="BM164" s="619"/>
      <c r="BN164" s="619"/>
      <c r="BO164" s="412"/>
      <c r="BP164" s="619"/>
      <c r="BQ164" s="619"/>
      <c r="BR164" s="412"/>
      <c r="BS164" s="412"/>
      <c r="BT164" s="412"/>
    </row>
    <row r="165" spans="4:72" ht="20" customHeight="1">
      <c r="D165" s="412"/>
      <c r="E165" s="412"/>
      <c r="F165" s="412"/>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412"/>
      <c r="AM165" s="412"/>
      <c r="AN165" s="619"/>
      <c r="AO165" s="619"/>
      <c r="AP165" s="619"/>
      <c r="AQ165" s="619"/>
      <c r="AR165" s="619"/>
      <c r="AS165" s="619"/>
      <c r="AT165" s="619"/>
      <c r="AU165" s="619"/>
      <c r="AV165" s="619"/>
      <c r="AW165" s="619"/>
      <c r="AX165" s="619"/>
      <c r="AY165" s="619"/>
      <c r="AZ165" s="619"/>
      <c r="BA165" s="619"/>
      <c r="BB165" s="619"/>
      <c r="BC165" s="412"/>
      <c r="BD165" s="619"/>
      <c r="BE165" s="619"/>
      <c r="BF165" s="619"/>
      <c r="BG165" s="619"/>
      <c r="BH165" s="619"/>
      <c r="BI165" s="619"/>
      <c r="BJ165" s="412"/>
      <c r="BK165" s="619"/>
      <c r="BL165" s="619"/>
      <c r="BM165" s="619"/>
      <c r="BN165" s="619"/>
      <c r="BO165" s="412"/>
      <c r="BP165" s="619"/>
      <c r="BQ165" s="619"/>
      <c r="BR165" s="412"/>
      <c r="BS165" s="412"/>
      <c r="BT165" s="412"/>
    </row>
    <row r="166" spans="4:72" ht="20" customHeight="1">
      <c r="D166" s="412"/>
      <c r="E166" s="412"/>
      <c r="F166" s="412"/>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412"/>
      <c r="AM166" s="412"/>
      <c r="AN166" s="619"/>
      <c r="AO166" s="619"/>
      <c r="AP166" s="619"/>
      <c r="AQ166" s="619"/>
      <c r="AR166" s="619"/>
      <c r="AS166" s="619"/>
      <c r="AT166" s="619"/>
      <c r="AU166" s="619"/>
      <c r="AV166" s="619"/>
      <c r="AW166" s="619"/>
      <c r="AX166" s="619"/>
      <c r="AY166" s="619"/>
      <c r="AZ166" s="619"/>
      <c r="BA166" s="619"/>
      <c r="BB166" s="619"/>
      <c r="BC166" s="412"/>
      <c r="BD166" s="619"/>
      <c r="BE166" s="619"/>
      <c r="BF166" s="619"/>
      <c r="BG166" s="619"/>
      <c r="BH166" s="619"/>
      <c r="BI166" s="619"/>
      <c r="BJ166" s="412"/>
      <c r="BK166" s="619"/>
      <c r="BL166" s="619"/>
      <c r="BM166" s="619"/>
      <c r="BN166" s="619"/>
      <c r="BO166" s="412"/>
      <c r="BP166" s="619"/>
      <c r="BQ166" s="619"/>
      <c r="BR166" s="412"/>
      <c r="BS166" s="412"/>
      <c r="BT166" s="412"/>
    </row>
    <row r="167" spans="4:72" ht="20" customHeight="1">
      <c r="D167" s="412"/>
      <c r="E167" s="412"/>
      <c r="F167" s="412"/>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412"/>
      <c r="AM167" s="412"/>
      <c r="AN167" s="619"/>
      <c r="AO167" s="619"/>
      <c r="AP167" s="619"/>
      <c r="AQ167" s="619"/>
      <c r="AR167" s="619"/>
      <c r="AS167" s="619"/>
      <c r="AT167" s="619"/>
      <c r="AU167" s="619"/>
      <c r="AV167" s="619"/>
      <c r="AW167" s="619"/>
      <c r="AX167" s="619"/>
      <c r="AY167" s="619"/>
      <c r="AZ167" s="619"/>
      <c r="BA167" s="619"/>
      <c r="BB167" s="619"/>
      <c r="BC167" s="412"/>
      <c r="BD167" s="619"/>
      <c r="BE167" s="619"/>
      <c r="BF167" s="619"/>
      <c r="BG167" s="619"/>
      <c r="BH167" s="619"/>
      <c r="BI167" s="619"/>
      <c r="BJ167" s="412"/>
      <c r="BK167" s="619"/>
      <c r="BL167" s="619"/>
      <c r="BM167" s="619"/>
      <c r="BN167" s="619"/>
      <c r="BO167" s="412"/>
      <c r="BP167" s="619"/>
      <c r="BQ167" s="619"/>
      <c r="BR167" s="412"/>
      <c r="BS167" s="412"/>
      <c r="BT167" s="412"/>
    </row>
    <row r="168" spans="4:72" ht="20" customHeight="1">
      <c r="D168" s="412"/>
      <c r="E168" s="412"/>
      <c r="F168" s="412"/>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412"/>
      <c r="AM168" s="412"/>
      <c r="AN168" s="619"/>
      <c r="AO168" s="619"/>
      <c r="AP168" s="619"/>
      <c r="AQ168" s="619"/>
      <c r="AR168" s="619"/>
      <c r="AS168" s="619"/>
      <c r="AT168" s="619"/>
      <c r="AU168" s="619"/>
      <c r="AV168" s="619"/>
      <c r="AW168" s="619"/>
      <c r="AX168" s="619"/>
      <c r="AY168" s="619"/>
      <c r="AZ168" s="619"/>
      <c r="BA168" s="619"/>
      <c r="BB168" s="619"/>
      <c r="BC168" s="412"/>
      <c r="BD168" s="619"/>
      <c r="BE168" s="619"/>
      <c r="BF168" s="619"/>
      <c r="BG168" s="619"/>
      <c r="BH168" s="619"/>
      <c r="BI168" s="619"/>
      <c r="BJ168" s="412"/>
      <c r="BK168" s="619"/>
      <c r="BL168" s="619"/>
      <c r="BM168" s="619"/>
      <c r="BN168" s="619"/>
      <c r="BO168" s="412"/>
      <c r="BP168" s="619"/>
      <c r="BQ168" s="619"/>
      <c r="BR168" s="412"/>
      <c r="BS168" s="412"/>
      <c r="BT168" s="412"/>
    </row>
    <row r="169" spans="4:72" ht="20" customHeight="1">
      <c r="D169" s="412"/>
      <c r="E169" s="412"/>
      <c r="F169" s="412"/>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412"/>
      <c r="AM169" s="412"/>
      <c r="AN169" s="619"/>
      <c r="AO169" s="619"/>
      <c r="AP169" s="619"/>
      <c r="AQ169" s="619"/>
      <c r="AR169" s="619"/>
      <c r="AS169" s="619"/>
      <c r="AT169" s="619"/>
      <c r="AU169" s="619"/>
      <c r="AV169" s="619"/>
      <c r="AW169" s="619"/>
      <c r="AX169" s="619"/>
      <c r="AY169" s="619"/>
      <c r="AZ169" s="619"/>
      <c r="BA169" s="619"/>
      <c r="BB169" s="619"/>
      <c r="BC169" s="412"/>
      <c r="BD169" s="619"/>
      <c r="BE169" s="619"/>
      <c r="BF169" s="619"/>
      <c r="BG169" s="619"/>
      <c r="BH169" s="619"/>
      <c r="BI169" s="619"/>
      <c r="BJ169" s="412"/>
      <c r="BK169" s="619"/>
      <c r="BL169" s="619"/>
      <c r="BM169" s="619"/>
      <c r="BN169" s="619"/>
      <c r="BO169" s="412"/>
      <c r="BP169" s="619"/>
      <c r="BQ169" s="619"/>
      <c r="BR169" s="412"/>
      <c r="BS169" s="412"/>
      <c r="BT169" s="412"/>
    </row>
    <row r="170" spans="4:72" ht="20" customHeight="1">
      <c r="D170" s="412"/>
      <c r="E170" s="412"/>
      <c r="F170" s="412"/>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412"/>
      <c r="AM170" s="412"/>
      <c r="AN170" s="619"/>
      <c r="AO170" s="619"/>
      <c r="AP170" s="619"/>
      <c r="AQ170" s="619"/>
      <c r="AR170" s="619"/>
      <c r="AS170" s="619"/>
      <c r="AT170" s="619"/>
      <c r="AU170" s="619"/>
      <c r="AV170" s="619"/>
      <c r="AW170" s="619"/>
      <c r="AX170" s="619"/>
      <c r="AY170" s="619"/>
      <c r="AZ170" s="619"/>
      <c r="BA170" s="619"/>
      <c r="BB170" s="619"/>
      <c r="BC170" s="412"/>
      <c r="BD170" s="619"/>
      <c r="BE170" s="619"/>
      <c r="BF170" s="619"/>
      <c r="BG170" s="619"/>
      <c r="BH170" s="619"/>
      <c r="BI170" s="619"/>
      <c r="BJ170" s="412"/>
      <c r="BK170" s="619"/>
      <c r="BL170" s="619"/>
      <c r="BM170" s="619"/>
      <c r="BN170" s="619"/>
      <c r="BO170" s="412"/>
      <c r="BP170" s="619"/>
      <c r="BQ170" s="619"/>
      <c r="BR170" s="412"/>
      <c r="BS170" s="412"/>
      <c r="BT170" s="412"/>
    </row>
    <row r="171" spans="4:72" ht="20" customHeight="1">
      <c r="D171" s="161"/>
      <c r="E171" s="161"/>
      <c r="F171" s="161"/>
      <c r="G171" s="161"/>
      <c r="H171" s="161"/>
      <c r="I171" s="161"/>
      <c r="J171" s="161"/>
      <c r="K171" s="161"/>
      <c r="L171" s="161"/>
      <c r="M171" s="161"/>
      <c r="N171" s="161"/>
      <c r="O171" s="161"/>
      <c r="P171" s="161"/>
      <c r="Q171" s="161"/>
      <c r="R171" s="161"/>
      <c r="S171" s="161"/>
      <c r="T171" s="161"/>
      <c r="U171" s="161"/>
      <c r="V171" s="161"/>
      <c r="W171" s="161"/>
      <c r="X171" s="161"/>
      <c r="Y171" s="161"/>
      <c r="Z171" s="161"/>
      <c r="AA171" s="161"/>
      <c r="AB171" s="161"/>
      <c r="AC171" s="161"/>
      <c r="AD171" s="161"/>
      <c r="AE171" s="161"/>
      <c r="AF171" s="161"/>
      <c r="AG171" s="161"/>
      <c r="AH171" s="161"/>
      <c r="AI171" s="161"/>
      <c r="AJ171" s="161"/>
      <c r="AK171" s="161"/>
      <c r="AL171" s="161"/>
      <c r="AM171" s="161"/>
      <c r="AN171" s="161"/>
      <c r="AO171" s="161"/>
      <c r="AP171" s="161"/>
      <c r="AQ171" s="161"/>
      <c r="AR171" s="161"/>
      <c r="AS171" s="161"/>
      <c r="AT171" s="161"/>
      <c r="AU171" s="161"/>
      <c r="AV171" s="161"/>
      <c r="AW171" s="161"/>
      <c r="AX171" s="161"/>
      <c r="AY171" s="161"/>
      <c r="AZ171" s="161"/>
      <c r="BA171" s="161"/>
      <c r="BB171" s="161"/>
      <c r="BC171" s="161"/>
      <c r="BD171" s="161"/>
      <c r="BE171" s="161"/>
      <c r="BF171" s="161"/>
      <c r="BG171" s="161"/>
      <c r="BH171" s="161"/>
      <c r="BI171" s="161"/>
      <c r="BJ171" s="161"/>
      <c r="BK171" s="161"/>
      <c r="BL171" s="161"/>
      <c r="BM171" s="161"/>
      <c r="BN171" s="161"/>
      <c r="BO171" s="161"/>
      <c r="BP171" s="161"/>
      <c r="BQ171" s="161"/>
      <c r="BR171" s="161"/>
      <c r="BS171" s="161"/>
      <c r="BT171" s="161"/>
    </row>
    <row r="172" spans="4:72" ht="20" customHeight="1">
      <c r="D172" s="161"/>
      <c r="E172" s="161"/>
      <c r="F172" s="161"/>
      <c r="G172" s="161"/>
      <c r="H172" s="161"/>
      <c r="I172" s="161"/>
      <c r="J172" s="161"/>
      <c r="K172" s="161"/>
      <c r="L172" s="161"/>
      <c r="M172" s="161"/>
      <c r="N172" s="161"/>
      <c r="O172" s="161"/>
      <c r="P172" s="161"/>
      <c r="Q172" s="161"/>
      <c r="R172" s="161"/>
      <c r="S172" s="161"/>
      <c r="T172" s="161"/>
      <c r="U172" s="161"/>
      <c r="V172" s="161"/>
      <c r="W172" s="161"/>
      <c r="X172" s="161"/>
      <c r="Y172" s="161"/>
      <c r="Z172" s="161"/>
      <c r="AA172" s="161"/>
      <c r="AB172" s="161"/>
      <c r="AC172" s="161"/>
      <c r="AD172" s="161"/>
      <c r="AE172" s="161"/>
      <c r="AF172" s="161"/>
      <c r="AG172" s="161"/>
      <c r="AH172" s="161"/>
      <c r="AI172" s="161"/>
      <c r="AJ172" s="161"/>
      <c r="AK172" s="161"/>
      <c r="AL172" s="161"/>
      <c r="AM172" s="161"/>
      <c r="AN172" s="161"/>
      <c r="AO172" s="161"/>
      <c r="AP172" s="161"/>
      <c r="AQ172" s="161"/>
      <c r="AR172" s="161"/>
      <c r="AS172" s="161"/>
      <c r="AT172" s="161"/>
      <c r="AU172" s="161"/>
      <c r="AV172" s="161"/>
      <c r="AW172" s="161"/>
      <c r="AX172" s="161"/>
      <c r="AY172" s="161"/>
      <c r="AZ172" s="161"/>
      <c r="BA172" s="161"/>
      <c r="BB172" s="161"/>
      <c r="BC172" s="161"/>
      <c r="BD172" s="161"/>
      <c r="BE172" s="161"/>
      <c r="BF172" s="161"/>
      <c r="BG172" s="161"/>
      <c r="BH172" s="161"/>
      <c r="BI172" s="161"/>
      <c r="BJ172" s="161"/>
      <c r="BK172" s="161"/>
      <c r="BL172" s="161"/>
      <c r="BM172" s="161"/>
      <c r="BN172" s="161"/>
      <c r="BO172" s="161"/>
      <c r="BP172" s="161"/>
      <c r="BQ172" s="161"/>
      <c r="BR172" s="161"/>
      <c r="BS172" s="161"/>
      <c r="BT172" s="161"/>
    </row>
    <row r="173" spans="4:72" ht="20" customHeight="1">
      <c r="D173" s="161"/>
      <c r="E173" s="161"/>
      <c r="F173" s="161"/>
      <c r="G173" s="161"/>
      <c r="H173" s="161"/>
      <c r="I173" s="161"/>
      <c r="J173" s="161"/>
      <c r="K173" s="161"/>
      <c r="L173" s="161"/>
      <c r="M173" s="161"/>
      <c r="N173" s="161"/>
      <c r="O173" s="161"/>
      <c r="P173" s="161"/>
      <c r="Q173" s="161"/>
      <c r="R173" s="161"/>
      <c r="S173" s="161"/>
      <c r="T173" s="161"/>
      <c r="U173" s="161"/>
      <c r="V173" s="161"/>
      <c r="W173" s="161"/>
      <c r="X173" s="161"/>
      <c r="Y173" s="161"/>
      <c r="Z173" s="161"/>
      <c r="AA173" s="161"/>
      <c r="AB173" s="161"/>
      <c r="AC173" s="161"/>
      <c r="AD173" s="161"/>
      <c r="AE173" s="161"/>
      <c r="AF173" s="161"/>
      <c r="AG173" s="161"/>
      <c r="AH173" s="161"/>
      <c r="AI173" s="161"/>
      <c r="AJ173" s="161"/>
      <c r="AK173" s="161"/>
      <c r="AL173" s="161"/>
      <c r="AM173" s="161"/>
      <c r="AN173" s="161"/>
      <c r="AO173" s="161"/>
      <c r="AP173" s="161"/>
      <c r="AQ173" s="161"/>
      <c r="AR173" s="161"/>
      <c r="AS173" s="161"/>
      <c r="AT173" s="161"/>
      <c r="AU173" s="161"/>
      <c r="AV173" s="161"/>
      <c r="AW173" s="161"/>
      <c r="AX173" s="161"/>
      <c r="AY173" s="161"/>
      <c r="AZ173" s="161"/>
      <c r="BA173" s="161"/>
      <c r="BB173" s="161"/>
      <c r="BC173" s="161"/>
      <c r="BD173" s="161"/>
      <c r="BE173" s="161"/>
      <c r="BF173" s="161"/>
      <c r="BG173" s="161"/>
      <c r="BH173" s="161"/>
      <c r="BI173" s="161"/>
      <c r="BJ173" s="161"/>
      <c r="BK173" s="161"/>
      <c r="BL173" s="161"/>
      <c r="BM173" s="161"/>
      <c r="BN173" s="161"/>
      <c r="BO173" s="161"/>
      <c r="BP173" s="161"/>
      <c r="BQ173" s="161"/>
      <c r="BR173" s="161"/>
      <c r="BS173" s="161"/>
      <c r="BT173" s="161"/>
    </row>
    <row r="174" spans="4:72" ht="20" customHeight="1">
      <c r="D174" s="161"/>
      <c r="E174" s="161"/>
      <c r="F174" s="161"/>
      <c r="G174" s="161"/>
      <c r="H174" s="161"/>
      <c r="I174" s="161"/>
      <c r="J174" s="161"/>
      <c r="K174" s="161"/>
      <c r="L174" s="161"/>
      <c r="M174" s="161"/>
      <c r="N174" s="161"/>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161"/>
      <c r="AR174" s="161"/>
      <c r="AS174" s="161"/>
      <c r="AT174" s="161"/>
      <c r="AU174" s="161"/>
      <c r="AV174" s="161"/>
      <c r="AW174" s="161"/>
      <c r="AX174" s="161"/>
      <c r="AY174" s="161"/>
      <c r="AZ174" s="161"/>
      <c r="BA174" s="161"/>
      <c r="BB174" s="161"/>
      <c r="BC174" s="161"/>
      <c r="BD174" s="161"/>
      <c r="BE174" s="161"/>
      <c r="BF174" s="161"/>
      <c r="BG174" s="161"/>
      <c r="BH174" s="161"/>
      <c r="BI174" s="161"/>
      <c r="BJ174" s="161"/>
      <c r="BK174" s="161"/>
      <c r="BL174" s="161"/>
      <c r="BM174" s="161"/>
      <c r="BN174" s="161"/>
      <c r="BO174" s="161"/>
      <c r="BP174" s="161"/>
      <c r="BQ174" s="161"/>
      <c r="BR174" s="161"/>
      <c r="BS174" s="161"/>
      <c r="BT174" s="161"/>
    </row>
    <row r="175" spans="4:72" ht="20" customHeight="1">
      <c r="D175" s="161"/>
      <c r="E175" s="161"/>
      <c r="F175" s="161"/>
      <c r="G175" s="161"/>
      <c r="H175" s="161"/>
      <c r="I175" s="161"/>
      <c r="J175" s="161"/>
      <c r="K175" s="161"/>
      <c r="L175" s="161"/>
      <c r="M175" s="161"/>
      <c r="N175" s="161"/>
      <c r="O175" s="161"/>
      <c r="P175" s="161"/>
      <c r="Q175" s="161"/>
      <c r="R175" s="161"/>
      <c r="S175" s="161"/>
      <c r="T175" s="161"/>
      <c r="U175" s="161"/>
      <c r="V175" s="161"/>
      <c r="W175" s="161"/>
      <c r="X175" s="161"/>
      <c r="Y175" s="161"/>
      <c r="Z175" s="161"/>
      <c r="AA175" s="161"/>
      <c r="AB175" s="161"/>
      <c r="AC175" s="161"/>
      <c r="AD175" s="161"/>
      <c r="AE175" s="161"/>
      <c r="AF175" s="161"/>
      <c r="AG175" s="161"/>
      <c r="AH175" s="161"/>
      <c r="AI175" s="161"/>
      <c r="AJ175" s="161"/>
      <c r="AK175" s="161"/>
      <c r="AL175" s="161"/>
      <c r="AM175" s="161"/>
      <c r="AN175" s="161"/>
      <c r="AO175" s="161"/>
      <c r="AP175" s="161"/>
      <c r="AQ175" s="161"/>
      <c r="AR175" s="161"/>
      <c r="AS175" s="161"/>
      <c r="AT175" s="161"/>
      <c r="AU175" s="161"/>
      <c r="AV175" s="161"/>
      <c r="AW175" s="161"/>
      <c r="AX175" s="161"/>
      <c r="AY175" s="161"/>
      <c r="AZ175" s="161"/>
      <c r="BA175" s="161"/>
      <c r="BB175" s="161"/>
      <c r="BC175" s="161"/>
      <c r="BD175" s="161"/>
      <c r="BE175" s="161"/>
      <c r="BF175" s="161"/>
      <c r="BG175" s="161"/>
      <c r="BH175" s="161"/>
      <c r="BI175" s="161"/>
      <c r="BJ175" s="161"/>
      <c r="BK175" s="161"/>
      <c r="BL175" s="161"/>
      <c r="BM175" s="161"/>
      <c r="BN175" s="161"/>
      <c r="BO175" s="161"/>
      <c r="BP175" s="161"/>
      <c r="BQ175" s="161"/>
      <c r="BR175" s="161"/>
      <c r="BS175" s="161"/>
      <c r="BT175" s="161"/>
    </row>
    <row r="176" spans="4:72" ht="20" customHeight="1">
      <c r="D176" s="161"/>
      <c r="E176" s="161"/>
      <c r="F176" s="161"/>
      <c r="G176" s="161"/>
      <c r="H176" s="161"/>
      <c r="I176" s="161"/>
      <c r="J176" s="161"/>
      <c r="K176" s="161"/>
      <c r="L176" s="161"/>
      <c r="M176" s="161"/>
      <c r="N176" s="161"/>
      <c r="O176" s="161"/>
      <c r="P176" s="161"/>
      <c r="Q176" s="161"/>
      <c r="R176" s="161"/>
      <c r="S176" s="161"/>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c r="BG176" s="161"/>
      <c r="BH176" s="161"/>
      <c r="BI176" s="161"/>
      <c r="BJ176" s="161"/>
      <c r="BK176" s="161"/>
      <c r="BL176" s="161"/>
      <c r="BM176" s="161"/>
      <c r="BN176" s="161"/>
      <c r="BO176" s="161"/>
      <c r="BP176" s="161"/>
      <c r="BQ176" s="161"/>
      <c r="BR176" s="161"/>
      <c r="BS176" s="161"/>
      <c r="BT176" s="161"/>
    </row>
    <row r="177" spans="4:72" ht="20" customHeight="1">
      <c r="D177" s="161"/>
      <c r="E177" s="161"/>
      <c r="F177" s="161"/>
      <c r="G177" s="161"/>
      <c r="H177" s="161"/>
      <c r="I177" s="161"/>
      <c r="J177" s="161"/>
      <c r="K177" s="161"/>
      <c r="L177" s="161"/>
      <c r="M177" s="161"/>
      <c r="N177" s="161"/>
      <c r="O177" s="161"/>
      <c r="P177" s="161"/>
      <c r="Q177" s="161"/>
      <c r="R177" s="161"/>
      <c r="S177" s="161"/>
      <c r="T177" s="161"/>
      <c r="U177" s="161"/>
      <c r="V177" s="161"/>
      <c r="W177" s="161"/>
      <c r="X177" s="161"/>
      <c r="Y177" s="161"/>
      <c r="Z177" s="161"/>
      <c r="AA177" s="161"/>
      <c r="AB177" s="161"/>
      <c r="AC177" s="161"/>
      <c r="AD177" s="161"/>
      <c r="AE177" s="161"/>
      <c r="AF177" s="161"/>
      <c r="AG177" s="161"/>
      <c r="AH177" s="161"/>
      <c r="AI177" s="161"/>
      <c r="AJ177" s="161"/>
      <c r="AK177" s="161"/>
      <c r="AL177" s="161"/>
      <c r="AM177" s="161"/>
      <c r="AN177" s="161"/>
      <c r="AO177" s="161"/>
      <c r="AP177" s="161"/>
      <c r="AQ177" s="161"/>
      <c r="AR177" s="161"/>
      <c r="AS177" s="161"/>
      <c r="AT177" s="161"/>
      <c r="AU177" s="161"/>
      <c r="AV177" s="161"/>
      <c r="AW177" s="161"/>
      <c r="AX177" s="161"/>
      <c r="AY177" s="161"/>
      <c r="AZ177" s="161"/>
      <c r="BA177" s="161"/>
      <c r="BB177" s="161"/>
      <c r="BC177" s="161"/>
      <c r="BD177" s="161"/>
      <c r="BE177" s="161"/>
      <c r="BF177" s="161"/>
      <c r="BG177" s="161"/>
      <c r="BH177" s="161"/>
      <c r="BI177" s="161"/>
      <c r="BJ177" s="161"/>
      <c r="BK177" s="161"/>
      <c r="BL177" s="161"/>
      <c r="BM177" s="161"/>
      <c r="BN177" s="161"/>
      <c r="BO177" s="161"/>
      <c r="BP177" s="161"/>
      <c r="BQ177" s="161"/>
      <c r="BR177" s="161"/>
      <c r="BS177" s="161"/>
      <c r="BT177" s="161"/>
    </row>
    <row r="178" spans="4:72" ht="20" customHeight="1">
      <c r="D178" s="161"/>
      <c r="E178" s="161"/>
      <c r="F178" s="161"/>
      <c r="G178" s="161"/>
      <c r="H178" s="161"/>
      <c r="I178" s="161"/>
      <c r="J178" s="161"/>
      <c r="K178" s="161"/>
      <c r="L178" s="161"/>
      <c r="M178" s="161"/>
      <c r="N178" s="161"/>
      <c r="O178" s="161"/>
      <c r="P178" s="161"/>
      <c r="Q178" s="161"/>
      <c r="R178" s="161"/>
      <c r="S178" s="161"/>
      <c r="T178" s="161"/>
      <c r="U178" s="161"/>
      <c r="V178" s="161"/>
      <c r="W178" s="161"/>
      <c r="X178" s="161"/>
      <c r="Y178" s="161"/>
      <c r="Z178" s="161"/>
      <c r="AA178" s="161"/>
      <c r="AB178" s="161"/>
      <c r="AC178" s="161"/>
      <c r="AD178" s="161"/>
      <c r="AE178" s="161"/>
      <c r="AF178" s="161"/>
      <c r="AG178" s="161"/>
      <c r="AH178" s="161"/>
      <c r="AI178" s="161"/>
      <c r="AJ178" s="161"/>
      <c r="AK178" s="161"/>
      <c r="AL178" s="161"/>
      <c r="AM178" s="161"/>
      <c r="AN178" s="161"/>
      <c r="AO178" s="161"/>
      <c r="AP178" s="161"/>
      <c r="AQ178" s="161"/>
      <c r="AR178" s="161"/>
      <c r="AS178" s="161"/>
      <c r="AT178" s="161"/>
      <c r="AU178" s="161"/>
      <c r="AV178" s="161"/>
      <c r="AW178" s="161"/>
      <c r="AX178" s="161"/>
      <c r="AY178" s="161"/>
      <c r="AZ178" s="161"/>
      <c r="BA178" s="161"/>
      <c r="BB178" s="161"/>
      <c r="BC178" s="161"/>
      <c r="BD178" s="161"/>
      <c r="BE178" s="161"/>
      <c r="BF178" s="161"/>
      <c r="BG178" s="161"/>
      <c r="BH178" s="161"/>
      <c r="BI178" s="161"/>
      <c r="BJ178" s="161"/>
      <c r="BK178" s="161"/>
      <c r="BL178" s="161"/>
      <c r="BM178" s="161"/>
      <c r="BN178" s="161"/>
      <c r="BO178" s="161"/>
      <c r="BP178" s="161"/>
      <c r="BQ178" s="161"/>
      <c r="BR178" s="161"/>
      <c r="BS178" s="161"/>
      <c r="BT178" s="161"/>
    </row>
    <row r="179" spans="4:72" ht="20" customHeight="1">
      <c r="D179" s="161"/>
      <c r="E179" s="161"/>
      <c r="F179" s="161"/>
      <c r="G179" s="161"/>
      <c r="H179" s="161"/>
      <c r="I179" s="161"/>
      <c r="J179" s="161"/>
      <c r="K179" s="161"/>
      <c r="L179" s="161"/>
      <c r="M179" s="161"/>
      <c r="N179" s="161"/>
      <c r="O179" s="161"/>
      <c r="P179" s="161"/>
      <c r="Q179" s="161"/>
      <c r="R179" s="161"/>
      <c r="S179" s="161"/>
      <c r="T179" s="161"/>
      <c r="U179" s="161"/>
      <c r="V179" s="161"/>
      <c r="W179" s="161"/>
      <c r="X179" s="161"/>
      <c r="Y179" s="161"/>
      <c r="Z179" s="161"/>
      <c r="AA179" s="161"/>
      <c r="AB179" s="161"/>
      <c r="AC179" s="161"/>
      <c r="AD179" s="161"/>
      <c r="AE179" s="161"/>
      <c r="AF179" s="161"/>
      <c r="AG179" s="161"/>
      <c r="AH179" s="161"/>
      <c r="AI179" s="161"/>
      <c r="AJ179" s="161"/>
      <c r="AK179" s="161"/>
      <c r="AL179" s="161"/>
      <c r="AM179" s="161"/>
      <c r="AN179" s="161"/>
      <c r="AO179" s="161"/>
      <c r="AP179" s="161"/>
      <c r="AQ179" s="161"/>
      <c r="AR179" s="161"/>
      <c r="AS179" s="161"/>
      <c r="AT179" s="161"/>
      <c r="AU179" s="161"/>
      <c r="AV179" s="161"/>
      <c r="AW179" s="161"/>
      <c r="AX179" s="161"/>
      <c r="AY179" s="161"/>
      <c r="AZ179" s="161"/>
      <c r="BA179" s="161"/>
      <c r="BB179" s="161"/>
      <c r="BC179" s="161"/>
      <c r="BD179" s="161"/>
      <c r="BE179" s="161"/>
      <c r="BF179" s="161"/>
      <c r="BG179" s="161"/>
      <c r="BH179" s="161"/>
      <c r="BI179" s="161"/>
      <c r="BJ179" s="161"/>
      <c r="BK179" s="161"/>
      <c r="BL179" s="161"/>
      <c r="BM179" s="161"/>
      <c r="BN179" s="161"/>
      <c r="BO179" s="161"/>
      <c r="BP179" s="161"/>
      <c r="BQ179" s="161"/>
      <c r="BR179" s="161"/>
      <c r="BS179" s="161"/>
      <c r="BT179" s="161"/>
    </row>
    <row r="180" spans="4:72" ht="20" customHeight="1">
      <c r="D180" s="161"/>
      <c r="E180" s="161"/>
      <c r="F180" s="161"/>
      <c r="G180" s="161"/>
      <c r="H180" s="161"/>
      <c r="I180" s="161"/>
      <c r="J180" s="161"/>
      <c r="K180" s="161"/>
      <c r="L180" s="161"/>
      <c r="M180" s="161"/>
      <c r="N180" s="161"/>
      <c r="O180" s="161"/>
      <c r="P180" s="161"/>
      <c r="Q180" s="161"/>
      <c r="R180" s="161"/>
      <c r="S180" s="161"/>
      <c r="T180" s="161"/>
      <c r="U180" s="161"/>
      <c r="V180" s="161"/>
      <c r="W180" s="161"/>
      <c r="X180" s="161"/>
      <c r="Y180" s="161"/>
      <c r="Z180" s="161"/>
      <c r="AA180" s="161"/>
      <c r="AB180" s="161"/>
      <c r="AC180" s="161"/>
      <c r="AD180" s="161"/>
      <c r="AE180" s="161"/>
      <c r="AF180" s="161"/>
      <c r="AG180" s="161"/>
      <c r="AH180" s="161"/>
      <c r="AI180" s="161"/>
      <c r="AJ180" s="161"/>
      <c r="AK180" s="161"/>
      <c r="AL180" s="161"/>
      <c r="AM180" s="161"/>
      <c r="AN180" s="161"/>
      <c r="AO180" s="161"/>
      <c r="AP180" s="161"/>
      <c r="AQ180" s="161"/>
      <c r="AR180" s="161"/>
      <c r="AS180" s="161"/>
      <c r="AT180" s="161"/>
      <c r="AU180" s="161"/>
      <c r="AV180" s="161"/>
      <c r="AW180" s="161"/>
      <c r="AX180" s="161"/>
      <c r="AY180" s="161"/>
      <c r="AZ180" s="161"/>
      <c r="BA180" s="161"/>
      <c r="BB180" s="161"/>
      <c r="BC180" s="161"/>
      <c r="BD180" s="161"/>
      <c r="BE180" s="161"/>
      <c r="BF180" s="161"/>
      <c r="BG180" s="161"/>
      <c r="BH180" s="161"/>
      <c r="BI180" s="161"/>
      <c r="BJ180" s="161"/>
      <c r="BK180" s="161"/>
      <c r="BL180" s="161"/>
      <c r="BM180" s="161"/>
      <c r="BN180" s="161"/>
      <c r="BO180" s="161"/>
      <c r="BP180" s="161"/>
      <c r="BQ180" s="161"/>
      <c r="BR180" s="161"/>
      <c r="BS180" s="161"/>
      <c r="BT180" s="161"/>
    </row>
    <row r="181" spans="4:72" ht="20" customHeight="1">
      <c r="D181" s="161"/>
      <c r="E181" s="161"/>
      <c r="F181" s="161"/>
      <c r="G181" s="161"/>
      <c r="H181" s="161"/>
      <c r="I181" s="161"/>
      <c r="J181" s="161"/>
      <c r="K181" s="161"/>
      <c r="L181" s="161"/>
      <c r="M181" s="161"/>
      <c r="N181" s="161"/>
      <c r="O181" s="161"/>
      <c r="P181" s="161"/>
      <c r="Q181" s="161"/>
      <c r="R181" s="161"/>
      <c r="S181" s="161"/>
      <c r="T181" s="161"/>
      <c r="U181" s="161"/>
      <c r="V181" s="161"/>
      <c r="W181" s="161"/>
      <c r="X181" s="161"/>
      <c r="Y181" s="161"/>
      <c r="Z181" s="161"/>
      <c r="AA181" s="161"/>
      <c r="AB181" s="161"/>
      <c r="AC181" s="161"/>
      <c r="AD181" s="161"/>
      <c r="AE181" s="161"/>
      <c r="AF181" s="161"/>
      <c r="AG181" s="161"/>
      <c r="AH181" s="161"/>
      <c r="AI181" s="161"/>
      <c r="AJ181" s="161"/>
      <c r="AK181" s="161"/>
      <c r="AL181" s="161"/>
      <c r="AM181" s="161"/>
      <c r="AN181" s="161"/>
      <c r="AO181" s="161"/>
      <c r="AP181" s="161"/>
      <c r="AQ181" s="161"/>
      <c r="AR181" s="161"/>
      <c r="AS181" s="161"/>
      <c r="AT181" s="161"/>
      <c r="AU181" s="161"/>
      <c r="AV181" s="161"/>
      <c r="AW181" s="161"/>
      <c r="AX181" s="161"/>
      <c r="AY181" s="161"/>
      <c r="AZ181" s="161"/>
      <c r="BA181" s="161"/>
      <c r="BB181" s="161"/>
      <c r="BC181" s="161"/>
      <c r="BD181" s="161"/>
      <c r="BE181" s="161"/>
      <c r="BF181" s="161"/>
      <c r="BG181" s="161"/>
      <c r="BH181" s="161"/>
      <c r="BI181" s="161"/>
      <c r="BJ181" s="161"/>
      <c r="BK181" s="161"/>
      <c r="BL181" s="161"/>
      <c r="BM181" s="161"/>
      <c r="BN181" s="161"/>
      <c r="BO181" s="161"/>
      <c r="BP181" s="161"/>
      <c r="BQ181" s="161"/>
      <c r="BR181" s="161"/>
      <c r="BS181" s="161"/>
      <c r="BT181" s="161"/>
    </row>
    <row r="182" spans="4:72" ht="20" customHeight="1">
      <c r="D182" s="161"/>
      <c r="E182" s="161"/>
      <c r="F182" s="161"/>
      <c r="G182" s="161"/>
      <c r="H182" s="161"/>
      <c r="I182" s="161"/>
      <c r="J182" s="161"/>
      <c r="K182" s="161"/>
      <c r="L182" s="161"/>
      <c r="M182" s="161"/>
      <c r="N182" s="161"/>
      <c r="O182" s="161"/>
      <c r="P182" s="161"/>
      <c r="Q182" s="161"/>
      <c r="R182" s="161"/>
      <c r="S182" s="161"/>
      <c r="T182" s="161"/>
      <c r="U182" s="161"/>
      <c r="V182" s="161"/>
      <c r="W182" s="161"/>
      <c r="X182" s="161"/>
      <c r="Y182" s="161"/>
      <c r="Z182" s="161"/>
      <c r="AA182" s="161"/>
      <c r="AB182" s="161"/>
      <c r="AC182" s="161"/>
      <c r="AD182" s="161"/>
      <c r="AE182" s="161"/>
      <c r="AF182" s="161"/>
      <c r="AG182" s="161"/>
      <c r="AH182" s="161"/>
      <c r="AI182" s="161"/>
      <c r="AJ182" s="161"/>
      <c r="AK182" s="161"/>
      <c r="AL182" s="161"/>
      <c r="AM182" s="161"/>
      <c r="AN182" s="161"/>
      <c r="AO182" s="161"/>
      <c r="AP182" s="161"/>
      <c r="AQ182" s="161"/>
      <c r="AR182" s="161"/>
      <c r="AS182" s="161"/>
      <c r="AT182" s="161"/>
      <c r="AU182" s="161"/>
      <c r="AV182" s="161"/>
      <c r="AW182" s="161"/>
      <c r="AX182" s="161"/>
      <c r="AY182" s="161"/>
      <c r="AZ182" s="161"/>
      <c r="BA182" s="161"/>
      <c r="BB182" s="161"/>
      <c r="BC182" s="161"/>
      <c r="BD182" s="161"/>
      <c r="BE182" s="161"/>
      <c r="BF182" s="161"/>
      <c r="BG182" s="161"/>
      <c r="BH182" s="161"/>
      <c r="BI182" s="161"/>
      <c r="BJ182" s="161"/>
      <c r="BK182" s="161"/>
      <c r="BL182" s="161"/>
      <c r="BM182" s="161"/>
      <c r="BN182" s="161"/>
      <c r="BO182" s="161"/>
      <c r="BP182" s="161"/>
      <c r="BQ182" s="161"/>
      <c r="BR182" s="161"/>
      <c r="BS182" s="161"/>
      <c r="BT182" s="161"/>
    </row>
    <row r="183" spans="4:72" ht="20" customHeight="1">
      <c r="D183" s="161"/>
      <c r="E183" s="161"/>
      <c r="F183" s="161"/>
      <c r="G183" s="161"/>
      <c r="H183" s="161"/>
      <c r="I183" s="161"/>
      <c r="J183" s="161"/>
      <c r="K183" s="161"/>
      <c r="L183" s="161"/>
      <c r="M183" s="161"/>
      <c r="N183" s="161"/>
      <c r="O183" s="161"/>
      <c r="P183" s="161"/>
      <c r="Q183" s="161"/>
      <c r="R183" s="161"/>
      <c r="S183" s="161"/>
      <c r="T183" s="161"/>
      <c r="U183" s="161"/>
      <c r="V183" s="161"/>
      <c r="W183" s="161"/>
      <c r="X183" s="161"/>
      <c r="Y183" s="161"/>
      <c r="Z183" s="161"/>
      <c r="AA183" s="161"/>
      <c r="AB183" s="161"/>
      <c r="AC183" s="161"/>
      <c r="AD183" s="161"/>
      <c r="AE183" s="161"/>
      <c r="AF183" s="161"/>
      <c r="AG183" s="161"/>
      <c r="AH183" s="161"/>
      <c r="AI183" s="161"/>
      <c r="AJ183" s="161"/>
      <c r="AK183" s="161"/>
      <c r="AL183" s="161"/>
      <c r="AM183" s="161"/>
      <c r="AN183" s="161"/>
      <c r="AO183" s="161"/>
      <c r="AP183" s="161"/>
      <c r="AQ183" s="161"/>
      <c r="AR183" s="161"/>
      <c r="AS183" s="161"/>
      <c r="AT183" s="161"/>
      <c r="AU183" s="161"/>
      <c r="AV183" s="161"/>
      <c r="AW183" s="161"/>
      <c r="AX183" s="161"/>
      <c r="AY183" s="161"/>
      <c r="AZ183" s="161"/>
      <c r="BA183" s="161"/>
      <c r="BB183" s="161"/>
      <c r="BC183" s="161"/>
      <c r="BD183" s="161"/>
      <c r="BE183" s="161"/>
      <c r="BF183" s="161"/>
      <c r="BG183" s="161"/>
      <c r="BH183" s="161"/>
      <c r="BI183" s="161"/>
      <c r="BJ183" s="161"/>
      <c r="BK183" s="161"/>
      <c r="BL183" s="161"/>
      <c r="BM183" s="161"/>
      <c r="BN183" s="161"/>
      <c r="BO183" s="161"/>
      <c r="BP183" s="161"/>
      <c r="BQ183" s="161"/>
      <c r="BR183" s="161"/>
      <c r="BS183" s="161"/>
      <c r="BT183" s="161"/>
    </row>
    <row r="184" spans="4:72" ht="20" customHeight="1">
      <c r="D184" s="161"/>
      <c r="E184" s="161"/>
      <c r="F184" s="161"/>
      <c r="G184" s="161"/>
      <c r="H184" s="161"/>
      <c r="I184" s="161"/>
      <c r="J184" s="161"/>
      <c r="K184" s="161"/>
      <c r="L184" s="161"/>
      <c r="M184" s="161"/>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61"/>
      <c r="AM184" s="161"/>
      <c r="AN184" s="161"/>
      <c r="AO184" s="161"/>
      <c r="AP184" s="161"/>
      <c r="AQ184" s="161"/>
      <c r="AR184" s="161"/>
      <c r="AS184" s="161"/>
      <c r="AT184" s="161"/>
      <c r="AU184" s="161"/>
      <c r="AV184" s="161"/>
      <c r="AW184" s="161"/>
      <c r="AX184" s="161"/>
      <c r="AY184" s="161"/>
      <c r="AZ184" s="161"/>
      <c r="BA184" s="161"/>
      <c r="BB184" s="161"/>
      <c r="BC184" s="161"/>
      <c r="BD184" s="161"/>
      <c r="BE184" s="161"/>
      <c r="BF184" s="161"/>
      <c r="BG184" s="161"/>
      <c r="BH184" s="161"/>
      <c r="BI184" s="161"/>
      <c r="BJ184" s="161"/>
      <c r="BK184" s="161"/>
      <c r="BL184" s="161"/>
      <c r="BM184" s="161"/>
      <c r="BN184" s="161"/>
      <c r="BO184" s="161"/>
      <c r="BP184" s="161"/>
      <c r="BQ184" s="161"/>
      <c r="BR184" s="161"/>
      <c r="BS184" s="161"/>
      <c r="BT184" s="161"/>
    </row>
    <row r="185" spans="4:72" ht="20" customHeight="1">
      <c r="D185" s="161"/>
      <c r="E185" s="161"/>
      <c r="F185" s="161"/>
      <c r="G185" s="161"/>
      <c r="H185" s="161"/>
      <c r="I185" s="161"/>
      <c r="J185" s="161"/>
      <c r="K185" s="161"/>
      <c r="L185" s="161"/>
      <c r="M185" s="161"/>
      <c r="N185" s="161"/>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61"/>
      <c r="BH185" s="161"/>
      <c r="BI185" s="161"/>
      <c r="BJ185" s="161"/>
      <c r="BK185" s="161"/>
      <c r="BL185" s="161"/>
      <c r="BM185" s="161"/>
      <c r="BN185" s="161"/>
      <c r="BO185" s="161"/>
      <c r="BP185" s="161"/>
      <c r="BQ185" s="161"/>
      <c r="BR185" s="161"/>
      <c r="BS185" s="161"/>
      <c r="BT185" s="161"/>
    </row>
    <row r="186" spans="4:72" ht="20" customHeight="1">
      <c r="D186" s="161"/>
      <c r="E186" s="161"/>
      <c r="F186" s="161"/>
      <c r="G186" s="161"/>
      <c r="H186" s="161"/>
      <c r="I186" s="161"/>
      <c r="J186" s="161"/>
      <c r="K186" s="161"/>
      <c r="L186" s="161"/>
      <c r="M186" s="161"/>
      <c r="N186" s="161"/>
      <c r="O186" s="161"/>
      <c r="P186" s="161"/>
      <c r="Q186" s="161"/>
      <c r="R186" s="161"/>
      <c r="S186" s="161"/>
      <c r="T186" s="161"/>
      <c r="U186" s="161"/>
      <c r="V186" s="161"/>
      <c r="W186" s="161"/>
      <c r="X186" s="161"/>
      <c r="Y186" s="161"/>
      <c r="Z186" s="161"/>
      <c r="AA186" s="161"/>
      <c r="AB186" s="161"/>
      <c r="AC186" s="161"/>
      <c r="AD186" s="161"/>
      <c r="AE186" s="161"/>
      <c r="AF186" s="161"/>
      <c r="AG186" s="161"/>
      <c r="AH186" s="161"/>
      <c r="AI186" s="161"/>
      <c r="AJ186" s="161"/>
      <c r="AK186" s="161"/>
      <c r="AL186" s="161"/>
      <c r="AM186" s="161"/>
      <c r="AN186" s="161"/>
      <c r="AO186" s="161"/>
      <c r="AP186" s="161"/>
      <c r="AQ186" s="161"/>
      <c r="AR186" s="161"/>
      <c r="AS186" s="161"/>
      <c r="AT186" s="161"/>
      <c r="AU186" s="161"/>
      <c r="AV186" s="161"/>
      <c r="AW186" s="161"/>
      <c r="AX186" s="161"/>
      <c r="AY186" s="161"/>
      <c r="AZ186" s="161"/>
      <c r="BA186" s="161"/>
      <c r="BB186" s="161"/>
      <c r="BC186" s="161"/>
      <c r="BD186" s="161"/>
      <c r="BE186" s="161"/>
      <c r="BF186" s="161"/>
      <c r="BG186" s="161"/>
      <c r="BH186" s="161"/>
      <c r="BI186" s="161"/>
      <c r="BJ186" s="161"/>
      <c r="BK186" s="161"/>
      <c r="BL186" s="161"/>
      <c r="BM186" s="161"/>
      <c r="BN186" s="161"/>
      <c r="BO186" s="161"/>
      <c r="BP186" s="161"/>
      <c r="BQ186" s="161"/>
      <c r="BR186" s="161"/>
      <c r="BS186" s="161"/>
      <c r="BT186" s="161"/>
    </row>
    <row r="187" spans="4:72" ht="20" customHeight="1">
      <c r="D187" s="161"/>
      <c r="E187" s="161"/>
      <c r="F187" s="161"/>
      <c r="G187" s="161"/>
      <c r="H187" s="161"/>
      <c r="I187" s="161"/>
      <c r="J187" s="161"/>
      <c r="K187" s="161"/>
      <c r="L187" s="161"/>
      <c r="M187" s="161"/>
      <c r="N187" s="161"/>
      <c r="O187" s="161"/>
      <c r="P187" s="161"/>
      <c r="Q187" s="161"/>
      <c r="R187" s="161"/>
      <c r="S187" s="161"/>
      <c r="T187" s="161"/>
      <c r="U187" s="161"/>
      <c r="V187" s="161"/>
      <c r="W187" s="161"/>
      <c r="X187" s="161"/>
      <c r="Y187" s="161"/>
      <c r="Z187" s="161"/>
      <c r="AA187" s="161"/>
      <c r="AB187" s="161"/>
      <c r="AC187" s="161"/>
      <c r="AD187" s="161"/>
      <c r="AE187" s="161"/>
      <c r="AF187" s="161"/>
      <c r="AG187" s="161"/>
      <c r="AH187" s="161"/>
      <c r="AI187" s="161"/>
      <c r="AJ187" s="161"/>
      <c r="AK187" s="161"/>
      <c r="AL187" s="161"/>
      <c r="AM187" s="161"/>
      <c r="AN187" s="161"/>
      <c r="AO187" s="161"/>
      <c r="AP187" s="161"/>
      <c r="AQ187" s="161"/>
      <c r="AR187" s="161"/>
      <c r="AS187" s="161"/>
      <c r="AT187" s="161"/>
      <c r="AU187" s="161"/>
      <c r="AV187" s="161"/>
      <c r="AW187" s="161"/>
      <c r="AX187" s="161"/>
      <c r="AY187" s="161"/>
      <c r="AZ187" s="161"/>
      <c r="BA187" s="161"/>
      <c r="BB187" s="161"/>
      <c r="BC187" s="161"/>
      <c r="BD187" s="161"/>
      <c r="BE187" s="161"/>
      <c r="BF187" s="161"/>
      <c r="BG187" s="161"/>
      <c r="BH187" s="161"/>
      <c r="BI187" s="161"/>
      <c r="BJ187" s="161"/>
      <c r="BK187" s="161"/>
      <c r="BL187" s="161"/>
      <c r="BM187" s="161"/>
      <c r="BN187" s="161"/>
      <c r="BO187" s="161"/>
      <c r="BP187" s="161"/>
      <c r="BQ187" s="161"/>
      <c r="BR187" s="161"/>
      <c r="BS187" s="161"/>
      <c r="BT187" s="161"/>
    </row>
    <row r="188" spans="4:72" ht="20" customHeight="1">
      <c r="D188" s="161"/>
      <c r="E188" s="161"/>
      <c r="F188" s="161"/>
      <c r="G188" s="161"/>
      <c r="H188" s="161"/>
      <c r="I188" s="161"/>
      <c r="J188" s="161"/>
      <c r="K188" s="161"/>
      <c r="L188" s="161"/>
      <c r="M188" s="161"/>
      <c r="N188" s="161"/>
      <c r="O188" s="161"/>
      <c r="P188" s="161"/>
      <c r="Q188" s="161"/>
      <c r="R188" s="161"/>
      <c r="S188" s="161"/>
      <c r="T188" s="161"/>
      <c r="U188" s="161"/>
      <c r="V188" s="161"/>
      <c r="W188" s="161"/>
      <c r="X188" s="161"/>
      <c r="Y188" s="161"/>
      <c r="Z188" s="161"/>
      <c r="AA188" s="161"/>
      <c r="AB188" s="161"/>
      <c r="AC188" s="161"/>
      <c r="AD188" s="161"/>
      <c r="AE188" s="161"/>
      <c r="AF188" s="161"/>
      <c r="AG188" s="161"/>
      <c r="AH188" s="161"/>
      <c r="AI188" s="161"/>
      <c r="AJ188" s="161"/>
      <c r="AK188" s="161"/>
      <c r="AL188" s="161"/>
      <c r="AM188" s="161"/>
      <c r="AN188" s="161"/>
      <c r="AO188" s="161"/>
      <c r="AP188" s="161"/>
      <c r="AQ188" s="161"/>
      <c r="AR188" s="161"/>
      <c r="AS188" s="161"/>
      <c r="AT188" s="161"/>
      <c r="AU188" s="161"/>
      <c r="AV188" s="161"/>
      <c r="AW188" s="161"/>
      <c r="AX188" s="161"/>
      <c r="AY188" s="161"/>
      <c r="AZ188" s="161"/>
      <c r="BA188" s="161"/>
      <c r="BB188" s="161"/>
      <c r="BC188" s="161"/>
      <c r="BD188" s="161"/>
      <c r="BE188" s="161"/>
      <c r="BF188" s="161"/>
      <c r="BG188" s="161"/>
      <c r="BH188" s="161"/>
      <c r="BI188" s="161"/>
      <c r="BJ188" s="161"/>
      <c r="BK188" s="161"/>
      <c r="BL188" s="161"/>
      <c r="BM188" s="161"/>
      <c r="BN188" s="161"/>
      <c r="BO188" s="161"/>
      <c r="BP188" s="161"/>
      <c r="BQ188" s="161"/>
      <c r="BR188" s="161"/>
      <c r="BS188" s="161"/>
      <c r="BT188" s="161"/>
    </row>
    <row r="189" spans="4:72" ht="20" customHeight="1">
      <c r="D189" s="161"/>
      <c r="E189" s="161"/>
      <c r="F189" s="161"/>
      <c r="G189" s="161"/>
      <c r="H189" s="161"/>
      <c r="I189" s="161"/>
      <c r="J189" s="161"/>
      <c r="K189" s="161"/>
      <c r="L189" s="161"/>
      <c r="M189" s="161"/>
      <c r="N189" s="161"/>
      <c r="O189" s="161"/>
      <c r="P189" s="161"/>
      <c r="Q189" s="161"/>
      <c r="R189" s="161"/>
      <c r="S189" s="161"/>
      <c r="T189" s="161"/>
      <c r="U189" s="161"/>
      <c r="V189" s="161"/>
      <c r="W189" s="161"/>
      <c r="X189" s="161"/>
      <c r="Y189" s="161"/>
      <c r="Z189" s="161"/>
      <c r="AA189" s="161"/>
      <c r="AB189" s="161"/>
      <c r="AC189" s="161"/>
      <c r="AD189" s="161"/>
      <c r="AE189" s="161"/>
      <c r="AF189" s="161"/>
      <c r="AG189" s="161"/>
      <c r="AH189" s="161"/>
      <c r="AI189" s="161"/>
      <c r="AJ189" s="161"/>
      <c r="AK189" s="161"/>
      <c r="AL189" s="161"/>
      <c r="AM189" s="161"/>
      <c r="AN189" s="161"/>
      <c r="AO189" s="161"/>
      <c r="AP189" s="161"/>
      <c r="AQ189" s="161"/>
      <c r="AR189" s="161"/>
      <c r="AS189" s="161"/>
      <c r="AT189" s="161"/>
      <c r="AU189" s="161"/>
      <c r="AV189" s="161"/>
      <c r="AW189" s="161"/>
      <c r="AX189" s="161"/>
      <c r="AY189" s="161"/>
      <c r="AZ189" s="161"/>
      <c r="BA189" s="161"/>
      <c r="BB189" s="161"/>
      <c r="BC189" s="161"/>
      <c r="BD189" s="161"/>
      <c r="BE189" s="161"/>
      <c r="BF189" s="161"/>
      <c r="BG189" s="161"/>
      <c r="BH189" s="161"/>
      <c r="BI189" s="161"/>
      <c r="BJ189" s="161"/>
      <c r="BK189" s="161"/>
      <c r="BL189" s="161"/>
      <c r="BM189" s="161"/>
      <c r="BN189" s="161"/>
      <c r="BO189" s="161"/>
      <c r="BP189" s="161"/>
      <c r="BQ189" s="161"/>
      <c r="BR189" s="161"/>
      <c r="BS189" s="161"/>
      <c r="BT189" s="161"/>
    </row>
    <row r="190" spans="4:72" ht="20" customHeight="1">
      <c r="D190" s="161"/>
      <c r="E190" s="161"/>
      <c r="F190" s="161"/>
      <c r="G190" s="161"/>
      <c r="H190" s="161"/>
      <c r="I190" s="161"/>
      <c r="J190" s="161"/>
      <c r="K190" s="161"/>
      <c r="L190" s="161"/>
      <c r="M190" s="161"/>
      <c r="N190" s="161"/>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61"/>
      <c r="AM190" s="161"/>
      <c r="AN190" s="161"/>
      <c r="AO190" s="161"/>
      <c r="AP190" s="161"/>
      <c r="AQ190" s="161"/>
      <c r="AR190" s="161"/>
      <c r="AS190" s="161"/>
      <c r="AT190" s="161"/>
      <c r="AU190" s="161"/>
      <c r="AV190" s="161"/>
      <c r="AW190" s="161"/>
      <c r="AX190" s="161"/>
      <c r="AY190" s="161"/>
      <c r="AZ190" s="161"/>
      <c r="BA190" s="161"/>
      <c r="BB190" s="161"/>
      <c r="BC190" s="161"/>
      <c r="BD190" s="161"/>
      <c r="BE190" s="161"/>
      <c r="BF190" s="161"/>
      <c r="BG190" s="161"/>
      <c r="BH190" s="161"/>
      <c r="BI190" s="161"/>
      <c r="BJ190" s="161"/>
      <c r="BK190" s="161"/>
      <c r="BL190" s="161"/>
      <c r="BM190" s="161"/>
      <c r="BN190" s="161"/>
      <c r="BO190" s="161"/>
      <c r="BP190" s="161"/>
      <c r="BQ190" s="161"/>
      <c r="BR190" s="161"/>
      <c r="BS190" s="161"/>
      <c r="BT190" s="161"/>
    </row>
    <row r="191" spans="4:72" ht="20" customHeight="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61"/>
      <c r="AR191" s="161"/>
      <c r="AS191" s="161"/>
      <c r="AT191" s="161"/>
      <c r="AU191" s="161"/>
      <c r="AV191" s="161"/>
      <c r="AW191" s="161"/>
      <c r="AX191" s="161"/>
      <c r="AY191" s="161"/>
      <c r="AZ191" s="161"/>
      <c r="BA191" s="161"/>
      <c r="BB191" s="161"/>
      <c r="BC191" s="161"/>
      <c r="BD191" s="161"/>
      <c r="BE191" s="161"/>
      <c r="BF191" s="161"/>
      <c r="BG191" s="161"/>
      <c r="BH191" s="161"/>
      <c r="BI191" s="161"/>
      <c r="BJ191" s="161"/>
      <c r="BK191" s="161"/>
      <c r="BL191" s="161"/>
      <c r="BM191" s="161"/>
      <c r="BN191" s="161"/>
      <c r="BO191" s="161"/>
      <c r="BP191" s="161"/>
      <c r="BQ191" s="161"/>
      <c r="BR191" s="161"/>
      <c r="BS191" s="161"/>
      <c r="BT191" s="161"/>
    </row>
    <row r="192" spans="4:72" ht="20" customHeight="1">
      <c r="D192" s="161"/>
      <c r="E192" s="161"/>
      <c r="F192" s="161"/>
      <c r="G192" s="161"/>
      <c r="H192" s="161"/>
      <c r="I192" s="161"/>
      <c r="J192" s="161"/>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61"/>
      <c r="AN192" s="161"/>
      <c r="AO192" s="161"/>
      <c r="AP192" s="161"/>
      <c r="AQ192" s="161"/>
      <c r="AR192" s="161"/>
      <c r="AS192" s="161"/>
      <c r="AT192" s="161"/>
      <c r="AU192" s="161"/>
      <c r="AV192" s="161"/>
      <c r="AW192" s="161"/>
      <c r="AX192" s="161"/>
      <c r="AY192" s="161"/>
      <c r="AZ192" s="161"/>
      <c r="BA192" s="161"/>
      <c r="BB192" s="161"/>
      <c r="BC192" s="161"/>
      <c r="BD192" s="161"/>
      <c r="BE192" s="161"/>
      <c r="BF192" s="161"/>
      <c r="BG192" s="161"/>
      <c r="BH192" s="161"/>
      <c r="BI192" s="161"/>
      <c r="BJ192" s="161"/>
      <c r="BK192" s="161"/>
      <c r="BL192" s="161"/>
      <c r="BM192" s="161"/>
      <c r="BN192" s="161"/>
      <c r="BO192" s="161"/>
      <c r="BP192" s="161"/>
      <c r="BQ192" s="161"/>
      <c r="BR192" s="161"/>
      <c r="BS192" s="161"/>
      <c r="BT192" s="161"/>
    </row>
    <row r="193" spans="4:72" ht="20" customHeight="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161"/>
      <c r="AR193" s="161"/>
      <c r="AS193" s="161"/>
      <c r="AT193" s="161"/>
      <c r="AU193" s="161"/>
      <c r="AV193" s="161"/>
      <c r="AW193" s="161"/>
      <c r="AX193" s="161"/>
      <c r="AY193" s="161"/>
      <c r="AZ193" s="161"/>
      <c r="BA193" s="161"/>
      <c r="BB193" s="161"/>
      <c r="BC193" s="161"/>
      <c r="BD193" s="161"/>
      <c r="BE193" s="161"/>
      <c r="BF193" s="161"/>
      <c r="BG193" s="161"/>
      <c r="BH193" s="161"/>
      <c r="BI193" s="161"/>
      <c r="BJ193" s="161"/>
      <c r="BK193" s="161"/>
      <c r="BL193" s="161"/>
      <c r="BM193" s="161"/>
      <c r="BN193" s="161"/>
      <c r="BO193" s="161"/>
      <c r="BP193" s="161"/>
      <c r="BQ193" s="161"/>
      <c r="BR193" s="161"/>
      <c r="BS193" s="161"/>
      <c r="BT193" s="161"/>
    </row>
    <row r="194" spans="4:72" ht="20" customHeight="1">
      <c r="D194" s="161"/>
      <c r="E194" s="161"/>
      <c r="F194" s="161"/>
      <c r="G194" s="161"/>
      <c r="H194" s="161"/>
      <c r="I194" s="161"/>
      <c r="J194" s="161"/>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161"/>
      <c r="AR194" s="161"/>
      <c r="AS194" s="161"/>
      <c r="AT194" s="161"/>
      <c r="AU194" s="161"/>
      <c r="AV194" s="161"/>
      <c r="AW194" s="161"/>
      <c r="AX194" s="161"/>
      <c r="AY194" s="161"/>
      <c r="AZ194" s="161"/>
      <c r="BA194" s="161"/>
      <c r="BB194" s="161"/>
      <c r="BC194" s="161"/>
      <c r="BD194" s="161"/>
      <c r="BE194" s="161"/>
      <c r="BF194" s="161"/>
      <c r="BG194" s="161"/>
      <c r="BH194" s="161"/>
      <c r="BI194" s="161"/>
      <c r="BJ194" s="161"/>
      <c r="BK194" s="161"/>
      <c r="BL194" s="161"/>
      <c r="BM194" s="161"/>
      <c r="BN194" s="161"/>
      <c r="BO194" s="161"/>
      <c r="BP194" s="161"/>
      <c r="BQ194" s="161"/>
      <c r="BR194" s="161"/>
      <c r="BS194" s="161"/>
      <c r="BT194" s="161"/>
    </row>
    <row r="195" spans="4:72" ht="20" customHeight="1">
      <c r="D195" s="161"/>
      <c r="E195" s="161"/>
      <c r="F195" s="161"/>
      <c r="G195" s="161"/>
      <c r="H195" s="161"/>
      <c r="I195" s="161"/>
      <c r="J195" s="161"/>
      <c r="K195" s="161"/>
      <c r="L195" s="161"/>
      <c r="M195" s="161"/>
      <c r="N195" s="161"/>
      <c r="O195" s="161"/>
      <c r="P195" s="161"/>
      <c r="Q195" s="161"/>
      <c r="R195" s="161"/>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61"/>
      <c r="AN195" s="161"/>
      <c r="AO195" s="161"/>
      <c r="AP195" s="161"/>
      <c r="AQ195" s="161"/>
      <c r="AR195" s="161"/>
      <c r="AS195" s="161"/>
      <c r="AT195" s="161"/>
      <c r="AU195" s="161"/>
      <c r="AV195" s="161"/>
      <c r="AW195" s="161"/>
      <c r="AX195" s="161"/>
      <c r="AY195" s="161"/>
      <c r="AZ195" s="161"/>
      <c r="BA195" s="161"/>
      <c r="BB195" s="161"/>
      <c r="BC195" s="161"/>
      <c r="BD195" s="161"/>
      <c r="BE195" s="161"/>
      <c r="BF195" s="161"/>
      <c r="BG195" s="161"/>
      <c r="BH195" s="161"/>
      <c r="BI195" s="161"/>
      <c r="BJ195" s="161"/>
      <c r="BK195" s="161"/>
      <c r="BL195" s="161"/>
      <c r="BM195" s="161"/>
      <c r="BN195" s="161"/>
      <c r="BO195" s="161"/>
      <c r="BP195" s="161"/>
      <c r="BQ195" s="161"/>
      <c r="BR195" s="161"/>
      <c r="BS195" s="161"/>
      <c r="BT195" s="161"/>
    </row>
    <row r="196" spans="4:72" ht="20" customHeight="1">
      <c r="D196" s="161"/>
      <c r="E196" s="161"/>
      <c r="F196" s="161"/>
      <c r="G196" s="161"/>
      <c r="H196" s="161"/>
      <c r="I196" s="161"/>
      <c r="J196" s="161"/>
      <c r="K196" s="161"/>
      <c r="L196" s="161"/>
      <c r="M196" s="161"/>
      <c r="N196" s="161"/>
      <c r="O196" s="161"/>
      <c r="P196" s="161"/>
      <c r="Q196" s="161"/>
      <c r="R196" s="161"/>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61"/>
      <c r="AN196" s="161"/>
      <c r="AO196" s="161"/>
      <c r="AP196" s="161"/>
      <c r="AQ196" s="161"/>
      <c r="AR196" s="161"/>
      <c r="AS196" s="161"/>
      <c r="AT196" s="161"/>
      <c r="AU196" s="161"/>
      <c r="AV196" s="161"/>
      <c r="AW196" s="161"/>
      <c r="AX196" s="161"/>
      <c r="AY196" s="161"/>
      <c r="AZ196" s="161"/>
      <c r="BA196" s="161"/>
      <c r="BB196" s="161"/>
      <c r="BC196" s="161"/>
      <c r="BD196" s="161"/>
      <c r="BE196" s="161"/>
      <c r="BF196" s="161"/>
      <c r="BG196" s="161"/>
      <c r="BH196" s="161"/>
      <c r="BI196" s="161"/>
      <c r="BJ196" s="161"/>
      <c r="BK196" s="161"/>
      <c r="BL196" s="161"/>
      <c r="BM196" s="161"/>
      <c r="BN196" s="161"/>
      <c r="BO196" s="161"/>
      <c r="BP196" s="161"/>
      <c r="BQ196" s="161"/>
      <c r="BR196" s="161"/>
      <c r="BS196" s="161"/>
      <c r="BT196" s="161"/>
    </row>
    <row r="197" spans="4:72" ht="20" customHeight="1"/>
    <row r="198" spans="4:72" ht="20" customHeight="1"/>
    <row r="199" spans="4:72" ht="20" customHeight="1"/>
    <row r="200" spans="4:72" ht="20" customHeight="1"/>
    <row r="201" spans="4:72" ht="20" customHeight="1"/>
    <row r="202" spans="4:72" ht="20" customHeight="1"/>
    <row r="203" spans="4:72" ht="20" customHeight="1"/>
    <row r="204" spans="4:72" ht="20" customHeight="1"/>
    <row r="205" spans="4:72" ht="20" customHeight="1"/>
    <row r="206" spans="4:72" ht="20" customHeight="1"/>
    <row r="207" spans="4:72" ht="20" customHeight="1"/>
    <row r="208" spans="4:72" ht="20" customHeight="1"/>
    <row r="209" ht="20" customHeight="1"/>
    <row r="210" ht="20" customHeight="1"/>
    <row r="211" ht="20" customHeight="1"/>
    <row r="212" ht="20" customHeight="1"/>
    <row r="213" ht="20" customHeight="1"/>
    <row r="214" ht="20" customHeight="1"/>
    <row r="215" ht="20" customHeight="1"/>
    <row r="216" ht="20" customHeight="1"/>
    <row r="217" ht="20" customHeight="1"/>
    <row r="218" ht="20" customHeight="1"/>
    <row r="219" ht="20" customHeight="1"/>
    <row r="220" ht="20" customHeight="1"/>
    <row r="221" ht="20" customHeight="1"/>
    <row r="222" ht="20" customHeight="1"/>
    <row r="223" ht="20" customHeight="1"/>
    <row r="224" ht="20" customHeight="1"/>
    <row r="225" ht="20" customHeight="1"/>
    <row r="226" ht="20" customHeight="1"/>
    <row r="227" ht="20" customHeight="1"/>
    <row r="228" ht="20" customHeight="1"/>
    <row r="229" ht="20" customHeight="1"/>
    <row r="230" ht="20" customHeight="1"/>
    <row r="231" ht="20" customHeight="1"/>
    <row r="232" ht="20" customHeight="1"/>
    <row r="233" ht="20" customHeight="1"/>
    <row r="234" ht="20" customHeight="1"/>
    <row r="235" ht="20" customHeight="1"/>
    <row r="236" ht="20" customHeight="1"/>
    <row r="237" ht="20" customHeight="1"/>
    <row r="238" ht="20" customHeight="1"/>
    <row r="239" ht="20" customHeight="1"/>
    <row r="240" ht="20" customHeight="1"/>
    <row r="241" ht="20" customHeight="1"/>
    <row r="242" ht="20" customHeight="1"/>
    <row r="243" ht="20" customHeight="1"/>
    <row r="244" ht="20" customHeight="1"/>
    <row r="245" ht="20" customHeight="1"/>
    <row r="246" ht="20" customHeight="1"/>
    <row r="247" ht="20" customHeight="1"/>
    <row r="248" ht="20" customHeight="1"/>
    <row r="249" ht="20" customHeight="1"/>
    <row r="250" ht="20" customHeight="1"/>
    <row r="251" ht="20" customHeight="1"/>
    <row r="252" ht="20" customHeight="1"/>
    <row r="253" ht="20" customHeight="1"/>
    <row r="254" ht="20" customHeight="1"/>
    <row r="255" ht="20" customHeight="1"/>
    <row r="256" ht="20" customHeight="1"/>
    <row r="257" ht="20" customHeight="1"/>
  </sheetData>
  <sheetProtection sheet="1" objects="1" scenarios="1" selectLockedCells="1"/>
  <sortState xmlns:xlrd2="http://schemas.microsoft.com/office/spreadsheetml/2017/richdata2" ref="B12:B26">
    <sortCondition ref="B12"/>
  </sortState>
  <customSheetViews>
    <customSheetView guid="{B4419C5D-1877-4ABB-A46F-9E0AFFC75B59}" scale="85" showGridLines="0" fitToPage="1" state="hidden">
      <pane xSplit="1" ySplit="4" topLeftCell="B20" activePane="bottomRight" state="frozen"/>
      <selection pane="bottomRight" activeCell="A3" sqref="A3"/>
      <pageMargins left="0.7" right="0.7" top="0.75" bottom="0.75" header="0.3" footer="0.3"/>
      <pageSetup scale="41" fitToHeight="0" orientation="landscape" r:id="rId1"/>
    </customSheetView>
  </customSheetViews>
  <mergeCells count="64">
    <mergeCell ref="AJ3:AK3"/>
    <mergeCell ref="AL3:BT3"/>
    <mergeCell ref="A12:A26"/>
    <mergeCell ref="P4:Q4"/>
    <mergeCell ref="R4:S4"/>
    <mergeCell ref="T4:U4"/>
    <mergeCell ref="V4:W4"/>
    <mergeCell ref="D4:E4"/>
    <mergeCell ref="F4:G4"/>
    <mergeCell ref="H4:I4"/>
    <mergeCell ref="J4:K4"/>
    <mergeCell ref="L4:M4"/>
    <mergeCell ref="N4:O4"/>
    <mergeCell ref="B3:C4"/>
    <mergeCell ref="D3:M3"/>
    <mergeCell ref="N3:U3"/>
    <mergeCell ref="V3:AA3"/>
    <mergeCell ref="AB4:AC4"/>
    <mergeCell ref="AD4:AE4"/>
    <mergeCell ref="AF4:AG4"/>
    <mergeCell ref="AB3:AI3"/>
    <mergeCell ref="AH4:AI4"/>
    <mergeCell ref="A5:A10"/>
    <mergeCell ref="X4:Y4"/>
    <mergeCell ref="Z4:AA4"/>
    <mergeCell ref="V76:W76"/>
    <mergeCell ref="Z76:AA76"/>
    <mergeCell ref="A28:A43"/>
    <mergeCell ref="D76:E76"/>
    <mergeCell ref="F76:G76"/>
    <mergeCell ref="H76:I76"/>
    <mergeCell ref="J76:K76"/>
    <mergeCell ref="L76:M76"/>
    <mergeCell ref="N77:O77"/>
    <mergeCell ref="N76:O76"/>
    <mergeCell ref="P76:Q76"/>
    <mergeCell ref="R76:S76"/>
    <mergeCell ref="T76:U76"/>
    <mergeCell ref="D77:E77"/>
    <mergeCell ref="F77:G77"/>
    <mergeCell ref="H77:I77"/>
    <mergeCell ref="J77:K77"/>
    <mergeCell ref="L77:M77"/>
    <mergeCell ref="AB77:AC77"/>
    <mergeCell ref="AB76:AC76"/>
    <mergeCell ref="AD76:AE76"/>
    <mergeCell ref="AF76:AG76"/>
    <mergeCell ref="AH76:AI76"/>
    <mergeCell ref="BO77:BR77"/>
    <mergeCell ref="BS77:BT77"/>
    <mergeCell ref="A79:A80"/>
    <mergeCell ref="X76:Y76"/>
    <mergeCell ref="X77:Y77"/>
    <mergeCell ref="AD77:AE77"/>
    <mergeCell ref="AF77:AG77"/>
    <mergeCell ref="AH77:AI77"/>
    <mergeCell ref="AJ77:AK77"/>
    <mergeCell ref="AL77:AM77"/>
    <mergeCell ref="BC77:BJ77"/>
    <mergeCell ref="P77:Q77"/>
    <mergeCell ref="R77:S77"/>
    <mergeCell ref="T77:U77"/>
    <mergeCell ref="V77:W77"/>
    <mergeCell ref="Z77:AA77"/>
  </mergeCells>
  <conditionalFormatting sqref="A79:A80">
    <cfRule type="cellIs" dxfId="949" priority="120" operator="between">
      <formula>99.01</formula>
      <formula>100</formula>
    </cfRule>
    <cfRule type="cellIs" dxfId="948" priority="121" operator="between">
      <formula>90.01</formula>
      <formula>99</formula>
    </cfRule>
    <cfRule type="cellIs" dxfId="947" priority="122" operator="between">
      <formula>85.01</formula>
      <formula>90</formula>
    </cfRule>
    <cfRule type="cellIs" dxfId="946" priority="123" operator="lessThanOrEqual">
      <formula>85</formula>
    </cfRule>
  </conditionalFormatting>
  <conditionalFormatting sqref="D4 F4 H4 J4 L4 N4 P4 R4 T4 V4 AF4 AH4">
    <cfRule type="cellIs" dxfId="945" priority="103" operator="equal">
      <formula>4.4</formula>
    </cfRule>
    <cfRule type="cellIs" dxfId="944" priority="104" operator="equal">
      <formula>4.3</formula>
    </cfRule>
    <cfRule type="cellIs" dxfId="943" priority="105" operator="equal">
      <formula>4.2</formula>
    </cfRule>
    <cfRule type="cellIs" dxfId="942" priority="106" operator="equal">
      <formula>4.1</formula>
    </cfRule>
    <cfRule type="cellIs" dxfId="941" priority="107" operator="equal">
      <formula>3.4</formula>
    </cfRule>
    <cfRule type="cellIs" dxfId="940" priority="108" operator="equal">
      <formula>3.3</formula>
    </cfRule>
    <cfRule type="cellIs" dxfId="939" priority="109" operator="equal">
      <formula>3.2</formula>
    </cfRule>
    <cfRule type="cellIs" dxfId="938" priority="110" operator="equal">
      <formula>3.1</formula>
    </cfRule>
    <cfRule type="cellIs" dxfId="937" priority="111" operator="equal">
      <formula>2.4</formula>
    </cfRule>
    <cfRule type="cellIs" dxfId="936" priority="112" operator="equal">
      <formula>2.3</formula>
    </cfRule>
    <cfRule type="cellIs" dxfId="935" priority="113" operator="equal">
      <formula>2.2</formula>
    </cfRule>
    <cfRule type="cellIs" dxfId="934" priority="114" operator="equal">
      <formula>2.1</formula>
    </cfRule>
    <cfRule type="cellIs" dxfId="933" priority="115" operator="equal">
      <formula>1.5</formula>
    </cfRule>
    <cfRule type="cellIs" dxfId="932" priority="116" operator="equal">
      <formula>1.4</formula>
    </cfRule>
    <cfRule type="cellIs" dxfId="931" priority="117" operator="equal">
      <formula>1.3</formula>
    </cfRule>
    <cfRule type="cellIs" dxfId="930" priority="118" operator="equal">
      <formula>1.2</formula>
    </cfRule>
    <cfRule type="containsText" dxfId="929" priority="119" operator="containsText" text="1.1">
      <formula>NOT(ISERROR(SEARCH("1.1",D4)))</formula>
    </cfRule>
  </conditionalFormatting>
  <conditionalFormatting sqref="X4">
    <cfRule type="cellIs" dxfId="928" priority="69" operator="equal">
      <formula>4.4</formula>
    </cfRule>
    <cfRule type="cellIs" dxfId="927" priority="70" operator="equal">
      <formula>4.3</formula>
    </cfRule>
    <cfRule type="cellIs" dxfId="926" priority="71" operator="equal">
      <formula>4.2</formula>
    </cfRule>
    <cfRule type="cellIs" dxfId="925" priority="72" operator="equal">
      <formula>4.1</formula>
    </cfRule>
    <cfRule type="cellIs" dxfId="924" priority="73" operator="equal">
      <formula>3.4</formula>
    </cfRule>
    <cfRule type="cellIs" dxfId="923" priority="74" operator="equal">
      <formula>3.3</formula>
    </cfRule>
    <cfRule type="cellIs" dxfId="922" priority="75" operator="equal">
      <formula>3.2</formula>
    </cfRule>
    <cfRule type="cellIs" dxfId="921" priority="76" operator="equal">
      <formula>3.1</formula>
    </cfRule>
    <cfRule type="cellIs" dxfId="920" priority="77" operator="equal">
      <formula>2.4</formula>
    </cfRule>
    <cfRule type="cellIs" dxfId="919" priority="78" operator="equal">
      <formula>2.3</formula>
    </cfRule>
    <cfRule type="cellIs" dxfId="918" priority="79" operator="equal">
      <formula>2.2</formula>
    </cfRule>
    <cfRule type="cellIs" dxfId="917" priority="80" operator="equal">
      <formula>2.1</formula>
    </cfRule>
    <cfRule type="cellIs" dxfId="916" priority="81" operator="equal">
      <formula>1.5</formula>
    </cfRule>
    <cfRule type="cellIs" dxfId="915" priority="82" operator="equal">
      <formula>1.4</formula>
    </cfRule>
    <cfRule type="cellIs" dxfId="914" priority="83" operator="equal">
      <formula>1.3</formula>
    </cfRule>
    <cfRule type="cellIs" dxfId="913" priority="84" operator="equal">
      <formula>1.2</formula>
    </cfRule>
    <cfRule type="containsText" dxfId="912" priority="85" operator="containsText" text="1.1">
      <formula>NOT(ISERROR(SEARCH("1.1",X4)))</formula>
    </cfRule>
  </conditionalFormatting>
  <conditionalFormatting sqref="Z4">
    <cfRule type="cellIs" dxfId="911" priority="86" operator="equal">
      <formula>4.4</formula>
    </cfRule>
    <cfRule type="cellIs" dxfId="910" priority="87" operator="equal">
      <formula>4.3</formula>
    </cfRule>
    <cfRule type="cellIs" dxfId="909" priority="88" operator="equal">
      <formula>4.2</formula>
    </cfRule>
    <cfRule type="cellIs" dxfId="908" priority="89" operator="equal">
      <formula>4.1</formula>
    </cfRule>
    <cfRule type="cellIs" dxfId="907" priority="90" operator="equal">
      <formula>3.4</formula>
    </cfRule>
    <cfRule type="cellIs" dxfId="906" priority="91" operator="equal">
      <formula>3.3</formula>
    </cfRule>
    <cfRule type="cellIs" dxfId="905" priority="92" operator="equal">
      <formula>3.2</formula>
    </cfRule>
    <cfRule type="cellIs" dxfId="904" priority="93" operator="equal">
      <formula>3.1</formula>
    </cfRule>
    <cfRule type="cellIs" dxfId="903" priority="94" operator="equal">
      <formula>2.4</formula>
    </cfRule>
    <cfRule type="cellIs" dxfId="902" priority="95" operator="equal">
      <formula>2.3</formula>
    </cfRule>
    <cfRule type="cellIs" dxfId="901" priority="96" operator="equal">
      <formula>2.2</formula>
    </cfRule>
    <cfRule type="cellIs" dxfId="900" priority="97" operator="equal">
      <formula>2.1</formula>
    </cfRule>
    <cfRule type="cellIs" dxfId="899" priority="98" operator="equal">
      <formula>1.5</formula>
    </cfRule>
    <cfRule type="cellIs" dxfId="898" priority="99" operator="equal">
      <formula>1.4</formula>
    </cfRule>
    <cfRule type="cellIs" dxfId="897" priority="100" operator="equal">
      <formula>1.3</formula>
    </cfRule>
    <cfRule type="cellIs" dxfId="896" priority="101" operator="equal">
      <formula>1.2</formula>
    </cfRule>
    <cfRule type="containsText" dxfId="895" priority="102" operator="containsText" text="1.1">
      <formula>NOT(ISERROR(SEARCH("1.1",Z4)))</formula>
    </cfRule>
  </conditionalFormatting>
  <conditionalFormatting sqref="AB4 AD4">
    <cfRule type="cellIs" dxfId="894" priority="52" operator="equal">
      <formula>4.4</formula>
    </cfRule>
    <cfRule type="cellIs" dxfId="893" priority="53" operator="equal">
      <formula>4.3</formula>
    </cfRule>
    <cfRule type="cellIs" dxfId="892" priority="54" operator="equal">
      <formula>4.2</formula>
    </cfRule>
    <cfRule type="cellIs" dxfId="891" priority="55" operator="equal">
      <formula>4.1</formula>
    </cfRule>
    <cfRule type="cellIs" dxfId="890" priority="56" operator="equal">
      <formula>3.4</formula>
    </cfRule>
    <cfRule type="cellIs" dxfId="889" priority="57" operator="equal">
      <formula>3.3</formula>
    </cfRule>
    <cfRule type="cellIs" dxfId="888" priority="58" operator="equal">
      <formula>3.2</formula>
    </cfRule>
    <cfRule type="cellIs" dxfId="887" priority="59" operator="equal">
      <formula>3.1</formula>
    </cfRule>
    <cfRule type="cellIs" dxfId="886" priority="60" operator="equal">
      <formula>2.4</formula>
    </cfRule>
    <cfRule type="cellIs" dxfId="885" priority="61" operator="equal">
      <formula>2.3</formula>
    </cfRule>
    <cfRule type="cellIs" dxfId="884" priority="62" operator="equal">
      <formula>2.2</formula>
    </cfRule>
    <cfRule type="cellIs" dxfId="883" priority="63" operator="equal">
      <formula>2.1</formula>
    </cfRule>
    <cfRule type="cellIs" dxfId="882" priority="64" operator="equal">
      <formula>1.5</formula>
    </cfRule>
    <cfRule type="cellIs" dxfId="881" priority="65" operator="equal">
      <formula>1.4</formula>
    </cfRule>
    <cfRule type="cellIs" dxfId="880" priority="66" operator="equal">
      <formula>1.3</formula>
    </cfRule>
    <cfRule type="cellIs" dxfId="879" priority="67" operator="equal">
      <formula>1.2</formula>
    </cfRule>
    <cfRule type="containsText" dxfId="878" priority="68" operator="containsText" text="1.1">
      <formula>NOT(ISERROR(SEARCH("1.1",AB4)))</formula>
    </cfRule>
  </conditionalFormatting>
  <conditionalFormatting sqref="AO11:BR11 BO12:BR14">
    <cfRule type="cellIs" dxfId="877" priority="35" operator="equal">
      <formula>4.4</formula>
    </cfRule>
    <cfRule type="cellIs" dxfId="876" priority="36" operator="equal">
      <formula>4.3</formula>
    </cfRule>
    <cfRule type="cellIs" dxfId="875" priority="37" operator="equal">
      <formula>4.2</formula>
    </cfRule>
    <cfRule type="cellIs" dxfId="874" priority="38" operator="equal">
      <formula>4.1</formula>
    </cfRule>
    <cfRule type="cellIs" dxfId="873" priority="39" operator="equal">
      <formula>3.4</formula>
    </cfRule>
    <cfRule type="cellIs" dxfId="872" priority="40" operator="equal">
      <formula>3.3</formula>
    </cfRule>
    <cfRule type="cellIs" dxfId="871" priority="41" operator="equal">
      <formula>3.2</formula>
    </cfRule>
    <cfRule type="cellIs" dxfId="870" priority="42" operator="equal">
      <formula>3.1</formula>
    </cfRule>
    <cfRule type="cellIs" dxfId="869" priority="43" operator="equal">
      <formula>2.4</formula>
    </cfRule>
    <cfRule type="cellIs" dxfId="868" priority="44" operator="equal">
      <formula>2.3</formula>
    </cfRule>
    <cfRule type="cellIs" dxfId="867" priority="45" operator="equal">
      <formula>2.2</formula>
    </cfRule>
    <cfRule type="cellIs" dxfId="866" priority="46" operator="equal">
      <formula>2.1</formula>
    </cfRule>
    <cfRule type="cellIs" dxfId="865" priority="47" operator="equal">
      <formula>1.5</formula>
    </cfRule>
    <cfRule type="cellIs" dxfId="864" priority="48" operator="equal">
      <formula>1.4</formula>
    </cfRule>
    <cfRule type="cellIs" dxfId="863" priority="49" operator="equal">
      <formula>1.3</formula>
    </cfRule>
    <cfRule type="cellIs" dxfId="862" priority="50" operator="equal">
      <formula>1.2</formula>
    </cfRule>
    <cfRule type="containsText" dxfId="861" priority="51" operator="containsText" text="1.1">
      <formula>NOT(ISERROR(SEARCH("1.1",AO11)))</formula>
    </cfRule>
  </conditionalFormatting>
  <conditionalFormatting sqref="B1:B2">
    <cfRule type="cellIs" dxfId="860" priority="18" operator="equal">
      <formula>4.4</formula>
    </cfRule>
    <cfRule type="cellIs" dxfId="859" priority="19" operator="equal">
      <formula>4.3</formula>
    </cfRule>
    <cfRule type="cellIs" dxfId="858" priority="20" operator="equal">
      <formula>4.2</formula>
    </cfRule>
    <cfRule type="cellIs" dxfId="857" priority="21" operator="equal">
      <formula>4.1</formula>
    </cfRule>
    <cfRule type="cellIs" dxfId="856" priority="22" operator="equal">
      <formula>3.4</formula>
    </cfRule>
    <cfRule type="cellIs" dxfId="855" priority="23" operator="equal">
      <formula>3.3</formula>
    </cfRule>
    <cfRule type="cellIs" dxfId="854" priority="24" operator="equal">
      <formula>3.2</formula>
    </cfRule>
    <cfRule type="cellIs" dxfId="853" priority="25" operator="equal">
      <formula>3.1</formula>
    </cfRule>
    <cfRule type="cellIs" dxfId="852" priority="26" operator="equal">
      <formula>2.4</formula>
    </cfRule>
    <cfRule type="cellIs" dxfId="851" priority="27" operator="equal">
      <formula>2.3</formula>
    </cfRule>
    <cfRule type="cellIs" dxfId="850" priority="28" operator="equal">
      <formula>2.2</formula>
    </cfRule>
    <cfRule type="cellIs" dxfId="849" priority="29" operator="equal">
      <formula>2.1</formula>
    </cfRule>
    <cfRule type="cellIs" dxfId="848" priority="30" operator="equal">
      <formula>1.5</formula>
    </cfRule>
    <cfRule type="cellIs" dxfId="847" priority="31" operator="equal">
      <formula>1.4</formula>
    </cfRule>
    <cfRule type="cellIs" dxfId="846" priority="32" operator="equal">
      <formula>1.3</formula>
    </cfRule>
    <cfRule type="cellIs" dxfId="845" priority="33" operator="equal">
      <formula>1.2</formula>
    </cfRule>
    <cfRule type="containsText" dxfId="844" priority="34" operator="containsText" text="1.1">
      <formula>NOT(ISERROR(SEARCH("1.1",B1)))</formula>
    </cfRule>
  </conditionalFormatting>
  <conditionalFormatting sqref="AD1:AE2">
    <cfRule type="cellIs" dxfId="843" priority="1" operator="equal">
      <formula>4.4</formula>
    </cfRule>
    <cfRule type="cellIs" dxfId="842" priority="2" operator="equal">
      <formula>4.3</formula>
    </cfRule>
    <cfRule type="cellIs" dxfId="841" priority="3" operator="equal">
      <formula>4.2</formula>
    </cfRule>
    <cfRule type="cellIs" dxfId="840" priority="4" operator="equal">
      <formula>4.1</formula>
    </cfRule>
    <cfRule type="cellIs" dxfId="839" priority="5" operator="equal">
      <formula>3.4</formula>
    </cfRule>
    <cfRule type="cellIs" dxfId="838" priority="6" operator="equal">
      <formula>3.3</formula>
    </cfRule>
    <cfRule type="cellIs" dxfId="837" priority="7" operator="equal">
      <formula>3.2</formula>
    </cfRule>
    <cfRule type="cellIs" dxfId="836" priority="8" operator="equal">
      <formula>3.1</formula>
    </cfRule>
    <cfRule type="cellIs" dxfId="835" priority="9" operator="equal">
      <formula>2.4</formula>
    </cfRule>
    <cfRule type="cellIs" dxfId="834" priority="10" operator="equal">
      <formula>2.3</formula>
    </cfRule>
    <cfRule type="cellIs" dxfId="833" priority="11" operator="equal">
      <formula>2.2</formula>
    </cfRule>
    <cfRule type="cellIs" dxfId="832" priority="12" operator="equal">
      <formula>2.1</formula>
    </cfRule>
    <cfRule type="cellIs" dxfId="831" priority="13" operator="equal">
      <formula>1.5</formula>
    </cfRule>
    <cfRule type="cellIs" dxfId="830" priority="14" operator="equal">
      <formula>1.4</formula>
    </cfRule>
    <cfRule type="cellIs" dxfId="829" priority="15" operator="equal">
      <formula>1.3</formula>
    </cfRule>
    <cfRule type="cellIs" dxfId="828" priority="16" operator="equal">
      <formula>1.2</formula>
    </cfRule>
    <cfRule type="containsText" dxfId="827" priority="17" operator="containsText" text="1.1">
      <formula>NOT(ISERROR(SEARCH("1.1",AD1)))</formula>
    </cfRule>
  </conditionalFormatting>
  <hyperlinks>
    <hyperlink ref="A3" location="'D3 to D14'!R3" tooltip="Back" display="D3 to D14'!A1" xr:uid="{00000000-0004-0000-0F00-000000000000}"/>
  </hyperlinks>
  <pageMargins left="0.7" right="0.7" top="0.75" bottom="0.75" header="0.3" footer="0.3"/>
  <pageSetup scale="41" fitToHeight="0" orientation="landscape"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AT266"/>
  <sheetViews>
    <sheetView zoomScale="75" zoomScaleNormal="75" workbookViewId="0"/>
  </sheetViews>
  <sheetFormatPr baseColWidth="10" defaultColWidth="9.1640625" defaultRowHeight="15"/>
  <cols>
    <col min="1" max="1" width="9.1640625" style="32" customWidth="1"/>
    <col min="2" max="2" width="50" style="32" bestFit="1" customWidth="1"/>
    <col min="3" max="46" width="5.6640625" style="32" customWidth="1"/>
    <col min="47" max="47" width="21.1640625" style="32" customWidth="1"/>
    <col min="48" max="16384" width="9.1640625" style="32"/>
  </cols>
  <sheetData>
    <row r="1" spans="1:46"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row>
    <row r="2" spans="1:46"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row>
    <row r="3" spans="1:46"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1870"/>
      <c r="AK3" s="1870"/>
      <c r="AL3" s="1857"/>
      <c r="AM3" s="1857"/>
      <c r="AN3" s="1857"/>
      <c r="AO3" s="1857"/>
      <c r="AP3" s="1857"/>
      <c r="AQ3" s="1857"/>
      <c r="AR3" s="1857"/>
      <c r="AS3" s="1857"/>
      <c r="AT3" s="1857"/>
    </row>
    <row r="4" spans="1:46" ht="20" customHeight="1">
      <c r="A4" s="159" t="s">
        <v>203</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46" ht="20" customHeight="1">
      <c r="A5" s="1871" t="s">
        <v>15</v>
      </c>
      <c r="B5" s="410" t="s">
        <v>662</v>
      </c>
      <c r="C5" s="444"/>
      <c r="D5" s="422"/>
      <c r="E5" s="447"/>
      <c r="F5" s="422"/>
      <c r="G5" s="447"/>
      <c r="H5" s="422"/>
      <c r="I5" s="447"/>
      <c r="J5" s="422"/>
      <c r="K5" s="447"/>
      <c r="L5" s="422" t="str">
        <f>BKK!T33</f>
        <v/>
      </c>
      <c r="M5" s="447">
        <f>BKK!S33</f>
        <v>2</v>
      </c>
      <c r="N5" s="422"/>
      <c r="O5" s="449"/>
      <c r="P5" s="422"/>
      <c r="Q5" s="449"/>
      <c r="R5" s="422"/>
      <c r="S5" s="449"/>
      <c r="T5" s="422"/>
      <c r="U5" s="449"/>
      <c r="V5" s="623"/>
      <c r="W5" s="450"/>
      <c r="X5" s="422"/>
      <c r="Y5" s="450"/>
      <c r="Z5" s="422"/>
      <c r="AA5" s="450"/>
      <c r="AB5" s="422"/>
      <c r="AC5" s="451"/>
      <c r="AD5" s="422"/>
      <c r="AE5" s="451"/>
      <c r="AF5" s="422" t="str">
        <f>BKK!T34</f>
        <v/>
      </c>
      <c r="AG5" s="451">
        <f>BKK!S34</f>
        <v>2</v>
      </c>
      <c r="AH5" s="422" t="str">
        <f>BKK!T35</f>
        <v/>
      </c>
      <c r="AI5" s="451">
        <f>BKK!S35</f>
        <v>3</v>
      </c>
    </row>
    <row r="6" spans="1:46" ht="20" customHeight="1">
      <c r="A6" s="1871"/>
      <c r="B6" s="410" t="s">
        <v>677</v>
      </c>
      <c r="C6" s="444"/>
      <c r="D6" s="422"/>
      <c r="E6" s="447"/>
      <c r="F6" s="422"/>
      <c r="G6" s="447"/>
      <c r="H6" s="422"/>
      <c r="I6" s="447"/>
      <c r="J6" s="422"/>
      <c r="K6" s="447"/>
      <c r="L6" s="422" t="str">
        <f>BKK!AD42</f>
        <v/>
      </c>
      <c r="M6" s="447">
        <f>BKK!AC42</f>
        <v>1</v>
      </c>
      <c r="N6" s="422"/>
      <c r="O6" s="449"/>
      <c r="P6" s="422"/>
      <c r="Q6" s="449"/>
      <c r="R6" s="422"/>
      <c r="S6" s="449"/>
      <c r="T6" s="422" t="str">
        <f>BKK!AD43</f>
        <v/>
      </c>
      <c r="U6" s="449">
        <f>BKK!AC43</f>
        <v>2</v>
      </c>
      <c r="V6" s="623"/>
      <c r="W6" s="450"/>
      <c r="X6" s="422"/>
      <c r="Y6" s="450"/>
      <c r="Z6" s="422"/>
      <c r="AA6" s="450"/>
      <c r="AB6" s="422"/>
      <c r="AC6" s="451"/>
      <c r="AD6" s="422"/>
      <c r="AE6" s="451"/>
      <c r="AF6" s="422" t="str">
        <f>BKK!AD44</f>
        <v/>
      </c>
      <c r="AG6" s="451">
        <f>BKK!AC44</f>
        <v>1</v>
      </c>
      <c r="AH6" s="422" t="str">
        <f>BKK!AD45</f>
        <v/>
      </c>
      <c r="AI6" s="451">
        <f>BKK!AC45</f>
        <v>6</v>
      </c>
    </row>
    <row r="7" spans="1:46" ht="20" customHeight="1">
      <c r="A7" s="1871"/>
      <c r="B7" s="410" t="s">
        <v>697</v>
      </c>
      <c r="C7" s="444"/>
      <c r="D7" s="422" t="str">
        <f>BKK!I33</f>
        <v/>
      </c>
      <c r="E7" s="447">
        <f>BKK!H33</f>
        <v>4</v>
      </c>
      <c r="F7" s="422"/>
      <c r="G7" s="447"/>
      <c r="H7" s="422"/>
      <c r="I7" s="447"/>
      <c r="J7" s="422"/>
      <c r="K7" s="447"/>
      <c r="L7" s="422" t="str">
        <f>BKK!I34</f>
        <v/>
      </c>
      <c r="M7" s="447">
        <f>BKK!H34</f>
        <v>1</v>
      </c>
      <c r="N7" s="422" t="str">
        <f>BKK!I35</f>
        <v/>
      </c>
      <c r="O7" s="449">
        <f>BKK!H35</f>
        <v>1</v>
      </c>
      <c r="P7" s="422"/>
      <c r="Q7" s="449"/>
      <c r="R7" s="422"/>
      <c r="S7" s="449"/>
      <c r="T7" s="422" t="str">
        <f>BKK!I36</f>
        <v/>
      </c>
      <c r="U7" s="449">
        <f>BKK!H36</f>
        <v>1</v>
      </c>
      <c r="V7" s="623"/>
      <c r="W7" s="450"/>
      <c r="X7" s="422"/>
      <c r="Y7" s="450"/>
      <c r="Z7" s="422"/>
      <c r="AA7" s="450"/>
      <c r="AB7" s="422"/>
      <c r="AC7" s="451"/>
      <c r="AD7" s="422"/>
      <c r="AE7" s="451"/>
      <c r="AF7" s="422"/>
      <c r="AG7" s="451"/>
      <c r="AH7" s="422"/>
      <c r="AI7" s="451"/>
    </row>
    <row r="8" spans="1:46" ht="20" customHeight="1">
      <c r="A8" s="1871"/>
      <c r="B8" s="410" t="s">
        <v>698</v>
      </c>
      <c r="C8" s="444"/>
      <c r="D8" s="422" t="str">
        <f>BKK!J33</f>
        <v/>
      </c>
      <c r="E8" s="447">
        <f>BKK!H33</f>
        <v>4</v>
      </c>
      <c r="F8" s="422"/>
      <c r="G8" s="447"/>
      <c r="H8" s="422"/>
      <c r="I8" s="447"/>
      <c r="J8" s="422"/>
      <c r="K8" s="447"/>
      <c r="L8" s="422" t="str">
        <f>BKK!J34</f>
        <v/>
      </c>
      <c r="M8" s="447">
        <f>BKK!H34</f>
        <v>1</v>
      </c>
      <c r="N8" s="422" t="str">
        <f>BKK!J35</f>
        <v/>
      </c>
      <c r="O8" s="449">
        <f>BKK!H35</f>
        <v>1</v>
      </c>
      <c r="P8" s="422"/>
      <c r="Q8" s="449"/>
      <c r="R8" s="422"/>
      <c r="S8" s="449"/>
      <c r="T8" s="422" t="str">
        <f>BKK!J36</f>
        <v/>
      </c>
      <c r="U8" s="449">
        <f>BKK!H36</f>
        <v>1</v>
      </c>
      <c r="V8" s="623"/>
      <c r="W8" s="450"/>
      <c r="X8" s="422"/>
      <c r="Y8" s="450"/>
      <c r="Z8" s="422"/>
      <c r="AA8" s="450"/>
      <c r="AB8" s="422"/>
      <c r="AC8" s="451"/>
      <c r="AD8" s="422"/>
      <c r="AE8" s="451"/>
      <c r="AF8" s="422"/>
      <c r="AG8" s="451"/>
      <c r="AH8" s="422"/>
      <c r="AI8" s="451"/>
    </row>
    <row r="9" spans="1:46" ht="20" customHeight="1">
      <c r="A9" s="1871"/>
      <c r="B9" s="410" t="s">
        <v>716</v>
      </c>
      <c r="C9" s="444"/>
      <c r="D9" s="422"/>
      <c r="E9" s="447"/>
      <c r="F9" s="422"/>
      <c r="G9" s="447"/>
      <c r="H9" s="422"/>
      <c r="I9" s="447"/>
      <c r="J9" s="422"/>
      <c r="K9" s="447"/>
      <c r="L9" s="422"/>
      <c r="M9" s="447"/>
      <c r="N9" s="422"/>
      <c r="O9" s="449"/>
      <c r="P9" s="422"/>
      <c r="Q9" s="449"/>
      <c r="R9" s="422"/>
      <c r="S9" s="449"/>
      <c r="T9" s="422"/>
      <c r="U9" s="449"/>
      <c r="V9" s="623" t="str">
        <f>BKK!I43</f>
        <v/>
      </c>
      <c r="W9" s="450">
        <f>BKK!H43</f>
        <v>1</v>
      </c>
      <c r="X9" s="422"/>
      <c r="Y9" s="450"/>
      <c r="Z9" s="422"/>
      <c r="AA9" s="450"/>
      <c r="AB9" s="422"/>
      <c r="AC9" s="451"/>
      <c r="AD9" s="422"/>
      <c r="AE9" s="451"/>
      <c r="AF9" s="422"/>
      <c r="AG9" s="451"/>
      <c r="AH9" s="422"/>
      <c r="AI9" s="451"/>
    </row>
    <row r="10" spans="1:46" ht="20" customHeight="1">
      <c r="A10" s="1871"/>
      <c r="B10" s="410" t="s">
        <v>717</v>
      </c>
      <c r="C10" s="444"/>
      <c r="D10" s="422"/>
      <c r="E10" s="447"/>
      <c r="F10" s="422"/>
      <c r="G10" s="447"/>
      <c r="H10" s="422"/>
      <c r="I10" s="447"/>
      <c r="J10" s="422"/>
      <c r="K10" s="447"/>
      <c r="L10" s="422"/>
      <c r="M10" s="447"/>
      <c r="N10" s="422"/>
      <c r="O10" s="449"/>
      <c r="P10" s="422"/>
      <c r="Q10" s="449"/>
      <c r="R10" s="422"/>
      <c r="S10" s="449"/>
      <c r="T10" s="422"/>
      <c r="U10" s="449"/>
      <c r="V10" s="623" t="str">
        <f>BKK!J43</f>
        <v/>
      </c>
      <c r="W10" s="450">
        <f>BKK!H43</f>
        <v>1</v>
      </c>
      <c r="X10" s="422"/>
      <c r="Y10" s="450"/>
      <c r="Z10" s="422"/>
      <c r="AA10" s="450"/>
      <c r="AB10" s="422"/>
      <c r="AC10" s="451"/>
      <c r="AD10" s="422"/>
      <c r="AE10" s="451"/>
      <c r="AF10" s="422"/>
      <c r="AG10" s="451"/>
      <c r="AH10" s="422"/>
      <c r="AI10" s="451"/>
    </row>
    <row r="11" spans="1:46" ht="20" customHeight="1">
      <c r="A11" s="423"/>
      <c r="B11" s="424"/>
      <c r="C11" s="429"/>
      <c r="D11" s="429"/>
      <c r="E11" s="429"/>
      <c r="F11" s="429"/>
      <c r="G11" s="429"/>
      <c r="H11" s="429"/>
      <c r="I11" s="429"/>
      <c r="J11" s="429"/>
      <c r="K11" s="429"/>
      <c r="L11" s="429"/>
      <c r="M11" s="429"/>
      <c r="N11" s="429"/>
      <c r="O11" s="429"/>
      <c r="P11" s="429"/>
      <c r="Q11" s="429"/>
      <c r="R11" s="429"/>
      <c r="S11" s="429"/>
      <c r="T11" s="429"/>
      <c r="U11" s="429"/>
      <c r="V11" s="429"/>
      <c r="W11" s="429"/>
      <c r="X11" s="429"/>
      <c r="Y11" s="429"/>
      <c r="Z11" s="429"/>
      <c r="AA11" s="429"/>
      <c r="AB11" s="429"/>
      <c r="AC11" s="429"/>
      <c r="AD11" s="429"/>
      <c r="AE11" s="429"/>
      <c r="AF11" s="429"/>
      <c r="AG11" s="429"/>
      <c r="AH11" s="429"/>
      <c r="AI11" s="429"/>
      <c r="AM11" s="414"/>
      <c r="AN11" s="414"/>
      <c r="AO11" s="415"/>
      <c r="AP11" s="415"/>
      <c r="AQ11" s="415"/>
      <c r="AR11" s="52"/>
    </row>
    <row r="12" spans="1:46" ht="20" customHeight="1">
      <c r="A12" s="1871" t="s">
        <v>640</v>
      </c>
      <c r="B12" s="410" t="s">
        <v>454</v>
      </c>
      <c r="C12" s="444"/>
      <c r="D12" s="422"/>
      <c r="E12" s="447"/>
      <c r="F12" s="422"/>
      <c r="G12" s="447"/>
      <c r="H12" s="422"/>
      <c r="I12" s="447"/>
      <c r="J12" s="422"/>
      <c r="K12" s="447"/>
      <c r="L12" s="422"/>
      <c r="M12" s="447"/>
      <c r="N12" s="422"/>
      <c r="O12" s="449"/>
      <c r="P12" s="422"/>
      <c r="Q12" s="449"/>
      <c r="R12" s="422"/>
      <c r="S12" s="449"/>
      <c r="T12" s="422" t="str">
        <f>BKK!U75</f>
        <v/>
      </c>
      <c r="U12" s="449">
        <f>BKK!T75</f>
        <v>2</v>
      </c>
      <c r="V12" s="619"/>
      <c r="W12" s="450"/>
      <c r="X12" s="422"/>
      <c r="Y12" s="450"/>
      <c r="Z12" s="422"/>
      <c r="AA12" s="450"/>
      <c r="AB12" s="422"/>
      <c r="AC12" s="451"/>
      <c r="AD12" s="422"/>
      <c r="AE12" s="451"/>
      <c r="AF12" s="422" t="str">
        <f>BKK!U76</f>
        <v/>
      </c>
      <c r="AG12" s="451">
        <f>BKK!T76</f>
        <v>1</v>
      </c>
      <c r="AH12" s="422" t="str">
        <f>BKK!U77</f>
        <v/>
      </c>
      <c r="AI12" s="451">
        <f>BKK!T77</f>
        <v>5</v>
      </c>
    </row>
    <row r="13" spans="1:46" ht="20" customHeight="1">
      <c r="A13" s="1871"/>
      <c r="B13" s="410" t="s">
        <v>455</v>
      </c>
      <c r="C13" s="444"/>
      <c r="D13" s="422"/>
      <c r="E13" s="447"/>
      <c r="F13" s="422"/>
      <c r="G13" s="447"/>
      <c r="H13" s="422"/>
      <c r="I13" s="447"/>
      <c r="J13" s="422"/>
      <c r="K13" s="447"/>
      <c r="L13" s="422"/>
      <c r="M13" s="447"/>
      <c r="N13" s="422"/>
      <c r="O13" s="449"/>
      <c r="P13" s="422"/>
      <c r="Q13" s="449"/>
      <c r="R13" s="422"/>
      <c r="S13" s="449"/>
      <c r="T13" s="422" t="str">
        <f>BKK!AC69</f>
        <v/>
      </c>
      <c r="U13" s="449">
        <f>BKK!AB69</f>
        <v>1</v>
      </c>
      <c r="V13" s="619"/>
      <c r="W13" s="450"/>
      <c r="X13" s="422"/>
      <c r="Y13" s="450"/>
      <c r="Z13" s="422"/>
      <c r="AA13" s="450"/>
      <c r="AB13" s="422"/>
      <c r="AC13" s="451"/>
      <c r="AD13" s="422"/>
      <c r="AE13" s="451"/>
      <c r="AF13" s="422"/>
      <c r="AG13" s="451"/>
      <c r="AH13" s="422" t="str">
        <f>BKK!AC70</f>
        <v/>
      </c>
      <c r="AI13" s="451">
        <f>BKK!AB70</f>
        <v>5</v>
      </c>
    </row>
    <row r="14" spans="1:46" ht="20" customHeight="1">
      <c r="A14" s="1871"/>
      <c r="B14" s="410" t="s">
        <v>456</v>
      </c>
      <c r="C14" s="444"/>
      <c r="D14" s="422"/>
      <c r="E14" s="447"/>
      <c r="F14" s="422"/>
      <c r="G14" s="447"/>
      <c r="H14" s="422"/>
      <c r="I14" s="447"/>
      <c r="J14" s="422"/>
      <c r="K14" s="447"/>
      <c r="L14" s="422" t="str">
        <f>BKK!AK66</f>
        <v/>
      </c>
      <c r="M14" s="447">
        <f>BKK!AJ66</f>
        <v>1</v>
      </c>
      <c r="N14" s="422" t="str">
        <f>BKK!AK67</f>
        <v/>
      </c>
      <c r="O14" s="449">
        <f>BKK!AJ67</f>
        <v>1</v>
      </c>
      <c r="P14" s="422"/>
      <c r="Q14" s="449"/>
      <c r="R14" s="422"/>
      <c r="S14" s="449"/>
      <c r="T14" s="422"/>
      <c r="U14" s="449"/>
      <c r="V14" s="619"/>
      <c r="W14" s="450"/>
      <c r="X14" s="422"/>
      <c r="Y14" s="450"/>
      <c r="Z14" s="422"/>
      <c r="AA14" s="450"/>
      <c r="AB14" s="422"/>
      <c r="AC14" s="451"/>
      <c r="AD14" s="422"/>
      <c r="AE14" s="451"/>
      <c r="AF14" s="422" t="str">
        <f>BKK!AK68</f>
        <v/>
      </c>
      <c r="AG14" s="451">
        <f>BKK!AJ68</f>
        <v>1</v>
      </c>
      <c r="AH14" s="422" t="str">
        <f>BKK!AK69</f>
        <v/>
      </c>
      <c r="AI14" s="451">
        <f>BKK!AJ69</f>
        <v>2</v>
      </c>
      <c r="AR14" s="52"/>
    </row>
    <row r="15" spans="1:46" ht="20" customHeight="1">
      <c r="A15" s="1871"/>
      <c r="B15" s="410" t="s">
        <v>452</v>
      </c>
      <c r="C15" s="444"/>
      <c r="D15" s="422"/>
      <c r="E15" s="447"/>
      <c r="F15" s="422"/>
      <c r="G15" s="447"/>
      <c r="H15" s="422"/>
      <c r="I15" s="447"/>
      <c r="J15" s="422"/>
      <c r="K15" s="447"/>
      <c r="L15" s="422"/>
      <c r="M15" s="447"/>
      <c r="N15" s="422"/>
      <c r="O15" s="449"/>
      <c r="P15" s="422"/>
      <c r="Q15" s="449"/>
      <c r="R15" s="422"/>
      <c r="S15" s="449"/>
      <c r="T15" s="422" t="str">
        <f>BKK!AS75</f>
        <v/>
      </c>
      <c r="U15" s="449">
        <f>BKK!AR75</f>
        <v>2</v>
      </c>
      <c r="V15" s="619"/>
      <c r="W15" s="450"/>
      <c r="X15" s="422"/>
      <c r="Y15" s="450"/>
      <c r="Z15" s="422"/>
      <c r="AA15" s="450"/>
      <c r="AB15" s="422"/>
      <c r="AC15" s="451"/>
      <c r="AD15" s="422"/>
      <c r="AE15" s="451"/>
      <c r="AF15" s="422" t="str">
        <f>BKK!AS76</f>
        <v/>
      </c>
      <c r="AG15" s="451">
        <f>BKK!AR76</f>
        <v>4</v>
      </c>
      <c r="AH15" s="422" t="str">
        <f>BKK!AS77</f>
        <v/>
      </c>
      <c r="AI15" s="451">
        <f>BKK!AR77</f>
        <v>2</v>
      </c>
    </row>
    <row r="16" spans="1:46" ht="20" customHeight="1">
      <c r="A16" s="1871"/>
      <c r="B16" s="410" t="s">
        <v>450</v>
      </c>
      <c r="C16" s="444"/>
      <c r="D16" s="422"/>
      <c r="E16" s="447"/>
      <c r="F16" s="422"/>
      <c r="G16" s="447"/>
      <c r="H16" s="422"/>
      <c r="I16" s="447"/>
      <c r="J16" s="422"/>
      <c r="K16" s="447"/>
      <c r="L16" s="422"/>
      <c r="M16" s="447"/>
      <c r="N16" s="422"/>
      <c r="O16" s="449"/>
      <c r="P16" s="422"/>
      <c r="Q16" s="449"/>
      <c r="R16" s="422"/>
      <c r="S16" s="449"/>
      <c r="T16" s="422" t="str">
        <f>BKK!BA78</f>
        <v/>
      </c>
      <c r="U16" s="449">
        <f>BKK!AZ78</f>
        <v>3</v>
      </c>
      <c r="V16" s="619"/>
      <c r="W16" s="450"/>
      <c r="X16" s="422"/>
      <c r="Y16" s="450"/>
      <c r="Z16" s="422"/>
      <c r="AA16" s="450"/>
      <c r="AB16" s="422"/>
      <c r="AC16" s="451"/>
      <c r="AD16" s="422"/>
      <c r="AE16" s="451"/>
      <c r="AF16" s="422" t="str">
        <f>BKK!BA79</f>
        <v/>
      </c>
      <c r="AG16" s="451">
        <f>BKK!AZ79</f>
        <v>2</v>
      </c>
      <c r="AH16" s="422" t="str">
        <f>BKK!BA80</f>
        <v/>
      </c>
      <c r="AI16" s="451">
        <f>BKK!AZ80</f>
        <v>4</v>
      </c>
    </row>
    <row r="17" spans="1:35" ht="20" customHeight="1">
      <c r="A17" s="1871"/>
      <c r="B17" s="410" t="s">
        <v>451</v>
      </c>
      <c r="C17" s="444"/>
      <c r="D17" s="422"/>
      <c r="E17" s="447"/>
      <c r="F17" s="422"/>
      <c r="G17" s="447"/>
      <c r="H17" s="422"/>
      <c r="I17" s="447"/>
      <c r="J17" s="422"/>
      <c r="K17" s="447"/>
      <c r="L17" s="422"/>
      <c r="M17" s="447"/>
      <c r="N17" s="422"/>
      <c r="O17" s="449"/>
      <c r="P17" s="422"/>
      <c r="Q17" s="449"/>
      <c r="R17" s="422"/>
      <c r="S17" s="449"/>
      <c r="T17" s="422" t="str">
        <f>BKK!BI75</f>
        <v/>
      </c>
      <c r="U17" s="449">
        <f>BKK!BH75</f>
        <v>4</v>
      </c>
      <c r="V17" s="619"/>
      <c r="W17" s="450"/>
      <c r="X17" s="422"/>
      <c r="Y17" s="450"/>
      <c r="Z17" s="422"/>
      <c r="AA17" s="450"/>
      <c r="AB17" s="422"/>
      <c r="AC17" s="451"/>
      <c r="AD17" s="422"/>
      <c r="AE17" s="451"/>
      <c r="AF17" s="422"/>
      <c r="AG17" s="451"/>
      <c r="AH17" s="422" t="str">
        <f>BKK!BI76</f>
        <v/>
      </c>
      <c r="AI17" s="451">
        <f>BKK!BH76</f>
        <v>4</v>
      </c>
    </row>
    <row r="18" spans="1:35" ht="20" customHeight="1">
      <c r="A18" s="1871"/>
      <c r="B18" s="410" t="s">
        <v>449</v>
      </c>
      <c r="C18" s="444"/>
      <c r="D18" s="422"/>
      <c r="E18" s="447"/>
      <c r="F18" s="422"/>
      <c r="G18" s="447"/>
      <c r="H18" s="422"/>
      <c r="I18" s="447"/>
      <c r="J18" s="422"/>
      <c r="K18" s="447"/>
      <c r="L18" s="422"/>
      <c r="M18" s="447"/>
      <c r="N18" s="422"/>
      <c r="O18" s="449"/>
      <c r="P18" s="422"/>
      <c r="Q18" s="449"/>
      <c r="R18" s="422"/>
      <c r="S18" s="449"/>
      <c r="T18" s="422" t="str">
        <f>BKK!U120</f>
        <v/>
      </c>
      <c r="U18" s="449">
        <f>BKK!T120</f>
        <v>2</v>
      </c>
      <c r="V18" s="619"/>
      <c r="W18" s="450"/>
      <c r="X18" s="422"/>
      <c r="Y18" s="450"/>
      <c r="Z18" s="422"/>
      <c r="AA18" s="450"/>
      <c r="AB18" s="422"/>
      <c r="AC18" s="451"/>
      <c r="AD18" s="422"/>
      <c r="AE18" s="451"/>
      <c r="AF18" s="422"/>
      <c r="AG18" s="451"/>
      <c r="AH18" s="422" t="str">
        <f>BKK!U121</f>
        <v/>
      </c>
      <c r="AI18" s="451">
        <f>BKK!T121</f>
        <v>5</v>
      </c>
    </row>
    <row r="19" spans="1:35" ht="20" customHeight="1">
      <c r="A19" s="1871"/>
      <c r="B19" s="410" t="s">
        <v>448</v>
      </c>
      <c r="C19" s="444"/>
      <c r="D19" s="422"/>
      <c r="E19" s="447"/>
      <c r="F19" s="422"/>
      <c r="G19" s="447"/>
      <c r="H19" s="422"/>
      <c r="I19" s="447"/>
      <c r="J19" s="422"/>
      <c r="K19" s="447"/>
      <c r="L19" s="422"/>
      <c r="M19" s="447"/>
      <c r="N19" s="422"/>
      <c r="O19" s="449"/>
      <c r="P19" s="422"/>
      <c r="Q19" s="449"/>
      <c r="R19" s="422"/>
      <c r="S19" s="449"/>
      <c r="T19" s="422" t="str">
        <f>BKK!AC129</f>
        <v/>
      </c>
      <c r="U19" s="449">
        <f>BKK!AB129</f>
        <v>3</v>
      </c>
      <c r="V19" s="619"/>
      <c r="W19" s="450"/>
      <c r="X19" s="422"/>
      <c r="Y19" s="450"/>
      <c r="Z19" s="422"/>
      <c r="AA19" s="450"/>
      <c r="AB19" s="422"/>
      <c r="AC19" s="451"/>
      <c r="AD19" s="422"/>
      <c r="AE19" s="451"/>
      <c r="AF19" s="422" t="str">
        <f>BKK!AC130</f>
        <v/>
      </c>
      <c r="AG19" s="451">
        <f>BKK!AB130</f>
        <v>1</v>
      </c>
      <c r="AH19" s="422" t="str">
        <f>BKK!AC131</f>
        <v/>
      </c>
      <c r="AI19" s="451">
        <f>BKK!AB131</f>
        <v>6</v>
      </c>
    </row>
    <row r="20" spans="1:35" ht="20" customHeight="1">
      <c r="A20" s="1871"/>
      <c r="B20" s="418" t="str">
        <f>"MCS - "&amp;B12</f>
        <v>MCS - 1. Bar Cart</v>
      </c>
      <c r="C20" s="444"/>
      <c r="D20" s="32" t="str">
        <f>BKK!H78</f>
        <v/>
      </c>
      <c r="E20" s="447">
        <f>BKK!G78</f>
        <v>4</v>
      </c>
      <c r="F20" s="422"/>
      <c r="G20" s="447"/>
      <c r="H20" s="422"/>
      <c r="I20" s="447"/>
      <c r="J20" s="422"/>
      <c r="K20" s="447"/>
      <c r="L20" s="619" t="str">
        <f>BKK!H79</f>
        <v/>
      </c>
      <c r="M20" s="447">
        <f>BKK!G79</f>
        <v>1</v>
      </c>
      <c r="N20" s="619" t="str">
        <f>BKK!H80</f>
        <v/>
      </c>
      <c r="O20" s="449">
        <f>BKK!G80</f>
        <v>2</v>
      </c>
      <c r="P20" s="422"/>
      <c r="Q20" s="449"/>
      <c r="R20" s="422"/>
      <c r="S20" s="449"/>
      <c r="T20" s="619" t="str">
        <f>BKK!H81</f>
        <v/>
      </c>
      <c r="U20" s="449">
        <f>BKK!G81</f>
        <v>2</v>
      </c>
      <c r="V20" s="619"/>
      <c r="W20" s="450"/>
      <c r="X20" s="422"/>
      <c r="Y20" s="450"/>
      <c r="Z20" s="422"/>
      <c r="AA20" s="450"/>
      <c r="AB20" s="422"/>
      <c r="AC20" s="451"/>
      <c r="AD20" s="422"/>
      <c r="AE20" s="451"/>
      <c r="AF20" s="422"/>
      <c r="AG20" s="451"/>
      <c r="AH20" s="422"/>
      <c r="AI20" s="451"/>
    </row>
    <row r="21" spans="1:35" ht="20" customHeight="1">
      <c r="A21" s="1871"/>
      <c r="B21" s="418" t="str">
        <f t="shared" ref="B21:B27" si="0">"MCS - "&amp;B13</f>
        <v>MCS - 2. Bar Clearance</v>
      </c>
      <c r="C21" s="444"/>
      <c r="D21" s="32" t="str">
        <f>BKK!I78</f>
        <v/>
      </c>
      <c r="E21" s="447">
        <f>BKK!G78</f>
        <v>4</v>
      </c>
      <c r="F21" s="422"/>
      <c r="G21" s="447"/>
      <c r="H21" s="422"/>
      <c r="I21" s="447"/>
      <c r="J21" s="422"/>
      <c r="K21" s="447"/>
      <c r="L21" s="619" t="str">
        <f>BKK!I79</f>
        <v/>
      </c>
      <c r="M21" s="447">
        <f>BKK!G79</f>
        <v>1</v>
      </c>
      <c r="N21" s="619" t="str">
        <f>BKK!I80</f>
        <v/>
      </c>
      <c r="O21" s="449">
        <f>BKK!G80</f>
        <v>2</v>
      </c>
      <c r="P21" s="422"/>
      <c r="Q21" s="449"/>
      <c r="R21" s="422"/>
      <c r="S21" s="449"/>
      <c r="T21" s="619" t="str">
        <f>BKK!I81</f>
        <v/>
      </c>
      <c r="U21" s="449">
        <f>BKK!G81</f>
        <v>2</v>
      </c>
      <c r="V21" s="619"/>
      <c r="W21" s="450"/>
      <c r="X21" s="422"/>
      <c r="Y21" s="450"/>
      <c r="Z21" s="422"/>
      <c r="AA21" s="450"/>
      <c r="AB21" s="422"/>
      <c r="AC21" s="451"/>
      <c r="AD21" s="422"/>
      <c r="AE21" s="451"/>
      <c r="AF21" s="422"/>
      <c r="AG21" s="451"/>
      <c r="AH21" s="422"/>
      <c r="AI21" s="451"/>
    </row>
    <row r="22" spans="1:35" ht="20" customHeight="1">
      <c r="A22" s="1871"/>
      <c r="B22" s="418" t="str">
        <f t="shared" si="0"/>
        <v>MCS - 3. SPML</v>
      </c>
      <c r="C22" s="444"/>
      <c r="D22" s="32" t="str">
        <f>BKK!J78</f>
        <v/>
      </c>
      <c r="E22" s="447">
        <f>BKK!G78</f>
        <v>4</v>
      </c>
      <c r="F22" s="422"/>
      <c r="G22" s="413"/>
      <c r="H22" s="422"/>
      <c r="I22" s="413"/>
      <c r="J22" s="422"/>
      <c r="K22" s="413"/>
      <c r="L22" s="619" t="str">
        <f>BKK!J79</f>
        <v/>
      </c>
      <c r="M22" s="447">
        <f>BKK!G79</f>
        <v>1</v>
      </c>
      <c r="N22" s="619" t="str">
        <f>BKK!J80</f>
        <v/>
      </c>
      <c r="O22" s="449">
        <f>BKK!G80</f>
        <v>2</v>
      </c>
      <c r="P22" s="422"/>
      <c r="Q22" s="442"/>
      <c r="R22" s="422"/>
      <c r="S22" s="442"/>
      <c r="T22" s="619" t="str">
        <f>BKK!J81</f>
        <v/>
      </c>
      <c r="U22" s="449">
        <f>BKK!G81</f>
        <v>2</v>
      </c>
      <c r="V22" s="422"/>
      <c r="W22" s="437"/>
      <c r="X22" s="422"/>
      <c r="Y22" s="437"/>
      <c r="Z22" s="422"/>
      <c r="AA22" s="437"/>
      <c r="AB22" s="422"/>
      <c r="AC22" s="439"/>
      <c r="AD22" s="422"/>
      <c r="AE22" s="439"/>
      <c r="AF22" s="422"/>
      <c r="AG22" s="439"/>
      <c r="AH22" s="422"/>
      <c r="AI22" s="439"/>
    </row>
    <row r="23" spans="1:35" ht="20" customHeight="1">
      <c r="A23" s="1871"/>
      <c r="B23" s="418" t="str">
        <f t="shared" si="0"/>
        <v>MCS - 4. Meal Cart</v>
      </c>
      <c r="C23" s="444"/>
      <c r="D23" s="32" t="str">
        <f>BKK!K78</f>
        <v/>
      </c>
      <c r="E23" s="447">
        <f>BKK!G78</f>
        <v>4</v>
      </c>
      <c r="F23" s="422"/>
      <c r="G23" s="413"/>
      <c r="H23" s="422"/>
      <c r="I23" s="413"/>
      <c r="J23" s="422"/>
      <c r="K23" s="413"/>
      <c r="L23" s="619" t="str">
        <f>BKK!K79</f>
        <v/>
      </c>
      <c r="M23" s="447">
        <f>BKK!G79</f>
        <v>1</v>
      </c>
      <c r="N23" s="619" t="str">
        <f>BKK!K80</f>
        <v/>
      </c>
      <c r="O23" s="449">
        <f>BKK!G80</f>
        <v>2</v>
      </c>
      <c r="P23" s="422"/>
      <c r="Q23" s="442"/>
      <c r="R23" s="422"/>
      <c r="S23" s="442"/>
      <c r="T23" s="619" t="str">
        <f>BKK!K81</f>
        <v/>
      </c>
      <c r="U23" s="449">
        <f>BKK!G81</f>
        <v>2</v>
      </c>
      <c r="V23" s="422"/>
      <c r="W23" s="437"/>
      <c r="X23" s="422"/>
      <c r="Y23" s="437"/>
      <c r="Z23" s="422"/>
      <c r="AA23" s="437"/>
      <c r="AB23" s="422"/>
      <c r="AC23" s="439"/>
      <c r="AD23" s="422"/>
      <c r="AE23" s="439"/>
      <c r="AF23" s="422"/>
      <c r="AG23" s="439"/>
      <c r="AH23" s="422"/>
      <c r="AI23" s="439"/>
    </row>
    <row r="24" spans="1:35" ht="20" customHeight="1">
      <c r="A24" s="1871"/>
      <c r="B24" s="418" t="str">
        <f t="shared" si="0"/>
        <v>MCS - 5. Hot Beverage</v>
      </c>
      <c r="C24" s="444"/>
      <c r="D24" s="32" t="str">
        <f>BKK!L78</f>
        <v/>
      </c>
      <c r="E24" s="447">
        <f>BKK!G78</f>
        <v>4</v>
      </c>
      <c r="F24" s="422"/>
      <c r="G24" s="413"/>
      <c r="H24" s="422"/>
      <c r="I24" s="413"/>
      <c r="J24" s="422"/>
      <c r="K24" s="413"/>
      <c r="L24" s="619" t="str">
        <f>BKK!L79</f>
        <v/>
      </c>
      <c r="M24" s="447">
        <f>BKK!G79</f>
        <v>1</v>
      </c>
      <c r="N24" s="619" t="str">
        <f>BKK!L80</f>
        <v/>
      </c>
      <c r="O24" s="449">
        <f>BKK!G80</f>
        <v>2</v>
      </c>
      <c r="P24" s="422"/>
      <c r="Q24" s="442"/>
      <c r="R24" s="422"/>
      <c r="S24" s="442"/>
      <c r="T24" s="619" t="str">
        <f>BKK!L81</f>
        <v/>
      </c>
      <c r="U24" s="449">
        <f>BKK!G81</f>
        <v>2</v>
      </c>
      <c r="V24" s="422"/>
      <c r="W24" s="437"/>
      <c r="X24" s="422"/>
      <c r="Y24" s="437"/>
      <c r="Z24" s="422"/>
      <c r="AA24" s="437"/>
      <c r="AB24" s="422"/>
      <c r="AC24" s="439"/>
      <c r="AD24" s="422"/>
      <c r="AE24" s="439"/>
      <c r="AF24" s="422"/>
      <c r="AG24" s="439"/>
      <c r="AH24" s="422"/>
      <c r="AI24" s="439"/>
    </row>
    <row r="25" spans="1:35" ht="20" customHeight="1">
      <c r="A25" s="1871"/>
      <c r="B25" s="418" t="str">
        <f t="shared" si="0"/>
        <v>MCS - 6. Clearance Cart</v>
      </c>
      <c r="C25" s="444"/>
      <c r="D25" s="32" t="str">
        <f>BKK!M78</f>
        <v/>
      </c>
      <c r="E25" s="447">
        <f>BKK!G78</f>
        <v>4</v>
      </c>
      <c r="F25" s="422"/>
      <c r="G25" s="413"/>
      <c r="H25" s="422"/>
      <c r="I25" s="413"/>
      <c r="J25" s="422"/>
      <c r="K25" s="413"/>
      <c r="L25" s="619" t="str">
        <f>BKK!M79</f>
        <v/>
      </c>
      <c r="M25" s="447">
        <f>BKK!G79</f>
        <v>1</v>
      </c>
      <c r="N25" s="619" t="str">
        <f>BKK!M80</f>
        <v/>
      </c>
      <c r="O25" s="449">
        <f>BKK!G80</f>
        <v>2</v>
      </c>
      <c r="P25" s="422"/>
      <c r="Q25" s="442"/>
      <c r="R25" s="422"/>
      <c r="S25" s="442"/>
      <c r="T25" s="619" t="str">
        <f>BKK!M81</f>
        <v/>
      </c>
      <c r="U25" s="449">
        <f>BKK!G81</f>
        <v>2</v>
      </c>
      <c r="V25" s="422"/>
      <c r="W25" s="437"/>
      <c r="X25" s="422"/>
      <c r="Y25" s="437"/>
      <c r="Z25" s="422"/>
      <c r="AA25" s="437"/>
      <c r="AB25" s="422"/>
      <c r="AC25" s="439"/>
      <c r="AD25" s="422"/>
      <c r="AE25" s="439"/>
      <c r="AF25" s="422"/>
      <c r="AG25" s="439"/>
      <c r="AH25" s="422"/>
      <c r="AI25" s="439"/>
    </row>
    <row r="26" spans="1:35" ht="20" customHeight="1">
      <c r="A26" s="1871"/>
      <c r="B26" s="418" t="str">
        <f t="shared" si="0"/>
        <v>MCS - 7. Final Clearance</v>
      </c>
      <c r="C26" s="444"/>
      <c r="D26" s="32" t="str">
        <f>BKK!H126</f>
        <v/>
      </c>
      <c r="E26" s="447">
        <f>BKK!G126</f>
        <v>4</v>
      </c>
      <c r="F26" s="422"/>
      <c r="G26" s="413"/>
      <c r="H26" s="422"/>
      <c r="I26" s="413"/>
      <c r="J26" s="422"/>
      <c r="K26" s="413"/>
      <c r="L26" s="619" t="str">
        <f>BKK!H127</f>
        <v/>
      </c>
      <c r="M26" s="447">
        <f>BKK!G127</f>
        <v>1</v>
      </c>
      <c r="N26" s="619" t="str">
        <f>BKK!H128</f>
        <v/>
      </c>
      <c r="O26" s="449">
        <f>BKK!G128</f>
        <v>2</v>
      </c>
      <c r="P26" s="422"/>
      <c r="Q26" s="442"/>
      <c r="R26" s="422"/>
      <c r="S26" s="442"/>
      <c r="T26" s="619" t="str">
        <f>BKK!H129</f>
        <v/>
      </c>
      <c r="U26" s="449">
        <f>BKK!G129</f>
        <v>2</v>
      </c>
      <c r="V26" s="422"/>
      <c r="W26" s="437"/>
      <c r="X26" s="422"/>
      <c r="Y26" s="437"/>
      <c r="Z26" s="422"/>
      <c r="AA26" s="437"/>
      <c r="AB26" s="422"/>
      <c r="AC26" s="439"/>
      <c r="AD26" s="422"/>
      <c r="AE26" s="439"/>
      <c r="AF26" s="422"/>
      <c r="AG26" s="439"/>
      <c r="AH26" s="422"/>
      <c r="AI26" s="439"/>
    </row>
    <row r="27" spans="1:35" ht="20" customHeight="1">
      <c r="A27" s="1871"/>
      <c r="B27" s="418" t="str">
        <f t="shared" si="0"/>
        <v>MCS - 8. Hot Towels - Pre Landing</v>
      </c>
      <c r="C27" s="444"/>
      <c r="D27" s="32" t="str">
        <f>BKK!I126</f>
        <v/>
      </c>
      <c r="E27" s="447">
        <f>BKK!G126</f>
        <v>4</v>
      </c>
      <c r="F27" s="422"/>
      <c r="G27" s="413"/>
      <c r="H27" s="422"/>
      <c r="I27" s="413"/>
      <c r="J27" s="422"/>
      <c r="K27" s="413"/>
      <c r="L27" s="619" t="str">
        <f>BKK!I127</f>
        <v/>
      </c>
      <c r="M27" s="447">
        <f>BKK!G127</f>
        <v>1</v>
      </c>
      <c r="N27" s="619" t="str">
        <f>BKK!I128</f>
        <v/>
      </c>
      <c r="O27" s="449">
        <f>BKK!G128</f>
        <v>2</v>
      </c>
      <c r="P27" s="422"/>
      <c r="Q27" s="442"/>
      <c r="R27" s="422"/>
      <c r="S27" s="442"/>
      <c r="T27" s="619" t="str">
        <f>BKK!I129</f>
        <v/>
      </c>
      <c r="U27" s="449">
        <f>BKK!G129</f>
        <v>2</v>
      </c>
      <c r="V27" s="422"/>
      <c r="W27" s="437"/>
      <c r="X27" s="422"/>
      <c r="Y27" s="437"/>
      <c r="Z27" s="422"/>
      <c r="AA27" s="437"/>
      <c r="AB27" s="422"/>
      <c r="AC27" s="439"/>
      <c r="AD27" s="422"/>
      <c r="AE27" s="439"/>
      <c r="AF27" s="422"/>
      <c r="AG27" s="439"/>
      <c r="AH27" s="422"/>
      <c r="AI27" s="439"/>
    </row>
    <row r="28" spans="1:35" ht="20" customHeight="1">
      <c r="A28" s="1871"/>
      <c r="B28" s="418" t="str">
        <f>"TW - "&amp;B12</f>
        <v>TW - 1. Bar Cart</v>
      </c>
      <c r="C28" s="444"/>
      <c r="D28" s="422"/>
      <c r="E28" s="413"/>
      <c r="F28" s="422"/>
      <c r="G28" s="413"/>
      <c r="H28" s="422"/>
      <c r="I28" s="413"/>
      <c r="J28" s="422" t="str">
        <f>BKK!H92</f>
        <v/>
      </c>
      <c r="K28" s="447">
        <f>BKK!G92</f>
        <v>1</v>
      </c>
      <c r="L28" s="422"/>
      <c r="M28" s="413"/>
      <c r="N28" s="422"/>
      <c r="O28" s="442"/>
      <c r="P28" s="422"/>
      <c r="Q28" s="442"/>
      <c r="R28" s="422"/>
      <c r="S28" s="442"/>
      <c r="T28" s="422"/>
      <c r="U28" s="442"/>
      <c r="V28" s="422" t="str">
        <f>BKK!H93</f>
        <v/>
      </c>
      <c r="W28" s="450">
        <f>BKK!G93</f>
        <v>1</v>
      </c>
      <c r="X28" s="422"/>
      <c r="Y28" s="437"/>
      <c r="Z28" s="422"/>
      <c r="AA28" s="437"/>
      <c r="AB28" s="422"/>
      <c r="AC28" s="439"/>
      <c r="AD28" s="422"/>
      <c r="AE28" s="439"/>
      <c r="AF28" s="422"/>
      <c r="AG28" s="439"/>
      <c r="AH28" s="422"/>
      <c r="AI28" s="439"/>
    </row>
    <row r="29" spans="1:35" ht="20" customHeight="1">
      <c r="A29" s="1871"/>
      <c r="B29" s="418" t="str">
        <f t="shared" ref="B29:B35" si="1">"TW - "&amp;B13</f>
        <v>TW - 2. Bar Clearance</v>
      </c>
      <c r="C29" s="444"/>
      <c r="D29" s="422"/>
      <c r="E29" s="413"/>
      <c r="F29" s="422"/>
      <c r="G29" s="413"/>
      <c r="H29" s="422"/>
      <c r="I29" s="413"/>
      <c r="J29" s="422" t="str">
        <f>BKK!I92</f>
        <v/>
      </c>
      <c r="K29" s="447">
        <f>BKK!G92</f>
        <v>1</v>
      </c>
      <c r="L29" s="422"/>
      <c r="M29" s="413"/>
      <c r="N29" s="422"/>
      <c r="O29" s="442"/>
      <c r="P29" s="422"/>
      <c r="Q29" s="442"/>
      <c r="R29" s="422"/>
      <c r="S29" s="442"/>
      <c r="T29" s="422"/>
      <c r="U29" s="442"/>
      <c r="V29" s="422" t="str">
        <f>BKK!I93</f>
        <v/>
      </c>
      <c r="W29" s="450">
        <f>BKK!G93</f>
        <v>1</v>
      </c>
      <c r="X29" s="422"/>
      <c r="Y29" s="437"/>
      <c r="Z29" s="422"/>
      <c r="AA29" s="437"/>
      <c r="AB29" s="422"/>
      <c r="AC29" s="439"/>
      <c r="AD29" s="422"/>
      <c r="AE29" s="439"/>
      <c r="AF29" s="422"/>
      <c r="AG29" s="439"/>
      <c r="AH29" s="422"/>
      <c r="AI29" s="439"/>
    </row>
    <row r="30" spans="1:35" ht="20" customHeight="1">
      <c r="A30" s="1871"/>
      <c r="B30" s="418" t="str">
        <f t="shared" si="1"/>
        <v>TW - 3. SPML</v>
      </c>
      <c r="C30" s="444"/>
      <c r="D30" s="422"/>
      <c r="E30" s="413"/>
      <c r="F30" s="422"/>
      <c r="G30" s="413"/>
      <c r="H30" s="422"/>
      <c r="I30" s="413"/>
      <c r="J30" s="422" t="str">
        <f>BKK!J92</f>
        <v/>
      </c>
      <c r="K30" s="447">
        <f>BKK!G92</f>
        <v>1</v>
      </c>
      <c r="L30" s="422"/>
      <c r="M30" s="413"/>
      <c r="N30" s="422"/>
      <c r="O30" s="442"/>
      <c r="P30" s="422"/>
      <c r="Q30" s="442"/>
      <c r="R30" s="422"/>
      <c r="S30" s="442"/>
      <c r="T30" s="422"/>
      <c r="U30" s="442"/>
      <c r="V30" s="422" t="str">
        <f>BKK!J93</f>
        <v/>
      </c>
      <c r="W30" s="450">
        <f>BKK!G93</f>
        <v>1</v>
      </c>
      <c r="X30" s="422"/>
      <c r="Y30" s="437"/>
      <c r="Z30" s="422"/>
      <c r="AA30" s="437"/>
      <c r="AB30" s="422"/>
      <c r="AC30" s="439"/>
      <c r="AD30" s="422"/>
      <c r="AE30" s="439"/>
      <c r="AF30" s="422"/>
      <c r="AG30" s="439"/>
      <c r="AH30" s="422"/>
      <c r="AI30" s="439"/>
    </row>
    <row r="31" spans="1:35" ht="20" customHeight="1">
      <c r="A31" s="1871"/>
      <c r="B31" s="418" t="str">
        <f t="shared" si="1"/>
        <v>TW - 4. Meal Cart</v>
      </c>
      <c r="C31" s="444"/>
      <c r="D31" s="422"/>
      <c r="E31" s="413"/>
      <c r="F31" s="422"/>
      <c r="G31" s="413"/>
      <c r="H31" s="422"/>
      <c r="I31" s="413"/>
      <c r="J31" s="422" t="str">
        <f>BKK!K92</f>
        <v/>
      </c>
      <c r="K31" s="447">
        <f>BKK!G92</f>
        <v>1</v>
      </c>
      <c r="L31" s="422"/>
      <c r="M31" s="413"/>
      <c r="N31" s="422"/>
      <c r="O31" s="442"/>
      <c r="P31" s="422"/>
      <c r="Q31" s="442"/>
      <c r="R31" s="422"/>
      <c r="S31" s="442"/>
      <c r="T31" s="422"/>
      <c r="U31" s="442"/>
      <c r="V31" s="422" t="str">
        <f>BKK!K93</f>
        <v/>
      </c>
      <c r="W31" s="450">
        <f>BKK!G93</f>
        <v>1</v>
      </c>
      <c r="X31" s="422"/>
      <c r="Y31" s="437"/>
      <c r="Z31" s="422"/>
      <c r="AA31" s="437"/>
      <c r="AB31" s="422"/>
      <c r="AC31" s="439"/>
      <c r="AD31" s="422"/>
      <c r="AE31" s="439"/>
      <c r="AF31" s="422"/>
      <c r="AG31" s="439"/>
      <c r="AH31" s="422"/>
      <c r="AI31" s="439"/>
    </row>
    <row r="32" spans="1:35" ht="20" customHeight="1">
      <c r="A32" s="1871"/>
      <c r="B32" s="418" t="str">
        <f t="shared" si="1"/>
        <v>TW - 5. Hot Beverage</v>
      </c>
      <c r="C32" s="444"/>
      <c r="D32" s="422"/>
      <c r="E32" s="413"/>
      <c r="F32" s="422"/>
      <c r="G32" s="413"/>
      <c r="H32" s="422"/>
      <c r="I32" s="413"/>
      <c r="J32" s="422" t="str">
        <f>BKK!L92</f>
        <v/>
      </c>
      <c r="K32" s="447">
        <f>BKK!G92</f>
        <v>1</v>
      </c>
      <c r="L32" s="422"/>
      <c r="M32" s="413"/>
      <c r="N32" s="422"/>
      <c r="O32" s="442"/>
      <c r="P32" s="422"/>
      <c r="Q32" s="442"/>
      <c r="R32" s="422"/>
      <c r="S32" s="442"/>
      <c r="T32" s="422"/>
      <c r="U32" s="442"/>
      <c r="V32" s="422" t="str">
        <f>BKK!L93</f>
        <v/>
      </c>
      <c r="W32" s="450">
        <f>BKK!G93</f>
        <v>1</v>
      </c>
      <c r="X32" s="422"/>
      <c r="Y32" s="437"/>
      <c r="Z32" s="422"/>
      <c r="AA32" s="437"/>
      <c r="AB32" s="422"/>
      <c r="AC32" s="439"/>
      <c r="AD32" s="422"/>
      <c r="AE32" s="439"/>
      <c r="AF32" s="422"/>
      <c r="AG32" s="439"/>
      <c r="AH32" s="422"/>
      <c r="AI32" s="439"/>
    </row>
    <row r="33" spans="1:35" ht="20" customHeight="1">
      <c r="A33" s="1871"/>
      <c r="B33" s="418" t="str">
        <f t="shared" si="1"/>
        <v>TW - 6. Clearance Cart</v>
      </c>
      <c r="C33" s="444"/>
      <c r="D33" s="422"/>
      <c r="E33" s="413"/>
      <c r="F33" s="422"/>
      <c r="G33" s="413"/>
      <c r="H33" s="422"/>
      <c r="I33" s="413"/>
      <c r="J33" s="422" t="str">
        <f>BKK!M92</f>
        <v/>
      </c>
      <c r="K33" s="447">
        <f>BKK!G92</f>
        <v>1</v>
      </c>
      <c r="L33" s="422"/>
      <c r="M33" s="413"/>
      <c r="N33" s="422"/>
      <c r="O33" s="442"/>
      <c r="P33" s="422"/>
      <c r="Q33" s="442"/>
      <c r="R33" s="422"/>
      <c r="S33" s="442"/>
      <c r="T33" s="422"/>
      <c r="U33" s="442"/>
      <c r="V33" s="422" t="str">
        <f>BKK!M93</f>
        <v/>
      </c>
      <c r="W33" s="450">
        <f>BKK!G93</f>
        <v>1</v>
      </c>
      <c r="X33" s="422"/>
      <c r="Y33" s="437"/>
      <c r="Z33" s="422"/>
      <c r="AA33" s="437"/>
      <c r="AB33" s="422"/>
      <c r="AC33" s="439"/>
      <c r="AD33" s="422"/>
      <c r="AE33" s="439"/>
      <c r="AF33" s="422"/>
      <c r="AG33" s="439"/>
      <c r="AH33" s="422"/>
      <c r="AI33" s="439"/>
    </row>
    <row r="34" spans="1:35" ht="20" customHeight="1">
      <c r="A34" s="1871"/>
      <c r="B34" s="418" t="str">
        <f t="shared" si="1"/>
        <v>TW - 7. Final Clearance</v>
      </c>
      <c r="C34" s="444"/>
      <c r="D34" s="422"/>
      <c r="E34" s="413"/>
      <c r="F34" s="422"/>
      <c r="G34" s="413"/>
      <c r="H34" s="422"/>
      <c r="I34" s="413"/>
      <c r="J34" s="422" t="str">
        <f>BKK!H140</f>
        <v/>
      </c>
      <c r="K34" s="447">
        <f>BKK!G140</f>
        <v>1</v>
      </c>
      <c r="L34" s="422"/>
      <c r="M34" s="413"/>
      <c r="N34" s="422"/>
      <c r="O34" s="442"/>
      <c r="P34" s="422"/>
      <c r="Q34" s="442"/>
      <c r="R34" s="422"/>
      <c r="S34" s="442"/>
      <c r="T34" s="422"/>
      <c r="U34" s="442"/>
      <c r="V34" s="422" t="str">
        <f>BKK!H141</f>
        <v/>
      </c>
      <c r="W34" s="450">
        <f>BKK!G141</f>
        <v>1</v>
      </c>
      <c r="X34" s="422"/>
      <c r="Y34" s="437"/>
      <c r="Z34" s="422"/>
      <c r="AA34" s="437"/>
      <c r="AB34" s="422"/>
      <c r="AC34" s="439"/>
      <c r="AD34" s="422"/>
      <c r="AE34" s="439"/>
      <c r="AF34" s="422"/>
      <c r="AG34" s="439"/>
      <c r="AH34" s="422"/>
      <c r="AI34" s="439"/>
    </row>
    <row r="35" spans="1:35" ht="20" customHeight="1">
      <c r="A35" s="1871"/>
      <c r="B35" s="418" t="str">
        <f t="shared" si="1"/>
        <v>TW - 8. Hot Towels - Pre Landing</v>
      </c>
      <c r="C35" s="444"/>
      <c r="D35" s="422"/>
      <c r="E35" s="413"/>
      <c r="F35" s="422"/>
      <c r="G35" s="413"/>
      <c r="H35" s="422"/>
      <c r="I35" s="413"/>
      <c r="J35" s="422" t="str">
        <f>BKK!I140</f>
        <v/>
      </c>
      <c r="K35" s="447">
        <f>BKK!G140</f>
        <v>1</v>
      </c>
      <c r="L35" s="422"/>
      <c r="M35" s="413"/>
      <c r="N35" s="422"/>
      <c r="O35" s="442"/>
      <c r="P35" s="422"/>
      <c r="Q35" s="442"/>
      <c r="R35" s="422"/>
      <c r="S35" s="442"/>
      <c r="T35" s="422"/>
      <c r="U35" s="442"/>
      <c r="V35" s="422" t="str">
        <f>BKK!I141</f>
        <v/>
      </c>
      <c r="W35" s="450">
        <f>BKK!G141</f>
        <v>1</v>
      </c>
      <c r="X35" s="422"/>
      <c r="Y35" s="437"/>
      <c r="Z35" s="422"/>
      <c r="AA35" s="437"/>
      <c r="AB35" s="422"/>
      <c r="AC35" s="439"/>
      <c r="AD35" s="422"/>
      <c r="AE35" s="439"/>
      <c r="AF35" s="422"/>
      <c r="AG35" s="439"/>
      <c r="AH35" s="422"/>
      <c r="AI35" s="439"/>
    </row>
    <row r="36" spans="1:35" ht="20" customHeight="1">
      <c r="A36" s="423"/>
      <c r="B36" s="424"/>
      <c r="C36" s="429"/>
      <c r="D36" s="429"/>
      <c r="E36" s="429"/>
      <c r="F36" s="429"/>
      <c r="G36" s="429"/>
      <c r="H36" s="429"/>
      <c r="I36" s="429"/>
      <c r="J36" s="429"/>
      <c r="K36" s="429"/>
      <c r="L36" s="429"/>
      <c r="M36" s="429"/>
      <c r="N36" s="429"/>
      <c r="O36" s="429"/>
      <c r="P36" s="429"/>
      <c r="Q36" s="429"/>
      <c r="R36" s="429"/>
      <c r="S36" s="429"/>
      <c r="T36" s="429"/>
      <c r="U36" s="429"/>
      <c r="V36" s="429"/>
      <c r="W36" s="429"/>
      <c r="X36" s="429"/>
      <c r="Y36" s="429"/>
      <c r="Z36" s="429"/>
      <c r="AA36" s="429"/>
      <c r="AB36" s="429"/>
      <c r="AC36" s="429"/>
      <c r="AD36" s="429"/>
      <c r="AE36" s="429"/>
      <c r="AF36" s="429"/>
      <c r="AG36" s="429"/>
      <c r="AH36" s="429"/>
      <c r="AI36" s="429"/>
    </row>
    <row r="37" spans="1:35" ht="20" customHeight="1">
      <c r="A37" s="1871" t="s">
        <v>17</v>
      </c>
      <c r="B37" s="410" t="str">
        <f>BKK!O144</f>
        <v>1. Champagne</v>
      </c>
      <c r="C37" s="444"/>
      <c r="E37" s="447"/>
      <c r="F37" s="422"/>
      <c r="G37" s="447"/>
      <c r="H37" s="422"/>
      <c r="I37" s="447"/>
      <c r="J37" s="422"/>
      <c r="K37" s="447"/>
      <c r="L37" s="619" t="str">
        <f>BKK!U183</f>
        <v/>
      </c>
      <c r="M37" s="447">
        <f>BKK!T183</f>
        <v>1</v>
      </c>
      <c r="N37" s="619"/>
      <c r="O37" s="449"/>
      <c r="P37" s="422"/>
      <c r="Q37" s="449"/>
      <c r="R37" s="422"/>
      <c r="S37" s="449"/>
      <c r="T37" s="619"/>
      <c r="U37" s="449"/>
      <c r="V37" s="422"/>
      <c r="W37" s="450"/>
      <c r="X37" s="422"/>
      <c r="Y37" s="450"/>
      <c r="Z37" s="422"/>
      <c r="AA37" s="450"/>
      <c r="AB37" s="422"/>
      <c r="AC37" s="451"/>
      <c r="AD37" s="422"/>
      <c r="AE37" s="451"/>
      <c r="AF37" s="422" t="str">
        <f>BKK!U184</f>
        <v/>
      </c>
      <c r="AG37" s="451">
        <f>BKK!T184</f>
        <v>3</v>
      </c>
      <c r="AH37" s="422" t="str">
        <f>BKK!U185</f>
        <v/>
      </c>
      <c r="AI37" s="451">
        <f>BKK!T185</f>
        <v>8</v>
      </c>
    </row>
    <row r="38" spans="1:35" ht="20" customHeight="1">
      <c r="A38" s="1871"/>
      <c r="B38" s="410" t="str">
        <f>BKK!W144</f>
        <v>2. Wine 
- Small Bottles</v>
      </c>
      <c r="C38" s="444"/>
      <c r="E38" s="447"/>
      <c r="F38" s="422"/>
      <c r="G38" s="447"/>
      <c r="H38" s="422"/>
      <c r="I38" s="447"/>
      <c r="J38" s="422"/>
      <c r="K38" s="447"/>
      <c r="L38" s="619" t="str">
        <f>BKK!AC180</f>
        <v/>
      </c>
      <c r="M38" s="447">
        <f>BKK!AB180</f>
        <v>1</v>
      </c>
      <c r="N38" s="619"/>
      <c r="O38" s="449"/>
      <c r="P38" s="422"/>
      <c r="Q38" s="449"/>
      <c r="R38" s="422"/>
      <c r="S38" s="449"/>
      <c r="T38" s="619"/>
      <c r="U38" s="449"/>
      <c r="V38" s="422"/>
      <c r="W38" s="450"/>
      <c r="X38" s="422"/>
      <c r="Y38" s="450"/>
      <c r="Z38" s="422"/>
      <c r="AA38" s="450"/>
      <c r="AB38" s="422"/>
      <c r="AC38" s="451"/>
      <c r="AD38" s="422"/>
      <c r="AE38" s="451"/>
      <c r="AF38" s="422" t="str">
        <f>BKK!AC181</f>
        <v/>
      </c>
      <c r="AG38" s="451">
        <f>BKK!AB181</f>
        <v>4</v>
      </c>
      <c r="AH38" s="422" t="str">
        <f>BKK!AC182</f>
        <v/>
      </c>
      <c r="AI38" s="451">
        <f>BKK!AB182</f>
        <v>6</v>
      </c>
    </row>
    <row r="39" spans="1:35" ht="20" customHeight="1">
      <c r="A39" s="1871"/>
      <c r="B39" s="410" t="str">
        <f>BKK!AE144</f>
        <v>3. White Wine Spritzer
- Small Bottles</v>
      </c>
      <c r="C39" s="444"/>
      <c r="E39" s="447"/>
      <c r="F39" s="422"/>
      <c r="G39" s="447"/>
      <c r="H39" s="422"/>
      <c r="I39" s="447"/>
      <c r="J39" s="422"/>
      <c r="K39" s="447"/>
      <c r="L39" s="619" t="str">
        <f>BKK!AK189</f>
        <v/>
      </c>
      <c r="M39" s="447">
        <f>BKK!AJ189</f>
        <v>1</v>
      </c>
      <c r="N39" s="619"/>
      <c r="O39" s="449"/>
      <c r="P39" s="422"/>
      <c r="Q39" s="449"/>
      <c r="R39" s="422"/>
      <c r="S39" s="449"/>
      <c r="T39" s="619"/>
      <c r="U39" s="449"/>
      <c r="V39" s="422"/>
      <c r="W39" s="450"/>
      <c r="X39" s="422"/>
      <c r="Y39" s="450"/>
      <c r="Z39" s="422"/>
      <c r="AA39" s="450"/>
      <c r="AB39" s="422"/>
      <c r="AC39" s="451"/>
      <c r="AD39" s="422"/>
      <c r="AE39" s="451"/>
      <c r="AF39" s="422" t="str">
        <f>BKK!AK190</f>
        <v/>
      </c>
      <c r="AG39" s="451">
        <f>BKK!AJ190</f>
        <v>6</v>
      </c>
      <c r="AH39" s="422" t="str">
        <f>BKK!AK191</f>
        <v/>
      </c>
      <c r="AI39" s="451">
        <f>BKK!AJ191</f>
        <v>7</v>
      </c>
    </row>
    <row r="40" spans="1:35" ht="20" customHeight="1">
      <c r="A40" s="1871"/>
      <c r="B40" s="410" t="str">
        <f>BKK!AM144</f>
        <v>4. Wine
- Big Bottles</v>
      </c>
      <c r="C40" s="444"/>
      <c r="E40" s="447"/>
      <c r="F40" s="422"/>
      <c r="G40" s="447"/>
      <c r="H40" s="422"/>
      <c r="I40" s="447"/>
      <c r="J40" s="422"/>
      <c r="K40" s="447"/>
      <c r="L40" s="619" t="str">
        <f>BKK!AS186</f>
        <v/>
      </c>
      <c r="M40" s="447">
        <f>BKK!AR186</f>
        <v>1</v>
      </c>
      <c r="N40" s="619"/>
      <c r="O40" s="449"/>
      <c r="P40" s="422"/>
      <c r="Q40" s="449"/>
      <c r="R40" s="422"/>
      <c r="S40" s="449"/>
      <c r="T40" s="619"/>
      <c r="U40" s="449"/>
      <c r="V40" s="422"/>
      <c r="W40" s="450"/>
      <c r="X40" s="422"/>
      <c r="Y40" s="450"/>
      <c r="Z40" s="422"/>
      <c r="AA40" s="450"/>
      <c r="AB40" s="422"/>
      <c r="AC40" s="451"/>
      <c r="AD40" s="422"/>
      <c r="AE40" s="451"/>
      <c r="AF40" s="422" t="str">
        <f>BKK!AS187</f>
        <v/>
      </c>
      <c r="AG40" s="451">
        <f>BKK!AR187</f>
        <v>4</v>
      </c>
      <c r="AH40" s="422" t="str">
        <f>BKK!AS188</f>
        <v/>
      </c>
      <c r="AI40" s="451">
        <f>BKK!AR188</f>
        <v>8</v>
      </c>
    </row>
    <row r="41" spans="1:35" ht="20" customHeight="1">
      <c r="A41" s="1871"/>
      <c r="B41" s="410" t="str">
        <f>BKK!AU144</f>
        <v>5. Dry - White Wine Spritzer - Big Bottle of Wine</v>
      </c>
      <c r="C41" s="444"/>
      <c r="E41" s="447"/>
      <c r="F41" s="422"/>
      <c r="G41" s="447"/>
      <c r="H41" s="422"/>
      <c r="I41" s="447"/>
      <c r="J41" s="422"/>
      <c r="K41" s="447"/>
      <c r="L41" s="619" t="str">
        <f>BKK!BA189</f>
        <v/>
      </c>
      <c r="M41" s="447">
        <f>BKK!AZ189</f>
        <v>1</v>
      </c>
      <c r="N41" s="619"/>
      <c r="O41" s="449"/>
      <c r="P41" s="422"/>
      <c r="Q41" s="449"/>
      <c r="R41" s="422"/>
      <c r="S41" s="449"/>
      <c r="T41" s="619"/>
      <c r="U41" s="449"/>
      <c r="V41" s="422"/>
      <c r="W41" s="450"/>
      <c r="X41" s="422"/>
      <c r="Y41" s="450"/>
      <c r="Z41" s="422"/>
      <c r="AA41" s="450"/>
      <c r="AB41" s="422"/>
      <c r="AC41" s="451"/>
      <c r="AD41" s="422"/>
      <c r="AE41" s="451"/>
      <c r="AF41" s="422" t="str">
        <f>BKK!BA190</f>
        <v/>
      </c>
      <c r="AG41" s="451">
        <f>BKK!AZ190</f>
        <v>6</v>
      </c>
      <c r="AH41" s="422" t="str">
        <f>BKK!BA191</f>
        <v/>
      </c>
      <c r="AI41" s="451">
        <f>BKK!AZ191</f>
        <v>7</v>
      </c>
    </row>
    <row r="42" spans="1:35" ht="20" customHeight="1">
      <c r="A42" s="1871"/>
      <c r="B42" s="410" t="str">
        <f>BKK!BC144</f>
        <v>6. Sweet - White Wine Spritzer- Big Bottle of Wine</v>
      </c>
      <c r="C42" s="444"/>
      <c r="E42" s="447"/>
      <c r="F42" s="422"/>
      <c r="G42" s="447"/>
      <c r="H42" s="422"/>
      <c r="I42" s="447"/>
      <c r="J42" s="422"/>
      <c r="K42" s="447"/>
      <c r="L42" s="619" t="str">
        <f>BKK!BI189</f>
        <v/>
      </c>
      <c r="M42" s="447">
        <f>BKK!BH189</f>
        <v>1</v>
      </c>
      <c r="N42" s="619"/>
      <c r="O42" s="449"/>
      <c r="P42" s="422"/>
      <c r="Q42" s="449"/>
      <c r="R42" s="422"/>
      <c r="S42" s="449"/>
      <c r="T42" s="619"/>
      <c r="U42" s="449"/>
      <c r="V42" s="422"/>
      <c r="W42" s="450"/>
      <c r="X42" s="422"/>
      <c r="Y42" s="450"/>
      <c r="Z42" s="422"/>
      <c r="AA42" s="450"/>
      <c r="AB42" s="422"/>
      <c r="AC42" s="451"/>
      <c r="AD42" s="422"/>
      <c r="AE42" s="451"/>
      <c r="AF42" s="422" t="str">
        <f>BKK!BI190</f>
        <v/>
      </c>
      <c r="AG42" s="451">
        <f>BKK!BH190</f>
        <v>6</v>
      </c>
      <c r="AH42" s="422" t="str">
        <f>BKK!BI191</f>
        <v/>
      </c>
      <c r="AI42" s="451">
        <f>BKK!BH191</f>
        <v>7</v>
      </c>
    </row>
    <row r="43" spans="1:35" ht="20" customHeight="1">
      <c r="A43" s="1871"/>
      <c r="B43" s="410" t="str">
        <f>BKK!O194</f>
        <v>7. Liqueur</v>
      </c>
      <c r="C43" s="444"/>
      <c r="E43" s="447"/>
      <c r="F43" s="422"/>
      <c r="G43" s="447"/>
      <c r="H43" s="422"/>
      <c r="I43" s="447"/>
      <c r="J43" s="422"/>
      <c r="K43" s="447"/>
      <c r="L43" s="619" t="str">
        <f>BKK!U230</f>
        <v/>
      </c>
      <c r="M43" s="447">
        <f>BKK!T230</f>
        <v>1</v>
      </c>
      <c r="N43" s="619"/>
      <c r="O43" s="449"/>
      <c r="P43" s="422"/>
      <c r="Q43" s="449"/>
      <c r="R43" s="422"/>
      <c r="S43" s="449"/>
      <c r="T43" s="619"/>
      <c r="U43" s="449"/>
      <c r="V43" s="422"/>
      <c r="W43" s="450"/>
      <c r="X43" s="422"/>
      <c r="Y43" s="450"/>
      <c r="Z43" s="422"/>
      <c r="AA43" s="450"/>
      <c r="AB43" s="422"/>
      <c r="AC43" s="451"/>
      <c r="AD43" s="422"/>
      <c r="AE43" s="451"/>
      <c r="AF43" s="422" t="str">
        <f>BKK!U231</f>
        <v/>
      </c>
      <c r="AG43" s="451">
        <f>BKK!T231</f>
        <v>4</v>
      </c>
      <c r="AH43" s="422" t="str">
        <f>BKK!U232</f>
        <v/>
      </c>
      <c r="AI43" s="451">
        <f>BKK!T232</f>
        <v>6</v>
      </c>
    </row>
    <row r="44" spans="1:35" ht="20" customHeight="1">
      <c r="A44" s="1871"/>
      <c r="B44" s="410" t="str">
        <f>BKK!W194</f>
        <v>8. Shandy</v>
      </c>
      <c r="C44" s="444"/>
      <c r="E44" s="447"/>
      <c r="F44" s="422"/>
      <c r="G44" s="447"/>
      <c r="H44" s="422"/>
      <c r="I44" s="447"/>
      <c r="J44" s="422"/>
      <c r="K44" s="447"/>
      <c r="L44" s="619" t="str">
        <f>BKK!AC227</f>
        <v/>
      </c>
      <c r="M44" s="447">
        <f>BKK!AB227</f>
        <v>1</v>
      </c>
      <c r="N44" s="619"/>
      <c r="O44" s="449"/>
      <c r="P44" s="422"/>
      <c r="Q44" s="449"/>
      <c r="R44" s="422"/>
      <c r="S44" s="449"/>
      <c r="T44" s="619"/>
      <c r="U44" s="449"/>
      <c r="V44" s="422"/>
      <c r="W44" s="450"/>
      <c r="X44" s="422"/>
      <c r="Y44" s="450"/>
      <c r="Z44" s="422"/>
      <c r="AA44" s="450"/>
      <c r="AB44" s="422"/>
      <c r="AC44" s="451"/>
      <c r="AD44" s="422"/>
      <c r="AE44" s="451"/>
      <c r="AF44" s="422" t="str">
        <f>BKK!AC228</f>
        <v/>
      </c>
      <c r="AG44" s="451">
        <f>BKK!AB228</f>
        <v>3</v>
      </c>
      <c r="AH44" s="422" t="str">
        <f>BKK!AC229</f>
        <v/>
      </c>
      <c r="AI44" s="451">
        <f>BKK!AB229</f>
        <v>6</v>
      </c>
    </row>
    <row r="45" spans="1:35" ht="20" customHeight="1">
      <c r="A45" s="1871"/>
      <c r="B45" s="410" t="str">
        <f>BKK!AE194</f>
        <v>9. Hot Beverage 
- Tea</v>
      </c>
      <c r="C45" s="444"/>
      <c r="E45" s="447"/>
      <c r="F45" s="422"/>
      <c r="G45" s="447"/>
      <c r="H45" s="422"/>
      <c r="I45" s="447"/>
      <c r="J45" s="422"/>
      <c r="K45" s="447"/>
      <c r="L45" s="619" t="str">
        <f>BKK!AK227</f>
        <v/>
      </c>
      <c r="M45" s="447">
        <f>BKK!AJ227</f>
        <v>1</v>
      </c>
      <c r="N45" s="619"/>
      <c r="O45" s="449"/>
      <c r="P45" s="422"/>
      <c r="Q45" s="449"/>
      <c r="R45" s="422"/>
      <c r="S45" s="449"/>
      <c r="T45" s="619"/>
      <c r="U45" s="449"/>
      <c r="V45" s="422"/>
      <c r="W45" s="450"/>
      <c r="X45" s="422"/>
      <c r="Y45" s="450"/>
      <c r="Z45" s="422"/>
      <c r="AA45" s="450"/>
      <c r="AB45" s="422"/>
      <c r="AC45" s="451"/>
      <c r="AD45" s="422"/>
      <c r="AE45" s="451"/>
      <c r="AF45" s="422" t="str">
        <f>BKK!AK228</f>
        <v/>
      </c>
      <c r="AG45" s="451">
        <f>BKK!AJ228</f>
        <v>2</v>
      </c>
      <c r="AH45" s="422" t="str">
        <f>BKK!AK229</f>
        <v/>
      </c>
      <c r="AI45" s="451">
        <f>BKK!AJ229</f>
        <v>7</v>
      </c>
    </row>
    <row r="46" spans="1:35" ht="20" customHeight="1">
      <c r="A46" s="1871"/>
      <c r="B46" s="410" t="str">
        <f>BKK!AM194</f>
        <v>10. Beer</v>
      </c>
      <c r="C46" s="444"/>
      <c r="E46" s="447"/>
      <c r="F46" s="422"/>
      <c r="G46" s="447"/>
      <c r="H46" s="422"/>
      <c r="I46" s="447"/>
      <c r="J46" s="422"/>
      <c r="K46" s="447"/>
      <c r="L46" s="619" t="str">
        <f>BKK!AS224</f>
        <v/>
      </c>
      <c r="M46" s="447">
        <f>BKK!AR224</f>
        <v>1</v>
      </c>
      <c r="N46" s="619"/>
      <c r="O46" s="449"/>
      <c r="P46" s="422"/>
      <c r="Q46" s="449"/>
      <c r="R46" s="422"/>
      <c r="S46" s="449"/>
      <c r="T46" s="619"/>
      <c r="U46" s="449"/>
      <c r="V46" s="422"/>
      <c r="W46" s="450"/>
      <c r="X46" s="422"/>
      <c r="Y46" s="450"/>
      <c r="Z46" s="422"/>
      <c r="AA46" s="450"/>
      <c r="AB46" s="422"/>
      <c r="AC46" s="451"/>
      <c r="AD46" s="422"/>
      <c r="AE46" s="451"/>
      <c r="AF46" s="422" t="str">
        <f>BKK!AS225</f>
        <v/>
      </c>
      <c r="AG46" s="451">
        <f>BKK!AR225</f>
        <v>2</v>
      </c>
      <c r="AH46" s="422" t="str">
        <f>BKK!AS226</f>
        <v/>
      </c>
      <c r="AI46" s="451">
        <f>BKK!AR226</f>
        <v>6</v>
      </c>
    </row>
    <row r="47" spans="1:35" ht="20" customHeight="1">
      <c r="A47" s="1871"/>
      <c r="B47" s="410" t="str">
        <f>BKK!AU194</f>
        <v>11. Screwdriver</v>
      </c>
      <c r="C47" s="444"/>
      <c r="E47" s="447"/>
      <c r="F47" s="422"/>
      <c r="G47" s="447"/>
      <c r="H47" s="422"/>
      <c r="I47" s="447"/>
      <c r="J47" s="422"/>
      <c r="K47" s="447"/>
      <c r="L47" s="619" t="str">
        <f>BKK!BA239</f>
        <v/>
      </c>
      <c r="M47" s="447">
        <f>BKK!AZ239</f>
        <v>1</v>
      </c>
      <c r="N47" s="619"/>
      <c r="O47" s="449"/>
      <c r="P47" s="422"/>
      <c r="Q47" s="449"/>
      <c r="R47" s="422"/>
      <c r="S47" s="449"/>
      <c r="T47" s="619"/>
      <c r="U47" s="449"/>
      <c r="V47" s="422"/>
      <c r="W47" s="450"/>
      <c r="X47" s="422"/>
      <c r="Y47" s="450"/>
      <c r="Z47" s="422"/>
      <c r="AA47" s="450"/>
      <c r="AB47" s="422"/>
      <c r="AC47" s="451"/>
      <c r="AD47" s="422"/>
      <c r="AE47" s="451"/>
      <c r="AF47" s="422" t="str">
        <f>BKK!BA240</f>
        <v/>
      </c>
      <c r="AG47" s="451">
        <f>BKK!AZ240</f>
        <v>4</v>
      </c>
      <c r="AH47" s="422" t="str">
        <f>BKK!BA241</f>
        <v/>
      </c>
      <c r="AI47" s="451">
        <f>BKK!AZ241</f>
        <v>9</v>
      </c>
    </row>
    <row r="48" spans="1:35" ht="20" customHeight="1">
      <c r="A48" s="1871"/>
      <c r="B48" s="410" t="str">
        <f>BKK!BC194</f>
        <v>12. Gin &amp; Orange Juice</v>
      </c>
      <c r="C48" s="444"/>
      <c r="E48" s="447"/>
      <c r="F48" s="422"/>
      <c r="G48" s="447"/>
      <c r="H48" s="422"/>
      <c r="I48" s="447"/>
      <c r="J48" s="422"/>
      <c r="K48" s="447"/>
      <c r="L48" s="619" t="str">
        <f>BKK!BI239</f>
        <v/>
      </c>
      <c r="M48" s="447">
        <f>BKK!BH239</f>
        <v>1</v>
      </c>
      <c r="N48" s="619"/>
      <c r="O48" s="449"/>
      <c r="P48" s="422"/>
      <c r="Q48" s="449"/>
      <c r="R48" s="422"/>
      <c r="S48" s="449"/>
      <c r="T48" s="619"/>
      <c r="U48" s="449"/>
      <c r="V48" s="422"/>
      <c r="W48" s="450"/>
      <c r="X48" s="422"/>
      <c r="Y48" s="450"/>
      <c r="Z48" s="422"/>
      <c r="AA48" s="450"/>
      <c r="AB48" s="422"/>
      <c r="AC48" s="451"/>
      <c r="AD48" s="422"/>
      <c r="AE48" s="451"/>
      <c r="AF48" s="422" t="str">
        <f>BKK!BI240</f>
        <v/>
      </c>
      <c r="AG48" s="451">
        <f>BKK!BH240</f>
        <v>5</v>
      </c>
      <c r="AH48" s="422" t="str">
        <f>BKK!BI241</f>
        <v/>
      </c>
      <c r="AI48" s="451">
        <f>BKK!BH241</f>
        <v>8</v>
      </c>
    </row>
    <row r="49" spans="1:35" ht="20" customHeight="1">
      <c r="A49" s="1871"/>
      <c r="B49" s="410" t="str">
        <f>BKK!O244</f>
        <v>13. Rum &amp; Pepsi</v>
      </c>
      <c r="C49" s="444"/>
      <c r="E49" s="447"/>
      <c r="F49" s="422"/>
      <c r="G49" s="447"/>
      <c r="H49" s="422"/>
      <c r="I49" s="447"/>
      <c r="J49" s="422"/>
      <c r="K49" s="447"/>
      <c r="L49" s="619" t="str">
        <f>BKK!U286</f>
        <v/>
      </c>
      <c r="M49" s="447">
        <f>BKK!T286</f>
        <v>1</v>
      </c>
      <c r="N49" s="619"/>
      <c r="O49" s="449"/>
      <c r="P49" s="422"/>
      <c r="Q49" s="449"/>
      <c r="R49" s="422"/>
      <c r="S49" s="449"/>
      <c r="T49" s="619"/>
      <c r="U49" s="449"/>
      <c r="V49" s="422"/>
      <c r="W49" s="450"/>
      <c r="X49" s="422"/>
      <c r="Y49" s="450"/>
      <c r="Z49" s="422"/>
      <c r="AA49" s="450"/>
      <c r="AB49" s="422"/>
      <c r="AC49" s="451"/>
      <c r="AD49" s="422"/>
      <c r="AE49" s="451"/>
      <c r="AF49" s="422" t="str">
        <f>BKK!U287</f>
        <v/>
      </c>
      <c r="AG49" s="451">
        <f>BKK!T287</f>
        <v>5</v>
      </c>
      <c r="AH49" s="422" t="str">
        <f>BKK!U288</f>
        <v/>
      </c>
      <c r="AI49" s="451">
        <f>BKK!T288</f>
        <v>7</v>
      </c>
    </row>
    <row r="50" spans="1:35" ht="20" customHeight="1">
      <c r="A50" s="1871"/>
      <c r="B50" s="410" t="str">
        <f>BKK!W244</f>
        <v>14. Gin &amp; Tonic</v>
      </c>
      <c r="C50" s="444"/>
      <c r="E50" s="447"/>
      <c r="F50" s="422"/>
      <c r="G50" s="447"/>
      <c r="H50" s="422"/>
      <c r="I50" s="447"/>
      <c r="J50" s="422"/>
      <c r="K50" s="447"/>
      <c r="L50" s="619" t="str">
        <f>BKK!AC286</f>
        <v/>
      </c>
      <c r="M50" s="447">
        <f>BKK!AB286</f>
        <v>1</v>
      </c>
      <c r="N50" s="619"/>
      <c r="O50" s="449"/>
      <c r="P50" s="422"/>
      <c r="Q50" s="449"/>
      <c r="R50" s="422"/>
      <c r="S50" s="449"/>
      <c r="T50" s="619"/>
      <c r="U50" s="449"/>
      <c r="V50" s="422"/>
      <c r="W50" s="450"/>
      <c r="X50" s="422"/>
      <c r="Y50" s="450"/>
      <c r="Z50" s="422"/>
      <c r="AA50" s="450"/>
      <c r="AB50" s="422"/>
      <c r="AC50" s="451"/>
      <c r="AD50" s="422"/>
      <c r="AE50" s="451"/>
      <c r="AF50" s="422" t="str">
        <f>BKK!AC287</f>
        <v/>
      </c>
      <c r="AG50" s="451">
        <f>BKK!AB287</f>
        <v>6</v>
      </c>
      <c r="AH50" s="422" t="str">
        <f>BKK!AC288</f>
        <v/>
      </c>
      <c r="AI50" s="451">
        <f>BKK!AB288</f>
        <v>6</v>
      </c>
    </row>
    <row r="51" spans="1:35" ht="20" customHeight="1">
      <c r="A51" s="1871"/>
      <c r="B51" s="410" t="str">
        <f>BKK!AE244</f>
        <v>15. Scotch &amp; Soda</v>
      </c>
      <c r="C51" s="444"/>
      <c r="E51" s="447"/>
      <c r="F51" s="422"/>
      <c r="G51" s="447"/>
      <c r="H51" s="422"/>
      <c r="I51" s="447"/>
      <c r="J51" s="422"/>
      <c r="K51" s="447"/>
      <c r="L51" s="619" t="str">
        <f>BKK!AK283</f>
        <v/>
      </c>
      <c r="M51" s="447">
        <f>BKK!AJ283</f>
        <v>1</v>
      </c>
      <c r="N51" s="619"/>
      <c r="O51" s="449"/>
      <c r="P51" s="422"/>
      <c r="Q51" s="449"/>
      <c r="R51" s="422"/>
      <c r="S51" s="449"/>
      <c r="T51" s="619"/>
      <c r="U51" s="449"/>
      <c r="V51" s="422"/>
      <c r="W51" s="450"/>
      <c r="X51" s="422"/>
      <c r="Y51" s="450"/>
      <c r="Z51" s="422"/>
      <c r="AA51" s="450"/>
      <c r="AB51" s="422"/>
      <c r="AC51" s="451"/>
      <c r="AD51" s="422"/>
      <c r="AE51" s="451"/>
      <c r="AF51" s="422" t="str">
        <f>BKK!AK284</f>
        <v/>
      </c>
      <c r="AG51" s="451">
        <f>BKK!AJ284</f>
        <v>4</v>
      </c>
      <c r="AH51" s="422" t="str">
        <f>BKK!AK285</f>
        <v/>
      </c>
      <c r="AI51" s="451">
        <f>BKK!AJ285</f>
        <v>7</v>
      </c>
    </row>
    <row r="52" spans="1:35" ht="20" customHeight="1">
      <c r="A52" s="1871"/>
      <c r="B52" s="410" t="str">
        <f>BKK!AM244</f>
        <v>16. Bloody Mary</v>
      </c>
      <c r="C52" s="444"/>
      <c r="E52" s="447"/>
      <c r="F52" s="422"/>
      <c r="G52" s="447"/>
      <c r="H52" s="422"/>
      <c r="I52" s="447"/>
      <c r="J52" s="422"/>
      <c r="K52" s="447"/>
      <c r="L52" s="619" t="str">
        <f>BKK!AS295</f>
        <v/>
      </c>
      <c r="M52" s="447">
        <f>BKK!AR295</f>
        <v>1</v>
      </c>
      <c r="N52" s="619"/>
      <c r="O52" s="449"/>
      <c r="P52" s="422"/>
      <c r="Q52" s="449"/>
      <c r="R52" s="422"/>
      <c r="S52" s="449"/>
      <c r="T52" s="619"/>
      <c r="U52" s="449"/>
      <c r="V52" s="422"/>
      <c r="W52" s="450"/>
      <c r="X52" s="422"/>
      <c r="Y52" s="450"/>
      <c r="Z52" s="422"/>
      <c r="AA52" s="450"/>
      <c r="AB52" s="422"/>
      <c r="AC52" s="451"/>
      <c r="AD52" s="422"/>
      <c r="AE52" s="451"/>
      <c r="AF52" s="422" t="str">
        <f>BKK!AS296</f>
        <v/>
      </c>
      <c r="AG52" s="451">
        <f>BKK!AR296</f>
        <v>6</v>
      </c>
      <c r="AH52" s="422" t="str">
        <f>BKK!AS297</f>
        <v/>
      </c>
      <c r="AI52" s="451">
        <f>BKK!AR297</f>
        <v>9</v>
      </c>
    </row>
    <row r="53" spans="1:35" ht="20" customHeight="1">
      <c r="A53" s="627"/>
      <c r="B53" s="629" t="str">
        <f>"MCS - "&amp;B37</f>
        <v>MCS - 1. Champagne</v>
      </c>
      <c r="C53" s="624"/>
      <c r="D53" s="32" t="str">
        <f>BKK!H174</f>
        <v/>
      </c>
      <c r="E53" s="447">
        <f>BKK!G174</f>
        <v>4</v>
      </c>
      <c r="F53" s="422"/>
      <c r="G53" s="447"/>
      <c r="H53" s="422"/>
      <c r="I53" s="447"/>
      <c r="J53" s="422"/>
      <c r="K53" s="447"/>
      <c r="L53" s="619" t="str">
        <f>BKK!H175</f>
        <v/>
      </c>
      <c r="M53" s="447">
        <f>BKK!G175</f>
        <v>1</v>
      </c>
      <c r="N53" s="619" t="str">
        <f>BKK!H176</f>
        <v/>
      </c>
      <c r="O53" s="449">
        <f>BKK!G176</f>
        <v>2</v>
      </c>
      <c r="P53" s="422"/>
      <c r="Q53" s="449"/>
      <c r="R53" s="422"/>
      <c r="S53" s="449"/>
      <c r="T53" s="619" t="str">
        <f>BKK!H177</f>
        <v/>
      </c>
      <c r="U53" s="449">
        <f>BKK!G177</f>
        <v>2</v>
      </c>
      <c r="V53" s="422"/>
      <c r="W53" s="450"/>
      <c r="X53" s="422"/>
      <c r="Y53" s="450"/>
      <c r="Z53" s="422"/>
      <c r="AA53" s="450"/>
      <c r="AB53" s="422"/>
      <c r="AC53" s="451"/>
      <c r="AD53" s="422"/>
      <c r="AE53" s="451"/>
      <c r="AF53" s="422"/>
      <c r="AG53" s="451"/>
      <c r="AH53" s="422"/>
      <c r="AI53" s="451"/>
    </row>
    <row r="54" spans="1:35" ht="20" customHeight="1">
      <c r="A54" s="627"/>
      <c r="B54" s="629" t="str">
        <f t="shared" ref="B54:B68" si="2">"MCS - "&amp;B38</f>
        <v>MCS - 2. Wine 
- Small Bottles</v>
      </c>
      <c r="C54" s="624"/>
      <c r="D54" s="32" t="str">
        <f>BKK!I174</f>
        <v/>
      </c>
      <c r="E54" s="447">
        <f>BKK!G174</f>
        <v>4</v>
      </c>
      <c r="F54" s="422"/>
      <c r="G54" s="447"/>
      <c r="H54" s="422"/>
      <c r="I54" s="447"/>
      <c r="J54" s="422"/>
      <c r="K54" s="447"/>
      <c r="L54" s="619" t="str">
        <f>BKK!I175</f>
        <v/>
      </c>
      <c r="M54" s="447">
        <f>BKK!G175</f>
        <v>1</v>
      </c>
      <c r="N54" s="619" t="str">
        <f>BKK!I176</f>
        <v/>
      </c>
      <c r="O54" s="449">
        <f>BKK!G176</f>
        <v>2</v>
      </c>
      <c r="P54" s="422"/>
      <c r="Q54" s="449"/>
      <c r="R54" s="422"/>
      <c r="S54" s="449"/>
      <c r="T54" s="619" t="str">
        <f>BKK!I177</f>
        <v/>
      </c>
      <c r="U54" s="449">
        <f>BKK!G177</f>
        <v>2</v>
      </c>
      <c r="V54" s="422"/>
      <c r="W54" s="450"/>
      <c r="X54" s="422"/>
      <c r="Y54" s="450"/>
      <c r="Z54" s="422"/>
      <c r="AA54" s="450"/>
      <c r="AB54" s="422"/>
      <c r="AC54" s="451"/>
      <c r="AD54" s="422"/>
      <c r="AE54" s="451"/>
      <c r="AF54" s="422"/>
      <c r="AG54" s="451"/>
      <c r="AH54" s="422"/>
      <c r="AI54" s="451"/>
    </row>
    <row r="55" spans="1:35" ht="20" customHeight="1">
      <c r="A55" s="627"/>
      <c r="B55" s="629" t="str">
        <f t="shared" si="2"/>
        <v>MCS - 3. White Wine Spritzer
- Small Bottles</v>
      </c>
      <c r="C55" s="624"/>
      <c r="D55" s="32" t="str">
        <f>BKK!J174</f>
        <v/>
      </c>
      <c r="E55" s="447">
        <f>BKK!G174</f>
        <v>4</v>
      </c>
      <c r="F55" s="422"/>
      <c r="G55" s="447"/>
      <c r="H55" s="422"/>
      <c r="I55" s="447"/>
      <c r="J55" s="422"/>
      <c r="K55" s="447"/>
      <c r="L55" s="619" t="str">
        <f>BKK!J175</f>
        <v/>
      </c>
      <c r="M55" s="447">
        <f>BKK!G175</f>
        <v>1</v>
      </c>
      <c r="N55" s="619" t="str">
        <f>BKK!J176</f>
        <v/>
      </c>
      <c r="O55" s="449">
        <f>BKK!G176</f>
        <v>2</v>
      </c>
      <c r="P55" s="422"/>
      <c r="Q55" s="449"/>
      <c r="R55" s="422"/>
      <c r="S55" s="449"/>
      <c r="T55" s="619" t="str">
        <f>BKK!J177</f>
        <v/>
      </c>
      <c r="U55" s="449">
        <f>BKK!G177</f>
        <v>2</v>
      </c>
      <c r="V55" s="422"/>
      <c r="W55" s="450"/>
      <c r="X55" s="422"/>
      <c r="Y55" s="450"/>
      <c r="Z55" s="422"/>
      <c r="AA55" s="450"/>
      <c r="AB55" s="422"/>
      <c r="AC55" s="451"/>
      <c r="AD55" s="422"/>
      <c r="AE55" s="451"/>
      <c r="AF55" s="422"/>
      <c r="AG55" s="451"/>
      <c r="AH55" s="422"/>
      <c r="AI55" s="451"/>
    </row>
    <row r="56" spans="1:35" ht="20" customHeight="1">
      <c r="A56" s="627"/>
      <c r="B56" s="629" t="str">
        <f t="shared" si="2"/>
        <v>MCS - 4. Wine
- Big Bottles</v>
      </c>
      <c r="C56" s="624"/>
      <c r="D56" s="32" t="str">
        <f>BKK!K174</f>
        <v/>
      </c>
      <c r="E56" s="447">
        <f>BKK!G174</f>
        <v>4</v>
      </c>
      <c r="F56" s="422"/>
      <c r="G56" s="447"/>
      <c r="H56" s="422"/>
      <c r="I56" s="447"/>
      <c r="J56" s="422"/>
      <c r="K56" s="447"/>
      <c r="L56" s="619" t="str">
        <f>BKK!K175</f>
        <v/>
      </c>
      <c r="M56" s="447">
        <f>BKK!G175</f>
        <v>1</v>
      </c>
      <c r="N56" s="619" t="str">
        <f>BKK!K176</f>
        <v/>
      </c>
      <c r="O56" s="449">
        <f>BKK!G176</f>
        <v>2</v>
      </c>
      <c r="P56" s="422"/>
      <c r="Q56" s="449"/>
      <c r="R56" s="422"/>
      <c r="S56" s="449"/>
      <c r="T56" s="619" t="str">
        <f>BKK!K177</f>
        <v/>
      </c>
      <c r="U56" s="449">
        <f>BKK!G177</f>
        <v>2</v>
      </c>
      <c r="V56" s="422"/>
      <c r="W56" s="450"/>
      <c r="X56" s="422"/>
      <c r="Y56" s="450"/>
      <c r="Z56" s="422"/>
      <c r="AA56" s="450"/>
      <c r="AB56" s="422"/>
      <c r="AC56" s="451"/>
      <c r="AD56" s="422"/>
      <c r="AE56" s="451"/>
      <c r="AF56" s="422"/>
      <c r="AG56" s="451"/>
      <c r="AH56" s="422"/>
      <c r="AI56" s="451"/>
    </row>
    <row r="57" spans="1:35" ht="20" customHeight="1">
      <c r="A57" s="627"/>
      <c r="B57" s="629" t="str">
        <f t="shared" si="2"/>
        <v>MCS - 5. Dry - White Wine Spritzer - Big Bottle of Wine</v>
      </c>
      <c r="C57" s="624"/>
      <c r="D57" s="32" t="str">
        <f>BKK!L174</f>
        <v/>
      </c>
      <c r="E57" s="447">
        <f>BKK!G174</f>
        <v>4</v>
      </c>
      <c r="F57" s="422"/>
      <c r="G57" s="447"/>
      <c r="H57" s="422"/>
      <c r="I57" s="447"/>
      <c r="J57" s="422"/>
      <c r="K57" s="447"/>
      <c r="L57" s="619" t="str">
        <f>BKK!L175</f>
        <v/>
      </c>
      <c r="M57" s="447">
        <f>BKK!G175</f>
        <v>1</v>
      </c>
      <c r="N57" s="619" t="str">
        <f>BKK!L176</f>
        <v/>
      </c>
      <c r="O57" s="449">
        <f>BKK!G176</f>
        <v>2</v>
      </c>
      <c r="P57" s="422"/>
      <c r="Q57" s="449"/>
      <c r="R57" s="422"/>
      <c r="S57" s="449"/>
      <c r="T57" s="619" t="str">
        <f>BKK!L177</f>
        <v/>
      </c>
      <c r="U57" s="449">
        <f>BKK!G177</f>
        <v>2</v>
      </c>
      <c r="V57" s="422"/>
      <c r="W57" s="450"/>
      <c r="X57" s="422"/>
      <c r="Y57" s="450"/>
      <c r="Z57" s="422"/>
      <c r="AA57" s="450"/>
      <c r="AB57" s="422"/>
      <c r="AC57" s="451"/>
      <c r="AD57" s="422"/>
      <c r="AE57" s="451"/>
      <c r="AF57" s="422"/>
      <c r="AG57" s="451"/>
      <c r="AH57" s="422"/>
      <c r="AI57" s="451"/>
    </row>
    <row r="58" spans="1:35" ht="20" customHeight="1">
      <c r="A58" s="627"/>
      <c r="B58" s="629" t="str">
        <f t="shared" si="2"/>
        <v>MCS - 6. Sweet - White Wine Spritzer- Big Bottle of Wine</v>
      </c>
      <c r="C58" s="624"/>
      <c r="D58" s="32" t="str">
        <f>BKK!M174</f>
        <v/>
      </c>
      <c r="E58" s="447">
        <f>BKK!G174</f>
        <v>4</v>
      </c>
      <c r="F58" s="422"/>
      <c r="G58" s="447"/>
      <c r="H58" s="422"/>
      <c r="I58" s="447"/>
      <c r="J58" s="422"/>
      <c r="K58" s="447"/>
      <c r="L58" s="619" t="str">
        <f>BKK!M175</f>
        <v/>
      </c>
      <c r="M58" s="447">
        <f>BKK!G175</f>
        <v>1</v>
      </c>
      <c r="N58" s="619" t="str">
        <f>BKK!M176</f>
        <v/>
      </c>
      <c r="O58" s="449">
        <f>BKK!G176</f>
        <v>2</v>
      </c>
      <c r="P58" s="422"/>
      <c r="Q58" s="449"/>
      <c r="R58" s="422"/>
      <c r="S58" s="449"/>
      <c r="T58" s="619" t="str">
        <f>BKK!M177</f>
        <v/>
      </c>
      <c r="U58" s="449">
        <f>BKK!G177</f>
        <v>2</v>
      </c>
      <c r="V58" s="422"/>
      <c r="W58" s="450"/>
      <c r="X58" s="422"/>
      <c r="Y58" s="450"/>
      <c r="Z58" s="422"/>
      <c r="AA58" s="450"/>
      <c r="AB58" s="422"/>
      <c r="AC58" s="451"/>
      <c r="AD58" s="422"/>
      <c r="AE58" s="451"/>
      <c r="AF58" s="422"/>
      <c r="AG58" s="451"/>
      <c r="AH58" s="422"/>
      <c r="AI58" s="451"/>
    </row>
    <row r="59" spans="1:35" ht="20" customHeight="1">
      <c r="A59" s="627"/>
      <c r="B59" s="629" t="str">
        <f t="shared" si="2"/>
        <v>MCS - 7. Liqueur</v>
      </c>
      <c r="C59" s="624"/>
      <c r="D59" s="32" t="str">
        <f>BKK!H224</f>
        <v/>
      </c>
      <c r="E59" s="447">
        <f>BKK!G224</f>
        <v>4</v>
      </c>
      <c r="F59" s="422"/>
      <c r="G59" s="447"/>
      <c r="H59" s="422"/>
      <c r="I59" s="447"/>
      <c r="J59" s="422"/>
      <c r="K59" s="447"/>
      <c r="L59" s="619" t="str">
        <f>BKK!H225</f>
        <v/>
      </c>
      <c r="M59" s="447">
        <f>BKK!G225</f>
        <v>1</v>
      </c>
      <c r="N59" s="619" t="str">
        <f>BKK!H226</f>
        <v/>
      </c>
      <c r="O59" s="449">
        <f>BKK!G226</f>
        <v>2</v>
      </c>
      <c r="P59" s="422"/>
      <c r="Q59" s="449"/>
      <c r="R59" s="422"/>
      <c r="S59" s="449"/>
      <c r="T59" s="619" t="str">
        <f>BKK!H227</f>
        <v/>
      </c>
      <c r="U59" s="449">
        <f>BKK!G227</f>
        <v>2</v>
      </c>
      <c r="V59" s="422"/>
      <c r="W59" s="450"/>
      <c r="X59" s="422"/>
      <c r="Y59" s="450"/>
      <c r="Z59" s="422"/>
      <c r="AA59" s="450"/>
      <c r="AB59" s="422"/>
      <c r="AC59" s="451"/>
      <c r="AD59" s="422"/>
      <c r="AE59" s="451"/>
      <c r="AF59" s="422"/>
      <c r="AG59" s="451"/>
      <c r="AH59" s="422"/>
      <c r="AI59" s="451"/>
    </row>
    <row r="60" spans="1:35" ht="20" customHeight="1">
      <c r="A60" s="627"/>
      <c r="B60" s="629" t="str">
        <f t="shared" si="2"/>
        <v>MCS - 8. Shandy</v>
      </c>
      <c r="C60" s="624"/>
      <c r="D60" s="32" t="str">
        <f>BKK!I224</f>
        <v/>
      </c>
      <c r="E60" s="447">
        <f>BKK!G224</f>
        <v>4</v>
      </c>
      <c r="F60" s="422"/>
      <c r="G60" s="447"/>
      <c r="H60" s="422"/>
      <c r="I60" s="447"/>
      <c r="J60" s="422"/>
      <c r="K60" s="447"/>
      <c r="L60" s="619" t="str">
        <f>BKK!I225</f>
        <v/>
      </c>
      <c r="M60" s="447">
        <f>BKK!G225</f>
        <v>1</v>
      </c>
      <c r="N60" s="619" t="str">
        <f>BKK!I226</f>
        <v/>
      </c>
      <c r="O60" s="449">
        <f>BKK!G226</f>
        <v>2</v>
      </c>
      <c r="P60" s="422"/>
      <c r="Q60" s="449"/>
      <c r="R60" s="422"/>
      <c r="S60" s="449"/>
      <c r="T60" s="619" t="str">
        <f>BKK!I227</f>
        <v/>
      </c>
      <c r="U60" s="449">
        <f>BKK!G227</f>
        <v>2</v>
      </c>
      <c r="V60" s="422"/>
      <c r="W60" s="450"/>
      <c r="X60" s="422"/>
      <c r="Y60" s="450"/>
      <c r="Z60" s="422"/>
      <c r="AA60" s="450"/>
      <c r="AB60" s="422"/>
      <c r="AC60" s="451"/>
      <c r="AD60" s="422"/>
      <c r="AE60" s="451"/>
      <c r="AF60" s="422"/>
      <c r="AG60" s="451"/>
      <c r="AH60" s="422"/>
      <c r="AI60" s="451"/>
    </row>
    <row r="61" spans="1:35" ht="20" customHeight="1">
      <c r="A61" s="627"/>
      <c r="B61" s="629" t="str">
        <f t="shared" si="2"/>
        <v>MCS - 9. Hot Beverage 
- Tea</v>
      </c>
      <c r="C61" s="624"/>
      <c r="D61" s="32" t="str">
        <f>BKK!J224</f>
        <v/>
      </c>
      <c r="E61" s="447">
        <f>BKK!G224</f>
        <v>4</v>
      </c>
      <c r="F61" s="422"/>
      <c r="G61" s="447"/>
      <c r="H61" s="422"/>
      <c r="I61" s="447"/>
      <c r="J61" s="422"/>
      <c r="K61" s="447"/>
      <c r="L61" s="619" t="str">
        <f>BKK!J225</f>
        <v/>
      </c>
      <c r="M61" s="447">
        <f>BKK!G225</f>
        <v>1</v>
      </c>
      <c r="N61" s="619" t="str">
        <f>BKK!J226</f>
        <v/>
      </c>
      <c r="O61" s="449">
        <f>BKK!G226</f>
        <v>2</v>
      </c>
      <c r="P61" s="422"/>
      <c r="Q61" s="449"/>
      <c r="R61" s="422"/>
      <c r="S61" s="449"/>
      <c r="T61" s="619" t="str">
        <f>BKK!J227</f>
        <v/>
      </c>
      <c r="U61" s="449">
        <f>BKK!G227</f>
        <v>2</v>
      </c>
      <c r="V61" s="422"/>
      <c r="W61" s="450"/>
      <c r="X61" s="422"/>
      <c r="Y61" s="450"/>
      <c r="Z61" s="422"/>
      <c r="AA61" s="450"/>
      <c r="AB61" s="422"/>
      <c r="AC61" s="451"/>
      <c r="AD61" s="422"/>
      <c r="AE61" s="451"/>
      <c r="AF61" s="422"/>
      <c r="AG61" s="451"/>
      <c r="AH61" s="422"/>
      <c r="AI61" s="451"/>
    </row>
    <row r="62" spans="1:35" ht="20" customHeight="1">
      <c r="A62" s="627"/>
      <c r="B62" s="629" t="str">
        <f t="shared" si="2"/>
        <v>MCS - 10. Beer</v>
      </c>
      <c r="C62" s="624"/>
      <c r="D62" s="32" t="str">
        <f>BKK!K224</f>
        <v/>
      </c>
      <c r="E62" s="447">
        <f>BKK!G224</f>
        <v>4</v>
      </c>
      <c r="F62" s="422"/>
      <c r="G62" s="447"/>
      <c r="H62" s="422"/>
      <c r="I62" s="447"/>
      <c r="J62" s="422"/>
      <c r="K62" s="447"/>
      <c r="L62" s="619" t="str">
        <f>BKK!K225</f>
        <v/>
      </c>
      <c r="M62" s="447">
        <f>BKK!G225</f>
        <v>1</v>
      </c>
      <c r="N62" s="619" t="str">
        <f>BKK!K226</f>
        <v/>
      </c>
      <c r="O62" s="449">
        <f>BKK!G226</f>
        <v>2</v>
      </c>
      <c r="P62" s="422"/>
      <c r="Q62" s="449"/>
      <c r="R62" s="422"/>
      <c r="S62" s="449"/>
      <c r="T62" s="619" t="str">
        <f>BKK!K227</f>
        <v/>
      </c>
      <c r="U62" s="449">
        <f>BKK!G227</f>
        <v>2</v>
      </c>
      <c r="V62" s="422"/>
      <c r="W62" s="450"/>
      <c r="X62" s="422"/>
      <c r="Y62" s="450"/>
      <c r="Z62" s="422"/>
      <c r="AA62" s="450"/>
      <c r="AB62" s="422"/>
      <c r="AC62" s="451"/>
      <c r="AD62" s="422"/>
      <c r="AE62" s="451"/>
      <c r="AF62" s="422"/>
      <c r="AG62" s="451"/>
      <c r="AH62" s="422"/>
      <c r="AI62" s="451"/>
    </row>
    <row r="63" spans="1:35" ht="20" customHeight="1">
      <c r="A63" s="627"/>
      <c r="B63" s="629" t="str">
        <f t="shared" si="2"/>
        <v>MCS - 11. Screwdriver</v>
      </c>
      <c r="C63" s="624"/>
      <c r="D63" s="32" t="str">
        <f>BKK!L224</f>
        <v/>
      </c>
      <c r="E63" s="447">
        <f>BKK!G224</f>
        <v>4</v>
      </c>
      <c r="F63" s="422"/>
      <c r="G63" s="447"/>
      <c r="H63" s="422"/>
      <c r="I63" s="447"/>
      <c r="J63" s="422"/>
      <c r="K63" s="447"/>
      <c r="L63" s="619" t="str">
        <f>BKK!L225</f>
        <v/>
      </c>
      <c r="M63" s="447">
        <f>BKK!G225</f>
        <v>1</v>
      </c>
      <c r="N63" s="619" t="str">
        <f>BKK!L226</f>
        <v/>
      </c>
      <c r="O63" s="449">
        <f>BKK!G226</f>
        <v>2</v>
      </c>
      <c r="P63" s="422"/>
      <c r="Q63" s="449"/>
      <c r="R63" s="422"/>
      <c r="S63" s="449"/>
      <c r="T63" s="619" t="str">
        <f>BKK!L227</f>
        <v/>
      </c>
      <c r="U63" s="449">
        <f>BKK!G227</f>
        <v>2</v>
      </c>
      <c r="V63" s="422"/>
      <c r="W63" s="450"/>
      <c r="X63" s="422"/>
      <c r="Y63" s="450"/>
      <c r="Z63" s="422"/>
      <c r="AA63" s="450"/>
      <c r="AB63" s="422"/>
      <c r="AC63" s="451"/>
      <c r="AD63" s="422"/>
      <c r="AE63" s="451"/>
      <c r="AF63" s="422"/>
      <c r="AG63" s="451"/>
      <c r="AH63" s="422"/>
      <c r="AI63" s="451"/>
    </row>
    <row r="64" spans="1:35" ht="20" customHeight="1">
      <c r="A64" s="627"/>
      <c r="B64" s="629" t="str">
        <f t="shared" si="2"/>
        <v>MCS - 12. Gin &amp; Orange Juice</v>
      </c>
      <c r="C64" s="624"/>
      <c r="D64" s="32" t="str">
        <f>BKK!M224</f>
        <v/>
      </c>
      <c r="E64" s="447">
        <f>BKK!G224</f>
        <v>4</v>
      </c>
      <c r="F64" s="422"/>
      <c r="G64" s="447"/>
      <c r="H64" s="422"/>
      <c r="I64" s="447"/>
      <c r="J64" s="422"/>
      <c r="K64" s="447"/>
      <c r="L64" s="619" t="str">
        <f>BKK!M225</f>
        <v/>
      </c>
      <c r="M64" s="447">
        <f>BKK!G225</f>
        <v>1</v>
      </c>
      <c r="N64" s="619" t="str">
        <f>BKK!M226</f>
        <v/>
      </c>
      <c r="O64" s="449">
        <f>BKK!G226</f>
        <v>2</v>
      </c>
      <c r="P64" s="422"/>
      <c r="Q64" s="449"/>
      <c r="R64" s="422"/>
      <c r="S64" s="449"/>
      <c r="T64" s="619" t="str">
        <f>BKK!M227</f>
        <v/>
      </c>
      <c r="U64" s="449">
        <f>BKK!G227</f>
        <v>2</v>
      </c>
      <c r="V64" s="422"/>
      <c r="W64" s="450"/>
      <c r="X64" s="422"/>
      <c r="Y64" s="450"/>
      <c r="Z64" s="422"/>
      <c r="AA64" s="450"/>
      <c r="AB64" s="422"/>
      <c r="AC64" s="451"/>
      <c r="AD64" s="422"/>
      <c r="AE64" s="451"/>
      <c r="AF64" s="422"/>
      <c r="AG64" s="451"/>
      <c r="AH64" s="422"/>
      <c r="AI64" s="451"/>
    </row>
    <row r="65" spans="1:35" ht="20" customHeight="1">
      <c r="A65" s="627"/>
      <c r="B65" s="629" t="str">
        <f t="shared" si="2"/>
        <v>MCS - 13. Rum &amp; Pepsi</v>
      </c>
      <c r="C65" s="624"/>
      <c r="D65" s="32" t="str">
        <f>BKK!H274</f>
        <v/>
      </c>
      <c r="E65" s="447">
        <f>BKK!G274</f>
        <v>4</v>
      </c>
      <c r="F65" s="422"/>
      <c r="G65" s="447"/>
      <c r="H65" s="422"/>
      <c r="I65" s="447"/>
      <c r="J65" s="422"/>
      <c r="K65" s="447"/>
      <c r="L65" s="619" t="str">
        <f>BKK!H275</f>
        <v/>
      </c>
      <c r="M65" s="447">
        <f>BKK!G275</f>
        <v>1</v>
      </c>
      <c r="N65" s="619" t="str">
        <f>BKK!H276</f>
        <v/>
      </c>
      <c r="O65" s="449">
        <f>BKK!G276</f>
        <v>2</v>
      </c>
      <c r="P65" s="422"/>
      <c r="Q65" s="449"/>
      <c r="R65" s="422"/>
      <c r="S65" s="449"/>
      <c r="T65" s="619" t="str">
        <f>BKK!H277</f>
        <v/>
      </c>
      <c r="U65" s="449">
        <f>BKK!G277</f>
        <v>2</v>
      </c>
      <c r="V65" s="422"/>
      <c r="W65" s="450"/>
      <c r="X65" s="422"/>
      <c r="Y65" s="450"/>
      <c r="Z65" s="422"/>
      <c r="AA65" s="450"/>
      <c r="AB65" s="422"/>
      <c r="AC65" s="451"/>
      <c r="AD65" s="422"/>
      <c r="AE65" s="451"/>
      <c r="AF65" s="422"/>
      <c r="AG65" s="451"/>
      <c r="AH65" s="422"/>
      <c r="AI65" s="451"/>
    </row>
    <row r="66" spans="1:35" ht="20" customHeight="1">
      <c r="A66" s="627"/>
      <c r="B66" s="629" t="str">
        <f t="shared" si="2"/>
        <v>MCS - 14. Gin &amp; Tonic</v>
      </c>
      <c r="C66" s="624"/>
      <c r="D66" s="32" t="str">
        <f>BKK!I274</f>
        <v/>
      </c>
      <c r="E66" s="447">
        <f>BKK!G274</f>
        <v>4</v>
      </c>
      <c r="F66" s="422"/>
      <c r="G66" s="447"/>
      <c r="H66" s="422"/>
      <c r="I66" s="447"/>
      <c r="J66" s="422"/>
      <c r="K66" s="447"/>
      <c r="L66" s="619" t="str">
        <f>BKK!I275</f>
        <v/>
      </c>
      <c r="M66" s="447">
        <f>BKK!G275</f>
        <v>1</v>
      </c>
      <c r="N66" s="619" t="str">
        <f>BKK!I276</f>
        <v/>
      </c>
      <c r="O66" s="449">
        <f>BKK!G276</f>
        <v>2</v>
      </c>
      <c r="P66" s="422"/>
      <c r="Q66" s="449"/>
      <c r="R66" s="422"/>
      <c r="S66" s="449"/>
      <c r="T66" s="619" t="str">
        <f>BKK!I277</f>
        <v/>
      </c>
      <c r="U66" s="449">
        <f>BKK!G277</f>
        <v>2</v>
      </c>
      <c r="V66" s="422"/>
      <c r="W66" s="450"/>
      <c r="X66" s="422"/>
      <c r="Y66" s="450"/>
      <c r="Z66" s="422"/>
      <c r="AA66" s="450"/>
      <c r="AB66" s="422"/>
      <c r="AC66" s="451"/>
      <c r="AD66" s="422"/>
      <c r="AE66" s="451"/>
      <c r="AF66" s="422"/>
      <c r="AG66" s="451"/>
      <c r="AH66" s="422"/>
      <c r="AI66" s="451"/>
    </row>
    <row r="67" spans="1:35" ht="20" customHeight="1">
      <c r="A67" s="627"/>
      <c r="B67" s="629" t="str">
        <f t="shared" si="2"/>
        <v>MCS - 15. Scotch &amp; Soda</v>
      </c>
      <c r="C67" s="624"/>
      <c r="D67" s="32" t="str">
        <f>BKK!J274</f>
        <v/>
      </c>
      <c r="E67" s="447">
        <f>BKK!G274</f>
        <v>4</v>
      </c>
      <c r="F67" s="422"/>
      <c r="G67" s="447"/>
      <c r="H67" s="422"/>
      <c r="I67" s="447"/>
      <c r="J67" s="422"/>
      <c r="K67" s="447"/>
      <c r="L67" s="619" t="str">
        <f>BKK!J275</f>
        <v/>
      </c>
      <c r="M67" s="447">
        <f>BKK!G275</f>
        <v>1</v>
      </c>
      <c r="N67" s="619" t="str">
        <f>BKK!J276</f>
        <v/>
      </c>
      <c r="O67" s="449">
        <f>BKK!G276</f>
        <v>2</v>
      </c>
      <c r="P67" s="422"/>
      <c r="Q67" s="449"/>
      <c r="R67" s="422"/>
      <c r="S67" s="449"/>
      <c r="T67" s="619" t="str">
        <f>BKK!J277</f>
        <v/>
      </c>
      <c r="U67" s="449">
        <f>BKK!G277</f>
        <v>2</v>
      </c>
      <c r="V67" s="422"/>
      <c r="W67" s="450"/>
      <c r="X67" s="422"/>
      <c r="Y67" s="450"/>
      <c r="Z67" s="422"/>
      <c r="AA67" s="450"/>
      <c r="AB67" s="422"/>
      <c r="AC67" s="451"/>
      <c r="AD67" s="422"/>
      <c r="AE67" s="451"/>
      <c r="AF67" s="422"/>
      <c r="AG67" s="451"/>
      <c r="AH67" s="422"/>
      <c r="AI67" s="451"/>
    </row>
    <row r="68" spans="1:35" ht="20" customHeight="1">
      <c r="A68" s="627"/>
      <c r="B68" s="629" t="str">
        <f t="shared" si="2"/>
        <v>MCS - 16. Bloody Mary</v>
      </c>
      <c r="C68" s="624"/>
      <c r="D68" s="32" t="str">
        <f>BKK!K274</f>
        <v/>
      </c>
      <c r="E68" s="447">
        <f>BKK!G274</f>
        <v>4</v>
      </c>
      <c r="F68" s="422"/>
      <c r="G68" s="447"/>
      <c r="H68" s="422"/>
      <c r="I68" s="447"/>
      <c r="J68" s="422"/>
      <c r="K68" s="447"/>
      <c r="L68" s="619" t="str">
        <f>BKK!K275</f>
        <v/>
      </c>
      <c r="M68" s="447">
        <f>BKK!G275</f>
        <v>1</v>
      </c>
      <c r="N68" s="619" t="str">
        <f>BKK!K276</f>
        <v/>
      </c>
      <c r="O68" s="449">
        <f>BKK!G276</f>
        <v>2</v>
      </c>
      <c r="P68" s="422"/>
      <c r="Q68" s="449"/>
      <c r="R68" s="422"/>
      <c r="S68" s="449"/>
      <c r="T68" s="619" t="str">
        <f>BKK!K277</f>
        <v/>
      </c>
      <c r="U68" s="449">
        <f>BKK!G277</f>
        <v>2</v>
      </c>
      <c r="V68" s="422"/>
      <c r="W68" s="450"/>
      <c r="X68" s="422"/>
      <c r="Y68" s="450"/>
      <c r="Z68" s="422"/>
      <c r="AA68" s="450"/>
      <c r="AB68" s="422"/>
      <c r="AC68" s="451"/>
      <c r="AD68" s="422"/>
      <c r="AE68" s="451"/>
      <c r="AF68" s="422"/>
      <c r="AG68" s="451"/>
      <c r="AH68" s="422"/>
      <c r="AI68" s="451"/>
    </row>
    <row r="69" spans="1:35" ht="20" customHeight="1">
      <c r="A69" s="627"/>
      <c r="B69" s="629" t="str">
        <f>"TW - "&amp;B37</f>
        <v>TW - 1. Champagne</v>
      </c>
      <c r="C69" s="624"/>
      <c r="D69" s="482"/>
      <c r="E69" s="447"/>
      <c r="F69" s="422"/>
      <c r="G69" s="447"/>
      <c r="H69" s="422"/>
      <c r="I69" s="447"/>
      <c r="J69" s="422" t="str">
        <f>BKK!H188</f>
        <v/>
      </c>
      <c r="K69" s="447">
        <f>BKK!G188</f>
        <v>1</v>
      </c>
      <c r="L69" s="619"/>
      <c r="M69" s="447"/>
      <c r="N69" s="619"/>
      <c r="O69" s="449"/>
      <c r="P69" s="422"/>
      <c r="Q69" s="449"/>
      <c r="R69" s="422"/>
      <c r="S69" s="449"/>
      <c r="T69" s="619"/>
      <c r="U69" s="449"/>
      <c r="V69" s="422" t="str">
        <f>BKK!H187</f>
        <v/>
      </c>
      <c r="W69" s="450">
        <f>BKK!G187</f>
        <v>1</v>
      </c>
      <c r="X69" s="422"/>
      <c r="Y69" s="450"/>
      <c r="Z69" s="422"/>
      <c r="AA69" s="450"/>
      <c r="AB69" s="422"/>
      <c r="AC69" s="451"/>
      <c r="AD69" s="422"/>
      <c r="AE69" s="451"/>
      <c r="AF69" s="422"/>
      <c r="AG69" s="451"/>
      <c r="AH69" s="422"/>
      <c r="AI69" s="451"/>
    </row>
    <row r="70" spans="1:35" ht="20" customHeight="1">
      <c r="A70" s="627"/>
      <c r="B70" s="629" t="str">
        <f t="shared" ref="B70:B84" si="3">"TW - "&amp;B38</f>
        <v>TW - 2. Wine 
- Small Bottles</v>
      </c>
      <c r="C70" s="624"/>
      <c r="D70" s="482"/>
      <c r="E70" s="447"/>
      <c r="F70" s="422"/>
      <c r="G70" s="447"/>
      <c r="H70" s="422"/>
      <c r="I70" s="447"/>
      <c r="J70" s="422" t="str">
        <f>BKK!I188</f>
        <v/>
      </c>
      <c r="K70" s="447">
        <f>BKK!G188</f>
        <v>1</v>
      </c>
      <c r="L70" s="619"/>
      <c r="M70" s="447"/>
      <c r="N70" s="619"/>
      <c r="O70" s="449"/>
      <c r="P70" s="422"/>
      <c r="Q70" s="449"/>
      <c r="R70" s="422"/>
      <c r="S70" s="449"/>
      <c r="T70" s="619"/>
      <c r="U70" s="449"/>
      <c r="V70" s="422" t="str">
        <f>BKK!I187</f>
        <v/>
      </c>
      <c r="W70" s="450">
        <f>BKK!G187</f>
        <v>1</v>
      </c>
      <c r="X70" s="422"/>
      <c r="Y70" s="450"/>
      <c r="Z70" s="422"/>
      <c r="AA70" s="450"/>
      <c r="AB70" s="422"/>
      <c r="AC70" s="451"/>
      <c r="AD70" s="422"/>
      <c r="AE70" s="451"/>
      <c r="AF70" s="422"/>
      <c r="AG70" s="451"/>
      <c r="AH70" s="422"/>
      <c r="AI70" s="451"/>
    </row>
    <row r="71" spans="1:35" ht="20" customHeight="1">
      <c r="A71" s="627"/>
      <c r="B71" s="629" t="str">
        <f t="shared" si="3"/>
        <v>TW - 3. White Wine Spritzer
- Small Bottles</v>
      </c>
      <c r="C71" s="624"/>
      <c r="D71" s="482"/>
      <c r="E71" s="447"/>
      <c r="F71" s="422"/>
      <c r="G71" s="447"/>
      <c r="H71" s="422"/>
      <c r="I71" s="447"/>
      <c r="J71" s="422" t="str">
        <f>BKK!J188</f>
        <v/>
      </c>
      <c r="K71" s="447">
        <f>BKK!G188</f>
        <v>1</v>
      </c>
      <c r="L71" s="619"/>
      <c r="M71" s="447"/>
      <c r="N71" s="619"/>
      <c r="O71" s="449"/>
      <c r="P71" s="422"/>
      <c r="Q71" s="449"/>
      <c r="R71" s="422"/>
      <c r="S71" s="449"/>
      <c r="T71" s="619"/>
      <c r="U71" s="449"/>
      <c r="V71" s="422" t="str">
        <f>BKK!J187</f>
        <v/>
      </c>
      <c r="W71" s="450">
        <f>BKK!G187</f>
        <v>1</v>
      </c>
      <c r="X71" s="422"/>
      <c r="Y71" s="450"/>
      <c r="Z71" s="422"/>
      <c r="AA71" s="450"/>
      <c r="AB71" s="422"/>
      <c r="AC71" s="451"/>
      <c r="AD71" s="422"/>
      <c r="AE71" s="451"/>
      <c r="AF71" s="422"/>
      <c r="AG71" s="451"/>
      <c r="AH71" s="422"/>
      <c r="AI71" s="451"/>
    </row>
    <row r="72" spans="1:35" ht="20" customHeight="1">
      <c r="A72" s="627"/>
      <c r="B72" s="629" t="str">
        <f t="shared" si="3"/>
        <v>TW - 4. Wine
- Big Bottles</v>
      </c>
      <c r="C72" s="624"/>
      <c r="D72" s="482"/>
      <c r="E72" s="447"/>
      <c r="F72" s="422"/>
      <c r="G72" s="447"/>
      <c r="H72" s="422"/>
      <c r="I72" s="447"/>
      <c r="J72" s="422" t="str">
        <f>BKK!K188</f>
        <v/>
      </c>
      <c r="K72" s="447">
        <f>BKK!G188</f>
        <v>1</v>
      </c>
      <c r="L72" s="619"/>
      <c r="M72" s="447"/>
      <c r="N72" s="619"/>
      <c r="O72" s="449"/>
      <c r="P72" s="422"/>
      <c r="Q72" s="449"/>
      <c r="R72" s="422"/>
      <c r="S72" s="449"/>
      <c r="T72" s="619"/>
      <c r="U72" s="449"/>
      <c r="V72" s="422" t="str">
        <f>BKK!K187</f>
        <v/>
      </c>
      <c r="W72" s="450">
        <f>BKK!G187</f>
        <v>1</v>
      </c>
      <c r="X72" s="422"/>
      <c r="Y72" s="450"/>
      <c r="Z72" s="422"/>
      <c r="AA72" s="450"/>
      <c r="AB72" s="422"/>
      <c r="AC72" s="451"/>
      <c r="AD72" s="422"/>
      <c r="AE72" s="451"/>
      <c r="AF72" s="422"/>
      <c r="AG72" s="451"/>
      <c r="AH72" s="422"/>
      <c r="AI72" s="451"/>
    </row>
    <row r="73" spans="1:35" ht="20" customHeight="1">
      <c r="A73" s="627"/>
      <c r="B73" s="629" t="str">
        <f t="shared" si="3"/>
        <v>TW - 5. Dry - White Wine Spritzer - Big Bottle of Wine</v>
      </c>
      <c r="C73" s="624"/>
      <c r="D73" s="482"/>
      <c r="E73" s="447"/>
      <c r="F73" s="422"/>
      <c r="G73" s="447"/>
      <c r="H73" s="422"/>
      <c r="I73" s="447"/>
      <c r="J73" s="422" t="str">
        <f>BKK!L188</f>
        <v/>
      </c>
      <c r="K73" s="447">
        <f>BKK!G188</f>
        <v>1</v>
      </c>
      <c r="L73" s="619"/>
      <c r="M73" s="447"/>
      <c r="N73" s="619"/>
      <c r="O73" s="449"/>
      <c r="P73" s="422"/>
      <c r="Q73" s="449"/>
      <c r="R73" s="422"/>
      <c r="S73" s="449"/>
      <c r="T73" s="619"/>
      <c r="U73" s="449"/>
      <c r="V73" s="422" t="str">
        <f>BKK!L187</f>
        <v/>
      </c>
      <c r="W73" s="450">
        <f>BKK!G187</f>
        <v>1</v>
      </c>
      <c r="X73" s="422"/>
      <c r="Y73" s="450"/>
      <c r="Z73" s="422"/>
      <c r="AA73" s="450"/>
      <c r="AB73" s="422"/>
      <c r="AC73" s="451"/>
      <c r="AD73" s="422"/>
      <c r="AE73" s="451"/>
      <c r="AF73" s="422"/>
      <c r="AG73" s="451"/>
      <c r="AH73" s="422"/>
      <c r="AI73" s="451"/>
    </row>
    <row r="74" spans="1:35" ht="20" customHeight="1">
      <c r="A74" s="627"/>
      <c r="B74" s="629" t="str">
        <f t="shared" si="3"/>
        <v>TW - 6. Sweet - White Wine Spritzer- Big Bottle of Wine</v>
      </c>
      <c r="C74" s="624"/>
      <c r="D74" s="482"/>
      <c r="E74" s="447"/>
      <c r="F74" s="422"/>
      <c r="G74" s="447"/>
      <c r="H74" s="422"/>
      <c r="I74" s="447"/>
      <c r="J74" s="422" t="str">
        <f>BKK!M188</f>
        <v/>
      </c>
      <c r="K74" s="447">
        <f>BKK!G188</f>
        <v>1</v>
      </c>
      <c r="L74" s="619"/>
      <c r="M74" s="447"/>
      <c r="N74" s="619"/>
      <c r="O74" s="449"/>
      <c r="P74" s="422"/>
      <c r="Q74" s="449"/>
      <c r="R74" s="422"/>
      <c r="S74" s="449"/>
      <c r="T74" s="619"/>
      <c r="U74" s="449"/>
      <c r="V74" s="422" t="str">
        <f>BKK!M187</f>
        <v/>
      </c>
      <c r="W74" s="450">
        <f>BKK!G187</f>
        <v>1</v>
      </c>
      <c r="X74" s="422"/>
      <c r="Y74" s="450"/>
      <c r="Z74" s="422"/>
      <c r="AA74" s="450"/>
      <c r="AB74" s="422"/>
      <c r="AC74" s="451"/>
      <c r="AD74" s="422"/>
      <c r="AE74" s="451"/>
      <c r="AF74" s="422"/>
      <c r="AG74" s="451"/>
      <c r="AH74" s="422"/>
      <c r="AI74" s="451"/>
    </row>
    <row r="75" spans="1:35" ht="20" customHeight="1">
      <c r="A75" s="627"/>
      <c r="B75" s="629" t="str">
        <f t="shared" si="3"/>
        <v>TW - 7. Liqueur</v>
      </c>
      <c r="C75" s="624"/>
      <c r="D75" s="482"/>
      <c r="E75" s="447"/>
      <c r="F75" s="422"/>
      <c r="G75" s="447"/>
      <c r="H75" s="422"/>
      <c r="I75" s="447"/>
      <c r="J75" s="422" t="str">
        <f>BKK!H238</f>
        <v/>
      </c>
      <c r="K75" s="447">
        <f>BKK!G238</f>
        <v>1</v>
      </c>
      <c r="L75" s="619"/>
      <c r="M75" s="447"/>
      <c r="N75" s="619"/>
      <c r="O75" s="449"/>
      <c r="P75" s="422"/>
      <c r="Q75" s="449"/>
      <c r="R75" s="422"/>
      <c r="S75" s="449"/>
      <c r="T75" s="619"/>
      <c r="U75" s="449"/>
      <c r="V75" s="422" t="str">
        <f>BKK!H237</f>
        <v/>
      </c>
      <c r="W75" s="450">
        <f>BKK!G237</f>
        <v>1</v>
      </c>
      <c r="X75" s="422"/>
      <c r="Y75" s="450"/>
      <c r="Z75" s="422"/>
      <c r="AA75" s="450"/>
      <c r="AB75" s="422"/>
      <c r="AC75" s="451"/>
      <c r="AD75" s="422"/>
      <c r="AE75" s="451"/>
      <c r="AF75" s="422"/>
      <c r="AG75" s="451"/>
      <c r="AH75" s="422"/>
      <c r="AI75" s="451"/>
    </row>
    <row r="76" spans="1:35" ht="20" customHeight="1">
      <c r="A76" s="627"/>
      <c r="B76" s="629" t="str">
        <f t="shared" si="3"/>
        <v>TW - 8. Shandy</v>
      </c>
      <c r="C76" s="624"/>
      <c r="D76" s="482"/>
      <c r="E76" s="447"/>
      <c r="F76" s="422"/>
      <c r="G76" s="447"/>
      <c r="H76" s="422"/>
      <c r="I76" s="447"/>
      <c r="J76" s="422" t="str">
        <f>BKK!I238</f>
        <v/>
      </c>
      <c r="K76" s="447">
        <f>BKK!G238</f>
        <v>1</v>
      </c>
      <c r="L76" s="619"/>
      <c r="M76" s="447"/>
      <c r="N76" s="619"/>
      <c r="O76" s="449"/>
      <c r="P76" s="422"/>
      <c r="Q76" s="449"/>
      <c r="R76" s="422"/>
      <c r="S76" s="449"/>
      <c r="T76" s="619"/>
      <c r="U76" s="449"/>
      <c r="V76" s="422" t="str">
        <f>BKK!I237</f>
        <v/>
      </c>
      <c r="W76" s="450">
        <f>BKK!G237</f>
        <v>1</v>
      </c>
      <c r="X76" s="422"/>
      <c r="Y76" s="450"/>
      <c r="Z76" s="422"/>
      <c r="AA76" s="450"/>
      <c r="AB76" s="422"/>
      <c r="AC76" s="451"/>
      <c r="AD76" s="422"/>
      <c r="AE76" s="451"/>
      <c r="AF76" s="422"/>
      <c r="AG76" s="451"/>
      <c r="AH76" s="422"/>
      <c r="AI76" s="451"/>
    </row>
    <row r="77" spans="1:35" ht="20" customHeight="1">
      <c r="A77" s="627"/>
      <c r="B77" s="629" t="str">
        <f t="shared" si="3"/>
        <v>TW - 9. Hot Beverage 
- Tea</v>
      </c>
      <c r="C77" s="624"/>
      <c r="D77" s="482"/>
      <c r="E77" s="447"/>
      <c r="F77" s="422"/>
      <c r="G77" s="447"/>
      <c r="H77" s="422"/>
      <c r="I77" s="447"/>
      <c r="J77" s="422" t="str">
        <f>BKK!J238</f>
        <v/>
      </c>
      <c r="K77" s="447">
        <f>BKK!G238</f>
        <v>1</v>
      </c>
      <c r="L77" s="619"/>
      <c r="M77" s="447"/>
      <c r="N77" s="619"/>
      <c r="O77" s="449"/>
      <c r="P77" s="422"/>
      <c r="Q77" s="449"/>
      <c r="R77" s="422"/>
      <c r="S77" s="449"/>
      <c r="T77" s="619"/>
      <c r="U77" s="449"/>
      <c r="V77" s="422" t="str">
        <f>BKK!J237</f>
        <v/>
      </c>
      <c r="W77" s="450">
        <f>BKK!G237</f>
        <v>1</v>
      </c>
      <c r="X77" s="422"/>
      <c r="Y77" s="450"/>
      <c r="Z77" s="422"/>
      <c r="AA77" s="450"/>
      <c r="AB77" s="422"/>
      <c r="AC77" s="451"/>
      <c r="AD77" s="422"/>
      <c r="AE77" s="451"/>
      <c r="AF77" s="422"/>
      <c r="AG77" s="451"/>
      <c r="AH77" s="422"/>
      <c r="AI77" s="451"/>
    </row>
    <row r="78" spans="1:35" ht="20" customHeight="1">
      <c r="A78" s="627"/>
      <c r="B78" s="629" t="str">
        <f t="shared" si="3"/>
        <v>TW - 10. Beer</v>
      </c>
      <c r="C78" s="624"/>
      <c r="D78" s="482"/>
      <c r="E78" s="447"/>
      <c r="F78" s="422"/>
      <c r="G78" s="447"/>
      <c r="H78" s="422"/>
      <c r="I78" s="447"/>
      <c r="J78" s="422" t="str">
        <f>BKK!K238</f>
        <v/>
      </c>
      <c r="K78" s="447">
        <f>BKK!G238</f>
        <v>1</v>
      </c>
      <c r="L78" s="619"/>
      <c r="M78" s="447"/>
      <c r="N78" s="619"/>
      <c r="O78" s="449"/>
      <c r="P78" s="422"/>
      <c r="Q78" s="449"/>
      <c r="R78" s="422"/>
      <c r="S78" s="449"/>
      <c r="T78" s="619"/>
      <c r="U78" s="449"/>
      <c r="V78" s="422" t="str">
        <f>BKK!K237</f>
        <v/>
      </c>
      <c r="W78" s="450">
        <f>BKK!G237</f>
        <v>1</v>
      </c>
      <c r="X78" s="422"/>
      <c r="Y78" s="450"/>
      <c r="Z78" s="422"/>
      <c r="AA78" s="450"/>
      <c r="AB78" s="422"/>
      <c r="AC78" s="451"/>
      <c r="AD78" s="422"/>
      <c r="AE78" s="451"/>
      <c r="AF78" s="422"/>
      <c r="AG78" s="451"/>
      <c r="AH78" s="422"/>
      <c r="AI78" s="451"/>
    </row>
    <row r="79" spans="1:35" ht="20" customHeight="1">
      <c r="A79" s="627"/>
      <c r="B79" s="629" t="str">
        <f t="shared" si="3"/>
        <v>TW - 11. Screwdriver</v>
      </c>
      <c r="C79" s="624"/>
      <c r="D79" s="482"/>
      <c r="E79" s="447"/>
      <c r="F79" s="422"/>
      <c r="G79" s="447"/>
      <c r="H79" s="422"/>
      <c r="I79" s="447"/>
      <c r="J79" s="422" t="str">
        <f>BKK!L238</f>
        <v/>
      </c>
      <c r="K79" s="447">
        <f>BKK!G238</f>
        <v>1</v>
      </c>
      <c r="L79" s="619"/>
      <c r="M79" s="447"/>
      <c r="N79" s="619"/>
      <c r="O79" s="449"/>
      <c r="P79" s="422"/>
      <c r="Q79" s="449"/>
      <c r="R79" s="422"/>
      <c r="S79" s="449"/>
      <c r="T79" s="619"/>
      <c r="U79" s="449"/>
      <c r="V79" s="422" t="str">
        <f>BKK!L237</f>
        <v/>
      </c>
      <c r="W79" s="450">
        <f>BKK!G237</f>
        <v>1</v>
      </c>
      <c r="X79" s="422"/>
      <c r="Y79" s="450"/>
      <c r="Z79" s="422"/>
      <c r="AA79" s="450"/>
      <c r="AB79" s="422"/>
      <c r="AC79" s="451"/>
      <c r="AD79" s="422"/>
      <c r="AE79" s="451"/>
      <c r="AF79" s="422"/>
      <c r="AG79" s="451"/>
      <c r="AH79" s="422"/>
      <c r="AI79" s="451"/>
    </row>
    <row r="80" spans="1:35" ht="20" customHeight="1">
      <c r="A80" s="627"/>
      <c r="B80" s="629" t="str">
        <f t="shared" si="3"/>
        <v>TW - 12. Gin &amp; Orange Juice</v>
      </c>
      <c r="C80" s="624"/>
      <c r="D80" s="482"/>
      <c r="E80" s="447"/>
      <c r="F80" s="422"/>
      <c r="G80" s="447"/>
      <c r="H80" s="422"/>
      <c r="I80" s="447"/>
      <c r="J80" s="422" t="str">
        <f>BKK!M238</f>
        <v/>
      </c>
      <c r="K80" s="447">
        <f>BKK!G238</f>
        <v>1</v>
      </c>
      <c r="L80" s="619"/>
      <c r="M80" s="447"/>
      <c r="N80" s="619"/>
      <c r="O80" s="449"/>
      <c r="P80" s="422"/>
      <c r="Q80" s="449"/>
      <c r="R80" s="422"/>
      <c r="S80" s="449"/>
      <c r="T80" s="619"/>
      <c r="U80" s="449"/>
      <c r="V80" s="422" t="str">
        <f>BKK!M237</f>
        <v/>
      </c>
      <c r="W80" s="450">
        <f>BKK!G237</f>
        <v>1</v>
      </c>
      <c r="X80" s="422"/>
      <c r="Y80" s="450"/>
      <c r="Z80" s="422"/>
      <c r="AA80" s="450"/>
      <c r="AB80" s="422"/>
      <c r="AC80" s="451"/>
      <c r="AD80" s="422"/>
      <c r="AE80" s="451"/>
      <c r="AF80" s="422"/>
      <c r="AG80" s="451"/>
      <c r="AH80" s="422"/>
      <c r="AI80" s="451"/>
    </row>
    <row r="81" spans="1:46" ht="20" customHeight="1">
      <c r="A81" s="627"/>
      <c r="B81" s="629" t="str">
        <f t="shared" si="3"/>
        <v>TW - 13. Rum &amp; Pepsi</v>
      </c>
      <c r="C81" s="624"/>
      <c r="D81" s="482"/>
      <c r="E81" s="447"/>
      <c r="F81" s="422"/>
      <c r="G81" s="447"/>
      <c r="H81" s="422"/>
      <c r="I81" s="447"/>
      <c r="J81" s="422" t="str">
        <f>BKK!H288</f>
        <v/>
      </c>
      <c r="K81" s="447">
        <f>BKK!G288</f>
        <v>1</v>
      </c>
      <c r="L81" s="619"/>
      <c r="M81" s="447"/>
      <c r="N81" s="619"/>
      <c r="O81" s="449"/>
      <c r="P81" s="422"/>
      <c r="Q81" s="449"/>
      <c r="R81" s="422"/>
      <c r="S81" s="449"/>
      <c r="T81" s="619"/>
      <c r="U81" s="449"/>
      <c r="V81" s="422" t="str">
        <f>BKK!H287</f>
        <v/>
      </c>
      <c r="W81" s="450">
        <f>BKK!G287</f>
        <v>1</v>
      </c>
      <c r="X81" s="422"/>
      <c r="Y81" s="450"/>
      <c r="Z81" s="422"/>
      <c r="AA81" s="450"/>
      <c r="AB81" s="422"/>
      <c r="AC81" s="451"/>
      <c r="AD81" s="422"/>
      <c r="AE81" s="451"/>
      <c r="AF81" s="422"/>
      <c r="AG81" s="451"/>
      <c r="AH81" s="422"/>
      <c r="AI81" s="451"/>
    </row>
    <row r="82" spans="1:46" ht="20" customHeight="1">
      <c r="A82" s="627"/>
      <c r="B82" s="629" t="str">
        <f t="shared" si="3"/>
        <v>TW - 14. Gin &amp; Tonic</v>
      </c>
      <c r="C82" s="624"/>
      <c r="D82" s="482"/>
      <c r="E82" s="447"/>
      <c r="F82" s="422"/>
      <c r="G82" s="447"/>
      <c r="H82" s="422"/>
      <c r="I82" s="447"/>
      <c r="J82" s="422" t="str">
        <f>BKK!I288</f>
        <v/>
      </c>
      <c r="K82" s="447">
        <f>BKK!G288</f>
        <v>1</v>
      </c>
      <c r="L82" s="619"/>
      <c r="M82" s="447"/>
      <c r="N82" s="619"/>
      <c r="O82" s="449"/>
      <c r="P82" s="422"/>
      <c r="Q82" s="449"/>
      <c r="R82" s="422"/>
      <c r="S82" s="449"/>
      <c r="T82" s="619"/>
      <c r="U82" s="449"/>
      <c r="V82" s="422" t="str">
        <f>BKK!I287</f>
        <v/>
      </c>
      <c r="W82" s="450">
        <f>BKK!G287</f>
        <v>1</v>
      </c>
      <c r="X82" s="422"/>
      <c r="Y82" s="450"/>
      <c r="Z82" s="422"/>
      <c r="AA82" s="450"/>
      <c r="AB82" s="422"/>
      <c r="AC82" s="451"/>
      <c r="AD82" s="422"/>
      <c r="AE82" s="451"/>
      <c r="AF82" s="422"/>
      <c r="AG82" s="451"/>
      <c r="AH82" s="422"/>
      <c r="AI82" s="451"/>
    </row>
    <row r="83" spans="1:46" ht="20" customHeight="1">
      <c r="A83" s="627"/>
      <c r="B83" s="629" t="str">
        <f t="shared" si="3"/>
        <v>TW - 15. Scotch &amp; Soda</v>
      </c>
      <c r="C83" s="624"/>
      <c r="D83" s="482"/>
      <c r="E83" s="447"/>
      <c r="F83" s="422"/>
      <c r="G83" s="447"/>
      <c r="H83" s="422"/>
      <c r="I83" s="447"/>
      <c r="J83" s="422" t="str">
        <f>BKK!J288</f>
        <v/>
      </c>
      <c r="K83" s="447">
        <f>BKK!G288</f>
        <v>1</v>
      </c>
      <c r="L83" s="619"/>
      <c r="M83" s="447"/>
      <c r="N83" s="619"/>
      <c r="O83" s="449"/>
      <c r="P83" s="422"/>
      <c r="Q83" s="449"/>
      <c r="R83" s="422"/>
      <c r="S83" s="449"/>
      <c r="T83" s="619"/>
      <c r="U83" s="449"/>
      <c r="V83" s="422" t="str">
        <f>BKK!J287</f>
        <v/>
      </c>
      <c r="W83" s="450">
        <f>BKK!G287</f>
        <v>1</v>
      </c>
      <c r="X83" s="422"/>
      <c r="Y83" s="450"/>
      <c r="Z83" s="422"/>
      <c r="AA83" s="450"/>
      <c r="AB83" s="422"/>
      <c r="AC83" s="451"/>
      <c r="AD83" s="422"/>
      <c r="AE83" s="451"/>
      <c r="AF83" s="422"/>
      <c r="AG83" s="451"/>
      <c r="AH83" s="422"/>
      <c r="AI83" s="451"/>
    </row>
    <row r="84" spans="1:46" ht="20" customHeight="1">
      <c r="A84" s="627"/>
      <c r="B84" s="629" t="str">
        <f t="shared" si="3"/>
        <v>TW - 16. Bloody Mary</v>
      </c>
      <c r="C84" s="624"/>
      <c r="D84" s="482"/>
      <c r="E84" s="447"/>
      <c r="F84" s="422"/>
      <c r="G84" s="447"/>
      <c r="H84" s="422"/>
      <c r="I84" s="447"/>
      <c r="J84" s="422" t="str">
        <f>BKK!K288</f>
        <v/>
      </c>
      <c r="K84" s="447">
        <f>BKK!G288</f>
        <v>1</v>
      </c>
      <c r="L84" s="619"/>
      <c r="M84" s="447"/>
      <c r="N84" s="619"/>
      <c r="O84" s="449"/>
      <c r="P84" s="422"/>
      <c r="Q84" s="449"/>
      <c r="R84" s="422"/>
      <c r="S84" s="449"/>
      <c r="T84" s="619"/>
      <c r="U84" s="449"/>
      <c r="V84" s="422" t="str">
        <f>BKK!K287</f>
        <v/>
      </c>
      <c r="W84" s="450">
        <f>BKK!G287</f>
        <v>1</v>
      </c>
      <c r="X84" s="422"/>
      <c r="Y84" s="450"/>
      <c r="Z84" s="422"/>
      <c r="AA84" s="450"/>
      <c r="AB84" s="422"/>
      <c r="AC84" s="451"/>
      <c r="AD84" s="422"/>
      <c r="AE84" s="451"/>
      <c r="AF84" s="422"/>
      <c r="AG84" s="451"/>
      <c r="AH84" s="422"/>
      <c r="AI84" s="451"/>
    </row>
    <row r="85" spans="1:46" ht="20" customHeight="1">
      <c r="A85" s="430">
        <f>SUM(D85:AI85)</f>
        <v>0</v>
      </c>
      <c r="B85" s="411" t="s">
        <v>18</v>
      </c>
      <c r="C85" s="425" t="str">
        <f t="shared" ref="C85" si="4">IF(B85=1,D85,"")</f>
        <v/>
      </c>
      <c r="D85" s="1878" t="str">
        <f>IF(D86=0,"N/A",(SUM(D5:D84)))</f>
        <v>N/A</v>
      </c>
      <c r="E85" s="1878"/>
      <c r="F85" s="1878" t="str">
        <f t="shared" ref="F85" si="5">IF(F86=0,"N/A",(SUM(F5:F84)))</f>
        <v>N/A</v>
      </c>
      <c r="G85" s="1878"/>
      <c r="H85" s="1878" t="str">
        <f t="shared" ref="H85" si="6">IF(H86=0,"N/A",(SUM(H5:H84)))</f>
        <v>N/A</v>
      </c>
      <c r="I85" s="1878"/>
      <c r="J85" s="1878" t="str">
        <f t="shared" ref="J85" si="7">IF(J86=0,"N/A",(SUM(J5:J84)))</f>
        <v>N/A</v>
      </c>
      <c r="K85" s="1878"/>
      <c r="L85" s="1878" t="str">
        <f>IF(L86=0,"N/A",(SUM(L5:L84)))</f>
        <v>N/A</v>
      </c>
      <c r="M85" s="1878"/>
      <c r="N85" s="1878" t="str">
        <f t="shared" ref="N85" si="8">IF(N86=0,"N/A",(SUM(N5:N84)))</f>
        <v>N/A</v>
      </c>
      <c r="O85" s="1878"/>
      <c r="P85" s="1878" t="str">
        <f t="shared" ref="P85" si="9">IF(P86=0,"N/A",(SUM(P5:P84)))</f>
        <v>N/A</v>
      </c>
      <c r="Q85" s="1878"/>
      <c r="R85" s="1878" t="str">
        <f t="shared" ref="R85" si="10">IF(R86=0,"N/A",(SUM(R5:R84)))</f>
        <v>N/A</v>
      </c>
      <c r="S85" s="1878"/>
      <c r="T85" s="1878" t="str">
        <f t="shared" ref="T85" si="11">IF(T86=0,"N/A",(SUM(T5:T84)))</f>
        <v>N/A</v>
      </c>
      <c r="U85" s="1878"/>
      <c r="V85" s="1878" t="str">
        <f t="shared" ref="V85" si="12">IF(V86=0,"N/A",(SUM(V5:V84)))</f>
        <v>N/A</v>
      </c>
      <c r="W85" s="1878"/>
      <c r="X85" s="1878" t="str">
        <f t="shared" ref="X85" si="13">IF(X86=0,"N/A",(SUM(X5:X84)))</f>
        <v>N/A</v>
      </c>
      <c r="Y85" s="1878"/>
      <c r="Z85" s="1878" t="str">
        <f t="shared" ref="Z85" si="14">IF(Z86=0,"N/A",(SUM(Z5:Z84)))</f>
        <v>N/A</v>
      </c>
      <c r="AA85" s="1878"/>
      <c r="AB85" s="1878" t="str">
        <f t="shared" ref="AB85" si="15">IF(AB86=0,"N/A",(SUM(AB5:AB84)))</f>
        <v>N/A</v>
      </c>
      <c r="AC85" s="1878"/>
      <c r="AD85" s="1878" t="str">
        <f t="shared" ref="AD85" si="16">IF(AD86=0,"N/A",(SUM(AD5:AD84)))</f>
        <v>N/A</v>
      </c>
      <c r="AE85" s="1878"/>
      <c r="AF85" s="1878" t="str">
        <f>IF(AF86=0,"N/A",(SUM(AF5:AF84)))</f>
        <v>N/A</v>
      </c>
      <c r="AG85" s="1878"/>
      <c r="AH85" s="1878" t="str">
        <f>IF(AH86=0,"N/A",(SUM(AH5:AH84)))</f>
        <v>N/A</v>
      </c>
      <c r="AI85" s="1878"/>
    </row>
    <row r="86" spans="1:46" ht="20" customHeight="1">
      <c r="A86" s="3">
        <f>SUM(D86:AI86)</f>
        <v>0</v>
      </c>
      <c r="B86" s="411" t="s">
        <v>19</v>
      </c>
      <c r="C86" s="431"/>
      <c r="D86" s="1879">
        <f>SUMIF(D5:D84,"&gt;=0", E5:E84)</f>
        <v>0</v>
      </c>
      <c r="E86" s="1879"/>
      <c r="F86" s="1879">
        <f t="shared" ref="F86" si="17">SUMIF(F5:F84,"&gt;=0", G5:G84)</f>
        <v>0</v>
      </c>
      <c r="G86" s="1879"/>
      <c r="H86" s="1879">
        <f t="shared" ref="H86" si="18">SUMIF(H5:H84,"&gt;=0", I5:I84)</f>
        <v>0</v>
      </c>
      <c r="I86" s="1879"/>
      <c r="J86" s="1879">
        <f t="shared" ref="J86" si="19">SUMIF(J5:J84,"&gt;=0", K5:K84)</f>
        <v>0</v>
      </c>
      <c r="K86" s="1879"/>
      <c r="L86" s="1879">
        <f>SUMIF(L5:L84,"&gt;=0", M5:M84)</f>
        <v>0</v>
      </c>
      <c r="M86" s="1879"/>
      <c r="N86" s="1879">
        <f t="shared" ref="N86" si="20">SUMIF(N5:N84,"&gt;=0", O5:O84)</f>
        <v>0</v>
      </c>
      <c r="O86" s="1879"/>
      <c r="P86" s="1879">
        <f t="shared" ref="P86" si="21">SUMIF(P5:P84,"&gt;=0", Q5:Q84)</f>
        <v>0</v>
      </c>
      <c r="Q86" s="1879"/>
      <c r="R86" s="1879">
        <f t="shared" ref="R86" si="22">SUMIF(R5:R84,"&gt;=0", S5:S84)</f>
        <v>0</v>
      </c>
      <c r="S86" s="1879"/>
      <c r="T86" s="1879">
        <f t="shared" ref="T86" si="23">SUMIF(T5:T84,"&gt;=0", U5:U84)</f>
        <v>0</v>
      </c>
      <c r="U86" s="1879"/>
      <c r="V86" s="1879">
        <f t="shared" ref="V86" si="24">SUMIF(V5:V84,"&gt;=0", W5:W84)</f>
        <v>0</v>
      </c>
      <c r="W86" s="1879"/>
      <c r="X86" s="1879">
        <f t="shared" ref="X86" si="25">SUMIF(X5:X84,"&gt;=0", Y5:Y84)</f>
        <v>0</v>
      </c>
      <c r="Y86" s="1879"/>
      <c r="Z86" s="1879">
        <f t="shared" ref="Z86" si="26">SUMIF(Z5:Z84,"&gt;=0", AA5:AA84)</f>
        <v>0</v>
      </c>
      <c r="AA86" s="1879"/>
      <c r="AB86" s="1879">
        <f t="shared" ref="AB86" si="27">SUMIF(AB5:AB84,"&gt;=0", AC5:AC84)</f>
        <v>0</v>
      </c>
      <c r="AC86" s="1879"/>
      <c r="AD86" s="1879">
        <f t="shared" ref="AD86" si="28">SUMIF(AD5:AD84,"&gt;=0", AE5:AE84)</f>
        <v>0</v>
      </c>
      <c r="AE86" s="1879"/>
      <c r="AF86" s="1879">
        <f>SUMIF(AF5:AF84,"&gt;=0", AG5:AG84)</f>
        <v>0</v>
      </c>
      <c r="AG86" s="1879"/>
      <c r="AH86" s="1879">
        <f>SUMIF(AH5:AH84,"&gt;=0", AI5:AI84)</f>
        <v>0</v>
      </c>
      <c r="AI86" s="1879"/>
      <c r="AJ86" s="1875"/>
      <c r="AK86" s="1875"/>
      <c r="AL86" s="1875"/>
      <c r="AM86" s="1875"/>
      <c r="AN86" s="622"/>
      <c r="AO86" s="1875"/>
      <c r="AP86" s="1875"/>
      <c r="AQ86" s="1875"/>
      <c r="AR86" s="1875"/>
      <c r="AS86" s="1875"/>
      <c r="AT86" s="1875"/>
    </row>
    <row r="87" spans="1:46" ht="20" customHeight="1" thickBot="1">
      <c r="A87" s="412"/>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412"/>
      <c r="AN87" s="623"/>
      <c r="AO87" s="412"/>
      <c r="AP87" s="412"/>
      <c r="AQ87" s="412"/>
      <c r="AR87" s="412"/>
      <c r="AS87" s="412"/>
      <c r="AT87" s="412"/>
    </row>
    <row r="88" spans="1:46" ht="20" customHeight="1">
      <c r="A88" s="1876" t="e">
        <f>(A85/A86)*100</f>
        <v>#DIV/0!</v>
      </c>
    </row>
    <row r="89" spans="1:46" ht="20" customHeight="1" thickBot="1">
      <c r="A89" s="1877"/>
    </row>
    <row r="90" spans="1:46" ht="20" customHeight="1">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412"/>
      <c r="AN90" s="623"/>
      <c r="AO90" s="412"/>
      <c r="AP90" s="412"/>
      <c r="AQ90" s="412"/>
      <c r="AR90" s="412"/>
      <c r="AS90" s="412"/>
      <c r="AT90" s="412"/>
    </row>
    <row r="91" spans="1:46" ht="20" customHeight="1">
      <c r="A91" s="281">
        <f>A86*84.99%</f>
        <v>0</v>
      </c>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412"/>
      <c r="AN91" s="623"/>
      <c r="AO91" s="412"/>
      <c r="AP91" s="412"/>
      <c r="AQ91" s="412"/>
      <c r="AR91" s="412"/>
      <c r="AS91" s="412"/>
      <c r="AT91" s="412"/>
    </row>
    <row r="92" spans="1:46" ht="20" customHeight="1">
      <c r="A92" s="282">
        <f>A86*85%</f>
        <v>0</v>
      </c>
      <c r="D92" s="160" t="e">
        <f>IF((D86-D85)&gt;2,1,"")</f>
        <v>#VALUE!</v>
      </c>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412"/>
      <c r="AN92" s="623"/>
      <c r="AO92" s="412"/>
      <c r="AP92" s="412"/>
      <c r="AQ92" s="412"/>
      <c r="AR92" s="412"/>
      <c r="AS92" s="412"/>
      <c r="AT92" s="412"/>
    </row>
    <row r="93" spans="1:46" ht="20" customHeight="1">
      <c r="A93" s="282">
        <f>A86*89.99%</f>
        <v>0</v>
      </c>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412"/>
      <c r="AN93" s="623"/>
      <c r="AO93" s="412"/>
      <c r="AP93" s="412"/>
      <c r="AQ93" s="412"/>
      <c r="AR93" s="412"/>
      <c r="AS93" s="412"/>
      <c r="AT93" s="412"/>
    </row>
    <row r="94" spans="1:46" ht="20" customHeight="1">
      <c r="A94" s="279">
        <f>A86*90%</f>
        <v>0</v>
      </c>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623"/>
      <c r="AO94" s="412"/>
      <c r="AP94" s="412"/>
      <c r="AQ94" s="412"/>
      <c r="AR94" s="412"/>
      <c r="AS94" s="412"/>
      <c r="AT94" s="412"/>
    </row>
    <row r="95" spans="1:46" ht="20" customHeight="1">
      <c r="A95" s="279">
        <f>A86*98.99%</f>
        <v>0</v>
      </c>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412"/>
      <c r="AN95" s="623"/>
      <c r="AO95" s="412"/>
      <c r="AP95" s="412"/>
      <c r="AQ95" s="412"/>
      <c r="AR95" s="412"/>
      <c r="AS95" s="412"/>
      <c r="AT95" s="412"/>
    </row>
    <row r="96" spans="1:46" ht="20" customHeight="1">
      <c r="A96" s="280">
        <f>A86*99%</f>
        <v>0</v>
      </c>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412"/>
      <c r="AN96" s="623"/>
      <c r="AO96" s="412"/>
      <c r="AP96" s="412"/>
      <c r="AQ96" s="412"/>
      <c r="AR96" s="412"/>
      <c r="AS96" s="412"/>
      <c r="AT96" s="412"/>
    </row>
    <row r="97" spans="1:46" ht="20" customHeight="1">
      <c r="A97" s="280">
        <f>A86</f>
        <v>0</v>
      </c>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623"/>
      <c r="AO97" s="412"/>
      <c r="AP97" s="412"/>
      <c r="AQ97" s="412"/>
      <c r="AR97" s="412"/>
      <c r="AS97" s="412"/>
      <c r="AT97" s="412"/>
    </row>
    <row r="98" spans="1:46" ht="20" customHeight="1">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412"/>
      <c r="AN98" s="623"/>
      <c r="AO98" s="412"/>
      <c r="AP98" s="412"/>
      <c r="AQ98" s="412"/>
      <c r="AR98" s="412"/>
      <c r="AS98" s="412"/>
      <c r="AT98" s="412"/>
    </row>
    <row r="99" spans="1:46" ht="20" customHeight="1">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623"/>
      <c r="AO99" s="412"/>
      <c r="AP99" s="412"/>
      <c r="AQ99" s="412"/>
      <c r="AR99" s="412"/>
      <c r="AS99" s="412"/>
      <c r="AT99" s="412"/>
    </row>
    <row r="100" spans="1:46" ht="20" customHeight="1">
      <c r="D100" s="412"/>
      <c r="E100" s="412"/>
      <c r="F100" s="412"/>
      <c r="G100" s="412"/>
      <c r="H100" s="412"/>
      <c r="I100" s="412"/>
      <c r="J100" s="412"/>
      <c r="K100" s="412"/>
      <c r="L100" s="412"/>
      <c r="M100" s="412"/>
      <c r="N100" s="412"/>
      <c r="O100" s="412"/>
      <c r="P100" s="412"/>
      <c r="Q100" s="412"/>
      <c r="R100" s="412"/>
      <c r="S100" s="412"/>
      <c r="T100" s="412"/>
      <c r="U100" s="412"/>
      <c r="V100" s="412"/>
      <c r="W100" s="412"/>
      <c r="X100" s="412"/>
      <c r="Y100" s="412"/>
      <c r="Z100" s="412"/>
      <c r="AA100" s="412"/>
      <c r="AB100" s="412"/>
      <c r="AC100" s="412"/>
      <c r="AD100" s="412"/>
      <c r="AE100" s="412"/>
      <c r="AF100" s="412"/>
      <c r="AG100" s="412"/>
      <c r="AH100" s="412"/>
      <c r="AI100" s="412"/>
      <c r="AJ100" s="412"/>
      <c r="AK100" s="412"/>
      <c r="AL100" s="412"/>
      <c r="AM100" s="412"/>
      <c r="AN100" s="623"/>
      <c r="AO100" s="412"/>
      <c r="AP100" s="412"/>
      <c r="AQ100" s="412"/>
      <c r="AR100" s="412"/>
      <c r="AS100" s="412"/>
      <c r="AT100" s="412"/>
    </row>
    <row r="101" spans="1:46" ht="20" customHeight="1">
      <c r="D101" s="412"/>
      <c r="E101" s="412"/>
      <c r="F101" s="412"/>
      <c r="G101" s="412"/>
      <c r="H101" s="412"/>
      <c r="I101" s="412"/>
      <c r="J101" s="412"/>
      <c r="K101" s="412"/>
      <c r="L101" s="412"/>
      <c r="M101" s="412"/>
      <c r="N101" s="412"/>
      <c r="O101" s="412"/>
      <c r="P101" s="412"/>
      <c r="Q101" s="412"/>
      <c r="R101" s="412"/>
      <c r="S101" s="412"/>
      <c r="T101" s="412"/>
      <c r="U101" s="412"/>
      <c r="V101" s="412"/>
      <c r="W101" s="412"/>
      <c r="X101" s="412"/>
      <c r="Y101" s="412"/>
      <c r="Z101" s="412"/>
      <c r="AA101" s="412"/>
      <c r="AB101" s="412"/>
      <c r="AC101" s="412"/>
      <c r="AD101" s="412"/>
      <c r="AE101" s="412"/>
      <c r="AF101" s="412"/>
      <c r="AG101" s="412"/>
      <c r="AH101" s="412"/>
      <c r="AI101" s="412"/>
      <c r="AJ101" s="412"/>
      <c r="AK101" s="412"/>
      <c r="AL101" s="412"/>
      <c r="AM101" s="412"/>
      <c r="AN101" s="623"/>
      <c r="AO101" s="412"/>
      <c r="AP101" s="412"/>
      <c r="AQ101" s="412"/>
      <c r="AR101" s="412"/>
      <c r="AS101" s="412"/>
      <c r="AT101" s="412"/>
    </row>
    <row r="102" spans="1:46" ht="20" customHeight="1">
      <c r="D102" s="412"/>
      <c r="E102" s="412"/>
      <c r="F102" s="412"/>
      <c r="G102" s="412"/>
      <c r="H102" s="412"/>
      <c r="I102" s="412"/>
      <c r="J102" s="412"/>
      <c r="K102" s="412"/>
      <c r="L102" s="412"/>
      <c r="M102" s="412"/>
      <c r="N102" s="412"/>
      <c r="O102" s="412"/>
      <c r="P102" s="412"/>
      <c r="Q102" s="412"/>
      <c r="R102" s="412"/>
      <c r="S102" s="412"/>
      <c r="T102" s="412"/>
      <c r="U102" s="412"/>
      <c r="V102" s="412"/>
      <c r="W102" s="412"/>
      <c r="X102" s="412"/>
      <c r="Y102" s="412"/>
      <c r="Z102" s="412"/>
      <c r="AA102" s="412"/>
      <c r="AB102" s="412"/>
      <c r="AC102" s="412"/>
      <c r="AD102" s="412"/>
      <c r="AE102" s="412"/>
      <c r="AF102" s="412"/>
      <c r="AG102" s="412"/>
      <c r="AH102" s="412"/>
      <c r="AI102" s="412"/>
      <c r="AJ102" s="412"/>
      <c r="AK102" s="412"/>
      <c r="AL102" s="412"/>
      <c r="AM102" s="412"/>
      <c r="AN102" s="623"/>
      <c r="AO102" s="412"/>
      <c r="AP102" s="412"/>
      <c r="AQ102" s="412"/>
      <c r="AR102" s="412"/>
      <c r="AS102" s="412"/>
      <c r="AT102" s="412"/>
    </row>
    <row r="103" spans="1:46" ht="20" customHeight="1"/>
    <row r="104" spans="1:46" ht="20" customHeight="1"/>
    <row r="105" spans="1:46" ht="20" customHeight="1"/>
    <row r="106" spans="1:46" ht="20" customHeight="1"/>
    <row r="107" spans="1:46" ht="20" customHeight="1"/>
    <row r="108" spans="1:46" ht="20" customHeight="1"/>
    <row r="109" spans="1:46" ht="20" customHeight="1"/>
    <row r="110" spans="1:46" ht="20" customHeight="1"/>
    <row r="111" spans="1:46" ht="20" customHeight="1"/>
    <row r="112" spans="1:46" ht="20" customHeight="1"/>
    <row r="113" ht="20" customHeight="1"/>
    <row r="114" ht="20" customHeight="1"/>
    <row r="115" ht="20" customHeight="1"/>
    <row r="116" ht="20" customHeight="1"/>
    <row r="117" ht="20" customHeight="1"/>
    <row r="118" ht="20" customHeight="1"/>
    <row r="119" ht="20" customHeight="1"/>
    <row r="120" ht="20" customHeight="1"/>
    <row r="121" ht="20" customHeight="1"/>
    <row r="122" ht="20" customHeight="1"/>
    <row r="123" ht="20" customHeight="1"/>
    <row r="124" ht="20" customHeight="1"/>
    <row r="125" ht="20" customHeight="1"/>
    <row r="126" ht="20" customHeight="1"/>
    <row r="127" ht="20" customHeight="1"/>
    <row r="128" ht="20" customHeight="1"/>
    <row r="129" spans="4:46" ht="20" customHeight="1"/>
    <row r="130" spans="4:46" ht="20" customHeight="1"/>
    <row r="131" spans="4:46" ht="20" customHeight="1"/>
    <row r="132" spans="4:46" ht="20" customHeight="1"/>
    <row r="133" spans="4:46" ht="20" customHeight="1"/>
    <row r="134" spans="4:46" ht="20" customHeight="1"/>
    <row r="135" spans="4:46" ht="20" customHeight="1"/>
    <row r="136" spans="4:46" ht="20" customHeight="1"/>
    <row r="137" spans="4:46" ht="20" customHeight="1"/>
    <row r="138" spans="4:46" ht="20" customHeight="1"/>
    <row r="139" spans="4:46" ht="20" customHeight="1"/>
    <row r="140" spans="4:46" ht="20" customHeight="1"/>
    <row r="141" spans="4:46" ht="20" customHeight="1"/>
    <row r="142" spans="4:46" ht="20" customHeight="1"/>
    <row r="143" spans="4:46" ht="20" customHeight="1"/>
    <row r="144" spans="4:46" ht="20" customHeight="1">
      <c r="D144" s="412"/>
      <c r="E144" s="412"/>
      <c r="F144" s="412"/>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412"/>
      <c r="AM144" s="412"/>
      <c r="AN144" s="623"/>
      <c r="AO144" s="412"/>
      <c r="AP144" s="412"/>
      <c r="AQ144" s="412"/>
      <c r="AR144" s="412"/>
      <c r="AS144" s="412"/>
      <c r="AT144" s="412"/>
    </row>
    <row r="145" spans="4:46" ht="20" customHeight="1">
      <c r="D145" s="412"/>
      <c r="E145" s="412"/>
      <c r="F145" s="412"/>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412"/>
      <c r="AM145" s="412"/>
      <c r="AN145" s="623"/>
      <c r="AO145" s="412"/>
      <c r="AP145" s="412"/>
      <c r="AQ145" s="412"/>
      <c r="AR145" s="412"/>
      <c r="AS145" s="412"/>
      <c r="AT145" s="412"/>
    </row>
    <row r="146" spans="4:46" ht="20" customHeight="1">
      <c r="D146" s="412"/>
      <c r="E146" s="412"/>
      <c r="F146" s="412"/>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412"/>
      <c r="AM146" s="412"/>
      <c r="AN146" s="623"/>
      <c r="AO146" s="412"/>
      <c r="AP146" s="412"/>
      <c r="AQ146" s="412"/>
      <c r="AR146" s="412"/>
      <c r="AS146" s="412"/>
      <c r="AT146" s="412"/>
    </row>
    <row r="147" spans="4:46" ht="20" customHeight="1">
      <c r="D147" s="412"/>
      <c r="E147" s="412"/>
      <c r="F147" s="412"/>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412"/>
      <c r="AM147" s="412"/>
      <c r="AN147" s="623"/>
      <c r="AO147" s="412"/>
      <c r="AP147" s="412"/>
      <c r="AQ147" s="412"/>
      <c r="AR147" s="412"/>
      <c r="AS147" s="412"/>
      <c r="AT147" s="412"/>
    </row>
    <row r="148" spans="4:46" ht="20" customHeight="1">
      <c r="D148" s="412"/>
      <c r="E148" s="412"/>
      <c r="F148" s="412"/>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412"/>
      <c r="AM148" s="412"/>
      <c r="AN148" s="623"/>
      <c r="AO148" s="412"/>
      <c r="AP148" s="412"/>
      <c r="AQ148" s="412"/>
      <c r="AR148" s="412"/>
      <c r="AS148" s="412"/>
      <c r="AT148" s="412"/>
    </row>
    <row r="149" spans="4:46" ht="20" customHeight="1">
      <c r="D149" s="412"/>
      <c r="E149" s="412"/>
      <c r="F149" s="412"/>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412"/>
      <c r="AM149" s="412"/>
      <c r="AN149" s="623"/>
      <c r="AO149" s="412"/>
      <c r="AP149" s="412"/>
      <c r="AQ149" s="412"/>
      <c r="AR149" s="412"/>
      <c r="AS149" s="412"/>
      <c r="AT149" s="412"/>
    </row>
    <row r="150" spans="4:46" ht="20" customHeight="1">
      <c r="D150" s="412"/>
      <c r="E150" s="161"/>
      <c r="F150" s="161"/>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412"/>
      <c r="AM150" s="412"/>
      <c r="AN150" s="623"/>
      <c r="AO150" s="412"/>
      <c r="AP150" s="412"/>
      <c r="AQ150" s="412"/>
      <c r="AR150" s="412"/>
      <c r="AS150" s="412"/>
      <c r="AT150" s="412"/>
    </row>
    <row r="151" spans="4:46" ht="20" customHeight="1">
      <c r="D151" s="412"/>
      <c r="E151" s="161"/>
      <c r="F151" s="161"/>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412"/>
      <c r="AM151" s="412"/>
      <c r="AN151" s="623"/>
      <c r="AO151" s="412"/>
      <c r="AP151" s="412"/>
      <c r="AQ151" s="412"/>
      <c r="AR151" s="412"/>
      <c r="AS151" s="412"/>
      <c r="AT151" s="412"/>
    </row>
    <row r="152" spans="4:46" ht="20" customHeight="1">
      <c r="D152" s="412"/>
      <c r="E152" s="161"/>
      <c r="F152" s="161"/>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412"/>
      <c r="AM152" s="412"/>
      <c r="AN152" s="623"/>
      <c r="AO152" s="412"/>
      <c r="AP152" s="412"/>
      <c r="AQ152" s="412"/>
      <c r="AR152" s="412"/>
      <c r="AS152" s="412"/>
      <c r="AT152" s="412"/>
    </row>
    <row r="153" spans="4:46" ht="20" customHeight="1">
      <c r="D153" s="412"/>
      <c r="E153" s="161"/>
      <c r="F153" s="161"/>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412"/>
      <c r="AM153" s="412"/>
      <c r="AN153" s="623"/>
      <c r="AO153" s="412"/>
      <c r="AP153" s="412"/>
      <c r="AQ153" s="412"/>
      <c r="AR153" s="412"/>
      <c r="AS153" s="412"/>
      <c r="AT153" s="412"/>
    </row>
    <row r="154" spans="4:46" ht="20" customHeight="1">
      <c r="D154" s="412"/>
      <c r="E154" s="161"/>
      <c r="F154" s="161"/>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412"/>
      <c r="AM154" s="412"/>
      <c r="AN154" s="623"/>
      <c r="AO154" s="412"/>
      <c r="AP154" s="412"/>
      <c r="AQ154" s="412"/>
      <c r="AR154" s="412"/>
      <c r="AS154" s="412"/>
      <c r="AT154" s="412"/>
    </row>
    <row r="155" spans="4:46" ht="20" customHeight="1">
      <c r="D155" s="412"/>
      <c r="E155" s="161"/>
      <c r="F155" s="161"/>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412"/>
      <c r="AM155" s="412"/>
      <c r="AN155" s="623"/>
      <c r="AO155" s="412"/>
      <c r="AP155" s="412"/>
      <c r="AQ155" s="412"/>
      <c r="AR155" s="412"/>
      <c r="AS155" s="412"/>
      <c r="AT155" s="412"/>
    </row>
    <row r="156" spans="4:46" ht="20" customHeight="1">
      <c r="D156" s="412"/>
      <c r="E156" s="161"/>
      <c r="F156" s="161"/>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412"/>
      <c r="AM156" s="412"/>
      <c r="AN156" s="623"/>
      <c r="AO156" s="412"/>
      <c r="AP156" s="412"/>
      <c r="AQ156" s="412"/>
      <c r="AR156" s="412"/>
      <c r="AS156" s="412"/>
      <c r="AT156" s="412"/>
    </row>
    <row r="157" spans="4:46" ht="20" customHeight="1">
      <c r="D157" s="412"/>
      <c r="E157" s="161"/>
      <c r="F157" s="161"/>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412"/>
      <c r="AM157" s="412"/>
      <c r="AN157" s="623"/>
      <c r="AO157" s="412"/>
      <c r="AP157" s="412"/>
      <c r="AQ157" s="412"/>
      <c r="AR157" s="412"/>
      <c r="AS157" s="412"/>
      <c r="AT157" s="412"/>
    </row>
    <row r="158" spans="4:46" ht="20" customHeight="1">
      <c r="D158" s="412"/>
      <c r="E158" s="161"/>
      <c r="F158" s="161"/>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412"/>
      <c r="AM158" s="412"/>
      <c r="AN158" s="623"/>
      <c r="AO158" s="412"/>
      <c r="AP158" s="412"/>
      <c r="AQ158" s="412"/>
      <c r="AR158" s="412"/>
      <c r="AS158" s="412"/>
      <c r="AT158" s="412"/>
    </row>
    <row r="159" spans="4:46" ht="20" customHeight="1">
      <c r="D159" s="412"/>
      <c r="E159" s="161"/>
      <c r="F159" s="161"/>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412"/>
      <c r="AM159" s="412"/>
      <c r="AN159" s="623"/>
      <c r="AO159" s="412"/>
      <c r="AP159" s="412"/>
      <c r="AQ159" s="412"/>
      <c r="AR159" s="412"/>
      <c r="AS159" s="412"/>
      <c r="AT159" s="412"/>
    </row>
    <row r="160" spans="4:46" ht="20" customHeight="1">
      <c r="D160" s="412"/>
      <c r="E160" s="161"/>
      <c r="F160" s="161"/>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412"/>
      <c r="AM160" s="412"/>
      <c r="AN160" s="623"/>
      <c r="AO160" s="412"/>
      <c r="AP160" s="412"/>
      <c r="AQ160" s="412"/>
      <c r="AR160" s="412"/>
      <c r="AS160" s="412"/>
      <c r="AT160" s="412"/>
    </row>
    <row r="161" spans="4:46" ht="20" customHeight="1">
      <c r="D161" s="412"/>
      <c r="E161" s="161"/>
      <c r="F161" s="161"/>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412"/>
      <c r="AM161" s="412"/>
      <c r="AN161" s="623"/>
      <c r="AO161" s="412"/>
      <c r="AP161" s="412"/>
      <c r="AQ161" s="412"/>
      <c r="AR161" s="412"/>
      <c r="AS161" s="412"/>
      <c r="AT161" s="412"/>
    </row>
    <row r="162" spans="4:46" ht="20" customHeight="1">
      <c r="D162" s="412"/>
      <c r="E162" s="161"/>
      <c r="F162" s="161"/>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412"/>
      <c r="AM162" s="412"/>
      <c r="AN162" s="623"/>
      <c r="AO162" s="412"/>
      <c r="AP162" s="412"/>
      <c r="AQ162" s="412"/>
      <c r="AR162" s="412"/>
      <c r="AS162" s="412"/>
      <c r="AT162" s="412"/>
    </row>
    <row r="163" spans="4:46" ht="20" customHeight="1">
      <c r="D163" s="412"/>
      <c r="E163" s="161"/>
      <c r="F163" s="161"/>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412"/>
      <c r="AM163" s="412"/>
      <c r="AN163" s="623"/>
      <c r="AO163" s="412"/>
      <c r="AP163" s="412"/>
      <c r="AQ163" s="412"/>
      <c r="AR163" s="412"/>
      <c r="AS163" s="412"/>
      <c r="AT163" s="412"/>
    </row>
    <row r="164" spans="4:46" ht="20" customHeight="1">
      <c r="D164" s="412"/>
      <c r="E164" s="161"/>
      <c r="F164" s="161"/>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412"/>
      <c r="AM164" s="412"/>
      <c r="AN164" s="623"/>
      <c r="AO164" s="412"/>
      <c r="AP164" s="412"/>
      <c r="AQ164" s="412"/>
      <c r="AR164" s="412"/>
      <c r="AS164" s="412"/>
      <c r="AT164" s="412"/>
    </row>
    <row r="165" spans="4:46" ht="20" customHeight="1">
      <c r="D165" s="412"/>
      <c r="E165" s="161"/>
      <c r="F165" s="161"/>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412"/>
      <c r="AM165" s="412"/>
      <c r="AN165" s="623"/>
      <c r="AO165" s="412"/>
      <c r="AP165" s="412"/>
      <c r="AQ165" s="412"/>
      <c r="AR165" s="412"/>
      <c r="AS165" s="412"/>
      <c r="AT165" s="412"/>
    </row>
    <row r="166" spans="4:46" ht="20" customHeight="1">
      <c r="D166" s="412"/>
      <c r="E166" s="161"/>
      <c r="F166" s="161"/>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412"/>
      <c r="AM166" s="412"/>
      <c r="AN166" s="623"/>
      <c r="AO166" s="412"/>
      <c r="AP166" s="412"/>
      <c r="AQ166" s="412"/>
      <c r="AR166" s="412"/>
      <c r="AS166" s="412"/>
      <c r="AT166" s="412"/>
    </row>
    <row r="167" spans="4:46" ht="20" customHeight="1">
      <c r="D167" s="412"/>
      <c r="E167" s="161"/>
      <c r="F167" s="161"/>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412"/>
      <c r="AM167" s="412"/>
      <c r="AN167" s="623"/>
      <c r="AO167" s="412"/>
      <c r="AP167" s="412"/>
      <c r="AQ167" s="412"/>
      <c r="AR167" s="412"/>
      <c r="AS167" s="412"/>
      <c r="AT167" s="412"/>
    </row>
    <row r="168" spans="4:46" ht="20" customHeight="1">
      <c r="D168" s="412"/>
      <c r="E168" s="161"/>
      <c r="F168" s="161"/>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412"/>
      <c r="AM168" s="412"/>
      <c r="AN168" s="623"/>
      <c r="AO168" s="412"/>
      <c r="AP168" s="412"/>
      <c r="AQ168" s="412"/>
      <c r="AR168" s="412"/>
      <c r="AS168" s="412"/>
      <c r="AT168" s="412"/>
    </row>
    <row r="169" spans="4:46" ht="20" customHeight="1">
      <c r="D169" s="412"/>
      <c r="E169" s="161"/>
      <c r="F169" s="161"/>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412"/>
      <c r="AM169" s="412"/>
      <c r="AN169" s="623"/>
      <c r="AO169" s="412"/>
      <c r="AP169" s="412"/>
      <c r="AQ169" s="412"/>
      <c r="AR169" s="412"/>
      <c r="AS169" s="412"/>
      <c r="AT169" s="412"/>
    </row>
    <row r="170" spans="4:46" ht="20" customHeight="1">
      <c r="D170" s="412"/>
      <c r="E170" s="161"/>
      <c r="F170" s="161"/>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412"/>
      <c r="AM170" s="412"/>
      <c r="AN170" s="623"/>
      <c r="AO170" s="412"/>
      <c r="AP170" s="412"/>
      <c r="AQ170" s="412"/>
      <c r="AR170" s="412"/>
      <c r="AS170" s="412"/>
      <c r="AT170" s="412"/>
    </row>
    <row r="171" spans="4:46" ht="20" customHeight="1">
      <c r="D171" s="412"/>
      <c r="E171" s="161"/>
      <c r="F171" s="161"/>
      <c r="G171" s="412"/>
      <c r="H171" s="412"/>
      <c r="I171" s="412"/>
      <c r="J171" s="412"/>
      <c r="K171" s="412"/>
      <c r="L171" s="412"/>
      <c r="M171" s="412"/>
      <c r="N171" s="412"/>
      <c r="O171" s="412"/>
      <c r="P171" s="412"/>
      <c r="Q171" s="412"/>
      <c r="R171" s="412"/>
      <c r="S171" s="412"/>
      <c r="T171" s="412"/>
      <c r="U171" s="412"/>
      <c r="V171" s="412"/>
      <c r="W171" s="412"/>
      <c r="X171" s="412"/>
      <c r="Y171" s="412"/>
      <c r="Z171" s="412"/>
      <c r="AA171" s="412"/>
      <c r="AB171" s="412"/>
      <c r="AC171" s="412"/>
      <c r="AD171" s="412"/>
      <c r="AE171" s="412"/>
      <c r="AF171" s="412"/>
      <c r="AG171" s="412"/>
      <c r="AH171" s="412"/>
      <c r="AI171" s="412"/>
      <c r="AJ171" s="412"/>
      <c r="AK171" s="412"/>
      <c r="AL171" s="412"/>
      <c r="AM171" s="412"/>
      <c r="AN171" s="623"/>
      <c r="AO171" s="412"/>
      <c r="AP171" s="412"/>
      <c r="AQ171" s="412"/>
      <c r="AR171" s="412"/>
      <c r="AS171" s="412"/>
      <c r="AT171" s="412"/>
    </row>
    <row r="172" spans="4:46" ht="20" customHeight="1">
      <c r="D172" s="412"/>
      <c r="E172" s="161"/>
      <c r="F172" s="161"/>
      <c r="G172" s="412"/>
      <c r="H172" s="412"/>
      <c r="I172" s="412"/>
      <c r="J172" s="412"/>
      <c r="K172" s="412"/>
      <c r="L172" s="412"/>
      <c r="M172" s="412"/>
      <c r="N172" s="412"/>
      <c r="O172" s="412"/>
      <c r="P172" s="412"/>
      <c r="Q172" s="412"/>
      <c r="R172" s="412"/>
      <c r="S172" s="412"/>
      <c r="T172" s="412"/>
      <c r="U172" s="412"/>
      <c r="V172" s="412"/>
      <c r="W172" s="412"/>
      <c r="X172" s="412"/>
      <c r="Y172" s="412"/>
      <c r="Z172" s="412"/>
      <c r="AA172" s="412"/>
      <c r="AB172" s="412"/>
      <c r="AC172" s="412"/>
      <c r="AD172" s="412"/>
      <c r="AE172" s="412"/>
      <c r="AF172" s="412"/>
      <c r="AG172" s="412"/>
      <c r="AH172" s="412"/>
      <c r="AI172" s="412"/>
      <c r="AJ172" s="412"/>
      <c r="AK172" s="412"/>
      <c r="AL172" s="412"/>
      <c r="AM172" s="412"/>
      <c r="AN172" s="623"/>
      <c r="AO172" s="412"/>
      <c r="AP172" s="412"/>
      <c r="AQ172" s="412"/>
      <c r="AR172" s="412"/>
      <c r="AS172" s="412"/>
      <c r="AT172" s="412"/>
    </row>
    <row r="173" spans="4:46" ht="20" customHeight="1">
      <c r="D173" s="412"/>
      <c r="E173" s="161"/>
      <c r="F173" s="161"/>
      <c r="G173" s="412"/>
      <c r="H173" s="412"/>
      <c r="I173" s="412"/>
      <c r="J173" s="412"/>
      <c r="K173" s="412"/>
      <c r="L173" s="412"/>
      <c r="M173" s="412"/>
      <c r="N173" s="412"/>
      <c r="O173" s="412"/>
      <c r="P173" s="412"/>
      <c r="Q173" s="412"/>
      <c r="R173" s="412"/>
      <c r="S173" s="412"/>
      <c r="T173" s="412"/>
      <c r="U173" s="412"/>
      <c r="V173" s="412"/>
      <c r="W173" s="412"/>
      <c r="X173" s="412"/>
      <c r="Y173" s="412"/>
      <c r="Z173" s="412"/>
      <c r="AA173" s="412"/>
      <c r="AB173" s="412"/>
      <c r="AC173" s="412"/>
      <c r="AD173" s="412"/>
      <c r="AE173" s="412"/>
      <c r="AF173" s="412"/>
      <c r="AG173" s="412"/>
      <c r="AH173" s="412"/>
      <c r="AI173" s="412"/>
      <c r="AJ173" s="412"/>
      <c r="AK173" s="412"/>
      <c r="AL173" s="412"/>
      <c r="AM173" s="412"/>
      <c r="AN173" s="623"/>
      <c r="AO173" s="412"/>
      <c r="AP173" s="412"/>
      <c r="AQ173" s="412"/>
      <c r="AR173" s="412"/>
      <c r="AS173" s="412"/>
      <c r="AT173" s="412"/>
    </row>
    <row r="174" spans="4:46" ht="20" customHeight="1">
      <c r="D174" s="412"/>
      <c r="E174" s="161"/>
      <c r="F174" s="161"/>
      <c r="G174" s="412"/>
      <c r="H174" s="412"/>
      <c r="I174" s="412"/>
      <c r="J174" s="412"/>
      <c r="K174" s="412"/>
      <c r="L174" s="412"/>
      <c r="M174" s="412"/>
      <c r="N174" s="412"/>
      <c r="O174" s="412"/>
      <c r="P174" s="412"/>
      <c r="Q174" s="412"/>
      <c r="R174" s="412"/>
      <c r="S174" s="412"/>
      <c r="T174" s="412"/>
      <c r="U174" s="412"/>
      <c r="V174" s="412"/>
      <c r="W174" s="412"/>
      <c r="X174" s="412"/>
      <c r="Y174" s="412"/>
      <c r="Z174" s="412"/>
      <c r="AA174" s="412"/>
      <c r="AB174" s="412"/>
      <c r="AC174" s="412"/>
      <c r="AD174" s="412"/>
      <c r="AE174" s="412"/>
      <c r="AF174" s="412"/>
      <c r="AG174" s="412"/>
      <c r="AH174" s="412"/>
      <c r="AI174" s="412"/>
      <c r="AJ174" s="412"/>
      <c r="AK174" s="412"/>
      <c r="AL174" s="412"/>
      <c r="AM174" s="412"/>
      <c r="AN174" s="623"/>
      <c r="AO174" s="412"/>
      <c r="AP174" s="412"/>
      <c r="AQ174" s="412"/>
      <c r="AR174" s="412"/>
      <c r="AS174" s="412"/>
      <c r="AT174" s="412"/>
    </row>
    <row r="175" spans="4:46" ht="20" customHeight="1">
      <c r="D175" s="412"/>
      <c r="E175" s="161"/>
      <c r="F175" s="161"/>
      <c r="G175" s="412"/>
      <c r="H175" s="412"/>
      <c r="I175" s="412"/>
      <c r="J175" s="412"/>
      <c r="K175" s="412"/>
      <c r="L175" s="412"/>
      <c r="M175" s="412"/>
      <c r="N175" s="412"/>
      <c r="O175" s="412"/>
      <c r="P175" s="412"/>
      <c r="Q175" s="412"/>
      <c r="R175" s="412"/>
      <c r="S175" s="412"/>
      <c r="T175" s="412"/>
      <c r="U175" s="412"/>
      <c r="V175" s="412"/>
      <c r="W175" s="412"/>
      <c r="X175" s="412"/>
      <c r="Y175" s="412"/>
      <c r="Z175" s="412"/>
      <c r="AA175" s="412"/>
      <c r="AB175" s="412"/>
      <c r="AC175" s="412"/>
      <c r="AD175" s="412"/>
      <c r="AE175" s="412"/>
      <c r="AF175" s="412"/>
      <c r="AG175" s="412"/>
      <c r="AH175" s="412"/>
      <c r="AI175" s="412"/>
      <c r="AJ175" s="412"/>
      <c r="AK175" s="412"/>
      <c r="AL175" s="412"/>
      <c r="AM175" s="412"/>
      <c r="AN175" s="623"/>
      <c r="AO175" s="412"/>
      <c r="AP175" s="412"/>
      <c r="AQ175" s="412"/>
      <c r="AR175" s="412"/>
      <c r="AS175" s="412"/>
      <c r="AT175" s="412"/>
    </row>
    <row r="176" spans="4:46" ht="20" customHeight="1">
      <c r="D176" s="412"/>
      <c r="G176" s="412"/>
      <c r="H176" s="412"/>
      <c r="I176" s="412"/>
      <c r="J176" s="412"/>
      <c r="K176" s="412"/>
      <c r="L176" s="412"/>
      <c r="M176" s="412"/>
      <c r="N176" s="412"/>
      <c r="O176" s="412"/>
      <c r="P176" s="412"/>
      <c r="Q176" s="412"/>
      <c r="R176" s="412"/>
      <c r="S176" s="412"/>
      <c r="T176" s="412"/>
      <c r="U176" s="412"/>
      <c r="V176" s="412"/>
      <c r="W176" s="412"/>
      <c r="X176" s="412"/>
      <c r="Y176" s="412"/>
      <c r="Z176" s="412"/>
      <c r="AA176" s="412"/>
      <c r="AB176" s="412"/>
      <c r="AC176" s="412"/>
      <c r="AD176" s="412"/>
      <c r="AE176" s="412"/>
      <c r="AF176" s="412"/>
      <c r="AG176" s="412"/>
      <c r="AH176" s="412"/>
      <c r="AI176" s="412"/>
      <c r="AJ176" s="412"/>
      <c r="AK176" s="412"/>
      <c r="AL176" s="412"/>
      <c r="AM176" s="412"/>
      <c r="AN176" s="623"/>
      <c r="AO176" s="412"/>
      <c r="AP176" s="412"/>
      <c r="AQ176" s="412"/>
      <c r="AR176" s="412"/>
      <c r="AS176" s="412"/>
      <c r="AT176" s="412"/>
    </row>
    <row r="177" spans="4:46" ht="20" customHeight="1">
      <c r="D177" s="412"/>
      <c r="G177" s="412"/>
      <c r="H177" s="412"/>
      <c r="I177" s="412"/>
      <c r="J177" s="412"/>
      <c r="K177" s="412"/>
      <c r="L177" s="412"/>
      <c r="M177" s="412"/>
      <c r="N177" s="412"/>
      <c r="O177" s="412"/>
      <c r="P177" s="412"/>
      <c r="Q177" s="412"/>
      <c r="R177" s="412"/>
      <c r="S177" s="412"/>
      <c r="T177" s="412"/>
      <c r="U177" s="412"/>
      <c r="V177" s="412"/>
      <c r="W177" s="412"/>
      <c r="X177" s="412"/>
      <c r="Y177" s="412"/>
      <c r="Z177" s="412"/>
      <c r="AA177" s="412"/>
      <c r="AB177" s="412"/>
      <c r="AC177" s="412"/>
      <c r="AD177" s="412"/>
      <c r="AE177" s="412"/>
      <c r="AF177" s="412"/>
      <c r="AG177" s="412"/>
      <c r="AH177" s="412"/>
      <c r="AI177" s="412"/>
      <c r="AJ177" s="412"/>
      <c r="AK177" s="412"/>
      <c r="AL177" s="412"/>
      <c r="AM177" s="412"/>
      <c r="AN177" s="623"/>
      <c r="AO177" s="412"/>
      <c r="AP177" s="412"/>
      <c r="AQ177" s="412"/>
      <c r="AR177" s="412"/>
      <c r="AS177" s="412"/>
      <c r="AT177" s="412"/>
    </row>
    <row r="178" spans="4:46" ht="20" customHeight="1">
      <c r="D178" s="412"/>
      <c r="G178" s="412"/>
      <c r="H178" s="412"/>
      <c r="I178" s="412"/>
      <c r="J178" s="412"/>
      <c r="K178" s="412"/>
      <c r="L178" s="412"/>
      <c r="M178" s="412"/>
      <c r="N178" s="412"/>
      <c r="O178" s="412"/>
      <c r="P178" s="412"/>
      <c r="Q178" s="412"/>
      <c r="R178" s="412"/>
      <c r="S178" s="412"/>
      <c r="T178" s="412"/>
      <c r="U178" s="412"/>
      <c r="V178" s="412"/>
      <c r="W178" s="412"/>
      <c r="X178" s="412"/>
      <c r="Y178" s="412"/>
      <c r="Z178" s="412"/>
      <c r="AA178" s="412"/>
      <c r="AB178" s="412"/>
      <c r="AC178" s="412"/>
      <c r="AD178" s="412"/>
      <c r="AE178" s="412"/>
      <c r="AF178" s="412"/>
      <c r="AG178" s="412"/>
      <c r="AH178" s="412"/>
      <c r="AI178" s="412"/>
      <c r="AJ178" s="412"/>
      <c r="AK178" s="412"/>
      <c r="AL178" s="412"/>
      <c r="AM178" s="412"/>
      <c r="AN178" s="623"/>
      <c r="AO178" s="412"/>
      <c r="AP178" s="412"/>
      <c r="AQ178" s="412"/>
      <c r="AR178" s="412"/>
      <c r="AS178" s="412"/>
      <c r="AT178" s="412"/>
    </row>
    <row r="179" spans="4:46" ht="20" customHeight="1">
      <c r="D179" s="412"/>
      <c r="G179" s="412"/>
      <c r="H179" s="412"/>
      <c r="I179" s="412"/>
      <c r="J179" s="412"/>
      <c r="K179" s="412"/>
      <c r="L179" s="412"/>
      <c r="M179" s="412"/>
      <c r="N179" s="412"/>
      <c r="O179" s="412"/>
      <c r="P179" s="412"/>
      <c r="Q179" s="412"/>
      <c r="R179" s="412"/>
      <c r="S179" s="412"/>
      <c r="T179" s="412"/>
      <c r="U179" s="412"/>
      <c r="V179" s="412"/>
      <c r="W179" s="412"/>
      <c r="X179" s="412"/>
      <c r="Y179" s="412"/>
      <c r="Z179" s="412"/>
      <c r="AA179" s="412"/>
      <c r="AB179" s="412"/>
      <c r="AC179" s="412"/>
      <c r="AD179" s="412"/>
      <c r="AE179" s="412"/>
      <c r="AF179" s="412"/>
      <c r="AG179" s="412"/>
      <c r="AH179" s="412"/>
      <c r="AI179" s="412"/>
      <c r="AJ179" s="412"/>
      <c r="AK179" s="412"/>
      <c r="AL179" s="412"/>
      <c r="AM179" s="412"/>
      <c r="AN179" s="623"/>
      <c r="AO179" s="412"/>
      <c r="AP179" s="412"/>
      <c r="AQ179" s="412"/>
      <c r="AR179" s="412"/>
      <c r="AS179" s="412"/>
      <c r="AT179" s="412"/>
    </row>
    <row r="180" spans="4:46" ht="20" customHeight="1">
      <c r="D180" s="161"/>
      <c r="G180" s="161"/>
      <c r="H180" s="161"/>
      <c r="I180" s="161"/>
      <c r="J180" s="161"/>
      <c r="K180" s="161"/>
      <c r="L180" s="161"/>
      <c r="M180" s="161"/>
      <c r="N180" s="161"/>
      <c r="O180" s="161"/>
      <c r="P180" s="161"/>
      <c r="Q180" s="161"/>
      <c r="R180" s="161"/>
      <c r="S180" s="161"/>
      <c r="T180" s="161"/>
      <c r="U180" s="161"/>
      <c r="V180" s="161"/>
      <c r="W180" s="161"/>
      <c r="X180" s="161"/>
      <c r="Y180" s="161"/>
      <c r="Z180" s="161"/>
      <c r="AA180" s="161"/>
      <c r="AB180" s="161"/>
      <c r="AC180" s="161"/>
      <c r="AD180" s="161"/>
      <c r="AE180" s="161"/>
      <c r="AF180" s="161"/>
      <c r="AG180" s="161"/>
      <c r="AH180" s="161"/>
      <c r="AI180" s="161"/>
      <c r="AJ180" s="161"/>
      <c r="AK180" s="161"/>
      <c r="AL180" s="161"/>
      <c r="AM180" s="161"/>
      <c r="AN180" s="161"/>
      <c r="AO180" s="161"/>
      <c r="AP180" s="161"/>
      <c r="AQ180" s="161"/>
      <c r="AR180" s="161"/>
      <c r="AS180" s="161"/>
      <c r="AT180" s="161"/>
    </row>
    <row r="181" spans="4:46" ht="20" customHeight="1">
      <c r="D181" s="161"/>
      <c r="G181" s="161"/>
      <c r="H181" s="161"/>
      <c r="I181" s="161"/>
      <c r="J181" s="161"/>
      <c r="K181" s="161"/>
      <c r="L181" s="161"/>
      <c r="M181" s="161"/>
      <c r="N181" s="161"/>
      <c r="O181" s="161"/>
      <c r="P181" s="161"/>
      <c r="Q181" s="161"/>
      <c r="R181" s="161"/>
      <c r="S181" s="161"/>
      <c r="T181" s="161"/>
      <c r="U181" s="161"/>
      <c r="V181" s="161"/>
      <c r="W181" s="161"/>
      <c r="X181" s="161"/>
      <c r="Y181" s="161"/>
      <c r="Z181" s="161"/>
      <c r="AA181" s="161"/>
      <c r="AB181" s="161"/>
      <c r="AC181" s="161"/>
      <c r="AD181" s="161"/>
      <c r="AE181" s="161"/>
      <c r="AF181" s="161"/>
      <c r="AG181" s="161"/>
      <c r="AH181" s="161"/>
      <c r="AI181" s="161"/>
      <c r="AJ181" s="161"/>
      <c r="AK181" s="161"/>
      <c r="AL181" s="161"/>
      <c r="AM181" s="161"/>
      <c r="AN181" s="161"/>
      <c r="AO181" s="161"/>
      <c r="AP181" s="161"/>
      <c r="AQ181" s="161"/>
      <c r="AR181" s="161"/>
      <c r="AS181" s="161"/>
      <c r="AT181" s="161"/>
    </row>
    <row r="182" spans="4:46" ht="20" customHeight="1">
      <c r="D182" s="161"/>
      <c r="G182" s="161"/>
      <c r="H182" s="161"/>
      <c r="I182" s="161"/>
      <c r="J182" s="161"/>
      <c r="K182" s="161"/>
      <c r="L182" s="161"/>
      <c r="M182" s="161"/>
      <c r="N182" s="161"/>
      <c r="O182" s="161"/>
      <c r="P182" s="161"/>
      <c r="Q182" s="161"/>
      <c r="R182" s="161"/>
      <c r="S182" s="161"/>
      <c r="T182" s="161"/>
      <c r="U182" s="161"/>
      <c r="V182" s="161"/>
      <c r="W182" s="161"/>
      <c r="X182" s="161"/>
      <c r="Y182" s="161"/>
      <c r="Z182" s="161"/>
      <c r="AA182" s="161"/>
      <c r="AB182" s="161"/>
      <c r="AC182" s="161"/>
      <c r="AD182" s="161"/>
      <c r="AE182" s="161"/>
      <c r="AF182" s="161"/>
      <c r="AG182" s="161"/>
      <c r="AH182" s="161"/>
      <c r="AI182" s="161"/>
      <c r="AJ182" s="161"/>
      <c r="AK182" s="161"/>
      <c r="AL182" s="161"/>
      <c r="AM182" s="161"/>
      <c r="AN182" s="161"/>
      <c r="AO182" s="161"/>
      <c r="AP182" s="161"/>
      <c r="AQ182" s="161"/>
      <c r="AR182" s="161"/>
      <c r="AS182" s="161"/>
      <c r="AT182" s="161"/>
    </row>
    <row r="183" spans="4:46" ht="20" customHeight="1">
      <c r="D183" s="161"/>
      <c r="G183" s="161"/>
      <c r="H183" s="161"/>
      <c r="I183" s="161"/>
      <c r="J183" s="161"/>
      <c r="K183" s="161"/>
      <c r="L183" s="161"/>
      <c r="M183" s="161"/>
      <c r="N183" s="161"/>
      <c r="O183" s="161"/>
      <c r="P183" s="161"/>
      <c r="Q183" s="161"/>
      <c r="R183" s="161"/>
      <c r="S183" s="161"/>
      <c r="T183" s="161"/>
      <c r="U183" s="161"/>
      <c r="V183" s="161"/>
      <c r="W183" s="161"/>
      <c r="X183" s="161"/>
      <c r="Y183" s="161"/>
      <c r="Z183" s="161"/>
      <c r="AA183" s="161"/>
      <c r="AB183" s="161"/>
      <c r="AC183" s="161"/>
      <c r="AD183" s="161"/>
      <c r="AE183" s="161"/>
      <c r="AF183" s="161"/>
      <c r="AG183" s="161"/>
      <c r="AH183" s="161"/>
      <c r="AI183" s="161"/>
      <c r="AJ183" s="161"/>
      <c r="AK183" s="161"/>
      <c r="AL183" s="161"/>
      <c r="AM183" s="161"/>
      <c r="AN183" s="161"/>
      <c r="AO183" s="161"/>
      <c r="AP183" s="161"/>
      <c r="AQ183" s="161"/>
      <c r="AR183" s="161"/>
      <c r="AS183" s="161"/>
      <c r="AT183" s="161"/>
    </row>
    <row r="184" spans="4:46" ht="20" customHeight="1">
      <c r="D184" s="161"/>
      <c r="G184" s="161"/>
      <c r="H184" s="161"/>
      <c r="I184" s="161"/>
      <c r="J184" s="161"/>
      <c r="K184" s="161"/>
      <c r="L184" s="161"/>
      <c r="M184" s="161"/>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61"/>
      <c r="AM184" s="161"/>
      <c r="AN184" s="161"/>
      <c r="AO184" s="161"/>
      <c r="AP184" s="161"/>
      <c r="AQ184" s="161"/>
      <c r="AR184" s="161"/>
      <c r="AS184" s="161"/>
      <c r="AT184" s="161"/>
    </row>
    <row r="185" spans="4:46" ht="20" customHeight="1">
      <c r="D185" s="161"/>
      <c r="G185" s="161"/>
      <c r="H185" s="161"/>
      <c r="I185" s="161"/>
      <c r="J185" s="161"/>
      <c r="K185" s="161"/>
      <c r="L185" s="161"/>
      <c r="M185" s="161"/>
      <c r="N185" s="161"/>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row>
    <row r="186" spans="4:46" ht="20" customHeight="1">
      <c r="D186" s="161"/>
      <c r="G186" s="161"/>
      <c r="H186" s="161"/>
      <c r="I186" s="161"/>
      <c r="J186" s="161"/>
      <c r="K186" s="161"/>
      <c r="L186" s="161"/>
      <c r="M186" s="161"/>
      <c r="N186" s="161"/>
      <c r="O186" s="161"/>
      <c r="P186" s="161"/>
      <c r="Q186" s="161"/>
      <c r="R186" s="161"/>
      <c r="S186" s="161"/>
      <c r="T186" s="161"/>
      <c r="U186" s="161"/>
      <c r="V186" s="161"/>
      <c r="W186" s="161"/>
      <c r="X186" s="161"/>
      <c r="Y186" s="161"/>
      <c r="Z186" s="161"/>
      <c r="AA186" s="161"/>
      <c r="AB186" s="161"/>
      <c r="AC186" s="161"/>
      <c r="AD186" s="161"/>
      <c r="AE186" s="161"/>
      <c r="AF186" s="161"/>
      <c r="AG186" s="161"/>
      <c r="AH186" s="161"/>
      <c r="AI186" s="161"/>
      <c r="AJ186" s="161"/>
      <c r="AK186" s="161"/>
      <c r="AL186" s="161"/>
      <c r="AM186" s="161"/>
      <c r="AN186" s="161"/>
      <c r="AO186" s="161"/>
      <c r="AP186" s="161"/>
      <c r="AQ186" s="161"/>
      <c r="AR186" s="161"/>
      <c r="AS186" s="161"/>
      <c r="AT186" s="161"/>
    </row>
    <row r="187" spans="4:46" ht="20" customHeight="1">
      <c r="D187" s="161"/>
      <c r="G187" s="161"/>
      <c r="H187" s="161"/>
      <c r="I187" s="161"/>
      <c r="J187" s="161"/>
      <c r="K187" s="161"/>
      <c r="L187" s="161"/>
      <c r="M187" s="161"/>
      <c r="N187" s="161"/>
      <c r="O187" s="161"/>
      <c r="P187" s="161"/>
      <c r="Q187" s="161"/>
      <c r="R187" s="161"/>
      <c r="S187" s="161"/>
      <c r="T187" s="161"/>
      <c r="U187" s="161"/>
      <c r="V187" s="161"/>
      <c r="W187" s="161"/>
      <c r="X187" s="161"/>
      <c r="Y187" s="161"/>
      <c r="Z187" s="161"/>
      <c r="AA187" s="161"/>
      <c r="AB187" s="161"/>
      <c r="AC187" s="161"/>
      <c r="AD187" s="161"/>
      <c r="AE187" s="161"/>
      <c r="AF187" s="161"/>
      <c r="AG187" s="161"/>
      <c r="AH187" s="161"/>
      <c r="AI187" s="161"/>
      <c r="AJ187" s="161"/>
      <c r="AK187" s="161"/>
      <c r="AL187" s="161"/>
      <c r="AM187" s="161"/>
      <c r="AN187" s="161"/>
      <c r="AO187" s="161"/>
      <c r="AP187" s="161"/>
      <c r="AQ187" s="161"/>
      <c r="AR187" s="161"/>
      <c r="AS187" s="161"/>
      <c r="AT187" s="161"/>
    </row>
    <row r="188" spans="4:46" ht="20" customHeight="1">
      <c r="D188" s="161"/>
      <c r="G188" s="161"/>
      <c r="H188" s="161"/>
      <c r="I188" s="161"/>
      <c r="J188" s="161"/>
      <c r="K188" s="161"/>
      <c r="L188" s="161"/>
      <c r="M188" s="161"/>
      <c r="N188" s="161"/>
      <c r="O188" s="161"/>
      <c r="P188" s="161"/>
      <c r="Q188" s="161"/>
      <c r="R188" s="161"/>
      <c r="S188" s="161"/>
      <c r="T188" s="161"/>
      <c r="U188" s="161"/>
      <c r="V188" s="161"/>
      <c r="W188" s="161"/>
      <c r="X188" s="161"/>
      <c r="Y188" s="161"/>
      <c r="Z188" s="161"/>
      <c r="AA188" s="161"/>
      <c r="AB188" s="161"/>
      <c r="AC188" s="161"/>
      <c r="AD188" s="161"/>
      <c r="AE188" s="161"/>
      <c r="AF188" s="161"/>
      <c r="AG188" s="161"/>
      <c r="AH188" s="161"/>
      <c r="AI188" s="161"/>
      <c r="AJ188" s="161"/>
      <c r="AK188" s="161"/>
      <c r="AL188" s="161"/>
      <c r="AM188" s="161"/>
      <c r="AN188" s="161"/>
      <c r="AO188" s="161"/>
      <c r="AP188" s="161"/>
      <c r="AQ188" s="161"/>
      <c r="AR188" s="161"/>
      <c r="AS188" s="161"/>
      <c r="AT188" s="161"/>
    </row>
    <row r="189" spans="4:46" ht="20" customHeight="1">
      <c r="D189" s="161"/>
      <c r="G189" s="161"/>
      <c r="H189" s="161"/>
      <c r="I189" s="161"/>
      <c r="J189" s="161"/>
      <c r="K189" s="161"/>
      <c r="L189" s="161"/>
      <c r="M189" s="161"/>
      <c r="N189" s="161"/>
      <c r="O189" s="161"/>
      <c r="P189" s="161"/>
      <c r="Q189" s="161"/>
      <c r="R189" s="161"/>
      <c r="S189" s="161"/>
      <c r="T189" s="161"/>
      <c r="U189" s="161"/>
      <c r="V189" s="161"/>
      <c r="W189" s="161"/>
      <c r="X189" s="161"/>
      <c r="Y189" s="161"/>
      <c r="Z189" s="161"/>
      <c r="AA189" s="161"/>
      <c r="AB189" s="161"/>
      <c r="AC189" s="161"/>
      <c r="AD189" s="161"/>
      <c r="AE189" s="161"/>
      <c r="AF189" s="161"/>
      <c r="AG189" s="161"/>
      <c r="AH189" s="161"/>
      <c r="AI189" s="161"/>
      <c r="AJ189" s="161"/>
      <c r="AK189" s="161"/>
      <c r="AL189" s="161"/>
      <c r="AM189" s="161"/>
      <c r="AN189" s="161"/>
      <c r="AO189" s="161"/>
      <c r="AP189" s="161"/>
      <c r="AQ189" s="161"/>
      <c r="AR189" s="161"/>
      <c r="AS189" s="161"/>
      <c r="AT189" s="161"/>
    </row>
    <row r="190" spans="4:46" ht="20" customHeight="1">
      <c r="D190" s="161"/>
      <c r="G190" s="161"/>
      <c r="H190" s="161"/>
      <c r="I190" s="161"/>
      <c r="J190" s="161"/>
      <c r="K190" s="161"/>
      <c r="L190" s="161"/>
      <c r="M190" s="161"/>
      <c r="N190" s="161"/>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61"/>
      <c r="AM190" s="161"/>
      <c r="AN190" s="161"/>
      <c r="AO190" s="161"/>
      <c r="AP190" s="161"/>
      <c r="AQ190" s="161"/>
      <c r="AR190" s="161"/>
      <c r="AS190" s="161"/>
      <c r="AT190" s="161"/>
    </row>
    <row r="191" spans="4:46" ht="20" customHeight="1">
      <c r="D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61"/>
      <c r="AR191" s="161"/>
      <c r="AS191" s="161"/>
      <c r="AT191" s="161"/>
    </row>
    <row r="192" spans="4:46" ht="20" customHeight="1">
      <c r="D192" s="161"/>
      <c r="G192" s="161"/>
      <c r="H192" s="161"/>
      <c r="I192" s="161"/>
      <c r="J192" s="161"/>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61"/>
      <c r="AN192" s="161"/>
      <c r="AO192" s="161"/>
      <c r="AP192" s="161"/>
      <c r="AQ192" s="161"/>
      <c r="AR192" s="161"/>
      <c r="AS192" s="161"/>
      <c r="AT192" s="161"/>
    </row>
    <row r="193" spans="4:46" ht="20" customHeight="1">
      <c r="D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161"/>
      <c r="AR193" s="161"/>
      <c r="AS193" s="161"/>
      <c r="AT193" s="161"/>
    </row>
    <row r="194" spans="4:46" ht="20" customHeight="1">
      <c r="D194" s="161"/>
      <c r="G194" s="161"/>
      <c r="H194" s="161"/>
      <c r="I194" s="161"/>
      <c r="J194" s="161"/>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161"/>
      <c r="AR194" s="161"/>
      <c r="AS194" s="161"/>
      <c r="AT194" s="161"/>
    </row>
    <row r="195" spans="4:46" ht="20" customHeight="1">
      <c r="D195" s="161"/>
      <c r="G195" s="161"/>
      <c r="H195" s="161"/>
      <c r="I195" s="161"/>
      <c r="J195" s="161"/>
      <c r="K195" s="161"/>
      <c r="L195" s="161"/>
      <c r="M195" s="161"/>
      <c r="N195" s="161"/>
      <c r="O195" s="161"/>
      <c r="P195" s="161"/>
      <c r="Q195" s="161"/>
      <c r="R195" s="161"/>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61"/>
      <c r="AN195" s="161"/>
      <c r="AO195" s="161"/>
      <c r="AP195" s="161"/>
      <c r="AQ195" s="161"/>
      <c r="AR195" s="161"/>
      <c r="AS195" s="161"/>
      <c r="AT195" s="161"/>
    </row>
    <row r="196" spans="4:46" ht="20" customHeight="1">
      <c r="D196" s="161"/>
      <c r="G196" s="161"/>
      <c r="H196" s="161"/>
      <c r="I196" s="161"/>
      <c r="J196" s="161"/>
      <c r="K196" s="161"/>
      <c r="L196" s="161"/>
      <c r="M196" s="161"/>
      <c r="N196" s="161"/>
      <c r="O196" s="161"/>
      <c r="P196" s="161"/>
      <c r="Q196" s="161"/>
      <c r="R196" s="161"/>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61"/>
      <c r="AN196" s="161"/>
      <c r="AO196" s="161"/>
      <c r="AP196" s="161"/>
      <c r="AQ196" s="161"/>
      <c r="AR196" s="161"/>
      <c r="AS196" s="161"/>
      <c r="AT196" s="161"/>
    </row>
    <row r="197" spans="4:46" ht="20" customHeight="1">
      <c r="D197" s="161"/>
      <c r="G197" s="161"/>
      <c r="H197" s="161"/>
      <c r="I197" s="161"/>
      <c r="J197" s="161"/>
      <c r="K197" s="161"/>
      <c r="L197" s="161"/>
      <c r="M197" s="161"/>
      <c r="N197" s="161"/>
      <c r="O197" s="161"/>
      <c r="P197" s="161"/>
      <c r="Q197" s="161"/>
      <c r="R197" s="161"/>
      <c r="S197" s="161"/>
      <c r="T197" s="161"/>
      <c r="U197" s="161"/>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161"/>
      <c r="AQ197" s="161"/>
      <c r="AR197" s="161"/>
      <c r="AS197" s="161"/>
      <c r="AT197" s="161"/>
    </row>
    <row r="198" spans="4:46" ht="20" customHeight="1">
      <c r="D198" s="161"/>
      <c r="G198" s="161"/>
      <c r="H198" s="161"/>
      <c r="I198" s="161"/>
      <c r="J198" s="161"/>
      <c r="K198" s="161"/>
      <c r="L198" s="161"/>
      <c r="M198" s="161"/>
      <c r="N198" s="161"/>
      <c r="O198" s="161"/>
      <c r="P198" s="161"/>
      <c r="Q198" s="161"/>
      <c r="R198" s="161"/>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161"/>
      <c r="AQ198" s="161"/>
      <c r="AR198" s="161"/>
      <c r="AS198" s="161"/>
      <c r="AT198" s="161"/>
    </row>
    <row r="199" spans="4:46" ht="20" customHeight="1">
      <c r="D199" s="161"/>
      <c r="G199" s="161"/>
      <c r="H199" s="161"/>
      <c r="I199" s="161"/>
      <c r="J199" s="161"/>
      <c r="K199" s="161"/>
      <c r="L199" s="161"/>
      <c r="M199" s="161"/>
      <c r="N199" s="161"/>
      <c r="O199" s="161"/>
      <c r="P199" s="161"/>
      <c r="Q199" s="161"/>
      <c r="R199" s="161"/>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161"/>
      <c r="AQ199" s="161"/>
      <c r="AR199" s="161"/>
      <c r="AS199" s="161"/>
      <c r="AT199" s="161"/>
    </row>
    <row r="200" spans="4:46" ht="20" customHeight="1">
      <c r="D200" s="161"/>
      <c r="G200" s="161"/>
      <c r="H200" s="161"/>
      <c r="I200" s="161"/>
      <c r="J200" s="161"/>
      <c r="K200" s="161"/>
      <c r="L200" s="161"/>
      <c r="M200" s="161"/>
      <c r="N200" s="161"/>
      <c r="O200" s="161"/>
      <c r="P200" s="161"/>
      <c r="Q200" s="161"/>
      <c r="R200" s="161"/>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61"/>
      <c r="AN200" s="161"/>
      <c r="AO200" s="161"/>
      <c r="AP200" s="161"/>
      <c r="AQ200" s="161"/>
      <c r="AR200" s="161"/>
      <c r="AS200" s="161"/>
      <c r="AT200" s="161"/>
    </row>
    <row r="201" spans="4:46" ht="20" customHeight="1">
      <c r="D201" s="161"/>
      <c r="G201" s="161"/>
      <c r="H201" s="161"/>
      <c r="I201" s="161"/>
      <c r="J201" s="161"/>
      <c r="K201" s="161"/>
      <c r="L201" s="161"/>
      <c r="M201" s="161"/>
      <c r="N201" s="161"/>
      <c r="O201" s="161"/>
      <c r="P201" s="161"/>
      <c r="Q201" s="161"/>
      <c r="R201" s="161"/>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61"/>
      <c r="AN201" s="161"/>
      <c r="AO201" s="161"/>
      <c r="AP201" s="161"/>
      <c r="AQ201" s="161"/>
      <c r="AR201" s="161"/>
      <c r="AS201" s="161"/>
      <c r="AT201" s="161"/>
    </row>
    <row r="202" spans="4:46" ht="20" customHeight="1">
      <c r="D202" s="161"/>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row>
    <row r="203" spans="4:46" ht="20" customHeight="1">
      <c r="D203" s="161"/>
      <c r="G203" s="161"/>
      <c r="H203" s="161"/>
      <c r="I203" s="161"/>
      <c r="J203" s="161"/>
      <c r="K203" s="161"/>
      <c r="L203" s="161"/>
      <c r="M203" s="161"/>
      <c r="N203" s="161"/>
      <c r="O203" s="161"/>
      <c r="P203" s="161"/>
      <c r="Q203" s="161"/>
      <c r="R203" s="161"/>
      <c r="S203" s="161"/>
      <c r="T203" s="161"/>
      <c r="U203" s="161"/>
      <c r="V203" s="161"/>
      <c r="W203" s="161"/>
      <c r="X203" s="161"/>
      <c r="Y203" s="161"/>
      <c r="Z203" s="161"/>
      <c r="AA203" s="161"/>
      <c r="AB203" s="161"/>
      <c r="AC203" s="161"/>
      <c r="AD203" s="161"/>
      <c r="AE203" s="161"/>
      <c r="AF203" s="161"/>
      <c r="AG203" s="161"/>
      <c r="AH203" s="161"/>
      <c r="AI203" s="161"/>
      <c r="AJ203" s="161"/>
      <c r="AK203" s="161"/>
      <c r="AL203" s="161"/>
      <c r="AM203" s="161"/>
      <c r="AN203" s="161"/>
      <c r="AO203" s="161"/>
      <c r="AP203" s="161"/>
      <c r="AQ203" s="161"/>
      <c r="AR203" s="161"/>
      <c r="AS203" s="161"/>
      <c r="AT203" s="161"/>
    </row>
    <row r="204" spans="4:46" ht="20" customHeight="1">
      <c r="D204" s="161"/>
      <c r="G204" s="161"/>
      <c r="H204" s="161"/>
      <c r="I204" s="161"/>
      <c r="J204" s="161"/>
      <c r="K204" s="161"/>
      <c r="L204" s="161"/>
      <c r="M204" s="161"/>
      <c r="N204" s="161"/>
      <c r="O204" s="161"/>
      <c r="P204" s="161"/>
      <c r="Q204" s="161"/>
      <c r="R204" s="161"/>
      <c r="S204" s="161"/>
      <c r="T204" s="161"/>
      <c r="U204" s="161"/>
      <c r="V204" s="161"/>
      <c r="W204" s="161"/>
      <c r="X204" s="161"/>
      <c r="Y204" s="161"/>
      <c r="Z204" s="161"/>
      <c r="AA204" s="161"/>
      <c r="AB204" s="161"/>
      <c r="AC204" s="161"/>
      <c r="AD204" s="161"/>
      <c r="AE204" s="161"/>
      <c r="AF204" s="161"/>
      <c r="AG204" s="161"/>
      <c r="AH204" s="161"/>
      <c r="AI204" s="161"/>
      <c r="AJ204" s="161"/>
      <c r="AK204" s="161"/>
      <c r="AL204" s="161"/>
      <c r="AM204" s="161"/>
      <c r="AN204" s="161"/>
      <c r="AO204" s="161"/>
      <c r="AP204" s="161"/>
      <c r="AQ204" s="161"/>
      <c r="AR204" s="161"/>
      <c r="AS204" s="161"/>
      <c r="AT204" s="161"/>
    </row>
    <row r="205" spans="4:46" ht="20" customHeight="1">
      <c r="D205" s="161"/>
      <c r="G205" s="161"/>
      <c r="H205" s="161"/>
      <c r="I205" s="161"/>
      <c r="J205" s="161"/>
      <c r="K205" s="161"/>
      <c r="L205" s="161"/>
      <c r="M205" s="161"/>
      <c r="N205" s="161"/>
      <c r="O205" s="161"/>
      <c r="P205" s="161"/>
      <c r="Q205" s="161"/>
      <c r="R205" s="161"/>
      <c r="S205" s="161"/>
      <c r="T205" s="161"/>
      <c r="U205" s="161"/>
      <c r="V205" s="161"/>
      <c r="W205" s="161"/>
      <c r="X205" s="161"/>
      <c r="Y205" s="161"/>
      <c r="Z205" s="161"/>
      <c r="AA205" s="161"/>
      <c r="AB205" s="161"/>
      <c r="AC205" s="161"/>
      <c r="AD205" s="161"/>
      <c r="AE205" s="161"/>
      <c r="AF205" s="161"/>
      <c r="AG205" s="161"/>
      <c r="AH205" s="161"/>
      <c r="AI205" s="161"/>
      <c r="AJ205" s="161"/>
      <c r="AK205" s="161"/>
      <c r="AL205" s="161"/>
      <c r="AM205" s="161"/>
      <c r="AN205" s="161"/>
      <c r="AO205" s="161"/>
      <c r="AP205" s="161"/>
      <c r="AQ205" s="161"/>
      <c r="AR205" s="161"/>
      <c r="AS205" s="161"/>
      <c r="AT205" s="161"/>
    </row>
    <row r="206" spans="4:46" ht="20" customHeight="1"/>
    <row r="207" spans="4:46" ht="20" customHeight="1"/>
    <row r="208" spans="4:46" ht="20" customHeight="1"/>
    <row r="209" ht="20" customHeight="1"/>
    <row r="210" ht="20" customHeight="1"/>
    <row r="211" ht="20" customHeight="1"/>
    <row r="212" ht="20" customHeight="1"/>
    <row r="213" ht="20" customHeight="1"/>
    <row r="214" ht="20" customHeight="1"/>
    <row r="215" ht="20" customHeight="1"/>
    <row r="216" ht="20" customHeight="1"/>
    <row r="217" ht="20" customHeight="1"/>
    <row r="218" ht="20" customHeight="1"/>
    <row r="219" ht="20" customHeight="1"/>
    <row r="220" ht="20" customHeight="1"/>
    <row r="221" ht="20" customHeight="1"/>
    <row r="222" ht="20" customHeight="1"/>
    <row r="223" ht="20" customHeight="1"/>
    <row r="224" ht="20" customHeight="1"/>
    <row r="225" ht="20" customHeight="1"/>
    <row r="226" ht="20" customHeight="1"/>
    <row r="227" ht="20" customHeight="1"/>
    <row r="228" ht="20" customHeight="1"/>
    <row r="229" ht="20" customHeight="1"/>
    <row r="230" ht="20" customHeight="1"/>
    <row r="231" ht="20" customHeight="1"/>
    <row r="232" ht="20" customHeight="1"/>
    <row r="233" ht="20" customHeight="1"/>
    <row r="234" ht="20" customHeight="1"/>
    <row r="235" ht="20" customHeight="1"/>
    <row r="236" ht="20" customHeight="1"/>
    <row r="237" ht="20" customHeight="1"/>
    <row r="238" ht="20" customHeight="1"/>
    <row r="239" ht="20" customHeight="1"/>
    <row r="240" ht="20" customHeight="1"/>
    <row r="241" ht="20" customHeight="1"/>
    <row r="242" ht="20" customHeight="1"/>
    <row r="243" ht="20" customHeight="1"/>
    <row r="244" ht="20" customHeight="1"/>
    <row r="245" ht="20" customHeight="1"/>
    <row r="246" ht="20" customHeight="1"/>
    <row r="247" ht="20" customHeight="1"/>
    <row r="248" ht="20" customHeight="1"/>
    <row r="249" ht="20" customHeight="1"/>
    <row r="250" ht="20" customHeight="1"/>
    <row r="251" ht="20" customHeight="1"/>
    <row r="252" ht="20" customHeight="1"/>
    <row r="253" ht="20" customHeight="1"/>
    <row r="254" ht="20" customHeight="1"/>
    <row r="255" ht="20" customHeight="1"/>
    <row r="256" ht="20" customHeight="1"/>
    <row r="257" ht="20" customHeight="1"/>
    <row r="258" ht="20" customHeight="1"/>
    <row r="259" ht="20" customHeight="1"/>
    <row r="260" ht="20" customHeight="1"/>
    <row r="261" ht="20" customHeight="1"/>
    <row r="262" ht="20" customHeight="1"/>
    <row r="263" ht="20" customHeight="1"/>
    <row r="264" ht="20" customHeight="1"/>
    <row r="265" ht="20" customHeight="1"/>
    <row r="266" ht="20" customHeight="1"/>
  </sheetData>
  <sheetProtection sheet="1" objects="1" scenarios="1" selectLockedCells="1"/>
  <sortState xmlns:xlrd2="http://schemas.microsoft.com/office/spreadsheetml/2017/richdata2" ref="B12:B35">
    <sortCondition ref="B12"/>
  </sortState>
  <customSheetViews>
    <customSheetView guid="{B4419C5D-1877-4ABB-A46F-9E0AFFC75B59}" scale="85" showGridLines="0" fitToPage="1" hiddenColumns="1" state="hidden">
      <pane ySplit="4" topLeftCell="A11" activePane="bottomLeft" state="frozen"/>
      <selection pane="bottomLeft" activeCell="C14" sqref="C14"/>
      <pageMargins left="0.7" right="0.7" top="0.75" bottom="0.75" header="0.3" footer="0.3"/>
      <pageSetup scale="41" fitToHeight="0" orientation="landscape" r:id="rId1"/>
    </customSheetView>
  </customSheetViews>
  <mergeCells count="64">
    <mergeCell ref="AL3:AT3"/>
    <mergeCell ref="D3:M3"/>
    <mergeCell ref="N3:U3"/>
    <mergeCell ref="V3:AA3"/>
    <mergeCell ref="AB3:AI3"/>
    <mergeCell ref="AJ3:AK3"/>
    <mergeCell ref="AH4:AI4"/>
    <mergeCell ref="A5:A10"/>
    <mergeCell ref="X4:Y4"/>
    <mergeCell ref="Z4:AA4"/>
    <mergeCell ref="A12:A35"/>
    <mergeCell ref="P4:Q4"/>
    <mergeCell ref="R4:S4"/>
    <mergeCell ref="T4:U4"/>
    <mergeCell ref="V4:W4"/>
    <mergeCell ref="D4:E4"/>
    <mergeCell ref="F4:G4"/>
    <mergeCell ref="H4:I4"/>
    <mergeCell ref="J4:K4"/>
    <mergeCell ref="L4:M4"/>
    <mergeCell ref="N4:O4"/>
    <mergeCell ref="B3:C4"/>
    <mergeCell ref="AB4:AC4"/>
    <mergeCell ref="AD4:AE4"/>
    <mergeCell ref="AF4:AG4"/>
    <mergeCell ref="AB85:AC85"/>
    <mergeCell ref="AD85:AE85"/>
    <mergeCell ref="AF85:AG85"/>
    <mergeCell ref="A37:A52"/>
    <mergeCell ref="D85:E85"/>
    <mergeCell ref="F85:G85"/>
    <mergeCell ref="H85:I85"/>
    <mergeCell ref="J85:K85"/>
    <mergeCell ref="AH85:AI85"/>
    <mergeCell ref="D86:E86"/>
    <mergeCell ref="F86:G86"/>
    <mergeCell ref="H86:I86"/>
    <mergeCell ref="J86:K86"/>
    <mergeCell ref="L86:M86"/>
    <mergeCell ref="N86:O86"/>
    <mergeCell ref="N85:O85"/>
    <mergeCell ref="P85:Q85"/>
    <mergeCell ref="R85:S85"/>
    <mergeCell ref="T85:U85"/>
    <mergeCell ref="V85:W85"/>
    <mergeCell ref="Z85:AA85"/>
    <mergeCell ref="X86:Y86"/>
    <mergeCell ref="L85:M85"/>
    <mergeCell ref="X85:Y85"/>
    <mergeCell ref="AQ86:AR86"/>
    <mergeCell ref="AS86:AT86"/>
    <mergeCell ref="A88:A89"/>
    <mergeCell ref="AD86:AE86"/>
    <mergeCell ref="AF86:AG86"/>
    <mergeCell ref="AH86:AI86"/>
    <mergeCell ref="AJ86:AK86"/>
    <mergeCell ref="AL86:AM86"/>
    <mergeCell ref="AO86:AP86"/>
    <mergeCell ref="P86:Q86"/>
    <mergeCell ref="R86:S86"/>
    <mergeCell ref="T86:U86"/>
    <mergeCell ref="V86:W86"/>
    <mergeCell ref="Z86:AA86"/>
    <mergeCell ref="AB86:AC86"/>
  </mergeCells>
  <conditionalFormatting sqref="A88:A89">
    <cfRule type="cellIs" dxfId="826" priority="409" operator="between">
      <formula>99.01</formula>
      <formula>100</formula>
    </cfRule>
    <cfRule type="cellIs" dxfId="825" priority="410" operator="between">
      <formula>90.01</formula>
      <formula>99</formula>
    </cfRule>
    <cfRule type="cellIs" dxfId="824" priority="411" operator="between">
      <formula>85.01</formula>
      <formula>90</formula>
    </cfRule>
    <cfRule type="cellIs" dxfId="823" priority="412" operator="lessThanOrEqual">
      <formula>85</formula>
    </cfRule>
  </conditionalFormatting>
  <conditionalFormatting sqref="D4 F4 H4 J4 L4 N4 P4 R4 T4 V4 AF4 AH4 J112:O112 Q112:V112 AL112:AR112 X112:AC112 AE112:AJ112 M118:R118 E128:F129 E127:R127 F126:K126 M126:R126 F118:K118 B112:H112 F119:R119 B115 B118 B121 B124 B127 B130 F120:F125 B133 AM11:AR11 AR14">
    <cfRule type="cellIs" dxfId="822" priority="392" operator="equal">
      <formula>4.4</formula>
    </cfRule>
    <cfRule type="cellIs" dxfId="821" priority="393" operator="equal">
      <formula>4.3</formula>
    </cfRule>
    <cfRule type="cellIs" dxfId="820" priority="394" operator="equal">
      <formula>4.2</formula>
    </cfRule>
    <cfRule type="cellIs" dxfId="819" priority="395" operator="equal">
      <formula>4.1</formula>
    </cfRule>
    <cfRule type="cellIs" dxfId="818" priority="396" operator="equal">
      <formula>3.4</formula>
    </cfRule>
    <cfRule type="cellIs" dxfId="817" priority="397" operator="equal">
      <formula>3.3</formula>
    </cfRule>
    <cfRule type="cellIs" dxfId="816" priority="398" operator="equal">
      <formula>3.2</formula>
    </cfRule>
    <cfRule type="cellIs" dxfId="815" priority="399" operator="equal">
      <formula>3.1</formula>
    </cfRule>
    <cfRule type="cellIs" dxfId="814" priority="400" operator="equal">
      <formula>2.4</formula>
    </cfRule>
    <cfRule type="cellIs" dxfId="813" priority="401" operator="equal">
      <formula>2.3</formula>
    </cfRule>
    <cfRule type="cellIs" dxfId="812" priority="402" operator="equal">
      <formula>2.2</formula>
    </cfRule>
    <cfRule type="cellIs" dxfId="811" priority="403" operator="equal">
      <formula>2.1</formula>
    </cfRule>
    <cfRule type="cellIs" dxfId="810" priority="404" operator="equal">
      <formula>1.5</formula>
    </cfRule>
    <cfRule type="cellIs" dxfId="809" priority="405" operator="equal">
      <formula>1.4</formula>
    </cfRule>
    <cfRule type="cellIs" dxfId="808" priority="406" operator="equal">
      <formula>1.3</formula>
    </cfRule>
    <cfRule type="cellIs" dxfId="807" priority="407" operator="equal">
      <formula>1.2</formula>
    </cfRule>
    <cfRule type="containsText" dxfId="806" priority="408" operator="containsText" text="1.1">
      <formula>NOT(ISERROR(SEARCH("1.1",B4)))</formula>
    </cfRule>
  </conditionalFormatting>
  <conditionalFormatting sqref="X4">
    <cfRule type="cellIs" dxfId="805" priority="358" operator="equal">
      <formula>4.4</formula>
    </cfRule>
    <cfRule type="cellIs" dxfId="804" priority="359" operator="equal">
      <formula>4.3</formula>
    </cfRule>
    <cfRule type="cellIs" dxfId="803" priority="360" operator="equal">
      <formula>4.2</formula>
    </cfRule>
    <cfRule type="cellIs" dxfId="802" priority="361" operator="equal">
      <formula>4.1</formula>
    </cfRule>
    <cfRule type="cellIs" dxfId="801" priority="362" operator="equal">
      <formula>3.4</formula>
    </cfRule>
    <cfRule type="cellIs" dxfId="800" priority="363" operator="equal">
      <formula>3.3</formula>
    </cfRule>
    <cfRule type="cellIs" dxfId="799" priority="364" operator="equal">
      <formula>3.2</formula>
    </cfRule>
    <cfRule type="cellIs" dxfId="798" priority="365" operator="equal">
      <formula>3.1</formula>
    </cfRule>
    <cfRule type="cellIs" dxfId="797" priority="366" operator="equal">
      <formula>2.4</formula>
    </cfRule>
    <cfRule type="cellIs" dxfId="796" priority="367" operator="equal">
      <formula>2.3</formula>
    </cfRule>
    <cfRule type="cellIs" dxfId="795" priority="368" operator="equal">
      <formula>2.2</formula>
    </cfRule>
    <cfRule type="cellIs" dxfId="794" priority="369" operator="equal">
      <formula>2.1</formula>
    </cfRule>
    <cfRule type="cellIs" dxfId="793" priority="370" operator="equal">
      <formula>1.5</formula>
    </cfRule>
    <cfRule type="cellIs" dxfId="792" priority="371" operator="equal">
      <formula>1.4</formula>
    </cfRule>
    <cfRule type="cellIs" dxfId="791" priority="372" operator="equal">
      <formula>1.3</formula>
    </cfRule>
    <cfRule type="cellIs" dxfId="790" priority="373" operator="equal">
      <formula>1.2</formula>
    </cfRule>
    <cfRule type="containsText" dxfId="789" priority="374" operator="containsText" text="1.1">
      <formula>NOT(ISERROR(SEARCH("1.1",X4)))</formula>
    </cfRule>
  </conditionalFormatting>
  <conditionalFormatting sqref="Z4">
    <cfRule type="cellIs" dxfId="788" priority="375" operator="equal">
      <formula>4.4</formula>
    </cfRule>
    <cfRule type="cellIs" dxfId="787" priority="376" operator="equal">
      <formula>4.3</formula>
    </cfRule>
    <cfRule type="cellIs" dxfId="786" priority="377" operator="equal">
      <formula>4.2</formula>
    </cfRule>
    <cfRule type="cellIs" dxfId="785" priority="378" operator="equal">
      <formula>4.1</formula>
    </cfRule>
    <cfRule type="cellIs" dxfId="784" priority="379" operator="equal">
      <formula>3.4</formula>
    </cfRule>
    <cfRule type="cellIs" dxfId="783" priority="380" operator="equal">
      <formula>3.3</formula>
    </cfRule>
    <cfRule type="cellIs" dxfId="782" priority="381" operator="equal">
      <formula>3.2</formula>
    </cfRule>
    <cfRule type="cellIs" dxfId="781" priority="382" operator="equal">
      <formula>3.1</formula>
    </cfRule>
    <cfRule type="cellIs" dxfId="780" priority="383" operator="equal">
      <formula>2.4</formula>
    </cfRule>
    <cfRule type="cellIs" dxfId="779" priority="384" operator="equal">
      <formula>2.3</formula>
    </cfRule>
    <cfRule type="cellIs" dxfId="778" priority="385" operator="equal">
      <formula>2.2</formula>
    </cfRule>
    <cfRule type="cellIs" dxfId="777" priority="386" operator="equal">
      <formula>2.1</formula>
    </cfRule>
    <cfRule type="cellIs" dxfId="776" priority="387" operator="equal">
      <formula>1.5</formula>
    </cfRule>
    <cfRule type="cellIs" dxfId="775" priority="388" operator="equal">
      <formula>1.4</formula>
    </cfRule>
    <cfRule type="cellIs" dxfId="774" priority="389" operator="equal">
      <formula>1.3</formula>
    </cfRule>
    <cfRule type="cellIs" dxfId="773" priority="390" operator="equal">
      <formula>1.2</formula>
    </cfRule>
    <cfRule type="containsText" dxfId="772" priority="391" operator="containsText" text="1.1">
      <formula>NOT(ISERROR(SEARCH("1.1",Z4)))</formula>
    </cfRule>
  </conditionalFormatting>
  <conditionalFormatting sqref="AB4 AD4">
    <cfRule type="cellIs" dxfId="771" priority="341" operator="equal">
      <formula>4.4</formula>
    </cfRule>
    <cfRule type="cellIs" dxfId="770" priority="342" operator="equal">
      <formula>4.3</formula>
    </cfRule>
    <cfRule type="cellIs" dxfId="769" priority="343" operator="equal">
      <formula>4.2</formula>
    </cfRule>
    <cfRule type="cellIs" dxfId="768" priority="344" operator="equal">
      <formula>4.1</formula>
    </cfRule>
    <cfRule type="cellIs" dxfId="767" priority="345" operator="equal">
      <formula>3.4</formula>
    </cfRule>
    <cfRule type="cellIs" dxfId="766" priority="346" operator="equal">
      <formula>3.3</formula>
    </cfRule>
    <cfRule type="cellIs" dxfId="765" priority="347" operator="equal">
      <formula>3.2</formula>
    </cfRule>
    <cfRule type="cellIs" dxfId="764" priority="348" operator="equal">
      <formula>3.1</formula>
    </cfRule>
    <cfRule type="cellIs" dxfId="763" priority="349" operator="equal">
      <formula>2.4</formula>
    </cfRule>
    <cfRule type="cellIs" dxfId="762" priority="350" operator="equal">
      <formula>2.3</formula>
    </cfRule>
    <cfRule type="cellIs" dxfId="761" priority="351" operator="equal">
      <formula>2.2</formula>
    </cfRule>
    <cfRule type="cellIs" dxfId="760" priority="352" operator="equal">
      <formula>2.1</formula>
    </cfRule>
    <cfRule type="cellIs" dxfId="759" priority="353" operator="equal">
      <formula>1.5</formula>
    </cfRule>
    <cfRule type="cellIs" dxfId="758" priority="354" operator="equal">
      <formula>1.4</formula>
    </cfRule>
    <cfRule type="cellIs" dxfId="757" priority="355" operator="equal">
      <formula>1.3</formula>
    </cfRule>
    <cfRule type="cellIs" dxfId="756" priority="356" operator="equal">
      <formula>1.2</formula>
    </cfRule>
    <cfRule type="containsText" dxfId="755" priority="357" operator="containsText" text="1.1">
      <formula>NOT(ISERROR(SEARCH("1.1",AB4)))</formula>
    </cfRule>
  </conditionalFormatting>
  <conditionalFormatting sqref="C113:AC113 AE113:AR113">
    <cfRule type="cellIs" dxfId="754" priority="307" operator="equal">
      <formula>4.4</formula>
    </cfRule>
    <cfRule type="cellIs" dxfId="753" priority="308" operator="equal">
      <formula>4.3</formula>
    </cfRule>
    <cfRule type="cellIs" dxfId="752" priority="309" operator="equal">
      <formula>4.2</formula>
    </cfRule>
    <cfRule type="cellIs" dxfId="751" priority="310" operator="equal">
      <formula>4.1</formula>
    </cfRule>
    <cfRule type="cellIs" dxfId="750" priority="311" operator="equal">
      <formula>3.4</formula>
    </cfRule>
    <cfRule type="cellIs" dxfId="749" priority="312" operator="equal">
      <formula>3.3</formula>
    </cfRule>
    <cfRule type="cellIs" dxfId="748" priority="313" operator="equal">
      <formula>3.2</formula>
    </cfRule>
    <cfRule type="cellIs" dxfId="747" priority="314" operator="equal">
      <formula>3.1</formula>
    </cfRule>
    <cfRule type="cellIs" dxfId="746" priority="315" operator="equal">
      <formula>2.4</formula>
    </cfRule>
    <cfRule type="cellIs" dxfId="745" priority="316" operator="equal">
      <formula>2.3</formula>
    </cfRule>
    <cfRule type="cellIs" dxfId="744" priority="317" operator="equal">
      <formula>2.2</formula>
    </cfRule>
    <cfRule type="cellIs" dxfId="743" priority="318" operator="equal">
      <formula>2.1</formula>
    </cfRule>
    <cfRule type="cellIs" dxfId="742" priority="319" operator="equal">
      <formula>1.5</formula>
    </cfRule>
    <cfRule type="cellIs" dxfId="741" priority="320" operator="equal">
      <formula>1.4</formula>
    </cfRule>
    <cfRule type="cellIs" dxfId="740" priority="321" operator="equal">
      <formula>1.3</formula>
    </cfRule>
    <cfRule type="cellIs" dxfId="739" priority="322" operator="equal">
      <formula>1.2</formula>
    </cfRule>
    <cfRule type="containsText" dxfId="738" priority="323" operator="containsText" text="1.1">
      <formula>NOT(ISERROR(SEARCH("1.1",C113)))</formula>
    </cfRule>
  </conditionalFormatting>
  <conditionalFormatting sqref="B113:B114 B116:B117 B119:B120 B122:B123 B125:B126 B128:B129 B131:B132 B134">
    <cfRule type="cellIs" dxfId="737" priority="273" operator="equal">
      <formula>4.4</formula>
    </cfRule>
    <cfRule type="cellIs" dxfId="736" priority="274" operator="equal">
      <formula>4.3</formula>
    </cfRule>
    <cfRule type="cellIs" dxfId="735" priority="275" operator="equal">
      <formula>4.2</formula>
    </cfRule>
    <cfRule type="cellIs" dxfId="734" priority="276" operator="equal">
      <formula>4.1</formula>
    </cfRule>
    <cfRule type="cellIs" dxfId="733" priority="277" operator="equal">
      <formula>3.4</formula>
    </cfRule>
    <cfRule type="cellIs" dxfId="732" priority="278" operator="equal">
      <formula>3.3</formula>
    </cfRule>
    <cfRule type="cellIs" dxfId="731" priority="279" operator="equal">
      <formula>3.2</formula>
    </cfRule>
    <cfRule type="cellIs" dxfId="730" priority="280" operator="equal">
      <formula>3.1</formula>
    </cfRule>
    <cfRule type="cellIs" dxfId="729" priority="281" operator="equal">
      <formula>2.4</formula>
    </cfRule>
    <cfRule type="cellIs" dxfId="728" priority="282" operator="equal">
      <formula>2.3</formula>
    </cfRule>
    <cfRule type="cellIs" dxfId="727" priority="283" operator="equal">
      <formula>2.2</formula>
    </cfRule>
    <cfRule type="cellIs" dxfId="726" priority="284" operator="equal">
      <formula>2.1</formula>
    </cfRule>
    <cfRule type="cellIs" dxfId="725" priority="285" operator="equal">
      <formula>1.5</formula>
    </cfRule>
    <cfRule type="cellIs" dxfId="724" priority="286" operator="equal">
      <formula>1.4</formula>
    </cfRule>
    <cfRule type="cellIs" dxfId="723" priority="287" operator="equal">
      <formula>1.3</formula>
    </cfRule>
    <cfRule type="cellIs" dxfId="722" priority="288" operator="equal">
      <formula>1.2</formula>
    </cfRule>
    <cfRule type="containsText" dxfId="721" priority="289" operator="containsText" text="1.1">
      <formula>NOT(ISERROR(SEARCH("1.1",B113)))</formula>
    </cfRule>
  </conditionalFormatting>
  <conditionalFormatting sqref="B135">
    <cfRule type="cellIs" dxfId="720" priority="256" operator="equal">
      <formula>4.4</formula>
    </cfRule>
    <cfRule type="cellIs" dxfId="719" priority="257" operator="equal">
      <formula>4.3</formula>
    </cfRule>
    <cfRule type="cellIs" dxfId="718" priority="258" operator="equal">
      <formula>4.2</formula>
    </cfRule>
    <cfRule type="cellIs" dxfId="717" priority="259" operator="equal">
      <formula>4.1</formula>
    </cfRule>
    <cfRule type="cellIs" dxfId="716" priority="260" operator="equal">
      <formula>3.4</formula>
    </cfRule>
    <cfRule type="cellIs" dxfId="715" priority="261" operator="equal">
      <formula>3.3</formula>
    </cfRule>
    <cfRule type="cellIs" dxfId="714" priority="262" operator="equal">
      <formula>3.2</formula>
    </cfRule>
    <cfRule type="cellIs" dxfId="713" priority="263" operator="equal">
      <formula>3.1</formula>
    </cfRule>
    <cfRule type="cellIs" dxfId="712" priority="264" operator="equal">
      <formula>2.4</formula>
    </cfRule>
    <cfRule type="cellIs" dxfId="711" priority="265" operator="equal">
      <formula>2.3</formula>
    </cfRule>
    <cfRule type="cellIs" dxfId="710" priority="266" operator="equal">
      <formula>2.2</formula>
    </cfRule>
    <cfRule type="cellIs" dxfId="709" priority="267" operator="equal">
      <formula>2.1</formula>
    </cfRule>
    <cfRule type="cellIs" dxfId="708" priority="268" operator="equal">
      <formula>1.5</formula>
    </cfRule>
    <cfRule type="cellIs" dxfId="707" priority="269" operator="equal">
      <formula>1.4</formula>
    </cfRule>
    <cfRule type="cellIs" dxfId="706" priority="270" operator="equal">
      <formula>1.3</formula>
    </cfRule>
    <cfRule type="cellIs" dxfId="705" priority="271" operator="equal">
      <formula>1.2</formula>
    </cfRule>
    <cfRule type="containsText" dxfId="704" priority="272" operator="containsText" text="1.1">
      <formula>NOT(ISERROR(SEARCH("1.1",B135)))</formula>
    </cfRule>
  </conditionalFormatting>
  <conditionalFormatting sqref="D115:D119">
    <cfRule type="cellIs" dxfId="703" priority="239" operator="equal">
      <formula>4.4</formula>
    </cfRule>
    <cfRule type="cellIs" dxfId="702" priority="240" operator="equal">
      <formula>4.3</formula>
    </cfRule>
    <cfRule type="cellIs" dxfId="701" priority="241" operator="equal">
      <formula>4.2</formula>
    </cfRule>
    <cfRule type="cellIs" dxfId="700" priority="242" operator="equal">
      <formula>4.1</formula>
    </cfRule>
    <cfRule type="cellIs" dxfId="699" priority="243" operator="equal">
      <formula>3.4</formula>
    </cfRule>
    <cfRule type="cellIs" dxfId="698" priority="244" operator="equal">
      <formula>3.3</formula>
    </cfRule>
    <cfRule type="cellIs" dxfId="697" priority="245" operator="equal">
      <formula>3.2</formula>
    </cfRule>
    <cfRule type="cellIs" dxfId="696" priority="246" operator="equal">
      <formula>3.1</formula>
    </cfRule>
    <cfRule type="cellIs" dxfId="695" priority="247" operator="equal">
      <formula>2.4</formula>
    </cfRule>
    <cfRule type="cellIs" dxfId="694" priority="248" operator="equal">
      <formula>2.3</formula>
    </cfRule>
    <cfRule type="cellIs" dxfId="693" priority="249" operator="equal">
      <formula>2.2</formula>
    </cfRule>
    <cfRule type="cellIs" dxfId="692" priority="250" operator="equal">
      <formula>2.1</formula>
    </cfRule>
    <cfRule type="cellIs" dxfId="691" priority="251" operator="equal">
      <formula>1.5</formula>
    </cfRule>
    <cfRule type="cellIs" dxfId="690" priority="252" operator="equal">
      <formula>1.4</formula>
    </cfRule>
    <cfRule type="cellIs" dxfId="689" priority="253" operator="equal">
      <formula>1.3</formula>
    </cfRule>
    <cfRule type="cellIs" dxfId="688" priority="254" operator="equal">
      <formula>1.2</formula>
    </cfRule>
    <cfRule type="containsText" dxfId="687" priority="255" operator="containsText" text="1.1">
      <formula>NOT(ISERROR(SEARCH("1.1",D115)))</formula>
    </cfRule>
  </conditionalFormatting>
  <conditionalFormatting sqref="E115:AU116">
    <cfRule type="cellIs" dxfId="686" priority="222" operator="equal">
      <formula>4.4</formula>
    </cfRule>
    <cfRule type="cellIs" dxfId="685" priority="223" operator="equal">
      <formula>4.3</formula>
    </cfRule>
    <cfRule type="cellIs" dxfId="684" priority="224" operator="equal">
      <formula>4.2</formula>
    </cfRule>
    <cfRule type="cellIs" dxfId="683" priority="225" operator="equal">
      <formula>4.1</formula>
    </cfRule>
    <cfRule type="cellIs" dxfId="682" priority="226" operator="equal">
      <formula>3.4</formula>
    </cfRule>
    <cfRule type="cellIs" dxfId="681" priority="227" operator="equal">
      <formula>3.3</formula>
    </cfRule>
    <cfRule type="cellIs" dxfId="680" priority="228" operator="equal">
      <formula>3.2</formula>
    </cfRule>
    <cfRule type="cellIs" dxfId="679" priority="229" operator="equal">
      <formula>3.1</formula>
    </cfRule>
    <cfRule type="cellIs" dxfId="678" priority="230" operator="equal">
      <formula>2.4</formula>
    </cfRule>
    <cfRule type="cellIs" dxfId="677" priority="231" operator="equal">
      <formula>2.3</formula>
    </cfRule>
    <cfRule type="cellIs" dxfId="676" priority="232" operator="equal">
      <formula>2.2</formula>
    </cfRule>
    <cfRule type="cellIs" dxfId="675" priority="233" operator="equal">
      <formula>2.1</formula>
    </cfRule>
    <cfRule type="cellIs" dxfId="674" priority="234" operator="equal">
      <formula>1.5</formula>
    </cfRule>
    <cfRule type="cellIs" dxfId="673" priority="235" operator="equal">
      <formula>1.4</formula>
    </cfRule>
    <cfRule type="cellIs" dxfId="672" priority="236" operator="equal">
      <formula>1.3</formula>
    </cfRule>
    <cfRule type="cellIs" dxfId="671" priority="237" operator="equal">
      <formula>1.2</formula>
    </cfRule>
    <cfRule type="containsText" dxfId="670" priority="238" operator="containsText" text="1.1">
      <formula>NOT(ISERROR(SEARCH("1.1",E115)))</formula>
    </cfRule>
  </conditionalFormatting>
  <conditionalFormatting sqref="B1:B2">
    <cfRule type="cellIs" dxfId="669" priority="18" operator="equal">
      <formula>4.4</formula>
    </cfRule>
    <cfRule type="cellIs" dxfId="668" priority="19" operator="equal">
      <formula>4.3</formula>
    </cfRule>
    <cfRule type="cellIs" dxfId="667" priority="20" operator="equal">
      <formula>4.2</formula>
    </cfRule>
    <cfRule type="cellIs" dxfId="666" priority="21" operator="equal">
      <formula>4.1</formula>
    </cfRule>
    <cfRule type="cellIs" dxfId="665" priority="22" operator="equal">
      <formula>3.4</formula>
    </cfRule>
    <cfRule type="cellIs" dxfId="664" priority="23" operator="equal">
      <formula>3.3</formula>
    </cfRule>
    <cfRule type="cellIs" dxfId="663" priority="24" operator="equal">
      <formula>3.2</formula>
    </cfRule>
    <cfRule type="cellIs" dxfId="662" priority="25" operator="equal">
      <formula>3.1</formula>
    </cfRule>
    <cfRule type="cellIs" dxfId="661" priority="26" operator="equal">
      <formula>2.4</formula>
    </cfRule>
    <cfRule type="cellIs" dxfId="660" priority="27" operator="equal">
      <formula>2.3</formula>
    </cfRule>
    <cfRule type="cellIs" dxfId="659" priority="28" operator="equal">
      <formula>2.2</formula>
    </cfRule>
    <cfRule type="cellIs" dxfId="658" priority="29" operator="equal">
      <formula>2.1</formula>
    </cfRule>
    <cfRule type="cellIs" dxfId="657" priority="30" operator="equal">
      <formula>1.5</formula>
    </cfRule>
    <cfRule type="cellIs" dxfId="656" priority="31" operator="equal">
      <formula>1.4</formula>
    </cfRule>
    <cfRule type="cellIs" dxfId="655" priority="32" operator="equal">
      <formula>1.3</formula>
    </cfRule>
    <cfRule type="cellIs" dxfId="654" priority="33" operator="equal">
      <formula>1.2</formula>
    </cfRule>
    <cfRule type="containsText" dxfId="653" priority="34" operator="containsText" text="1.1">
      <formula>NOT(ISERROR(SEARCH("1.1",B1)))</formula>
    </cfRule>
  </conditionalFormatting>
  <conditionalFormatting sqref="AD1:AE2">
    <cfRule type="cellIs" dxfId="652" priority="1" operator="equal">
      <formula>4.4</formula>
    </cfRule>
    <cfRule type="cellIs" dxfId="651" priority="2" operator="equal">
      <formula>4.3</formula>
    </cfRule>
    <cfRule type="cellIs" dxfId="650" priority="3" operator="equal">
      <formula>4.2</formula>
    </cfRule>
    <cfRule type="cellIs" dxfId="649" priority="4" operator="equal">
      <formula>4.1</formula>
    </cfRule>
    <cfRule type="cellIs" dxfId="648" priority="5" operator="equal">
      <formula>3.4</formula>
    </cfRule>
    <cfRule type="cellIs" dxfId="647" priority="6" operator="equal">
      <formula>3.3</formula>
    </cfRule>
    <cfRule type="cellIs" dxfId="646" priority="7" operator="equal">
      <formula>3.2</formula>
    </cfRule>
    <cfRule type="cellIs" dxfId="645" priority="8" operator="equal">
      <formula>3.1</formula>
    </cfRule>
    <cfRule type="cellIs" dxfId="644" priority="9" operator="equal">
      <formula>2.4</formula>
    </cfRule>
    <cfRule type="cellIs" dxfId="643" priority="10" operator="equal">
      <formula>2.3</formula>
    </cfRule>
    <cfRule type="cellIs" dxfId="642" priority="11" operator="equal">
      <formula>2.2</formula>
    </cfRule>
    <cfRule type="cellIs" dxfId="641" priority="12" operator="equal">
      <formula>2.1</formula>
    </cfRule>
    <cfRule type="cellIs" dxfId="640" priority="13" operator="equal">
      <formula>1.5</formula>
    </cfRule>
    <cfRule type="cellIs" dxfId="639" priority="14" operator="equal">
      <formula>1.4</formula>
    </cfRule>
    <cfRule type="cellIs" dxfId="638" priority="15" operator="equal">
      <formula>1.3</formula>
    </cfRule>
    <cfRule type="cellIs" dxfId="637" priority="16" operator="equal">
      <formula>1.2</formula>
    </cfRule>
    <cfRule type="containsText" dxfId="636" priority="17" operator="containsText" text="1.1">
      <formula>NOT(ISERROR(SEARCH("1.1",AD1)))</formula>
    </cfRule>
  </conditionalFormatting>
  <hyperlinks>
    <hyperlink ref="A3" location="'D3 to D14'!R3" tooltip="Back" display="D3 to D14'!A1" xr:uid="{00000000-0004-0000-1000-000000000000}"/>
  </hyperlinks>
  <pageMargins left="0.7" right="0.7" top="0.75" bottom="0.75" header="0.3" footer="0.3"/>
  <pageSetup scale="41" fitToHeight="0" orientation="landscape"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pageSetUpPr fitToPage="1"/>
  </sheetPr>
  <dimension ref="A1:BF260"/>
  <sheetViews>
    <sheetView zoomScale="75" zoomScaleNormal="75" workbookViewId="0"/>
  </sheetViews>
  <sheetFormatPr baseColWidth="10" defaultColWidth="9.1640625" defaultRowHeight="15"/>
  <cols>
    <col min="1" max="1" width="9.1640625" style="32" customWidth="1"/>
    <col min="2" max="2" width="50" style="32" bestFit="1" customWidth="1"/>
    <col min="3" max="3" width="7.5" style="32" customWidth="1"/>
    <col min="4" max="58" width="5.6640625" style="32" customWidth="1"/>
    <col min="59" max="59" width="2.6640625" style="32" customWidth="1"/>
    <col min="60" max="16384" width="9.1640625" style="32"/>
  </cols>
  <sheetData>
    <row r="1" spans="1:58"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c r="AU1" s="428"/>
      <c r="AV1" s="428"/>
      <c r="AW1" s="428"/>
      <c r="AX1" s="428"/>
      <c r="AY1" s="428"/>
      <c r="AZ1" s="428"/>
      <c r="BA1" s="428"/>
      <c r="BB1" s="428"/>
      <c r="BC1" s="428"/>
      <c r="BD1" s="428"/>
      <c r="BE1" s="428"/>
      <c r="BF1" s="428"/>
    </row>
    <row r="2" spans="1:58"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c r="AU2" s="428"/>
      <c r="AV2" s="428"/>
      <c r="AW2" s="428"/>
      <c r="AX2" s="428"/>
      <c r="AY2" s="428"/>
      <c r="AZ2" s="428"/>
      <c r="BA2" s="428"/>
      <c r="BB2" s="428"/>
      <c r="BC2" s="428"/>
      <c r="BD2" s="428"/>
      <c r="BE2" s="428"/>
      <c r="BF2" s="428"/>
    </row>
    <row r="3" spans="1:58"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1870"/>
      <c r="AK3" s="1870"/>
      <c r="AL3" s="621"/>
      <c r="AM3" s="1857"/>
      <c r="AN3" s="1857"/>
      <c r="AO3" s="1857"/>
      <c r="AP3" s="1857"/>
      <c r="AQ3" s="1857"/>
      <c r="AR3" s="1857"/>
      <c r="AS3" s="1857"/>
      <c r="AT3" s="1857"/>
      <c r="AU3" s="1857"/>
      <c r="AV3" s="1857"/>
      <c r="AW3" s="1857"/>
      <c r="AX3" s="1857"/>
      <c r="AY3" s="1857"/>
      <c r="AZ3" s="1857"/>
      <c r="BA3" s="1857"/>
      <c r="BB3" s="1857"/>
      <c r="BC3" s="1857"/>
      <c r="BD3" s="1857"/>
      <c r="BE3" s="1857"/>
      <c r="BF3" s="1857"/>
    </row>
    <row r="4" spans="1:58" ht="20" customHeight="1">
      <c r="A4" s="159" t="s">
        <v>670</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58" ht="20" customHeight="1">
      <c r="A5" s="1871" t="s">
        <v>15</v>
      </c>
      <c r="B5" s="410" t="s">
        <v>662</v>
      </c>
      <c r="C5" s="444"/>
      <c r="D5" s="422"/>
      <c r="E5" s="413"/>
      <c r="F5" s="422"/>
      <c r="G5" s="413"/>
      <c r="H5" s="422"/>
      <c r="I5" s="413"/>
      <c r="J5" s="422"/>
      <c r="K5" s="413"/>
      <c r="L5" s="514" t="str">
        <f>'LHR AT'!T32</f>
        <v/>
      </c>
      <c r="M5" s="441">
        <f>'LHR AT'!S32</f>
        <v>2</v>
      </c>
      <c r="N5" s="514"/>
      <c r="O5" s="443"/>
      <c r="P5" s="422"/>
      <c r="Q5" s="442"/>
      <c r="R5" s="422"/>
      <c r="S5" s="442"/>
      <c r="T5" s="422"/>
      <c r="U5" s="442"/>
      <c r="V5" s="422"/>
      <c r="W5" s="437"/>
      <c r="X5" s="422"/>
      <c r="Y5" s="437"/>
      <c r="Z5" s="422"/>
      <c r="AA5" s="437"/>
      <c r="AB5" s="422"/>
      <c r="AC5" s="439"/>
      <c r="AD5" s="422"/>
      <c r="AE5" s="439"/>
      <c r="AF5" s="514" t="str">
        <f>'LHR AT'!T33</f>
        <v/>
      </c>
      <c r="AG5" s="440">
        <f>'LHR AT'!S33</f>
        <v>2</v>
      </c>
      <c r="AH5" s="514" t="str">
        <f>'LHR AT'!T34</f>
        <v/>
      </c>
      <c r="AI5" s="440">
        <f>'LHR AT'!S34</f>
        <v>3</v>
      </c>
    </row>
    <row r="6" spans="1:58" ht="20" customHeight="1">
      <c r="A6" s="1871"/>
      <c r="B6" s="410" t="s">
        <v>677</v>
      </c>
      <c r="C6" s="444"/>
      <c r="D6" s="422"/>
      <c r="E6" s="413"/>
      <c r="F6" s="422"/>
      <c r="G6" s="413"/>
      <c r="H6" s="422"/>
      <c r="I6" s="413"/>
      <c r="J6" s="422"/>
      <c r="K6" s="413"/>
      <c r="L6" s="514" t="str">
        <f>'LHR AT'!AD41</f>
        <v/>
      </c>
      <c r="M6" s="441">
        <f>'LHR AT'!AC41</f>
        <v>1</v>
      </c>
      <c r="N6" s="514"/>
      <c r="O6" s="443"/>
      <c r="P6" s="422"/>
      <c r="Q6" s="442"/>
      <c r="R6" s="422"/>
      <c r="S6" s="442"/>
      <c r="T6" s="422" t="str">
        <f>'LHR AT'!AD42</f>
        <v/>
      </c>
      <c r="U6" s="442">
        <f>'LHR AT'!AC42</f>
        <v>2</v>
      </c>
      <c r="V6" s="422"/>
      <c r="W6" s="437"/>
      <c r="X6" s="422"/>
      <c r="Y6" s="437"/>
      <c r="Z6" s="422"/>
      <c r="AA6" s="437"/>
      <c r="AB6" s="422"/>
      <c r="AC6" s="439"/>
      <c r="AD6" s="422"/>
      <c r="AE6" s="439"/>
      <c r="AF6" s="514" t="str">
        <f>'LHR AT'!AD43</f>
        <v/>
      </c>
      <c r="AG6" s="440">
        <f>'LHR AT'!AC43</f>
        <v>1</v>
      </c>
      <c r="AH6" s="514" t="str">
        <f>'LHR AT'!AD44</f>
        <v/>
      </c>
      <c r="AI6" s="440">
        <f>'LHR AT'!AC44</f>
        <v>6</v>
      </c>
    </row>
    <row r="7" spans="1:58" ht="20" customHeight="1">
      <c r="A7" s="1871"/>
      <c r="B7" s="410" t="s">
        <v>697</v>
      </c>
      <c r="C7" s="444"/>
      <c r="D7" s="422" t="str">
        <f>'LHR AT'!I32</f>
        <v/>
      </c>
      <c r="E7" s="413">
        <f>'LHR AT'!H32</f>
        <v>4</v>
      </c>
      <c r="F7" s="422"/>
      <c r="G7" s="413"/>
      <c r="H7" s="422"/>
      <c r="I7" s="413"/>
      <c r="J7" s="422"/>
      <c r="K7" s="413"/>
      <c r="L7" s="514" t="str">
        <f>'LHR AT'!I33</f>
        <v/>
      </c>
      <c r="M7" s="441">
        <f>'LHR AT'!H33</f>
        <v>1</v>
      </c>
      <c r="N7" s="514" t="str">
        <f>'LHR AT'!I34</f>
        <v/>
      </c>
      <c r="O7" s="443">
        <f>'LHR AT'!H34</f>
        <v>1</v>
      </c>
      <c r="P7" s="422"/>
      <c r="Q7" s="442"/>
      <c r="R7" s="422"/>
      <c r="S7" s="442"/>
      <c r="T7" s="422" t="str">
        <f>'LHR AT'!I35</f>
        <v/>
      </c>
      <c r="U7" s="442">
        <f>'LHR AT'!H35</f>
        <v>1</v>
      </c>
      <c r="V7" s="422"/>
      <c r="W7" s="437"/>
      <c r="X7" s="422"/>
      <c r="Y7" s="437"/>
      <c r="Z7" s="422"/>
      <c r="AA7" s="437"/>
      <c r="AB7" s="422"/>
      <c r="AC7" s="439"/>
      <c r="AD7" s="422"/>
      <c r="AE7" s="439"/>
      <c r="AF7" s="514"/>
      <c r="AG7" s="440"/>
      <c r="AH7" s="514"/>
      <c r="AI7" s="440"/>
    </row>
    <row r="8" spans="1:58" ht="20" customHeight="1">
      <c r="A8" s="1871"/>
      <c r="B8" s="410" t="s">
        <v>698</v>
      </c>
      <c r="C8" s="444"/>
      <c r="D8" s="422" t="str">
        <f>'LHR AT'!J32</f>
        <v/>
      </c>
      <c r="E8" s="413">
        <f>'LHR AT'!H32</f>
        <v>4</v>
      </c>
      <c r="F8" s="422"/>
      <c r="G8" s="413"/>
      <c r="H8" s="422"/>
      <c r="I8" s="413"/>
      <c r="J8" s="422"/>
      <c r="K8" s="413"/>
      <c r="L8" s="514" t="str">
        <f>'LHR AT'!J33</f>
        <v/>
      </c>
      <c r="M8" s="441">
        <f>'LHR AT'!H33</f>
        <v>1</v>
      </c>
      <c r="N8" s="514" t="str">
        <f>'LHR AT'!J34</f>
        <v/>
      </c>
      <c r="O8" s="443">
        <f>'LHR AT'!H34</f>
        <v>1</v>
      </c>
      <c r="P8" s="422"/>
      <c r="Q8" s="442"/>
      <c r="R8" s="422"/>
      <c r="S8" s="442"/>
      <c r="T8" s="422" t="str">
        <f>'LHR AT'!J35</f>
        <v/>
      </c>
      <c r="U8" s="442">
        <f>'LHR AT'!H35</f>
        <v>1</v>
      </c>
      <c r="V8" s="422"/>
      <c r="W8" s="437"/>
      <c r="X8" s="422"/>
      <c r="Y8" s="437"/>
      <c r="Z8" s="422"/>
      <c r="AA8" s="437"/>
      <c r="AB8" s="422"/>
      <c r="AC8" s="439"/>
      <c r="AD8" s="422"/>
      <c r="AE8" s="439"/>
      <c r="AF8" s="514"/>
      <c r="AG8" s="440"/>
      <c r="AH8" s="514"/>
      <c r="AI8" s="440"/>
    </row>
    <row r="9" spans="1:58" ht="20" customHeight="1">
      <c r="A9" s="1871"/>
      <c r="B9" s="410" t="s">
        <v>716</v>
      </c>
      <c r="C9" s="444"/>
      <c r="D9" s="422"/>
      <c r="E9" s="413"/>
      <c r="F9" s="422"/>
      <c r="G9" s="413"/>
      <c r="H9" s="422"/>
      <c r="I9" s="413"/>
      <c r="J9" s="422"/>
      <c r="K9" s="413"/>
      <c r="L9" s="514"/>
      <c r="M9" s="441"/>
      <c r="N9" s="514"/>
      <c r="O9" s="443"/>
      <c r="P9" s="422"/>
      <c r="Q9" s="442"/>
      <c r="R9" s="422"/>
      <c r="S9" s="442"/>
      <c r="T9" s="422"/>
      <c r="U9" s="442"/>
      <c r="V9" s="422"/>
      <c r="W9" s="437"/>
      <c r="X9" s="422"/>
      <c r="Y9" s="437"/>
      <c r="Z9" s="422"/>
      <c r="AA9" s="437"/>
      <c r="AB9" s="422"/>
      <c r="AC9" s="439"/>
      <c r="AD9" s="422"/>
      <c r="AE9" s="439"/>
      <c r="AF9" s="514"/>
      <c r="AG9" s="440"/>
      <c r="AH9" s="514"/>
      <c r="AI9" s="440"/>
    </row>
    <row r="10" spans="1:58" ht="20" customHeight="1">
      <c r="A10" s="1871"/>
      <c r="B10" s="410" t="s">
        <v>717</v>
      </c>
      <c r="C10" s="444"/>
      <c r="D10" s="422"/>
      <c r="E10" s="413"/>
      <c r="F10" s="422"/>
      <c r="G10" s="413"/>
      <c r="H10" s="422"/>
      <c r="I10" s="413"/>
      <c r="J10" s="422"/>
      <c r="K10" s="413"/>
      <c r="L10" s="514"/>
      <c r="M10" s="441"/>
      <c r="N10" s="514"/>
      <c r="O10" s="443"/>
      <c r="P10" s="422"/>
      <c r="Q10" s="442"/>
      <c r="R10" s="422"/>
      <c r="S10" s="442"/>
      <c r="T10" s="422"/>
      <c r="U10" s="442"/>
      <c r="V10" s="422"/>
      <c r="W10" s="437"/>
      <c r="X10" s="422"/>
      <c r="Y10" s="437"/>
      <c r="Z10" s="422"/>
      <c r="AA10" s="437"/>
      <c r="AB10" s="422"/>
      <c r="AC10" s="439"/>
      <c r="AD10" s="422"/>
      <c r="AE10" s="439"/>
      <c r="AF10" s="514"/>
      <c r="AG10" s="440"/>
      <c r="AH10" s="514"/>
      <c r="AI10" s="440"/>
    </row>
    <row r="11" spans="1:58" ht="20" customHeight="1">
      <c r="A11" s="423"/>
      <c r="B11" s="424"/>
      <c r="C11" s="429"/>
      <c r="D11" s="515"/>
      <c r="E11" s="515"/>
      <c r="F11" s="515"/>
      <c r="G11" s="515"/>
      <c r="H11" s="515"/>
      <c r="I11" s="515"/>
      <c r="J11" s="515"/>
      <c r="K11" s="515"/>
      <c r="L11" s="515"/>
      <c r="M11" s="515"/>
      <c r="N11" s="515"/>
      <c r="O11" s="515"/>
      <c r="P11" s="515"/>
      <c r="Q11" s="515"/>
      <c r="R11" s="515"/>
      <c r="S11" s="515"/>
      <c r="T11" s="515"/>
      <c r="U11" s="515"/>
      <c r="V11" s="515"/>
      <c r="W11" s="515"/>
      <c r="X11" s="515"/>
      <c r="Y11" s="515"/>
      <c r="Z11" s="515"/>
      <c r="AA11" s="515"/>
      <c r="AB11" s="515"/>
      <c r="AC11" s="515"/>
      <c r="AD11" s="515"/>
      <c r="AE11" s="515"/>
      <c r="AF11" s="515"/>
      <c r="AG11" s="515"/>
      <c r="AH11" s="515"/>
      <c r="AI11" s="515"/>
      <c r="AM11" s="414"/>
      <c r="AN11" s="414"/>
      <c r="AO11" s="414"/>
      <c r="AP11" s="414"/>
      <c r="AQ11" s="414"/>
      <c r="AR11" s="414"/>
      <c r="AS11" s="415"/>
      <c r="AT11" s="415"/>
      <c r="AU11" s="415"/>
      <c r="AV11" s="415"/>
      <c r="AW11" s="415"/>
      <c r="AX11" s="415"/>
      <c r="AY11" s="415"/>
      <c r="AZ11" s="415"/>
      <c r="BA11" s="415"/>
      <c r="BB11" s="415"/>
      <c r="BC11" s="415"/>
      <c r="BD11" s="52"/>
    </row>
    <row r="12" spans="1:58" ht="20" customHeight="1">
      <c r="A12" s="1871" t="s">
        <v>643</v>
      </c>
      <c r="B12" s="410" t="s">
        <v>426</v>
      </c>
      <c r="C12" s="444"/>
      <c r="D12" s="422"/>
      <c r="E12" s="413"/>
      <c r="F12" s="422"/>
      <c r="G12" s="413"/>
      <c r="H12" s="422"/>
      <c r="I12" s="413"/>
      <c r="J12" s="422"/>
      <c r="K12" s="413"/>
      <c r="L12" s="514" t="str">
        <f>'LHR AT'!U65</f>
        <v/>
      </c>
      <c r="M12" s="441">
        <f>'LHR AT'!T65</f>
        <v>1</v>
      </c>
      <c r="N12" s="514" t="str">
        <f>'LHR AT'!U66</f>
        <v/>
      </c>
      <c r="O12" s="443">
        <f>'LHR AT'!T66</f>
        <v>1</v>
      </c>
      <c r="P12" s="422"/>
      <c r="Q12" s="442"/>
      <c r="R12" s="422"/>
      <c r="S12" s="442"/>
      <c r="T12" s="422"/>
      <c r="U12" s="442"/>
      <c r="V12" s="422"/>
      <c r="W12" s="437"/>
      <c r="X12" s="422"/>
      <c r="Y12" s="437"/>
      <c r="Z12" s="422"/>
      <c r="AA12" s="437"/>
      <c r="AB12" s="422"/>
      <c r="AC12" s="439"/>
      <c r="AD12" s="422"/>
      <c r="AE12" s="439"/>
      <c r="AF12" s="514" t="str">
        <f>'LHR AT'!U67</f>
        <v/>
      </c>
      <c r="AG12" s="440">
        <f>'LHR AT'!T67</f>
        <v>2</v>
      </c>
      <c r="AH12" s="514" t="str">
        <f>'LHR AT'!U68</f>
        <v/>
      </c>
      <c r="AI12" s="440">
        <f>'LHR AT'!T68</f>
        <v>1</v>
      </c>
    </row>
    <row r="13" spans="1:58" ht="20" customHeight="1">
      <c r="A13" s="1871"/>
      <c r="B13" s="410" t="s">
        <v>427</v>
      </c>
      <c r="C13" s="444"/>
      <c r="D13" s="422"/>
      <c r="E13" s="413"/>
      <c r="F13" s="422"/>
      <c r="G13" s="413"/>
      <c r="H13" s="422"/>
      <c r="I13" s="413"/>
      <c r="J13" s="422"/>
      <c r="K13" s="413"/>
      <c r="L13" s="514"/>
      <c r="M13" s="441"/>
      <c r="N13" s="514"/>
      <c r="O13" s="443"/>
      <c r="P13" s="422"/>
      <c r="Q13" s="442"/>
      <c r="R13" s="422"/>
      <c r="S13" s="442"/>
      <c r="T13" s="422" t="str">
        <f>'LHR AT'!AC83</f>
        <v/>
      </c>
      <c r="U13" s="442">
        <f>'LHR AT'!AB83</f>
        <v>3</v>
      </c>
      <c r="V13" s="422"/>
      <c r="W13" s="437"/>
      <c r="X13" s="422"/>
      <c r="Y13" s="437"/>
      <c r="Z13" s="422"/>
      <c r="AA13" s="437"/>
      <c r="AB13" s="422"/>
      <c r="AC13" s="439"/>
      <c r="AD13" s="422"/>
      <c r="AE13" s="439"/>
      <c r="AF13" s="514" t="str">
        <f>'LHR AT'!AC84</f>
        <v/>
      </c>
      <c r="AG13" s="440">
        <f>'LHR AT'!AB84</f>
        <v>5</v>
      </c>
      <c r="AH13" s="514" t="str">
        <f>'LHR AT'!AC85</f>
        <v/>
      </c>
      <c r="AI13" s="440">
        <f>'LHR AT'!AB85</f>
        <v>3</v>
      </c>
    </row>
    <row r="14" spans="1:58" ht="20" customHeight="1">
      <c r="A14" s="1871"/>
      <c r="B14" s="410" t="s">
        <v>674</v>
      </c>
      <c r="C14" s="444"/>
      <c r="D14" s="422"/>
      <c r="E14" s="413"/>
      <c r="F14" s="422"/>
      <c r="G14" s="413"/>
      <c r="H14" s="422"/>
      <c r="I14" s="413"/>
      <c r="J14" s="422"/>
      <c r="K14" s="413"/>
      <c r="L14" s="514"/>
      <c r="M14" s="441"/>
      <c r="N14" s="514"/>
      <c r="O14" s="443"/>
      <c r="P14" s="422"/>
      <c r="Q14" s="442"/>
      <c r="R14" s="422"/>
      <c r="S14" s="442"/>
      <c r="T14" s="422" t="str">
        <f>'LHR AT'!AK77</f>
        <v/>
      </c>
      <c r="U14" s="442">
        <f>'LHR AT'!AJ77</f>
        <v>3</v>
      </c>
      <c r="V14" s="422"/>
      <c r="W14" s="437"/>
      <c r="X14" s="422"/>
      <c r="Y14" s="437"/>
      <c r="Z14" s="422"/>
      <c r="AA14" s="437"/>
      <c r="AB14" s="422"/>
      <c r="AC14" s="439"/>
      <c r="AD14" s="422"/>
      <c r="AE14" s="439"/>
      <c r="AF14" s="514" t="str">
        <f>'LHR AT'!AK78</f>
        <v/>
      </c>
      <c r="AG14" s="440">
        <f>'LHR AT'!AJ78</f>
        <v>4</v>
      </c>
      <c r="AH14" s="514" t="str">
        <f>'LHR AT'!AK79</f>
        <v/>
      </c>
      <c r="AI14" s="440">
        <f>'LHR AT'!AJ79</f>
        <v>2</v>
      </c>
    </row>
    <row r="15" spans="1:58" ht="20" customHeight="1">
      <c r="A15" s="1871"/>
      <c r="B15" s="410" t="s">
        <v>429</v>
      </c>
      <c r="C15" s="444"/>
      <c r="D15" s="422"/>
      <c r="E15" s="413"/>
      <c r="F15" s="422"/>
      <c r="G15" s="413"/>
      <c r="H15" s="422"/>
      <c r="I15" s="413"/>
      <c r="J15" s="422"/>
      <c r="K15" s="413"/>
      <c r="L15" s="514"/>
      <c r="M15" s="441"/>
      <c r="N15" s="514"/>
      <c r="O15" s="443"/>
      <c r="P15" s="422"/>
      <c r="Q15" s="442"/>
      <c r="R15" s="422"/>
      <c r="S15" s="442"/>
      <c r="T15" s="422" t="str">
        <f>'LHR AT'!AS74</f>
        <v/>
      </c>
      <c r="U15" s="442">
        <f>'LHR AT'!AR74</f>
        <v>4</v>
      </c>
      <c r="V15" s="422"/>
      <c r="W15" s="437"/>
      <c r="X15" s="422"/>
      <c r="Y15" s="437"/>
      <c r="Z15" s="422"/>
      <c r="AA15" s="437"/>
      <c r="AB15" s="422"/>
      <c r="AC15" s="439"/>
      <c r="AD15" s="422"/>
      <c r="AE15" s="439"/>
      <c r="AF15" s="514" t="str">
        <f>'LHR AT'!AS75</f>
        <v/>
      </c>
      <c r="AG15" s="440">
        <f>'LHR AT'!AR75</f>
        <v>2</v>
      </c>
      <c r="AH15" s="514" t="str">
        <f>'LHR AT'!AS76</f>
        <v/>
      </c>
      <c r="AI15" s="440">
        <f>'LHR AT'!AR76</f>
        <v>2</v>
      </c>
    </row>
    <row r="16" spans="1:58" ht="20" customHeight="1">
      <c r="A16" s="1871"/>
      <c r="B16" s="410" t="s">
        <v>430</v>
      </c>
      <c r="C16" s="444"/>
      <c r="D16" s="422"/>
      <c r="E16" s="413"/>
      <c r="F16" s="422"/>
      <c r="G16" s="413"/>
      <c r="H16" s="422"/>
      <c r="I16" s="413"/>
      <c r="J16" s="422"/>
      <c r="K16" s="413"/>
      <c r="L16" s="514"/>
      <c r="M16" s="441"/>
      <c r="N16" s="514"/>
      <c r="O16" s="443"/>
      <c r="P16" s="422"/>
      <c r="Q16" s="442"/>
      <c r="R16" s="422"/>
      <c r="S16" s="442"/>
      <c r="T16" s="422" t="str">
        <f>'LHR AT'!BA71</f>
        <v/>
      </c>
      <c r="U16" s="442">
        <f>'LHR AT'!AZ71</f>
        <v>2</v>
      </c>
      <c r="V16" s="422"/>
      <c r="W16" s="437"/>
      <c r="X16" s="422"/>
      <c r="Y16" s="437"/>
      <c r="Z16" s="422"/>
      <c r="AA16" s="437"/>
      <c r="AB16" s="422"/>
      <c r="AC16" s="439"/>
      <c r="AD16" s="422"/>
      <c r="AE16" s="439"/>
      <c r="AF16" s="514" t="str">
        <f>'LHR AT'!BA72</f>
        <v/>
      </c>
      <c r="AG16" s="440">
        <f>'LHR AT'!AZ72</f>
        <v>1</v>
      </c>
      <c r="AH16" s="514" t="str">
        <f>'LHR AT'!BA73</f>
        <v/>
      </c>
      <c r="AI16" s="440">
        <f>'LHR AT'!AZ73</f>
        <v>4</v>
      </c>
    </row>
    <row r="17" spans="1:56" ht="20" customHeight="1">
      <c r="A17" s="1871"/>
      <c r="B17" s="410" t="s">
        <v>431</v>
      </c>
      <c r="C17" s="444"/>
      <c r="D17" s="422"/>
      <c r="E17" s="413"/>
      <c r="F17" s="422"/>
      <c r="G17" s="413"/>
      <c r="H17" s="422"/>
      <c r="I17" s="413"/>
      <c r="J17" s="422"/>
      <c r="K17" s="413"/>
      <c r="L17" s="514"/>
      <c r="M17" s="441"/>
      <c r="N17" s="514"/>
      <c r="O17" s="443"/>
      <c r="P17" s="422"/>
      <c r="Q17" s="442"/>
      <c r="R17" s="422"/>
      <c r="S17" s="442"/>
      <c r="T17" s="422" t="str">
        <f>'LHR AT'!BI80</f>
        <v/>
      </c>
      <c r="U17" s="442">
        <f>'LHR AT'!BH80</f>
        <v>3</v>
      </c>
      <c r="V17" s="422"/>
      <c r="W17" s="437"/>
      <c r="X17" s="422"/>
      <c r="Y17" s="437"/>
      <c r="Z17" s="422"/>
      <c r="AA17" s="437"/>
      <c r="AB17" s="422"/>
      <c r="AC17" s="439"/>
      <c r="AD17" s="422"/>
      <c r="AE17" s="439"/>
      <c r="AF17" s="514" t="str">
        <f>'LHR AT'!BI81</f>
        <v/>
      </c>
      <c r="AG17" s="440">
        <f>'LHR AT'!BH81</f>
        <v>3</v>
      </c>
      <c r="AH17" s="514" t="str">
        <f>'LHR AT'!BI82</f>
        <v/>
      </c>
      <c r="AI17" s="440">
        <f>'LHR AT'!BH82</f>
        <v>4</v>
      </c>
      <c r="AM17" s="630"/>
      <c r="AN17" s="630"/>
      <c r="AO17" s="630"/>
      <c r="AP17" s="630"/>
      <c r="AQ17" s="630"/>
      <c r="AR17" s="630"/>
      <c r="AS17" s="630"/>
      <c r="AT17" s="630"/>
      <c r="AU17" s="630"/>
      <c r="AV17" s="630"/>
      <c r="AW17" s="630"/>
      <c r="AX17" s="630"/>
      <c r="AY17" s="630"/>
      <c r="AZ17" s="630"/>
      <c r="BA17" s="630"/>
      <c r="BB17" s="630"/>
      <c r="BC17" s="630"/>
      <c r="BD17" s="630"/>
    </row>
    <row r="18" spans="1:56" ht="20" customHeight="1">
      <c r="A18" s="1871"/>
      <c r="B18" s="410" t="s">
        <v>699</v>
      </c>
      <c r="C18" s="444"/>
      <c r="D18" s="422" t="str">
        <f>'LHR AT'!H77</f>
        <v/>
      </c>
      <c r="E18" s="413">
        <f>'LHR AT'!G77</f>
        <v>4</v>
      </c>
      <c r="F18" s="422"/>
      <c r="G18" s="413"/>
      <c r="H18" s="422"/>
      <c r="I18" s="413"/>
      <c r="J18" s="422"/>
      <c r="K18" s="413"/>
      <c r="L18" s="514" t="str">
        <f>'LHR AT'!H78</f>
        <v/>
      </c>
      <c r="M18" s="441">
        <f>'LHR AT'!G78</f>
        <v>1</v>
      </c>
      <c r="N18" s="514" t="str">
        <f>'LHR AT'!H79</f>
        <v/>
      </c>
      <c r="O18" s="443">
        <f>'LHR AT'!G79</f>
        <v>2</v>
      </c>
      <c r="P18" s="422"/>
      <c r="Q18" s="442"/>
      <c r="R18" s="422"/>
      <c r="S18" s="442"/>
      <c r="T18" s="422" t="str">
        <f>'LHR AT'!H80</f>
        <v/>
      </c>
      <c r="U18" s="442">
        <f>'LHR AT'!G80</f>
        <v>2</v>
      </c>
      <c r="V18" s="422"/>
      <c r="W18" s="437"/>
      <c r="X18" s="422"/>
      <c r="Y18" s="437"/>
      <c r="Z18" s="422"/>
      <c r="AA18" s="437"/>
      <c r="AB18" s="422"/>
      <c r="AC18" s="439"/>
      <c r="AD18" s="422"/>
      <c r="AE18" s="439"/>
      <c r="AF18" s="514"/>
      <c r="AG18" s="440"/>
      <c r="AH18" s="514"/>
      <c r="AI18" s="440"/>
    </row>
    <row r="19" spans="1:56" ht="20" customHeight="1">
      <c r="A19" s="1871"/>
      <c r="B19" s="410" t="s">
        <v>700</v>
      </c>
      <c r="C19" s="444"/>
      <c r="D19" s="422" t="str">
        <f>'LHR AT'!I77</f>
        <v/>
      </c>
      <c r="E19" s="413">
        <f>'LHR AT'!G77</f>
        <v>4</v>
      </c>
      <c r="F19" s="422"/>
      <c r="G19" s="413"/>
      <c r="H19" s="422"/>
      <c r="I19" s="413"/>
      <c r="J19" s="422"/>
      <c r="K19" s="413"/>
      <c r="L19" s="514" t="str">
        <f>'LHR AT'!I78</f>
        <v/>
      </c>
      <c r="M19" s="441">
        <f>'LHR AT'!G78</f>
        <v>1</v>
      </c>
      <c r="N19" s="514" t="str">
        <f>'LHR AT'!I79</f>
        <v/>
      </c>
      <c r="O19" s="443">
        <f>'LHR AT'!G79</f>
        <v>2</v>
      </c>
      <c r="P19" s="422"/>
      <c r="Q19" s="442"/>
      <c r="R19" s="422"/>
      <c r="S19" s="442"/>
      <c r="T19" s="422" t="str">
        <f>'LHR AT'!I80</f>
        <v/>
      </c>
      <c r="U19" s="442">
        <f>'LHR AT'!G80</f>
        <v>2</v>
      </c>
      <c r="V19" s="422"/>
      <c r="W19" s="437"/>
      <c r="X19" s="422"/>
      <c r="Y19" s="437"/>
      <c r="Z19" s="422"/>
      <c r="AA19" s="437"/>
      <c r="AB19" s="422"/>
      <c r="AC19" s="439"/>
      <c r="AD19" s="422"/>
      <c r="AE19" s="439"/>
      <c r="AF19" s="514"/>
      <c r="AG19" s="440"/>
      <c r="AH19" s="514"/>
      <c r="AI19" s="440"/>
    </row>
    <row r="20" spans="1:56" ht="20" customHeight="1">
      <c r="A20" s="1871"/>
      <c r="B20" s="410" t="s">
        <v>723</v>
      </c>
      <c r="C20" s="444"/>
      <c r="D20" s="422" t="str">
        <f>'LHR AT'!J77</f>
        <v/>
      </c>
      <c r="E20" s="413">
        <f>'LHR AT'!G77</f>
        <v>4</v>
      </c>
      <c r="F20" s="422"/>
      <c r="G20" s="413"/>
      <c r="H20" s="422"/>
      <c r="I20" s="413"/>
      <c r="J20" s="422"/>
      <c r="K20" s="413"/>
      <c r="L20" s="514" t="str">
        <f>'LHR AT'!J78</f>
        <v/>
      </c>
      <c r="M20" s="441">
        <f>'LHR AT'!G78</f>
        <v>1</v>
      </c>
      <c r="N20" s="514" t="str">
        <f>'LHR AT'!J79</f>
        <v/>
      </c>
      <c r="O20" s="443">
        <f>'LHR AT'!G79</f>
        <v>2</v>
      </c>
      <c r="P20" s="422"/>
      <c r="Q20" s="442"/>
      <c r="R20" s="422"/>
      <c r="S20" s="442"/>
      <c r="T20" s="422" t="str">
        <f>'LHR AT'!J80</f>
        <v/>
      </c>
      <c r="U20" s="442">
        <f>'LHR AT'!G80</f>
        <v>2</v>
      </c>
      <c r="V20" s="422"/>
      <c r="W20" s="437"/>
      <c r="X20" s="422"/>
      <c r="Y20" s="437"/>
      <c r="Z20" s="422"/>
      <c r="AA20" s="437"/>
      <c r="AB20" s="422"/>
      <c r="AC20" s="439"/>
      <c r="AD20" s="422"/>
      <c r="AE20" s="439"/>
      <c r="AF20" s="514"/>
      <c r="AG20" s="440"/>
      <c r="AH20" s="514"/>
      <c r="AI20" s="440"/>
    </row>
    <row r="21" spans="1:56" ht="20" customHeight="1">
      <c r="A21" s="1871"/>
      <c r="B21" s="410" t="s">
        <v>701</v>
      </c>
      <c r="C21" s="444"/>
      <c r="D21" s="422" t="str">
        <f>'LHR AT'!K77</f>
        <v/>
      </c>
      <c r="E21" s="413">
        <f>'LHR AT'!G77</f>
        <v>4</v>
      </c>
      <c r="F21" s="422"/>
      <c r="G21" s="413"/>
      <c r="H21" s="422"/>
      <c r="I21" s="413"/>
      <c r="J21" s="422"/>
      <c r="K21" s="413"/>
      <c r="L21" s="514" t="str">
        <f>'LHR AT'!K78</f>
        <v/>
      </c>
      <c r="M21" s="441">
        <f>'LHR AT'!G78</f>
        <v>1</v>
      </c>
      <c r="N21" s="514" t="str">
        <f>'LHR AT'!K79</f>
        <v/>
      </c>
      <c r="O21" s="443">
        <f>'LHR AT'!G79</f>
        <v>2</v>
      </c>
      <c r="P21" s="422"/>
      <c r="Q21" s="442"/>
      <c r="R21" s="422"/>
      <c r="S21" s="442"/>
      <c r="T21" s="422" t="str">
        <f>'LHR AT'!K80</f>
        <v/>
      </c>
      <c r="U21" s="442">
        <f>'LHR AT'!G80</f>
        <v>2</v>
      </c>
      <c r="V21" s="422"/>
      <c r="W21" s="437"/>
      <c r="X21" s="422"/>
      <c r="Y21" s="437"/>
      <c r="Z21" s="422"/>
      <c r="AA21" s="437"/>
      <c r="AB21" s="422"/>
      <c r="AC21" s="439"/>
      <c r="AD21" s="422"/>
      <c r="AE21" s="439"/>
      <c r="AF21" s="514"/>
      <c r="AG21" s="440"/>
      <c r="AH21" s="514"/>
      <c r="AI21" s="440"/>
    </row>
    <row r="22" spans="1:56" ht="20" customHeight="1">
      <c r="A22" s="1871"/>
      <c r="B22" s="410" t="s">
        <v>702</v>
      </c>
      <c r="C22" s="444"/>
      <c r="D22" s="422" t="str">
        <f>'LHR AT'!L77</f>
        <v/>
      </c>
      <c r="E22" s="413">
        <f>'LHR AT'!G77</f>
        <v>4</v>
      </c>
      <c r="F22" s="422"/>
      <c r="G22" s="413"/>
      <c r="H22" s="422"/>
      <c r="I22" s="413"/>
      <c r="J22" s="422"/>
      <c r="K22" s="413"/>
      <c r="L22" s="514" t="str">
        <f>'LHR AT'!L78</f>
        <v/>
      </c>
      <c r="M22" s="441">
        <f>'LHR AT'!G78</f>
        <v>1</v>
      </c>
      <c r="N22" s="514" t="str">
        <f>'LHR AT'!L79</f>
        <v/>
      </c>
      <c r="O22" s="443">
        <f>'LHR AT'!G79</f>
        <v>2</v>
      </c>
      <c r="P22" s="422"/>
      <c r="Q22" s="442"/>
      <c r="R22" s="422"/>
      <c r="S22" s="442"/>
      <c r="T22" s="422" t="str">
        <f>'LHR AT'!L80</f>
        <v/>
      </c>
      <c r="U22" s="442">
        <f>'LHR AT'!G80</f>
        <v>2</v>
      </c>
      <c r="V22" s="422"/>
      <c r="W22" s="437"/>
      <c r="X22" s="422"/>
      <c r="Y22" s="437"/>
      <c r="Z22" s="422"/>
      <c r="AA22" s="437"/>
      <c r="AB22" s="422"/>
      <c r="AC22" s="439"/>
      <c r="AD22" s="422"/>
      <c r="AE22" s="439"/>
      <c r="AF22" s="514"/>
      <c r="AG22" s="440"/>
      <c r="AH22" s="514"/>
      <c r="AI22" s="440"/>
    </row>
    <row r="23" spans="1:56" ht="20" customHeight="1">
      <c r="A23" s="1871"/>
      <c r="B23" s="410" t="s">
        <v>721</v>
      </c>
      <c r="C23" s="444"/>
      <c r="D23" s="422" t="str">
        <f>'LHR AT'!M77</f>
        <v/>
      </c>
      <c r="E23" s="413">
        <f>'LHR AT'!G77</f>
        <v>4</v>
      </c>
      <c r="F23" s="422"/>
      <c r="G23" s="413"/>
      <c r="H23" s="422"/>
      <c r="I23" s="413"/>
      <c r="J23" s="422"/>
      <c r="K23" s="413"/>
      <c r="L23" s="514" t="str">
        <f>'LHR AT'!M78</f>
        <v/>
      </c>
      <c r="M23" s="441">
        <f>'LHR AT'!G78</f>
        <v>1</v>
      </c>
      <c r="N23" s="514" t="str">
        <f>'LHR AT'!M79</f>
        <v/>
      </c>
      <c r="O23" s="443">
        <f>'LHR AT'!G79</f>
        <v>2</v>
      </c>
      <c r="P23" s="422"/>
      <c r="Q23" s="442"/>
      <c r="R23" s="422"/>
      <c r="S23" s="442"/>
      <c r="T23" s="422" t="str">
        <f>'LHR AT'!M80</f>
        <v/>
      </c>
      <c r="U23" s="442">
        <f>'LHR AT'!G80</f>
        <v>2</v>
      </c>
      <c r="V23" s="422"/>
      <c r="W23" s="437"/>
      <c r="X23" s="422"/>
      <c r="Y23" s="437"/>
      <c r="Z23" s="422"/>
      <c r="AA23" s="437"/>
      <c r="AB23" s="422"/>
      <c r="AC23" s="439"/>
      <c r="AD23" s="422"/>
      <c r="AE23" s="439"/>
      <c r="AF23" s="514"/>
      <c r="AG23" s="440"/>
      <c r="AH23" s="514"/>
      <c r="AI23" s="440"/>
    </row>
    <row r="24" spans="1:56" ht="20" customHeight="1">
      <c r="A24" s="1871"/>
      <c r="B24" s="410" t="s">
        <v>679</v>
      </c>
      <c r="C24" s="444"/>
      <c r="D24" s="422"/>
      <c r="E24" s="413"/>
      <c r="F24" s="422"/>
      <c r="G24" s="413"/>
      <c r="H24" s="422"/>
      <c r="I24" s="413"/>
      <c r="J24" s="422" t="str">
        <f>'LHR AT'!H92</f>
        <v/>
      </c>
      <c r="K24" s="413">
        <f>'LHR AT'!G92</f>
        <v>1</v>
      </c>
      <c r="L24" s="514"/>
      <c r="M24" s="441"/>
      <c r="N24" s="514"/>
      <c r="O24" s="443"/>
      <c r="P24" s="422"/>
      <c r="Q24" s="442"/>
      <c r="R24" s="422"/>
      <c r="S24" s="442"/>
      <c r="T24" s="422"/>
      <c r="U24" s="442"/>
      <c r="V24" s="422" t="str">
        <f>'LHR AT'!H91</f>
        <v/>
      </c>
      <c r="W24" s="437">
        <f>'LHR AT'!G91</f>
        <v>1</v>
      </c>
      <c r="X24" s="422"/>
      <c r="Y24" s="437"/>
      <c r="Z24" s="422"/>
      <c r="AA24" s="437"/>
      <c r="AB24" s="422"/>
      <c r="AC24" s="439"/>
      <c r="AD24" s="422"/>
      <c r="AE24" s="439"/>
      <c r="AF24" s="514"/>
      <c r="AG24" s="440"/>
      <c r="AH24" s="514"/>
      <c r="AI24" s="440"/>
    </row>
    <row r="25" spans="1:56" ht="20" customHeight="1">
      <c r="A25" s="1871"/>
      <c r="B25" s="410" t="s">
        <v>680</v>
      </c>
      <c r="C25" s="444"/>
      <c r="D25" s="422"/>
      <c r="E25" s="413"/>
      <c r="F25" s="422"/>
      <c r="G25" s="413"/>
      <c r="H25" s="422"/>
      <c r="I25" s="413"/>
      <c r="J25" s="422" t="str">
        <f>'LHR AT'!I92</f>
        <v/>
      </c>
      <c r="K25" s="413">
        <f>'LHR AT'!G92</f>
        <v>1</v>
      </c>
      <c r="L25" s="514"/>
      <c r="M25" s="441"/>
      <c r="N25" s="514"/>
      <c r="O25" s="443"/>
      <c r="P25" s="422"/>
      <c r="Q25" s="442"/>
      <c r="R25" s="422"/>
      <c r="S25" s="442"/>
      <c r="T25" s="422"/>
      <c r="U25" s="442"/>
      <c r="V25" s="422" t="str">
        <f>'LHR AT'!I91</f>
        <v/>
      </c>
      <c r="W25" s="437">
        <f>'LHR AT'!G91</f>
        <v>1</v>
      </c>
      <c r="X25" s="422"/>
      <c r="Y25" s="437"/>
      <c r="Z25" s="422"/>
      <c r="AA25" s="437"/>
      <c r="AB25" s="422"/>
      <c r="AC25" s="439"/>
      <c r="AD25" s="422"/>
      <c r="AE25" s="439"/>
      <c r="AF25" s="514"/>
      <c r="AG25" s="440"/>
      <c r="AH25" s="514"/>
      <c r="AI25" s="440"/>
    </row>
    <row r="26" spans="1:56" ht="20" customHeight="1">
      <c r="A26" s="1871"/>
      <c r="B26" s="410" t="s">
        <v>724</v>
      </c>
      <c r="C26" s="444"/>
      <c r="D26" s="422"/>
      <c r="E26" s="413"/>
      <c r="F26" s="422"/>
      <c r="G26" s="413"/>
      <c r="H26" s="422"/>
      <c r="I26" s="413"/>
      <c r="J26" s="422" t="str">
        <f>'LHR AT'!J92</f>
        <v/>
      </c>
      <c r="K26" s="413">
        <f>'LHR AT'!G92</f>
        <v>1</v>
      </c>
      <c r="L26" s="514"/>
      <c r="M26" s="441"/>
      <c r="N26" s="514"/>
      <c r="O26" s="443"/>
      <c r="P26" s="422"/>
      <c r="Q26" s="442"/>
      <c r="R26" s="422"/>
      <c r="S26" s="442"/>
      <c r="T26" s="422"/>
      <c r="U26" s="442"/>
      <c r="V26" s="422" t="str">
        <f>'LHR AT'!J91</f>
        <v/>
      </c>
      <c r="W26" s="437">
        <f>'LHR AT'!G91</f>
        <v>1</v>
      </c>
      <c r="X26" s="422"/>
      <c r="Y26" s="437"/>
      <c r="Z26" s="422"/>
      <c r="AA26" s="437"/>
      <c r="AB26" s="422"/>
      <c r="AC26" s="439"/>
      <c r="AD26" s="422"/>
      <c r="AE26" s="439"/>
      <c r="AF26" s="514"/>
      <c r="AG26" s="440"/>
      <c r="AH26" s="514"/>
      <c r="AI26" s="440"/>
    </row>
    <row r="27" spans="1:56" ht="20" customHeight="1">
      <c r="A27" s="1871"/>
      <c r="B27" s="410" t="s">
        <v>681</v>
      </c>
      <c r="C27" s="444"/>
      <c r="D27" s="422"/>
      <c r="E27" s="413"/>
      <c r="F27" s="422"/>
      <c r="G27" s="413"/>
      <c r="H27" s="422"/>
      <c r="I27" s="413"/>
      <c r="J27" s="422" t="str">
        <f>'LHR AT'!K92</f>
        <v/>
      </c>
      <c r="K27" s="413">
        <f>'LHR AT'!G92</f>
        <v>1</v>
      </c>
      <c r="L27" s="514"/>
      <c r="M27" s="441"/>
      <c r="N27" s="514"/>
      <c r="O27" s="443"/>
      <c r="P27" s="422"/>
      <c r="Q27" s="442"/>
      <c r="R27" s="422"/>
      <c r="S27" s="442"/>
      <c r="T27" s="422"/>
      <c r="U27" s="442"/>
      <c r="V27" s="422" t="str">
        <f>'LHR AT'!K91</f>
        <v/>
      </c>
      <c r="W27" s="437">
        <f>'LHR AT'!G91</f>
        <v>1</v>
      </c>
      <c r="X27" s="422"/>
      <c r="Y27" s="437"/>
      <c r="Z27" s="422"/>
      <c r="AA27" s="437"/>
      <c r="AB27" s="422"/>
      <c r="AC27" s="439"/>
      <c r="AD27" s="422"/>
      <c r="AE27" s="439"/>
      <c r="AF27" s="514"/>
      <c r="AG27" s="440"/>
      <c r="AH27" s="514"/>
      <c r="AI27" s="440"/>
    </row>
    <row r="28" spans="1:56" ht="20" customHeight="1">
      <c r="A28" s="1871"/>
      <c r="B28" s="410" t="s">
        <v>682</v>
      </c>
      <c r="C28" s="444"/>
      <c r="D28" s="422"/>
      <c r="E28" s="413"/>
      <c r="F28" s="422"/>
      <c r="G28" s="413"/>
      <c r="H28" s="422"/>
      <c r="I28" s="413"/>
      <c r="J28" s="422" t="str">
        <f>'LHR AT'!L92</f>
        <v/>
      </c>
      <c r="K28" s="413">
        <f>'LHR AT'!G92</f>
        <v>1</v>
      </c>
      <c r="L28" s="514"/>
      <c r="M28" s="441"/>
      <c r="N28" s="514"/>
      <c r="O28" s="443"/>
      <c r="P28" s="422"/>
      <c r="Q28" s="442"/>
      <c r="R28" s="422"/>
      <c r="S28" s="442"/>
      <c r="T28" s="422"/>
      <c r="U28" s="442"/>
      <c r="V28" s="422" t="str">
        <f>'LHR AT'!L91</f>
        <v/>
      </c>
      <c r="W28" s="437">
        <f>'LHR AT'!G91</f>
        <v>1</v>
      </c>
      <c r="X28" s="422"/>
      <c r="Y28" s="437"/>
      <c r="Z28" s="422"/>
      <c r="AA28" s="437"/>
      <c r="AB28" s="422"/>
      <c r="AC28" s="439"/>
      <c r="AD28" s="422"/>
      <c r="AE28" s="439"/>
      <c r="AF28" s="514"/>
      <c r="AG28" s="440"/>
      <c r="AH28" s="514"/>
      <c r="AI28" s="440"/>
    </row>
    <row r="29" spans="1:56" ht="20" customHeight="1">
      <c r="A29" s="1871"/>
      <c r="B29" s="410" t="s">
        <v>722</v>
      </c>
      <c r="C29" s="444"/>
      <c r="D29" s="422"/>
      <c r="E29" s="413"/>
      <c r="F29" s="422"/>
      <c r="G29" s="413"/>
      <c r="H29" s="422"/>
      <c r="I29" s="413"/>
      <c r="J29" s="422" t="str">
        <f>'LHR AT'!M92</f>
        <v/>
      </c>
      <c r="K29" s="413">
        <f>'LHR AT'!G92</f>
        <v>1</v>
      </c>
      <c r="L29" s="514"/>
      <c r="M29" s="441"/>
      <c r="N29" s="514"/>
      <c r="O29" s="443"/>
      <c r="P29" s="422"/>
      <c r="Q29" s="442"/>
      <c r="R29" s="422"/>
      <c r="S29" s="442"/>
      <c r="T29" s="422"/>
      <c r="U29" s="442"/>
      <c r="V29" s="422" t="str">
        <f>'LHR AT'!M91</f>
        <v/>
      </c>
      <c r="W29" s="437">
        <f>'LHR AT'!G91</f>
        <v>1</v>
      </c>
      <c r="X29" s="422"/>
      <c r="Y29" s="437"/>
      <c r="Z29" s="422"/>
      <c r="AA29" s="437"/>
      <c r="AB29" s="422"/>
      <c r="AC29" s="439"/>
      <c r="AD29" s="422"/>
      <c r="AE29" s="439"/>
      <c r="AF29" s="514"/>
      <c r="AG29" s="440"/>
      <c r="AH29" s="514"/>
      <c r="AI29" s="440"/>
    </row>
    <row r="30" spans="1:56" ht="20" customHeight="1">
      <c r="A30" s="423"/>
      <c r="B30" s="424"/>
      <c r="C30" s="429"/>
      <c r="D30" s="515"/>
      <c r="E30" s="515"/>
      <c r="F30" s="515"/>
      <c r="G30" s="515"/>
      <c r="H30" s="515"/>
      <c r="I30" s="515"/>
      <c r="J30" s="515"/>
      <c r="K30" s="515"/>
      <c r="L30" s="515"/>
      <c r="M30" s="515"/>
      <c r="N30" s="515"/>
      <c r="O30" s="515"/>
      <c r="P30" s="515"/>
      <c r="Q30" s="515"/>
      <c r="R30" s="515"/>
      <c r="S30" s="515"/>
      <c r="T30" s="515"/>
      <c r="U30" s="515"/>
      <c r="V30" s="515"/>
      <c r="W30" s="515"/>
      <c r="X30" s="515"/>
      <c r="Y30" s="515"/>
      <c r="Z30" s="515"/>
      <c r="AA30" s="515"/>
      <c r="AB30" s="515"/>
      <c r="AC30" s="515"/>
      <c r="AD30" s="515"/>
      <c r="AE30" s="515"/>
      <c r="AF30" s="515"/>
      <c r="AG30" s="515"/>
      <c r="AH30" s="515"/>
      <c r="AI30" s="515"/>
    </row>
    <row r="31" spans="1:56" ht="20" customHeight="1">
      <c r="A31" s="1871" t="s">
        <v>17</v>
      </c>
      <c r="B31" s="410" t="str">
        <f>'LHR AT'!O95</f>
        <v>1. Champagne</v>
      </c>
      <c r="C31" s="444"/>
      <c r="D31" s="422"/>
      <c r="E31" s="413"/>
      <c r="F31" s="422"/>
      <c r="G31" s="413"/>
      <c r="H31" s="422"/>
      <c r="I31" s="413"/>
      <c r="J31" s="422"/>
      <c r="K31" s="413"/>
      <c r="L31" s="514" t="str">
        <f>'LHR AT'!U134</f>
        <v/>
      </c>
      <c r="M31" s="441">
        <f>'LHR AT'!T134</f>
        <v>1</v>
      </c>
      <c r="N31" s="514"/>
      <c r="O31" s="443"/>
      <c r="P31" s="422"/>
      <c r="Q31" s="442"/>
      <c r="R31" s="422"/>
      <c r="S31" s="442"/>
      <c r="T31" s="422"/>
      <c r="U31" s="442"/>
      <c r="V31" s="422"/>
      <c r="W31" s="437"/>
      <c r="X31" s="422"/>
      <c r="Y31" s="437"/>
      <c r="Z31" s="422"/>
      <c r="AA31" s="437"/>
      <c r="AB31" s="422"/>
      <c r="AC31" s="439"/>
      <c r="AD31" s="422"/>
      <c r="AE31" s="439"/>
      <c r="AF31" s="514" t="str">
        <f>'LHR AT'!U135</f>
        <v/>
      </c>
      <c r="AG31" s="440">
        <f>'LHR AT'!T135</f>
        <v>3</v>
      </c>
      <c r="AH31" s="514" t="str">
        <f>'LHR AT'!U136</f>
        <v/>
      </c>
      <c r="AI31" s="440">
        <f>'LHR AT'!T136</f>
        <v>8</v>
      </c>
    </row>
    <row r="32" spans="1:56" ht="20" customHeight="1">
      <c r="A32" s="1871"/>
      <c r="B32" s="410" t="str">
        <f>'LHR AT'!W95</f>
        <v>2. Wine 
- Small Bottles</v>
      </c>
      <c r="C32" s="444"/>
      <c r="D32" s="422"/>
      <c r="E32" s="413"/>
      <c r="F32" s="422"/>
      <c r="G32" s="413"/>
      <c r="H32" s="422"/>
      <c r="I32" s="413"/>
      <c r="J32" s="422"/>
      <c r="K32" s="413"/>
      <c r="L32" s="514" t="str">
        <f>'LHR AT'!AC131</f>
        <v/>
      </c>
      <c r="M32" s="441">
        <f>'LHR AT'!AB131</f>
        <v>1</v>
      </c>
      <c r="N32" s="514"/>
      <c r="O32" s="443"/>
      <c r="P32" s="422"/>
      <c r="Q32" s="442"/>
      <c r="R32" s="422"/>
      <c r="S32" s="442"/>
      <c r="T32" s="422"/>
      <c r="U32" s="442"/>
      <c r="V32" s="422"/>
      <c r="W32" s="437"/>
      <c r="X32" s="422"/>
      <c r="Y32" s="437"/>
      <c r="Z32" s="422"/>
      <c r="AA32" s="437"/>
      <c r="AB32" s="422"/>
      <c r="AC32" s="439"/>
      <c r="AD32" s="422"/>
      <c r="AE32" s="439"/>
      <c r="AF32" s="514" t="str">
        <f>'LHR AT'!AC132</f>
        <v/>
      </c>
      <c r="AG32" s="440">
        <f>'LHR AT'!AB132</f>
        <v>4</v>
      </c>
      <c r="AH32" s="514" t="str">
        <f>'LHR AT'!AC133</f>
        <v/>
      </c>
      <c r="AI32" s="440">
        <f>'LHR AT'!AB133</f>
        <v>6</v>
      </c>
    </row>
    <row r="33" spans="1:35" ht="20" customHeight="1">
      <c r="A33" s="1871"/>
      <c r="B33" s="410" t="str">
        <f>'LHR AT'!AE95</f>
        <v>3. White Wine Spritzer
- Small Bottles</v>
      </c>
      <c r="C33" s="444"/>
      <c r="D33" s="422"/>
      <c r="E33" s="413"/>
      <c r="F33" s="422"/>
      <c r="G33" s="413"/>
      <c r="H33" s="422"/>
      <c r="I33" s="413"/>
      <c r="J33" s="422"/>
      <c r="K33" s="413"/>
      <c r="L33" s="514" t="str">
        <f>'LHR AT'!AK140</f>
        <v/>
      </c>
      <c r="M33" s="441">
        <f>'LHR AT'!AJ140</f>
        <v>1</v>
      </c>
      <c r="N33" s="514"/>
      <c r="O33" s="443"/>
      <c r="P33" s="422"/>
      <c r="Q33" s="442"/>
      <c r="R33" s="422"/>
      <c r="S33" s="442"/>
      <c r="T33" s="422"/>
      <c r="U33" s="442"/>
      <c r="V33" s="422"/>
      <c r="W33" s="437"/>
      <c r="X33" s="422"/>
      <c r="Y33" s="437"/>
      <c r="Z33" s="422"/>
      <c r="AA33" s="437"/>
      <c r="AB33" s="422"/>
      <c r="AC33" s="439"/>
      <c r="AD33" s="422"/>
      <c r="AE33" s="439"/>
      <c r="AF33" s="514" t="str">
        <f>'LHR AT'!AK141</f>
        <v/>
      </c>
      <c r="AG33" s="440">
        <f>'LHR AT'!AJ141</f>
        <v>6</v>
      </c>
      <c r="AH33" s="514" t="str">
        <f>'LHR AT'!AK142</f>
        <v/>
      </c>
      <c r="AI33" s="440">
        <f>'LHR AT'!AJ142</f>
        <v>7</v>
      </c>
    </row>
    <row r="34" spans="1:35" ht="20" customHeight="1">
      <c r="A34" s="1871"/>
      <c r="B34" s="410" t="str">
        <f>'LHR AT'!AM95</f>
        <v>4. Wine
- Big Bottles</v>
      </c>
      <c r="C34" s="444"/>
      <c r="D34" s="422"/>
      <c r="E34" s="413"/>
      <c r="F34" s="422"/>
      <c r="G34" s="413"/>
      <c r="H34" s="422"/>
      <c r="I34" s="413"/>
      <c r="J34" s="422"/>
      <c r="K34" s="413"/>
      <c r="L34" s="514" t="str">
        <f>'LHR AT'!AS137</f>
        <v/>
      </c>
      <c r="M34" s="441">
        <f>'LHR AT'!AR137</f>
        <v>1</v>
      </c>
      <c r="N34" s="514"/>
      <c r="O34" s="443"/>
      <c r="P34" s="422"/>
      <c r="Q34" s="442"/>
      <c r="R34" s="422"/>
      <c r="S34" s="442"/>
      <c r="T34" s="422"/>
      <c r="U34" s="442"/>
      <c r="V34" s="422"/>
      <c r="W34" s="437"/>
      <c r="X34" s="422"/>
      <c r="Y34" s="437"/>
      <c r="Z34" s="422"/>
      <c r="AA34" s="437"/>
      <c r="AB34" s="422"/>
      <c r="AC34" s="439"/>
      <c r="AD34" s="422"/>
      <c r="AE34" s="439"/>
      <c r="AF34" s="514" t="str">
        <f>'LHR AT'!AS138</f>
        <v/>
      </c>
      <c r="AG34" s="440">
        <f>'LHR AT'!AR138</f>
        <v>4</v>
      </c>
      <c r="AH34" s="514" t="str">
        <f>'LHR AT'!AS139</f>
        <v/>
      </c>
      <c r="AI34" s="440">
        <f>'LHR AT'!AR139</f>
        <v>8</v>
      </c>
    </row>
    <row r="35" spans="1:35" ht="20" customHeight="1">
      <c r="A35" s="1871"/>
      <c r="B35" s="410" t="str">
        <f>'LHR AT'!AU95</f>
        <v>5. Dry - White Wine Spritzer - Big Bottle of Wine</v>
      </c>
      <c r="C35" s="444"/>
      <c r="D35" s="422"/>
      <c r="E35" s="413"/>
      <c r="F35" s="422"/>
      <c r="G35" s="413"/>
      <c r="H35" s="422"/>
      <c r="I35" s="413"/>
      <c r="J35" s="422"/>
      <c r="K35" s="413"/>
      <c r="L35" s="514" t="str">
        <f>'LHR AT'!BA140</f>
        <v/>
      </c>
      <c r="M35" s="441">
        <f>'LHR AT'!AZ140</f>
        <v>1</v>
      </c>
      <c r="N35" s="514"/>
      <c r="O35" s="443"/>
      <c r="P35" s="422"/>
      <c r="Q35" s="442"/>
      <c r="R35" s="422"/>
      <c r="S35" s="442"/>
      <c r="T35" s="422"/>
      <c r="U35" s="442"/>
      <c r="V35" s="422"/>
      <c r="W35" s="437"/>
      <c r="X35" s="422"/>
      <c r="Y35" s="437"/>
      <c r="Z35" s="422"/>
      <c r="AA35" s="437"/>
      <c r="AB35" s="422"/>
      <c r="AC35" s="439"/>
      <c r="AD35" s="422"/>
      <c r="AE35" s="439"/>
      <c r="AF35" s="514" t="str">
        <f>'LHR AT'!BA141</f>
        <v/>
      </c>
      <c r="AG35" s="440">
        <f>'LHR AT'!AZ141</f>
        <v>6</v>
      </c>
      <c r="AH35" s="514" t="str">
        <f>'LHR AT'!BA142</f>
        <v/>
      </c>
      <c r="AI35" s="440">
        <f>'LHR AT'!AZ142</f>
        <v>7</v>
      </c>
    </row>
    <row r="36" spans="1:35" ht="20" customHeight="1">
      <c r="A36" s="1871"/>
      <c r="B36" s="410" t="str">
        <f>'LHR AT'!BC95</f>
        <v>6. Sweet - White Wine Spritzer- Big Bottle of Wine</v>
      </c>
      <c r="C36" s="444"/>
      <c r="D36" s="422"/>
      <c r="E36" s="413"/>
      <c r="F36" s="422"/>
      <c r="G36" s="413"/>
      <c r="H36" s="422"/>
      <c r="I36" s="413"/>
      <c r="J36" s="422"/>
      <c r="K36" s="413"/>
      <c r="L36" s="514" t="str">
        <f>'LHR AT'!BI140</f>
        <v/>
      </c>
      <c r="M36" s="441">
        <f>'LHR AT'!BH140</f>
        <v>1</v>
      </c>
      <c r="N36" s="514"/>
      <c r="O36" s="443"/>
      <c r="P36" s="422"/>
      <c r="Q36" s="442"/>
      <c r="R36" s="422"/>
      <c r="S36" s="442"/>
      <c r="T36" s="422"/>
      <c r="U36" s="442"/>
      <c r="V36" s="422"/>
      <c r="W36" s="437"/>
      <c r="X36" s="422"/>
      <c r="Y36" s="437"/>
      <c r="Z36" s="422"/>
      <c r="AA36" s="437"/>
      <c r="AB36" s="422"/>
      <c r="AC36" s="439"/>
      <c r="AD36" s="422"/>
      <c r="AE36" s="439"/>
      <c r="AF36" s="514" t="str">
        <f>'LHR AT'!BI141</f>
        <v/>
      </c>
      <c r="AG36" s="440">
        <f>'LHR AT'!BH141</f>
        <v>6</v>
      </c>
      <c r="AH36" s="514" t="str">
        <f>'LHR AT'!BI142</f>
        <v/>
      </c>
      <c r="AI36" s="440">
        <f>'LHR AT'!BH142</f>
        <v>7</v>
      </c>
    </row>
    <row r="37" spans="1:35" ht="20" customHeight="1">
      <c r="A37" s="1871"/>
      <c r="B37" s="410" t="str">
        <f>'LHR AT'!O145</f>
        <v>7. Liqueur</v>
      </c>
      <c r="C37" s="444"/>
      <c r="D37" s="422"/>
      <c r="E37" s="413"/>
      <c r="F37" s="422"/>
      <c r="G37" s="413"/>
      <c r="H37" s="422"/>
      <c r="I37" s="413"/>
      <c r="J37" s="422"/>
      <c r="K37" s="413"/>
      <c r="L37" s="514" t="str">
        <f>'LHR AT'!U181</f>
        <v/>
      </c>
      <c r="M37" s="441">
        <f>'LHR AT'!T181</f>
        <v>1</v>
      </c>
      <c r="N37" s="514"/>
      <c r="O37" s="443"/>
      <c r="P37" s="422"/>
      <c r="Q37" s="442"/>
      <c r="R37" s="422"/>
      <c r="S37" s="442"/>
      <c r="T37" s="422"/>
      <c r="U37" s="442"/>
      <c r="V37" s="422"/>
      <c r="W37" s="437"/>
      <c r="X37" s="422"/>
      <c r="Y37" s="437"/>
      <c r="Z37" s="422"/>
      <c r="AA37" s="437"/>
      <c r="AB37" s="422"/>
      <c r="AC37" s="439"/>
      <c r="AD37" s="422"/>
      <c r="AE37" s="439"/>
      <c r="AF37" s="514" t="str">
        <f>'LHR AT'!U182</f>
        <v/>
      </c>
      <c r="AG37" s="440">
        <f>'LHR AT'!T182</f>
        <v>4</v>
      </c>
      <c r="AH37" s="514" t="str">
        <f>'LHR AT'!U183</f>
        <v/>
      </c>
      <c r="AI37" s="440">
        <f>'LHR AT'!T183</f>
        <v>6</v>
      </c>
    </row>
    <row r="38" spans="1:35" ht="20" customHeight="1">
      <c r="A38" s="1871"/>
      <c r="B38" s="410" t="str">
        <f>'LHR AT'!W145</f>
        <v>8. Shandy</v>
      </c>
      <c r="C38" s="444"/>
      <c r="D38" s="422"/>
      <c r="E38" s="413"/>
      <c r="F38" s="422"/>
      <c r="G38" s="413"/>
      <c r="H38" s="422"/>
      <c r="I38" s="413"/>
      <c r="J38" s="422"/>
      <c r="K38" s="413"/>
      <c r="L38" s="514" t="str">
        <f>'LHR AT'!AC178</f>
        <v/>
      </c>
      <c r="M38" s="441">
        <f>'LHR AT'!AB178</f>
        <v>1</v>
      </c>
      <c r="N38" s="514"/>
      <c r="O38" s="443"/>
      <c r="P38" s="422"/>
      <c r="Q38" s="442"/>
      <c r="R38" s="422"/>
      <c r="S38" s="442"/>
      <c r="T38" s="422"/>
      <c r="U38" s="442"/>
      <c r="V38" s="422"/>
      <c r="W38" s="437"/>
      <c r="X38" s="422"/>
      <c r="Y38" s="437"/>
      <c r="Z38" s="422"/>
      <c r="AA38" s="437"/>
      <c r="AB38" s="422"/>
      <c r="AC38" s="439"/>
      <c r="AD38" s="422"/>
      <c r="AE38" s="439"/>
      <c r="AF38" s="514" t="str">
        <f>'LHR AT'!AC179</f>
        <v/>
      </c>
      <c r="AG38" s="440">
        <f>'LHR AT'!AB179</f>
        <v>3</v>
      </c>
      <c r="AH38" s="514" t="str">
        <f>'LHR AT'!AC180</f>
        <v/>
      </c>
      <c r="AI38" s="440">
        <f>'LHR AT'!AB180</f>
        <v>6</v>
      </c>
    </row>
    <row r="39" spans="1:35" ht="20" customHeight="1">
      <c r="A39" s="1871"/>
      <c r="B39" s="410" t="str">
        <f>'LHR AT'!AE145</f>
        <v>9. Hot Beverage 
- Tea</v>
      </c>
      <c r="C39" s="444"/>
      <c r="D39" s="422"/>
      <c r="E39" s="413"/>
      <c r="F39" s="422"/>
      <c r="G39" s="413"/>
      <c r="H39" s="422"/>
      <c r="I39" s="413"/>
      <c r="J39" s="422"/>
      <c r="K39" s="413"/>
      <c r="L39" s="514" t="str">
        <f>'LHR AT'!AK178</f>
        <v/>
      </c>
      <c r="M39" s="441">
        <f>'LHR AT'!AJ178</f>
        <v>1</v>
      </c>
      <c r="N39" s="514"/>
      <c r="O39" s="443"/>
      <c r="P39" s="422"/>
      <c r="Q39" s="442"/>
      <c r="R39" s="422"/>
      <c r="S39" s="442"/>
      <c r="T39" s="422"/>
      <c r="U39" s="442"/>
      <c r="V39" s="422"/>
      <c r="W39" s="437"/>
      <c r="X39" s="422"/>
      <c r="Y39" s="437"/>
      <c r="Z39" s="422"/>
      <c r="AA39" s="437"/>
      <c r="AB39" s="422"/>
      <c r="AC39" s="439"/>
      <c r="AD39" s="422"/>
      <c r="AE39" s="439"/>
      <c r="AF39" s="514" t="str">
        <f>'LHR AT'!AK179</f>
        <v/>
      </c>
      <c r="AG39" s="440">
        <f>'LHR AT'!AJ179</f>
        <v>2</v>
      </c>
      <c r="AH39" s="514" t="str">
        <f>'LHR AT'!AK180</f>
        <v/>
      </c>
      <c r="AI39" s="440">
        <f>'LHR AT'!AJ180</f>
        <v>7</v>
      </c>
    </row>
    <row r="40" spans="1:35" ht="20" customHeight="1">
      <c r="A40" s="1871"/>
      <c r="B40" s="410" t="str">
        <f>'LHR AT'!AM145</f>
        <v>10. Beer</v>
      </c>
      <c r="C40" s="444"/>
      <c r="D40" s="422"/>
      <c r="E40" s="413"/>
      <c r="F40" s="422"/>
      <c r="G40" s="413"/>
      <c r="H40" s="422"/>
      <c r="I40" s="413"/>
      <c r="J40" s="422"/>
      <c r="K40" s="413"/>
      <c r="L40" s="514" t="str">
        <f>'LHR AT'!AS175</f>
        <v/>
      </c>
      <c r="M40" s="441">
        <f>'LHR AT'!AR175</f>
        <v>1</v>
      </c>
      <c r="N40" s="514"/>
      <c r="O40" s="443"/>
      <c r="P40" s="422"/>
      <c r="Q40" s="442"/>
      <c r="R40" s="422"/>
      <c r="S40" s="442"/>
      <c r="T40" s="422"/>
      <c r="U40" s="442"/>
      <c r="V40" s="422"/>
      <c r="W40" s="437"/>
      <c r="X40" s="422"/>
      <c r="Y40" s="437"/>
      <c r="Z40" s="422"/>
      <c r="AA40" s="437"/>
      <c r="AB40" s="422"/>
      <c r="AC40" s="439"/>
      <c r="AD40" s="422"/>
      <c r="AE40" s="439"/>
      <c r="AF40" s="514" t="str">
        <f>'LHR AT'!AS176</f>
        <v/>
      </c>
      <c r="AG40" s="440">
        <f>'LHR AT'!AR176</f>
        <v>2</v>
      </c>
      <c r="AH40" s="514" t="str">
        <f>'LHR AT'!AS177</f>
        <v/>
      </c>
      <c r="AI40" s="440">
        <f>'LHR AT'!AR177</f>
        <v>6</v>
      </c>
    </row>
    <row r="41" spans="1:35" ht="20" customHeight="1">
      <c r="A41" s="1871"/>
      <c r="B41" s="410" t="str">
        <f>'LHR AT'!AU145</f>
        <v>11. Screwdriver</v>
      </c>
      <c r="C41" s="444"/>
      <c r="D41" s="422"/>
      <c r="E41" s="413"/>
      <c r="F41" s="422"/>
      <c r="G41" s="413"/>
      <c r="H41" s="422"/>
      <c r="I41" s="413"/>
      <c r="J41" s="422"/>
      <c r="K41" s="413"/>
      <c r="L41" s="514" t="str">
        <f>'LHR AT'!BA190</f>
        <v/>
      </c>
      <c r="M41" s="441">
        <f>'LHR AT'!AZ190</f>
        <v>1</v>
      </c>
      <c r="N41" s="514"/>
      <c r="O41" s="443"/>
      <c r="P41" s="422"/>
      <c r="Q41" s="442"/>
      <c r="R41" s="422"/>
      <c r="S41" s="442"/>
      <c r="T41" s="422"/>
      <c r="U41" s="442"/>
      <c r="V41" s="422"/>
      <c r="W41" s="437"/>
      <c r="X41" s="422"/>
      <c r="Y41" s="437"/>
      <c r="Z41" s="422"/>
      <c r="AA41" s="437"/>
      <c r="AB41" s="422"/>
      <c r="AC41" s="439"/>
      <c r="AD41" s="422"/>
      <c r="AE41" s="439"/>
      <c r="AF41" s="514" t="str">
        <f>'LHR AT'!BA191</f>
        <v/>
      </c>
      <c r="AG41" s="440">
        <f>'LHR AT'!AZ191</f>
        <v>4</v>
      </c>
      <c r="AH41" s="514" t="str">
        <f>'LHR AT'!BA192</f>
        <v/>
      </c>
      <c r="AI41" s="440">
        <f>'LHR AT'!AZ192</f>
        <v>9</v>
      </c>
    </row>
    <row r="42" spans="1:35" ht="20" customHeight="1">
      <c r="A42" s="1871"/>
      <c r="B42" s="410" t="str">
        <f>'LHR AT'!BC145</f>
        <v>12. Gin &amp; Orange Juice</v>
      </c>
      <c r="C42" s="444"/>
      <c r="D42" s="422"/>
      <c r="E42" s="413"/>
      <c r="F42" s="422"/>
      <c r="G42" s="413"/>
      <c r="H42" s="422"/>
      <c r="I42" s="413"/>
      <c r="J42" s="422"/>
      <c r="K42" s="413"/>
      <c r="L42" s="514" t="str">
        <f>'LHR AT'!BI190</f>
        <v/>
      </c>
      <c r="M42" s="441">
        <f>'LHR AT'!BH190</f>
        <v>1</v>
      </c>
      <c r="N42" s="514"/>
      <c r="O42" s="443"/>
      <c r="P42" s="422"/>
      <c r="Q42" s="442"/>
      <c r="R42" s="422"/>
      <c r="S42" s="442"/>
      <c r="T42" s="422"/>
      <c r="U42" s="442"/>
      <c r="V42" s="422"/>
      <c r="W42" s="437"/>
      <c r="X42" s="422"/>
      <c r="Y42" s="437"/>
      <c r="Z42" s="422"/>
      <c r="AA42" s="437"/>
      <c r="AB42" s="422"/>
      <c r="AC42" s="439"/>
      <c r="AD42" s="422"/>
      <c r="AE42" s="439"/>
      <c r="AF42" s="514" t="str">
        <f>'LHR AT'!BI191</f>
        <v/>
      </c>
      <c r="AG42" s="440">
        <f>'LHR AT'!BH191</f>
        <v>5</v>
      </c>
      <c r="AH42" s="514" t="str">
        <f>'LHR AT'!BI192</f>
        <v/>
      </c>
      <c r="AI42" s="440">
        <f>'LHR AT'!BH192</f>
        <v>8</v>
      </c>
    </row>
    <row r="43" spans="1:35" ht="20" customHeight="1">
      <c r="A43" s="1871"/>
      <c r="B43" s="410" t="str">
        <f>'LHR AT'!O195</f>
        <v>13. Rum &amp; Pepsi</v>
      </c>
      <c r="C43" s="444"/>
      <c r="D43" s="422"/>
      <c r="E43" s="413"/>
      <c r="F43" s="422"/>
      <c r="G43" s="413"/>
      <c r="H43" s="422"/>
      <c r="I43" s="413"/>
      <c r="J43" s="422"/>
      <c r="K43" s="413"/>
      <c r="L43" s="514" t="str">
        <f>'LHR AT'!U237</f>
        <v/>
      </c>
      <c r="M43" s="441">
        <f>'LHR AT'!T237</f>
        <v>1</v>
      </c>
      <c r="N43" s="514"/>
      <c r="O43" s="443"/>
      <c r="P43" s="422"/>
      <c r="Q43" s="442"/>
      <c r="R43" s="422"/>
      <c r="S43" s="442"/>
      <c r="T43" s="422"/>
      <c r="U43" s="442"/>
      <c r="V43" s="422"/>
      <c r="W43" s="437"/>
      <c r="X43" s="422"/>
      <c r="Y43" s="437"/>
      <c r="Z43" s="422"/>
      <c r="AA43" s="437"/>
      <c r="AB43" s="422"/>
      <c r="AC43" s="439"/>
      <c r="AD43" s="422"/>
      <c r="AE43" s="439"/>
      <c r="AF43" s="514" t="str">
        <f>'LHR AT'!U238</f>
        <v/>
      </c>
      <c r="AG43" s="440">
        <f>'LHR AT'!T238</f>
        <v>5</v>
      </c>
      <c r="AH43" s="514" t="str">
        <f>'LHR AT'!U239</f>
        <v/>
      </c>
      <c r="AI43" s="440">
        <f>'LHR AT'!T239</f>
        <v>7</v>
      </c>
    </row>
    <row r="44" spans="1:35" ht="20" customHeight="1">
      <c r="A44" s="1871"/>
      <c r="B44" s="410" t="str">
        <f>'LHR AT'!W195</f>
        <v>14. Gin &amp; Tonic</v>
      </c>
      <c r="C44" s="444"/>
      <c r="D44" s="422"/>
      <c r="E44" s="413"/>
      <c r="F44" s="422"/>
      <c r="G44" s="413"/>
      <c r="H44" s="422"/>
      <c r="I44" s="413"/>
      <c r="J44" s="422"/>
      <c r="K44" s="413"/>
      <c r="L44" s="514" t="str">
        <f>'LHR AT'!AC237</f>
        <v/>
      </c>
      <c r="M44" s="441">
        <f>'LHR AT'!AB237</f>
        <v>1</v>
      </c>
      <c r="N44" s="514"/>
      <c r="O44" s="443"/>
      <c r="P44" s="422"/>
      <c r="Q44" s="442"/>
      <c r="R44" s="422"/>
      <c r="S44" s="442"/>
      <c r="T44" s="422"/>
      <c r="U44" s="442"/>
      <c r="V44" s="422"/>
      <c r="W44" s="437"/>
      <c r="X44" s="422"/>
      <c r="Y44" s="437"/>
      <c r="Z44" s="422"/>
      <c r="AA44" s="437"/>
      <c r="AB44" s="422"/>
      <c r="AC44" s="439"/>
      <c r="AD44" s="422"/>
      <c r="AE44" s="439"/>
      <c r="AF44" s="514" t="str">
        <f>'LHR AT'!AC238</f>
        <v/>
      </c>
      <c r="AG44" s="440">
        <f>'LHR AT'!AB238</f>
        <v>6</v>
      </c>
      <c r="AH44" s="514" t="str">
        <f>'LHR AT'!AC239</f>
        <v/>
      </c>
      <c r="AI44" s="440">
        <f>'LHR AT'!AB239</f>
        <v>6</v>
      </c>
    </row>
    <row r="45" spans="1:35" ht="20" customHeight="1">
      <c r="A45" s="1871"/>
      <c r="B45" s="410" t="str">
        <f>'LHR AT'!AE195</f>
        <v>15. Scotch &amp; Soda</v>
      </c>
      <c r="C45" s="444"/>
      <c r="D45" s="422"/>
      <c r="E45" s="413"/>
      <c r="F45" s="422"/>
      <c r="G45" s="413"/>
      <c r="H45" s="422"/>
      <c r="I45" s="413"/>
      <c r="J45" s="422"/>
      <c r="K45" s="413"/>
      <c r="L45" s="514" t="str">
        <f>'LHR AT'!AK234</f>
        <v/>
      </c>
      <c r="M45" s="441">
        <f>'LHR AT'!AJ234</f>
        <v>1</v>
      </c>
      <c r="N45" s="514"/>
      <c r="O45" s="443"/>
      <c r="P45" s="422"/>
      <c r="Q45" s="442"/>
      <c r="R45" s="422"/>
      <c r="S45" s="442"/>
      <c r="T45" s="422"/>
      <c r="U45" s="442"/>
      <c r="V45" s="422"/>
      <c r="W45" s="437"/>
      <c r="X45" s="422"/>
      <c r="Y45" s="437"/>
      <c r="Z45" s="422"/>
      <c r="AA45" s="437"/>
      <c r="AB45" s="422"/>
      <c r="AC45" s="439"/>
      <c r="AD45" s="422"/>
      <c r="AE45" s="439"/>
      <c r="AF45" s="514" t="str">
        <f>'LHR AT'!AK235</f>
        <v/>
      </c>
      <c r="AG45" s="440">
        <f>'LHR AT'!AJ235</f>
        <v>4</v>
      </c>
      <c r="AH45" s="514" t="str">
        <f>'LHR AT'!AK236</f>
        <v/>
      </c>
      <c r="AI45" s="440">
        <f>'LHR AT'!AJ236</f>
        <v>7</v>
      </c>
    </row>
    <row r="46" spans="1:35" ht="20" customHeight="1">
      <c r="A46" s="1871"/>
      <c r="B46" s="410" t="str">
        <f>'LHR AT'!AM195</f>
        <v>16. Bloody Mary</v>
      </c>
      <c r="C46" s="444"/>
      <c r="D46" s="422"/>
      <c r="E46" s="413"/>
      <c r="F46" s="422"/>
      <c r="G46" s="413"/>
      <c r="H46" s="422"/>
      <c r="I46" s="413"/>
      <c r="J46" s="422"/>
      <c r="K46" s="413"/>
      <c r="L46" s="514" t="str">
        <f>'LHR AT'!AS246</f>
        <v/>
      </c>
      <c r="M46" s="441">
        <f>'LHR AT'!AR246</f>
        <v>1</v>
      </c>
      <c r="N46" s="514"/>
      <c r="O46" s="443"/>
      <c r="P46" s="422"/>
      <c r="Q46" s="442"/>
      <c r="R46" s="422"/>
      <c r="S46" s="442"/>
      <c r="T46" s="422"/>
      <c r="U46" s="442"/>
      <c r="V46" s="422"/>
      <c r="W46" s="437"/>
      <c r="X46" s="422"/>
      <c r="Y46" s="437"/>
      <c r="Z46" s="422"/>
      <c r="AA46" s="437"/>
      <c r="AB46" s="422"/>
      <c r="AC46" s="439"/>
      <c r="AD46" s="422"/>
      <c r="AE46" s="439"/>
      <c r="AF46" s="514" t="str">
        <f>'LHR AT'!AS247</f>
        <v/>
      </c>
      <c r="AG46" s="440">
        <f>'LHR AT'!AR247</f>
        <v>6</v>
      </c>
      <c r="AH46" s="514" t="str">
        <f>'LHR AT'!AS248</f>
        <v/>
      </c>
      <c r="AI46" s="440">
        <f>'LHR AT'!AR248</f>
        <v>9</v>
      </c>
    </row>
    <row r="47" spans="1:35" ht="20" customHeight="1">
      <c r="A47" s="627"/>
      <c r="B47" s="629" t="str">
        <f>"MCS - "&amp;B31</f>
        <v>MCS - 1. Champagne</v>
      </c>
      <c r="C47" s="444"/>
      <c r="D47" s="422" t="str">
        <f>'LHR AT'!H125</f>
        <v/>
      </c>
      <c r="E47" s="413">
        <f>'LHR AT'!G125</f>
        <v>4</v>
      </c>
      <c r="F47" s="422"/>
      <c r="G47" s="413"/>
      <c r="H47" s="422"/>
      <c r="I47" s="413"/>
      <c r="J47" s="422"/>
      <c r="K47" s="413"/>
      <c r="L47" s="514" t="str">
        <f>'LHR AT'!H126</f>
        <v/>
      </c>
      <c r="M47" s="441">
        <f>'LHR AT'!G126</f>
        <v>1</v>
      </c>
      <c r="N47" s="514" t="str">
        <f>'LHR AT'!H127</f>
        <v/>
      </c>
      <c r="O47" s="443">
        <f>'LHR AT'!G127</f>
        <v>2</v>
      </c>
      <c r="P47" s="422"/>
      <c r="Q47" s="442"/>
      <c r="R47" s="422"/>
      <c r="S47" s="442"/>
      <c r="T47" s="422" t="str">
        <f>'LHR AT'!H128</f>
        <v/>
      </c>
      <c r="U47" s="442">
        <f>'LHR AT'!G128</f>
        <v>2</v>
      </c>
      <c r="V47" s="422"/>
      <c r="W47" s="437"/>
      <c r="X47" s="422"/>
      <c r="Y47" s="437"/>
      <c r="Z47" s="422"/>
      <c r="AA47" s="437"/>
      <c r="AB47" s="422"/>
      <c r="AC47" s="439"/>
      <c r="AD47" s="422"/>
      <c r="AE47" s="439"/>
      <c r="AF47" s="514"/>
      <c r="AG47" s="440"/>
      <c r="AH47" s="514"/>
      <c r="AI47" s="440"/>
    </row>
    <row r="48" spans="1:35" ht="20" customHeight="1">
      <c r="A48" s="627"/>
      <c r="B48" s="629" t="str">
        <f t="shared" ref="B48:B62" si="0">"MCS - "&amp;B32</f>
        <v>MCS - 2. Wine 
- Small Bottles</v>
      </c>
      <c r="C48" s="444"/>
      <c r="D48" s="422" t="str">
        <f>'LHR AT'!I125</f>
        <v/>
      </c>
      <c r="E48" s="413">
        <f>'LHR AT'!G125</f>
        <v>4</v>
      </c>
      <c r="F48" s="422"/>
      <c r="G48" s="413"/>
      <c r="H48" s="422"/>
      <c r="I48" s="413"/>
      <c r="J48" s="422"/>
      <c r="K48" s="413"/>
      <c r="L48" s="514" t="str">
        <f>'LHR AT'!I126</f>
        <v/>
      </c>
      <c r="M48" s="441">
        <f>'LHR AT'!G126</f>
        <v>1</v>
      </c>
      <c r="N48" s="514" t="str">
        <f>'LHR AT'!I127</f>
        <v/>
      </c>
      <c r="O48" s="443">
        <f>'LHR AT'!G127</f>
        <v>2</v>
      </c>
      <c r="P48" s="422"/>
      <c r="Q48" s="442"/>
      <c r="R48" s="422"/>
      <c r="S48" s="442"/>
      <c r="T48" s="422" t="str">
        <f>'LHR AT'!I128</f>
        <v/>
      </c>
      <c r="U48" s="442">
        <f>'LHR AT'!G128</f>
        <v>2</v>
      </c>
      <c r="V48" s="422"/>
      <c r="W48" s="437"/>
      <c r="X48" s="422"/>
      <c r="Y48" s="437"/>
      <c r="Z48" s="422"/>
      <c r="AA48" s="437"/>
      <c r="AB48" s="422"/>
      <c r="AC48" s="439"/>
      <c r="AD48" s="422"/>
      <c r="AE48" s="439"/>
      <c r="AF48" s="514"/>
      <c r="AG48" s="440"/>
      <c r="AH48" s="514"/>
      <c r="AI48" s="440"/>
    </row>
    <row r="49" spans="1:35" ht="20" customHeight="1">
      <c r="A49" s="627"/>
      <c r="B49" s="629" t="str">
        <f t="shared" si="0"/>
        <v>MCS - 3. White Wine Spritzer
- Small Bottles</v>
      </c>
      <c r="C49" s="444"/>
      <c r="D49" s="422" t="str">
        <f>'LHR AT'!J125</f>
        <v/>
      </c>
      <c r="E49" s="413">
        <f>'LHR AT'!G125</f>
        <v>4</v>
      </c>
      <c r="F49" s="422"/>
      <c r="G49" s="413"/>
      <c r="H49" s="422"/>
      <c r="I49" s="413"/>
      <c r="J49" s="422"/>
      <c r="K49" s="413"/>
      <c r="L49" s="514" t="str">
        <f>'LHR AT'!J126</f>
        <v/>
      </c>
      <c r="M49" s="441">
        <f>'LHR AT'!G126</f>
        <v>1</v>
      </c>
      <c r="N49" s="514" t="str">
        <f>'LHR AT'!J127</f>
        <v/>
      </c>
      <c r="O49" s="443">
        <f>'LHR AT'!G127</f>
        <v>2</v>
      </c>
      <c r="P49" s="422"/>
      <c r="Q49" s="442"/>
      <c r="R49" s="422"/>
      <c r="S49" s="442"/>
      <c r="T49" s="422" t="str">
        <f>'LHR AT'!J128</f>
        <v/>
      </c>
      <c r="U49" s="442">
        <f>'LHR AT'!G128</f>
        <v>2</v>
      </c>
      <c r="V49" s="422"/>
      <c r="W49" s="437"/>
      <c r="X49" s="422"/>
      <c r="Y49" s="437"/>
      <c r="Z49" s="422"/>
      <c r="AA49" s="437"/>
      <c r="AB49" s="422"/>
      <c r="AC49" s="439"/>
      <c r="AD49" s="422"/>
      <c r="AE49" s="439"/>
      <c r="AF49" s="514"/>
      <c r="AG49" s="440"/>
      <c r="AH49" s="514"/>
      <c r="AI49" s="440"/>
    </row>
    <row r="50" spans="1:35" ht="20" customHeight="1">
      <c r="A50" s="627"/>
      <c r="B50" s="629" t="str">
        <f t="shared" si="0"/>
        <v>MCS - 4. Wine
- Big Bottles</v>
      </c>
      <c r="C50" s="444"/>
      <c r="D50" s="422" t="str">
        <f>'LHR AT'!K125</f>
        <v/>
      </c>
      <c r="E50" s="413">
        <f>'LHR AT'!G125</f>
        <v>4</v>
      </c>
      <c r="F50" s="422"/>
      <c r="G50" s="413"/>
      <c r="H50" s="422"/>
      <c r="I50" s="413"/>
      <c r="J50" s="422"/>
      <c r="K50" s="413"/>
      <c r="L50" s="514" t="str">
        <f>'LHR AT'!K126</f>
        <v/>
      </c>
      <c r="M50" s="441">
        <f>'LHR AT'!G126</f>
        <v>1</v>
      </c>
      <c r="N50" s="514" t="str">
        <f>'LHR AT'!K127</f>
        <v/>
      </c>
      <c r="O50" s="443">
        <f>'LHR AT'!G127</f>
        <v>2</v>
      </c>
      <c r="P50" s="422"/>
      <c r="Q50" s="442"/>
      <c r="R50" s="422"/>
      <c r="S50" s="442"/>
      <c r="T50" s="422" t="str">
        <f>'LHR AT'!K128</f>
        <v/>
      </c>
      <c r="U50" s="442">
        <f>'LHR AT'!G128</f>
        <v>2</v>
      </c>
      <c r="V50" s="422"/>
      <c r="W50" s="437"/>
      <c r="X50" s="422"/>
      <c r="Y50" s="437"/>
      <c r="Z50" s="422"/>
      <c r="AA50" s="437"/>
      <c r="AB50" s="422"/>
      <c r="AC50" s="439"/>
      <c r="AD50" s="422"/>
      <c r="AE50" s="439"/>
      <c r="AF50" s="514"/>
      <c r="AG50" s="440"/>
      <c r="AH50" s="514"/>
      <c r="AI50" s="440"/>
    </row>
    <row r="51" spans="1:35" ht="20" customHeight="1">
      <c r="A51" s="627"/>
      <c r="B51" s="629" t="str">
        <f t="shared" si="0"/>
        <v>MCS - 5. Dry - White Wine Spritzer - Big Bottle of Wine</v>
      </c>
      <c r="C51" s="444"/>
      <c r="D51" s="422" t="str">
        <f>'LHR AT'!L125</f>
        <v/>
      </c>
      <c r="E51" s="413">
        <f>'LHR AT'!G125</f>
        <v>4</v>
      </c>
      <c r="F51" s="422"/>
      <c r="G51" s="413"/>
      <c r="H51" s="422"/>
      <c r="I51" s="413"/>
      <c r="J51" s="422"/>
      <c r="K51" s="413"/>
      <c r="L51" s="514" t="str">
        <f>'LHR AT'!L126</f>
        <v/>
      </c>
      <c r="M51" s="441">
        <f>'LHR AT'!G126</f>
        <v>1</v>
      </c>
      <c r="N51" s="514" t="str">
        <f>'LHR AT'!L127</f>
        <v/>
      </c>
      <c r="O51" s="443">
        <f>'LHR AT'!G127</f>
        <v>2</v>
      </c>
      <c r="P51" s="422"/>
      <c r="Q51" s="442"/>
      <c r="R51" s="422"/>
      <c r="S51" s="442"/>
      <c r="T51" s="422" t="str">
        <f>'LHR AT'!L128</f>
        <v/>
      </c>
      <c r="U51" s="442">
        <f>'LHR AT'!G128</f>
        <v>2</v>
      </c>
      <c r="V51" s="422"/>
      <c r="W51" s="437"/>
      <c r="X51" s="422"/>
      <c r="Y51" s="437"/>
      <c r="Z51" s="422"/>
      <c r="AA51" s="437"/>
      <c r="AB51" s="422"/>
      <c r="AC51" s="439"/>
      <c r="AD51" s="422"/>
      <c r="AE51" s="439"/>
      <c r="AF51" s="514"/>
      <c r="AG51" s="440"/>
      <c r="AH51" s="514"/>
      <c r="AI51" s="440"/>
    </row>
    <row r="52" spans="1:35" ht="20" customHeight="1">
      <c r="A52" s="627"/>
      <c r="B52" s="629" t="str">
        <f t="shared" si="0"/>
        <v>MCS - 6. Sweet - White Wine Spritzer- Big Bottle of Wine</v>
      </c>
      <c r="C52" s="444"/>
      <c r="D52" s="422" t="str">
        <f>'LHR AT'!M125</f>
        <v/>
      </c>
      <c r="E52" s="413">
        <f>'LHR AT'!G125</f>
        <v>4</v>
      </c>
      <c r="F52" s="422"/>
      <c r="G52" s="413"/>
      <c r="H52" s="422"/>
      <c r="I52" s="413"/>
      <c r="J52" s="422"/>
      <c r="K52" s="413"/>
      <c r="L52" s="514" t="str">
        <f>'LHR AT'!M126</f>
        <v/>
      </c>
      <c r="M52" s="441">
        <f>'LHR AT'!G126</f>
        <v>1</v>
      </c>
      <c r="N52" s="514" t="str">
        <f>'LHR AT'!M127</f>
        <v/>
      </c>
      <c r="O52" s="443">
        <f>'LHR AT'!G127</f>
        <v>2</v>
      </c>
      <c r="P52" s="422"/>
      <c r="Q52" s="442"/>
      <c r="R52" s="422"/>
      <c r="S52" s="442"/>
      <c r="T52" s="422" t="str">
        <f>'LHR AT'!M128</f>
        <v/>
      </c>
      <c r="U52" s="442">
        <f>'LHR AT'!G128</f>
        <v>2</v>
      </c>
      <c r="V52" s="422"/>
      <c r="W52" s="437"/>
      <c r="X52" s="422"/>
      <c r="Y52" s="437"/>
      <c r="Z52" s="422"/>
      <c r="AA52" s="437"/>
      <c r="AB52" s="422"/>
      <c r="AC52" s="439"/>
      <c r="AD52" s="422"/>
      <c r="AE52" s="439"/>
      <c r="AF52" s="514"/>
      <c r="AG52" s="440"/>
      <c r="AH52" s="514"/>
      <c r="AI52" s="440"/>
    </row>
    <row r="53" spans="1:35" ht="20" customHeight="1">
      <c r="A53" s="627"/>
      <c r="B53" s="629" t="str">
        <f t="shared" si="0"/>
        <v>MCS - 7. Liqueur</v>
      </c>
      <c r="C53" s="444"/>
      <c r="D53" s="422" t="str">
        <f>'LHR AT'!H175</f>
        <v/>
      </c>
      <c r="E53" s="413">
        <f>'LHR AT'!G175</f>
        <v>4</v>
      </c>
      <c r="F53" s="422"/>
      <c r="G53" s="413"/>
      <c r="H53" s="422"/>
      <c r="I53" s="413"/>
      <c r="J53" s="422"/>
      <c r="K53" s="413"/>
      <c r="L53" s="514" t="str">
        <f>'LHR AT'!H176</f>
        <v/>
      </c>
      <c r="M53" s="441">
        <f>'LHR AT'!G176</f>
        <v>1</v>
      </c>
      <c r="N53" s="514" t="str">
        <f>'LHR AT'!H177</f>
        <v/>
      </c>
      <c r="O53" s="443">
        <f>'LHR AT'!G177</f>
        <v>2</v>
      </c>
      <c r="P53" s="422"/>
      <c r="Q53" s="442"/>
      <c r="R53" s="422"/>
      <c r="S53" s="442"/>
      <c r="T53" s="422" t="str">
        <f>'LHR AT'!H178</f>
        <v/>
      </c>
      <c r="U53" s="442">
        <f>'LHR AT'!G178</f>
        <v>2</v>
      </c>
      <c r="V53" s="422"/>
      <c r="W53" s="437"/>
      <c r="X53" s="422"/>
      <c r="Y53" s="437"/>
      <c r="Z53" s="422"/>
      <c r="AA53" s="437"/>
      <c r="AB53" s="422"/>
      <c r="AC53" s="439"/>
      <c r="AD53" s="422"/>
      <c r="AE53" s="439"/>
      <c r="AF53" s="514"/>
      <c r="AG53" s="440"/>
      <c r="AH53" s="514"/>
      <c r="AI53" s="440"/>
    </row>
    <row r="54" spans="1:35" ht="20" customHeight="1">
      <c r="A54" s="627"/>
      <c r="B54" s="629" t="str">
        <f t="shared" si="0"/>
        <v>MCS - 8. Shandy</v>
      </c>
      <c r="C54" s="444"/>
      <c r="D54" s="422" t="str">
        <f>'LHR AT'!I175</f>
        <v/>
      </c>
      <c r="E54" s="413">
        <f>'LHR AT'!G175</f>
        <v>4</v>
      </c>
      <c r="F54" s="422"/>
      <c r="G54" s="413"/>
      <c r="H54" s="422"/>
      <c r="I54" s="413"/>
      <c r="J54" s="422"/>
      <c r="K54" s="413"/>
      <c r="L54" s="514" t="str">
        <f>'LHR AT'!I176</f>
        <v/>
      </c>
      <c r="M54" s="441">
        <f>'LHR AT'!G176</f>
        <v>1</v>
      </c>
      <c r="N54" s="514" t="str">
        <f>'LHR AT'!I177</f>
        <v/>
      </c>
      <c r="O54" s="443">
        <f>'LHR AT'!G177</f>
        <v>2</v>
      </c>
      <c r="P54" s="422"/>
      <c r="Q54" s="442"/>
      <c r="R54" s="422"/>
      <c r="S54" s="442"/>
      <c r="T54" s="422" t="str">
        <f>'LHR AT'!I178</f>
        <v/>
      </c>
      <c r="U54" s="442">
        <f>'LHR AT'!G178</f>
        <v>2</v>
      </c>
      <c r="V54" s="422"/>
      <c r="W54" s="437"/>
      <c r="X54" s="422"/>
      <c r="Y54" s="437"/>
      <c r="Z54" s="422"/>
      <c r="AA54" s="437"/>
      <c r="AB54" s="422"/>
      <c r="AC54" s="439"/>
      <c r="AD54" s="422"/>
      <c r="AE54" s="439"/>
      <c r="AF54" s="514"/>
      <c r="AG54" s="440"/>
      <c r="AH54" s="514"/>
      <c r="AI54" s="440"/>
    </row>
    <row r="55" spans="1:35" ht="20" customHeight="1">
      <c r="A55" s="627"/>
      <c r="B55" s="629" t="str">
        <f t="shared" si="0"/>
        <v>MCS - 9. Hot Beverage 
- Tea</v>
      </c>
      <c r="C55" s="444"/>
      <c r="D55" s="422" t="str">
        <f>'LHR AT'!J175</f>
        <v/>
      </c>
      <c r="E55" s="413">
        <f>'LHR AT'!G175</f>
        <v>4</v>
      </c>
      <c r="F55" s="422"/>
      <c r="G55" s="413"/>
      <c r="H55" s="422"/>
      <c r="I55" s="413"/>
      <c r="J55" s="422"/>
      <c r="K55" s="413"/>
      <c r="L55" s="514" t="str">
        <f>'LHR AT'!J176</f>
        <v/>
      </c>
      <c r="M55" s="441">
        <f>'LHR AT'!G176</f>
        <v>1</v>
      </c>
      <c r="N55" s="514" t="str">
        <f>'LHR AT'!J177</f>
        <v/>
      </c>
      <c r="O55" s="443">
        <f>'LHR AT'!G177</f>
        <v>2</v>
      </c>
      <c r="P55" s="422"/>
      <c r="Q55" s="442"/>
      <c r="R55" s="422"/>
      <c r="S55" s="442"/>
      <c r="T55" s="422" t="str">
        <f>'LHR AT'!J178</f>
        <v/>
      </c>
      <c r="U55" s="442">
        <f>'LHR AT'!G178</f>
        <v>2</v>
      </c>
      <c r="V55" s="422"/>
      <c r="W55" s="437"/>
      <c r="X55" s="422"/>
      <c r="Y55" s="437"/>
      <c r="Z55" s="422"/>
      <c r="AA55" s="437"/>
      <c r="AB55" s="422"/>
      <c r="AC55" s="439"/>
      <c r="AD55" s="422"/>
      <c r="AE55" s="439"/>
      <c r="AF55" s="514"/>
      <c r="AG55" s="440"/>
      <c r="AH55" s="514"/>
      <c r="AI55" s="440"/>
    </row>
    <row r="56" spans="1:35" ht="20" customHeight="1">
      <c r="A56" s="627"/>
      <c r="B56" s="629" t="str">
        <f t="shared" si="0"/>
        <v>MCS - 10. Beer</v>
      </c>
      <c r="C56" s="444"/>
      <c r="D56" s="422" t="str">
        <f>'LHR AT'!K175</f>
        <v/>
      </c>
      <c r="E56" s="413">
        <f>'LHR AT'!G175</f>
        <v>4</v>
      </c>
      <c r="F56" s="422"/>
      <c r="G56" s="413"/>
      <c r="H56" s="422"/>
      <c r="I56" s="413"/>
      <c r="J56" s="422"/>
      <c r="K56" s="413"/>
      <c r="L56" s="514" t="str">
        <f>'LHR AT'!K176</f>
        <v/>
      </c>
      <c r="M56" s="441">
        <f>'LHR AT'!G176</f>
        <v>1</v>
      </c>
      <c r="N56" s="514" t="str">
        <f>'LHR AT'!K177</f>
        <v/>
      </c>
      <c r="O56" s="443">
        <f>'LHR AT'!G177</f>
        <v>2</v>
      </c>
      <c r="P56" s="422"/>
      <c r="Q56" s="442"/>
      <c r="R56" s="422"/>
      <c r="S56" s="442"/>
      <c r="T56" s="422" t="str">
        <f>'LHR AT'!K178</f>
        <v/>
      </c>
      <c r="U56" s="442">
        <f>'LHR AT'!G178</f>
        <v>2</v>
      </c>
      <c r="V56" s="422"/>
      <c r="W56" s="437"/>
      <c r="X56" s="422"/>
      <c r="Y56" s="437"/>
      <c r="Z56" s="422"/>
      <c r="AA56" s="437"/>
      <c r="AB56" s="422"/>
      <c r="AC56" s="439"/>
      <c r="AD56" s="422"/>
      <c r="AE56" s="439"/>
      <c r="AF56" s="514"/>
      <c r="AG56" s="440"/>
      <c r="AH56" s="514"/>
      <c r="AI56" s="440"/>
    </row>
    <row r="57" spans="1:35" ht="20" customHeight="1">
      <c r="A57" s="627"/>
      <c r="B57" s="629" t="str">
        <f t="shared" si="0"/>
        <v>MCS - 11. Screwdriver</v>
      </c>
      <c r="C57" s="444"/>
      <c r="D57" s="422" t="str">
        <f>'LHR AT'!L175</f>
        <v/>
      </c>
      <c r="E57" s="413">
        <f>'LHR AT'!G175</f>
        <v>4</v>
      </c>
      <c r="F57" s="422"/>
      <c r="G57" s="413"/>
      <c r="H57" s="422"/>
      <c r="I57" s="413"/>
      <c r="J57" s="422"/>
      <c r="K57" s="413"/>
      <c r="L57" s="514" t="str">
        <f>'LHR AT'!L176</f>
        <v/>
      </c>
      <c r="M57" s="441">
        <f>'LHR AT'!G176</f>
        <v>1</v>
      </c>
      <c r="N57" s="514" t="str">
        <f>'LHR AT'!L177</f>
        <v/>
      </c>
      <c r="O57" s="443">
        <f>'LHR AT'!G177</f>
        <v>2</v>
      </c>
      <c r="P57" s="422"/>
      <c r="Q57" s="442"/>
      <c r="R57" s="422"/>
      <c r="S57" s="442"/>
      <c r="T57" s="422" t="str">
        <f>'LHR AT'!L178</f>
        <v/>
      </c>
      <c r="U57" s="442">
        <f>'LHR AT'!G178</f>
        <v>2</v>
      </c>
      <c r="V57" s="422"/>
      <c r="W57" s="437"/>
      <c r="X57" s="422"/>
      <c r="Y57" s="437"/>
      <c r="Z57" s="422"/>
      <c r="AA57" s="437"/>
      <c r="AB57" s="422"/>
      <c r="AC57" s="439"/>
      <c r="AD57" s="422"/>
      <c r="AE57" s="439"/>
      <c r="AF57" s="514"/>
      <c r="AG57" s="440"/>
      <c r="AH57" s="514"/>
      <c r="AI57" s="440"/>
    </row>
    <row r="58" spans="1:35" ht="20" customHeight="1">
      <c r="A58" s="627"/>
      <c r="B58" s="629" t="str">
        <f t="shared" si="0"/>
        <v>MCS - 12. Gin &amp; Orange Juice</v>
      </c>
      <c r="C58" s="444"/>
      <c r="D58" s="422" t="str">
        <f>'LHR AT'!M175</f>
        <v/>
      </c>
      <c r="E58" s="413">
        <f>'LHR AT'!G175</f>
        <v>4</v>
      </c>
      <c r="F58" s="422"/>
      <c r="G58" s="413"/>
      <c r="H58" s="422"/>
      <c r="I58" s="413"/>
      <c r="J58" s="422"/>
      <c r="K58" s="413"/>
      <c r="L58" s="514" t="str">
        <f>'LHR AT'!M176</f>
        <v/>
      </c>
      <c r="M58" s="441">
        <f>'LHR AT'!G176</f>
        <v>1</v>
      </c>
      <c r="N58" s="514" t="str">
        <f>'LHR AT'!M177</f>
        <v/>
      </c>
      <c r="O58" s="443">
        <f>'LHR AT'!G177</f>
        <v>2</v>
      </c>
      <c r="P58" s="422"/>
      <c r="Q58" s="442"/>
      <c r="R58" s="422"/>
      <c r="S58" s="442"/>
      <c r="T58" s="422" t="str">
        <f>'LHR AT'!M178</f>
        <v/>
      </c>
      <c r="U58" s="442">
        <f>'LHR AT'!G178</f>
        <v>2</v>
      </c>
      <c r="V58" s="422"/>
      <c r="W58" s="437"/>
      <c r="X58" s="422"/>
      <c r="Y58" s="437"/>
      <c r="Z58" s="422"/>
      <c r="AA58" s="437"/>
      <c r="AB58" s="422"/>
      <c r="AC58" s="439"/>
      <c r="AD58" s="422"/>
      <c r="AE58" s="439"/>
      <c r="AF58" s="514"/>
      <c r="AG58" s="440"/>
      <c r="AH58" s="514"/>
      <c r="AI58" s="440"/>
    </row>
    <row r="59" spans="1:35" ht="20" customHeight="1">
      <c r="A59" s="627"/>
      <c r="B59" s="629" t="str">
        <f t="shared" si="0"/>
        <v>MCS - 13. Rum &amp; Pepsi</v>
      </c>
      <c r="C59" s="444"/>
      <c r="D59" s="422" t="str">
        <f>'LHR AT'!H225</f>
        <v/>
      </c>
      <c r="E59" s="413">
        <f>'LHR AT'!G225</f>
        <v>4</v>
      </c>
      <c r="F59" s="422"/>
      <c r="G59" s="413"/>
      <c r="H59" s="422"/>
      <c r="I59" s="413"/>
      <c r="J59" s="422"/>
      <c r="K59" s="413"/>
      <c r="L59" s="514" t="str">
        <f>'LHR AT'!H226</f>
        <v/>
      </c>
      <c r="M59" s="441">
        <f>'LHR AT'!G226</f>
        <v>1</v>
      </c>
      <c r="N59" s="514" t="str">
        <f>'LHR AT'!H227</f>
        <v/>
      </c>
      <c r="O59" s="443">
        <f>'LHR AT'!G227</f>
        <v>2</v>
      </c>
      <c r="P59" s="422"/>
      <c r="Q59" s="442"/>
      <c r="R59" s="422"/>
      <c r="S59" s="442"/>
      <c r="T59" s="422" t="str">
        <f>'LHR AT'!H228</f>
        <v/>
      </c>
      <c r="U59" s="442">
        <f>'LHR AT'!G228</f>
        <v>2</v>
      </c>
      <c r="V59" s="422"/>
      <c r="W59" s="437"/>
      <c r="X59" s="422"/>
      <c r="Y59" s="437"/>
      <c r="Z59" s="422"/>
      <c r="AA59" s="437"/>
      <c r="AB59" s="422"/>
      <c r="AC59" s="439"/>
      <c r="AD59" s="422"/>
      <c r="AE59" s="439"/>
      <c r="AF59" s="514"/>
      <c r="AG59" s="440"/>
      <c r="AH59" s="514"/>
      <c r="AI59" s="440"/>
    </row>
    <row r="60" spans="1:35" ht="20" customHeight="1">
      <c r="A60" s="627"/>
      <c r="B60" s="629" t="str">
        <f t="shared" si="0"/>
        <v>MCS - 14. Gin &amp; Tonic</v>
      </c>
      <c r="C60" s="444"/>
      <c r="D60" s="422" t="str">
        <f>'LHR AT'!I225</f>
        <v/>
      </c>
      <c r="E60" s="413">
        <f>'LHR AT'!G225</f>
        <v>4</v>
      </c>
      <c r="F60" s="422"/>
      <c r="G60" s="413"/>
      <c r="H60" s="422"/>
      <c r="I60" s="413"/>
      <c r="J60" s="422"/>
      <c r="K60" s="413"/>
      <c r="L60" s="514" t="str">
        <f>'LHR AT'!I226</f>
        <v/>
      </c>
      <c r="M60" s="441">
        <f>'LHR AT'!G226</f>
        <v>1</v>
      </c>
      <c r="N60" s="514" t="str">
        <f>'LHR AT'!I227</f>
        <v/>
      </c>
      <c r="O60" s="443">
        <f>'LHR AT'!G227</f>
        <v>2</v>
      </c>
      <c r="P60" s="422"/>
      <c r="Q60" s="442"/>
      <c r="R60" s="422"/>
      <c r="S60" s="442"/>
      <c r="T60" s="422" t="str">
        <f>'LHR AT'!I228</f>
        <v/>
      </c>
      <c r="U60" s="442">
        <f>'LHR AT'!G228</f>
        <v>2</v>
      </c>
      <c r="V60" s="422"/>
      <c r="W60" s="437"/>
      <c r="X60" s="422"/>
      <c r="Y60" s="437"/>
      <c r="Z60" s="422"/>
      <c r="AA60" s="437"/>
      <c r="AB60" s="422"/>
      <c r="AC60" s="439"/>
      <c r="AD60" s="422"/>
      <c r="AE60" s="439"/>
      <c r="AF60" s="514"/>
      <c r="AG60" s="440"/>
      <c r="AH60" s="514"/>
      <c r="AI60" s="440"/>
    </row>
    <row r="61" spans="1:35" ht="20" customHeight="1">
      <c r="A61" s="627"/>
      <c r="B61" s="629" t="str">
        <f>"MCS - "&amp;B45</f>
        <v>MCS - 15. Scotch &amp; Soda</v>
      </c>
      <c r="C61" s="444"/>
      <c r="D61" s="422" t="str">
        <f>'LHR AT'!J225</f>
        <v/>
      </c>
      <c r="E61" s="413">
        <f>'LHR AT'!G225</f>
        <v>4</v>
      </c>
      <c r="F61" s="422"/>
      <c r="G61" s="413"/>
      <c r="H61" s="422"/>
      <c r="I61" s="413"/>
      <c r="J61" s="422"/>
      <c r="K61" s="413"/>
      <c r="L61" s="514" t="str">
        <f>'LHR AT'!J226</f>
        <v/>
      </c>
      <c r="M61" s="441">
        <f>'LHR AT'!G226</f>
        <v>1</v>
      </c>
      <c r="N61" s="514" t="str">
        <f>'LHR AT'!J227</f>
        <v/>
      </c>
      <c r="O61" s="443">
        <f>'LHR AT'!G227</f>
        <v>2</v>
      </c>
      <c r="P61" s="422"/>
      <c r="Q61" s="442"/>
      <c r="R61" s="422"/>
      <c r="S61" s="442"/>
      <c r="T61" s="422" t="str">
        <f>'LHR AT'!J228</f>
        <v/>
      </c>
      <c r="U61" s="442">
        <f>'LHR AT'!G228</f>
        <v>2</v>
      </c>
      <c r="V61" s="422"/>
      <c r="W61" s="437"/>
      <c r="X61" s="422"/>
      <c r="Y61" s="437"/>
      <c r="Z61" s="422"/>
      <c r="AA61" s="437"/>
      <c r="AB61" s="422"/>
      <c r="AC61" s="439"/>
      <c r="AD61" s="422"/>
      <c r="AE61" s="439"/>
      <c r="AF61" s="514"/>
      <c r="AG61" s="440"/>
      <c r="AH61" s="514"/>
      <c r="AI61" s="440"/>
    </row>
    <row r="62" spans="1:35" ht="20" customHeight="1">
      <c r="A62" s="627"/>
      <c r="B62" s="629" t="str">
        <f t="shared" si="0"/>
        <v>MCS - 16. Bloody Mary</v>
      </c>
      <c r="C62" s="444"/>
      <c r="D62" s="422" t="str">
        <f>'LHR AT'!K225</f>
        <v/>
      </c>
      <c r="E62" s="413">
        <f>'LHR AT'!G225</f>
        <v>4</v>
      </c>
      <c r="F62" s="422"/>
      <c r="G62" s="413"/>
      <c r="H62" s="422"/>
      <c r="I62" s="413"/>
      <c r="J62" s="422"/>
      <c r="K62" s="413"/>
      <c r="L62" s="514" t="str">
        <f>'LHR AT'!K226</f>
        <v/>
      </c>
      <c r="M62" s="441">
        <f>'LHR AT'!G226</f>
        <v>1</v>
      </c>
      <c r="N62" s="514" t="str">
        <f>'LHR AT'!K227</f>
        <v/>
      </c>
      <c r="O62" s="443">
        <f>'LHR AT'!G227</f>
        <v>2</v>
      </c>
      <c r="P62" s="422"/>
      <c r="Q62" s="442"/>
      <c r="R62" s="422"/>
      <c r="S62" s="442"/>
      <c r="T62" s="422" t="str">
        <f>'LHR AT'!K228</f>
        <v/>
      </c>
      <c r="U62" s="442">
        <f>'LHR AT'!G228</f>
        <v>2</v>
      </c>
      <c r="V62" s="422"/>
      <c r="W62" s="437"/>
      <c r="X62" s="422"/>
      <c r="Y62" s="437"/>
      <c r="Z62" s="422"/>
      <c r="AA62" s="437"/>
      <c r="AB62" s="422"/>
      <c r="AC62" s="439"/>
      <c r="AD62" s="422"/>
      <c r="AE62" s="439"/>
      <c r="AF62" s="514"/>
      <c r="AG62" s="440"/>
      <c r="AH62" s="514"/>
      <c r="AI62" s="440"/>
    </row>
    <row r="63" spans="1:35" ht="20" customHeight="1">
      <c r="A63" s="627"/>
      <c r="B63" s="629" t="str">
        <f>"TW - "&amp;B31</f>
        <v>TW - 1. Champagne</v>
      </c>
      <c r="C63" s="444"/>
      <c r="D63" s="422"/>
      <c r="E63" s="413"/>
      <c r="F63" s="422"/>
      <c r="G63" s="413"/>
      <c r="H63" s="422"/>
      <c r="I63" s="413"/>
      <c r="J63" s="422" t="str">
        <f>'LHR AT'!H139</f>
        <v/>
      </c>
      <c r="K63" s="413">
        <f>'LHR AT'!G139</f>
        <v>1</v>
      </c>
      <c r="L63" s="514"/>
      <c r="M63" s="441"/>
      <c r="N63" s="514"/>
      <c r="O63" s="443"/>
      <c r="P63" s="422"/>
      <c r="Q63" s="442"/>
      <c r="R63" s="422"/>
      <c r="S63" s="442"/>
      <c r="T63" s="422"/>
      <c r="U63" s="442"/>
      <c r="V63" s="422" t="str">
        <f>'LHR AT'!H138</f>
        <v/>
      </c>
      <c r="W63" s="437">
        <f>'LHR AT'!G138</f>
        <v>1</v>
      </c>
      <c r="X63" s="422"/>
      <c r="Y63" s="437"/>
      <c r="Z63" s="422"/>
      <c r="AA63" s="437"/>
      <c r="AB63" s="422"/>
      <c r="AC63" s="439"/>
      <c r="AD63" s="422"/>
      <c r="AE63" s="439"/>
      <c r="AF63" s="514"/>
      <c r="AG63" s="440"/>
      <c r="AH63" s="514"/>
      <c r="AI63" s="440"/>
    </row>
    <row r="64" spans="1:35" ht="20" customHeight="1">
      <c r="A64" s="627"/>
      <c r="B64" s="629" t="str">
        <f t="shared" ref="B64:B78" si="1">"TW - "&amp;B32</f>
        <v>TW - 2. Wine 
- Small Bottles</v>
      </c>
      <c r="C64" s="444"/>
      <c r="D64" s="422"/>
      <c r="E64" s="413"/>
      <c r="F64" s="422"/>
      <c r="G64" s="413"/>
      <c r="H64" s="422"/>
      <c r="I64" s="413"/>
      <c r="J64" s="422" t="str">
        <f>'LHR AT'!I139</f>
        <v/>
      </c>
      <c r="K64" s="413">
        <f>'LHR AT'!G139</f>
        <v>1</v>
      </c>
      <c r="L64" s="514"/>
      <c r="M64" s="441"/>
      <c r="N64" s="514"/>
      <c r="O64" s="443"/>
      <c r="P64" s="422"/>
      <c r="Q64" s="442"/>
      <c r="R64" s="422"/>
      <c r="S64" s="442"/>
      <c r="T64" s="422"/>
      <c r="U64" s="442"/>
      <c r="V64" s="422" t="str">
        <f>'LHR AT'!I138</f>
        <v/>
      </c>
      <c r="W64" s="437">
        <f>'LHR AT'!G138</f>
        <v>1</v>
      </c>
      <c r="X64" s="422"/>
      <c r="Y64" s="437"/>
      <c r="Z64" s="422"/>
      <c r="AA64" s="437"/>
      <c r="AB64" s="422"/>
      <c r="AC64" s="439"/>
      <c r="AD64" s="422"/>
      <c r="AE64" s="439"/>
      <c r="AF64" s="514"/>
      <c r="AG64" s="440"/>
      <c r="AH64" s="514"/>
      <c r="AI64" s="440"/>
    </row>
    <row r="65" spans="1:58" ht="20" customHeight="1">
      <c r="A65" s="627"/>
      <c r="B65" s="629" t="str">
        <f t="shared" si="1"/>
        <v>TW - 3. White Wine Spritzer
- Small Bottles</v>
      </c>
      <c r="C65" s="444"/>
      <c r="D65" s="422"/>
      <c r="E65" s="413"/>
      <c r="F65" s="422"/>
      <c r="G65" s="413"/>
      <c r="H65" s="422"/>
      <c r="I65" s="413"/>
      <c r="J65" s="422" t="str">
        <f>'LHR AT'!J139</f>
        <v/>
      </c>
      <c r="K65" s="413">
        <f>'LHR AT'!G139</f>
        <v>1</v>
      </c>
      <c r="L65" s="514"/>
      <c r="M65" s="441"/>
      <c r="N65" s="514"/>
      <c r="O65" s="443"/>
      <c r="P65" s="422"/>
      <c r="Q65" s="442"/>
      <c r="R65" s="422"/>
      <c r="S65" s="442"/>
      <c r="T65" s="422"/>
      <c r="U65" s="442"/>
      <c r="V65" s="422" t="str">
        <f>'LHR AT'!J138</f>
        <v/>
      </c>
      <c r="W65" s="437">
        <f>'LHR AT'!G138</f>
        <v>1</v>
      </c>
      <c r="X65" s="422"/>
      <c r="Y65" s="437"/>
      <c r="Z65" s="422"/>
      <c r="AA65" s="437"/>
      <c r="AB65" s="422"/>
      <c r="AC65" s="439"/>
      <c r="AD65" s="422"/>
      <c r="AE65" s="439"/>
      <c r="AF65" s="514"/>
      <c r="AG65" s="440"/>
      <c r="AH65" s="514"/>
      <c r="AI65" s="440"/>
    </row>
    <row r="66" spans="1:58" ht="20" customHeight="1">
      <c r="A66" s="627"/>
      <c r="B66" s="629" t="str">
        <f t="shared" si="1"/>
        <v>TW - 4. Wine
- Big Bottles</v>
      </c>
      <c r="C66" s="444"/>
      <c r="D66" s="422"/>
      <c r="E66" s="413"/>
      <c r="F66" s="422"/>
      <c r="G66" s="413"/>
      <c r="H66" s="422"/>
      <c r="I66" s="413"/>
      <c r="J66" s="422" t="str">
        <f>'LHR AT'!K139</f>
        <v/>
      </c>
      <c r="K66" s="413">
        <f>'LHR AT'!G139</f>
        <v>1</v>
      </c>
      <c r="L66" s="514"/>
      <c r="M66" s="441"/>
      <c r="N66" s="514"/>
      <c r="O66" s="443"/>
      <c r="P66" s="422"/>
      <c r="Q66" s="442"/>
      <c r="R66" s="422"/>
      <c r="S66" s="442"/>
      <c r="T66" s="422"/>
      <c r="U66" s="442"/>
      <c r="V66" s="422" t="str">
        <f>'LHR AT'!K138</f>
        <v/>
      </c>
      <c r="W66" s="437">
        <f>'LHR AT'!G138</f>
        <v>1</v>
      </c>
      <c r="X66" s="422"/>
      <c r="Y66" s="437"/>
      <c r="Z66" s="422"/>
      <c r="AA66" s="437"/>
      <c r="AB66" s="422"/>
      <c r="AC66" s="439"/>
      <c r="AD66" s="422"/>
      <c r="AE66" s="439"/>
      <c r="AF66" s="514"/>
      <c r="AG66" s="440"/>
      <c r="AH66" s="514"/>
      <c r="AI66" s="440"/>
    </row>
    <row r="67" spans="1:58" ht="20" customHeight="1">
      <c r="A67" s="627"/>
      <c r="B67" s="629" t="str">
        <f t="shared" si="1"/>
        <v>TW - 5. Dry - White Wine Spritzer - Big Bottle of Wine</v>
      </c>
      <c r="C67" s="444"/>
      <c r="D67" s="422"/>
      <c r="E67" s="413"/>
      <c r="F67" s="422"/>
      <c r="G67" s="413"/>
      <c r="H67" s="422"/>
      <c r="I67" s="413"/>
      <c r="J67" s="422" t="str">
        <f>'LHR AT'!L139</f>
        <v/>
      </c>
      <c r="K67" s="413">
        <f>'LHR AT'!G139</f>
        <v>1</v>
      </c>
      <c r="L67" s="514"/>
      <c r="M67" s="441"/>
      <c r="N67" s="514"/>
      <c r="O67" s="443"/>
      <c r="P67" s="422"/>
      <c r="Q67" s="442"/>
      <c r="R67" s="422"/>
      <c r="S67" s="442"/>
      <c r="T67" s="422"/>
      <c r="U67" s="442"/>
      <c r="V67" s="422" t="str">
        <f>'LHR AT'!L138</f>
        <v/>
      </c>
      <c r="W67" s="437">
        <f>'LHR AT'!G138</f>
        <v>1</v>
      </c>
      <c r="X67" s="422"/>
      <c r="Y67" s="437"/>
      <c r="Z67" s="422"/>
      <c r="AA67" s="437"/>
      <c r="AB67" s="422"/>
      <c r="AC67" s="439"/>
      <c r="AD67" s="422"/>
      <c r="AE67" s="439"/>
      <c r="AF67" s="514"/>
      <c r="AG67" s="440"/>
      <c r="AH67" s="514"/>
      <c r="AI67" s="440"/>
    </row>
    <row r="68" spans="1:58" ht="20" customHeight="1">
      <c r="A68" s="627"/>
      <c r="B68" s="629" t="str">
        <f t="shared" si="1"/>
        <v>TW - 6. Sweet - White Wine Spritzer- Big Bottle of Wine</v>
      </c>
      <c r="C68" s="444"/>
      <c r="D68" s="422"/>
      <c r="E68" s="413"/>
      <c r="F68" s="422"/>
      <c r="G68" s="413"/>
      <c r="H68" s="422"/>
      <c r="I68" s="413"/>
      <c r="J68" s="422" t="str">
        <f>'LHR AT'!M139</f>
        <v/>
      </c>
      <c r="K68" s="413">
        <f>'LHR AT'!G139</f>
        <v>1</v>
      </c>
      <c r="L68" s="514"/>
      <c r="M68" s="441"/>
      <c r="N68" s="514"/>
      <c r="O68" s="443"/>
      <c r="P68" s="422"/>
      <c r="Q68" s="442"/>
      <c r="R68" s="422"/>
      <c r="S68" s="442"/>
      <c r="T68" s="422"/>
      <c r="U68" s="442"/>
      <c r="V68" s="422" t="str">
        <f>'LHR AT'!M138</f>
        <v/>
      </c>
      <c r="W68" s="437">
        <f>'LHR AT'!G138</f>
        <v>1</v>
      </c>
      <c r="X68" s="422"/>
      <c r="Y68" s="437"/>
      <c r="Z68" s="422"/>
      <c r="AA68" s="437"/>
      <c r="AB68" s="422"/>
      <c r="AC68" s="439"/>
      <c r="AD68" s="422"/>
      <c r="AE68" s="439"/>
      <c r="AF68" s="514"/>
      <c r="AG68" s="440"/>
      <c r="AH68" s="514"/>
      <c r="AI68" s="440"/>
    </row>
    <row r="69" spans="1:58" ht="20" customHeight="1">
      <c r="A69" s="627"/>
      <c r="B69" s="629" t="str">
        <f t="shared" si="1"/>
        <v>TW - 7. Liqueur</v>
      </c>
      <c r="C69" s="444"/>
      <c r="D69" s="422"/>
      <c r="E69" s="413"/>
      <c r="F69" s="422"/>
      <c r="G69" s="413"/>
      <c r="H69" s="422"/>
      <c r="I69" s="413"/>
      <c r="J69" s="422" t="str">
        <f>'LHR AT'!H189</f>
        <v/>
      </c>
      <c r="K69" s="413">
        <f>'LHR AT'!G189</f>
        <v>1</v>
      </c>
      <c r="L69" s="514"/>
      <c r="M69" s="441"/>
      <c r="N69" s="514"/>
      <c r="O69" s="443"/>
      <c r="P69" s="422"/>
      <c r="Q69" s="442"/>
      <c r="R69" s="422"/>
      <c r="S69" s="442"/>
      <c r="T69" s="422"/>
      <c r="U69" s="442"/>
      <c r="V69" s="422" t="str">
        <f>'LHR AT'!H188</f>
        <v/>
      </c>
      <c r="W69" s="437">
        <f>'LHR AT'!G188</f>
        <v>1</v>
      </c>
      <c r="X69" s="422"/>
      <c r="Y69" s="437"/>
      <c r="Z69" s="422"/>
      <c r="AA69" s="437"/>
      <c r="AB69" s="422"/>
      <c r="AC69" s="439"/>
      <c r="AD69" s="422"/>
      <c r="AE69" s="439"/>
      <c r="AF69" s="514"/>
      <c r="AG69" s="440"/>
      <c r="AH69" s="514"/>
      <c r="AI69" s="440"/>
    </row>
    <row r="70" spans="1:58" ht="20" customHeight="1">
      <c r="A70" s="627"/>
      <c r="B70" s="629" t="str">
        <f t="shared" si="1"/>
        <v>TW - 8. Shandy</v>
      </c>
      <c r="C70" s="444"/>
      <c r="D70" s="422"/>
      <c r="E70" s="413"/>
      <c r="F70" s="422"/>
      <c r="G70" s="413"/>
      <c r="H70" s="422"/>
      <c r="I70" s="413"/>
      <c r="J70" s="422" t="str">
        <f>'LHR AT'!I189</f>
        <v/>
      </c>
      <c r="K70" s="413">
        <f>'LHR AT'!G189</f>
        <v>1</v>
      </c>
      <c r="L70" s="514"/>
      <c r="M70" s="441"/>
      <c r="N70" s="514"/>
      <c r="O70" s="443"/>
      <c r="P70" s="422"/>
      <c r="Q70" s="442"/>
      <c r="R70" s="422"/>
      <c r="S70" s="442"/>
      <c r="T70" s="422"/>
      <c r="U70" s="442"/>
      <c r="V70" s="422" t="str">
        <f>'LHR AT'!I188</f>
        <v/>
      </c>
      <c r="W70" s="437">
        <f>'LHR AT'!G188</f>
        <v>1</v>
      </c>
      <c r="X70" s="422"/>
      <c r="Y70" s="437"/>
      <c r="Z70" s="422"/>
      <c r="AA70" s="437"/>
      <c r="AB70" s="422"/>
      <c r="AC70" s="439"/>
      <c r="AD70" s="422"/>
      <c r="AE70" s="439"/>
      <c r="AF70" s="514"/>
      <c r="AG70" s="440"/>
      <c r="AH70" s="514"/>
      <c r="AI70" s="440"/>
    </row>
    <row r="71" spans="1:58" ht="20" customHeight="1">
      <c r="A71" s="627"/>
      <c r="B71" s="629" t="str">
        <f t="shared" si="1"/>
        <v>TW - 9. Hot Beverage 
- Tea</v>
      </c>
      <c r="C71" s="444"/>
      <c r="D71" s="422"/>
      <c r="E71" s="413"/>
      <c r="F71" s="422"/>
      <c r="G71" s="413"/>
      <c r="H71" s="422"/>
      <c r="I71" s="413"/>
      <c r="J71" s="422" t="str">
        <f>'LHR AT'!J189</f>
        <v/>
      </c>
      <c r="K71" s="413">
        <f>'LHR AT'!G189</f>
        <v>1</v>
      </c>
      <c r="L71" s="514"/>
      <c r="M71" s="441"/>
      <c r="N71" s="514"/>
      <c r="O71" s="443"/>
      <c r="P71" s="422"/>
      <c r="Q71" s="442"/>
      <c r="R71" s="422"/>
      <c r="S71" s="442"/>
      <c r="T71" s="422"/>
      <c r="U71" s="442"/>
      <c r="V71" s="422" t="str">
        <f>'LHR AT'!J188</f>
        <v/>
      </c>
      <c r="W71" s="437">
        <f>'LHR AT'!G188</f>
        <v>1</v>
      </c>
      <c r="X71" s="422"/>
      <c r="Y71" s="437"/>
      <c r="Z71" s="422"/>
      <c r="AA71" s="437"/>
      <c r="AB71" s="422"/>
      <c r="AC71" s="439"/>
      <c r="AD71" s="422"/>
      <c r="AE71" s="439"/>
      <c r="AF71" s="514"/>
      <c r="AG71" s="440"/>
      <c r="AH71" s="514"/>
      <c r="AI71" s="440"/>
    </row>
    <row r="72" spans="1:58" ht="20" customHeight="1">
      <c r="A72" s="627"/>
      <c r="B72" s="629" t="str">
        <f t="shared" si="1"/>
        <v>TW - 10. Beer</v>
      </c>
      <c r="C72" s="444"/>
      <c r="D72" s="422"/>
      <c r="E72" s="413"/>
      <c r="F72" s="422"/>
      <c r="G72" s="413"/>
      <c r="H72" s="422"/>
      <c r="I72" s="413"/>
      <c r="J72" s="422" t="str">
        <f>'LHR AT'!K189</f>
        <v/>
      </c>
      <c r="K72" s="413">
        <f>'LHR AT'!G189</f>
        <v>1</v>
      </c>
      <c r="L72" s="514"/>
      <c r="M72" s="441"/>
      <c r="N72" s="514"/>
      <c r="O72" s="443"/>
      <c r="P72" s="422"/>
      <c r="Q72" s="442"/>
      <c r="R72" s="422"/>
      <c r="S72" s="442"/>
      <c r="T72" s="422"/>
      <c r="U72" s="442"/>
      <c r="V72" s="422" t="str">
        <f>'LHR AT'!K188</f>
        <v/>
      </c>
      <c r="W72" s="437">
        <f>'LHR AT'!G188</f>
        <v>1</v>
      </c>
      <c r="X72" s="422"/>
      <c r="Y72" s="437"/>
      <c r="Z72" s="422"/>
      <c r="AA72" s="437"/>
      <c r="AB72" s="422"/>
      <c r="AC72" s="439"/>
      <c r="AD72" s="422"/>
      <c r="AE72" s="439"/>
      <c r="AF72" s="514"/>
      <c r="AG72" s="440"/>
      <c r="AH72" s="514"/>
      <c r="AI72" s="440"/>
    </row>
    <row r="73" spans="1:58" ht="20" customHeight="1">
      <c r="A73" s="627"/>
      <c r="B73" s="629" t="str">
        <f t="shared" si="1"/>
        <v>TW - 11. Screwdriver</v>
      </c>
      <c r="C73" s="444"/>
      <c r="D73" s="422"/>
      <c r="E73" s="413"/>
      <c r="F73" s="422"/>
      <c r="G73" s="413"/>
      <c r="H73" s="422"/>
      <c r="I73" s="413"/>
      <c r="J73" s="422" t="str">
        <f>'LHR AT'!L189</f>
        <v/>
      </c>
      <c r="K73" s="413">
        <f>'LHR AT'!G189</f>
        <v>1</v>
      </c>
      <c r="L73" s="514"/>
      <c r="M73" s="441"/>
      <c r="N73" s="514"/>
      <c r="O73" s="443"/>
      <c r="P73" s="422"/>
      <c r="Q73" s="442"/>
      <c r="R73" s="422"/>
      <c r="S73" s="442"/>
      <c r="T73" s="422"/>
      <c r="U73" s="442"/>
      <c r="V73" s="422" t="str">
        <f>'LHR AT'!L188</f>
        <v/>
      </c>
      <c r="W73" s="437">
        <f>'LHR AT'!G188</f>
        <v>1</v>
      </c>
      <c r="X73" s="422"/>
      <c r="Y73" s="437"/>
      <c r="Z73" s="422"/>
      <c r="AA73" s="437"/>
      <c r="AB73" s="422"/>
      <c r="AC73" s="439"/>
      <c r="AD73" s="422"/>
      <c r="AE73" s="439"/>
      <c r="AF73" s="514"/>
      <c r="AG73" s="440"/>
      <c r="AH73" s="514"/>
      <c r="AI73" s="440"/>
    </row>
    <row r="74" spans="1:58" ht="20" customHeight="1">
      <c r="A74" s="627"/>
      <c r="B74" s="629" t="str">
        <f t="shared" si="1"/>
        <v>TW - 12. Gin &amp; Orange Juice</v>
      </c>
      <c r="C74" s="444"/>
      <c r="D74" s="422"/>
      <c r="E74" s="413"/>
      <c r="F74" s="422"/>
      <c r="G74" s="413"/>
      <c r="H74" s="422"/>
      <c r="I74" s="413"/>
      <c r="J74" s="422" t="str">
        <f>'LHR AT'!M189</f>
        <v/>
      </c>
      <c r="K74" s="413">
        <f>'LHR AT'!G189</f>
        <v>1</v>
      </c>
      <c r="L74" s="514"/>
      <c r="M74" s="441"/>
      <c r="N74" s="514"/>
      <c r="O74" s="443"/>
      <c r="P74" s="422"/>
      <c r="Q74" s="442"/>
      <c r="R74" s="422"/>
      <c r="S74" s="442"/>
      <c r="T74" s="422"/>
      <c r="U74" s="442"/>
      <c r="V74" s="422" t="str">
        <f>'LHR AT'!M188</f>
        <v/>
      </c>
      <c r="W74" s="437">
        <f>'LHR AT'!G188</f>
        <v>1</v>
      </c>
      <c r="X74" s="422"/>
      <c r="Y74" s="437"/>
      <c r="Z74" s="422"/>
      <c r="AA74" s="437"/>
      <c r="AB74" s="422"/>
      <c r="AC74" s="439"/>
      <c r="AD74" s="422"/>
      <c r="AE74" s="439"/>
      <c r="AF74" s="514"/>
      <c r="AG74" s="440"/>
      <c r="AH74" s="514"/>
      <c r="AI74" s="440"/>
    </row>
    <row r="75" spans="1:58" ht="20" customHeight="1">
      <c r="A75" s="627"/>
      <c r="B75" s="629" t="str">
        <f t="shared" si="1"/>
        <v>TW - 13. Rum &amp; Pepsi</v>
      </c>
      <c r="C75" s="444"/>
      <c r="D75" s="422"/>
      <c r="E75" s="413"/>
      <c r="F75" s="422"/>
      <c r="G75" s="413"/>
      <c r="H75" s="422"/>
      <c r="I75" s="413"/>
      <c r="J75" s="422" t="str">
        <f>'LHR AT'!H239</f>
        <v/>
      </c>
      <c r="K75" s="413">
        <f>'LHR AT'!G239</f>
        <v>1</v>
      </c>
      <c r="L75" s="514"/>
      <c r="M75" s="441"/>
      <c r="N75" s="514"/>
      <c r="O75" s="443"/>
      <c r="P75" s="422"/>
      <c r="Q75" s="442"/>
      <c r="R75" s="422"/>
      <c r="S75" s="442"/>
      <c r="T75" s="422"/>
      <c r="U75" s="442"/>
      <c r="V75" s="422" t="str">
        <f>'LHR AT'!H238</f>
        <v/>
      </c>
      <c r="W75" s="437">
        <f>'LHR AT'!G238</f>
        <v>1</v>
      </c>
      <c r="X75" s="422"/>
      <c r="Y75" s="437"/>
      <c r="Z75" s="422"/>
      <c r="AA75" s="437"/>
      <c r="AB75" s="422"/>
      <c r="AC75" s="439"/>
      <c r="AD75" s="422"/>
      <c r="AE75" s="439"/>
      <c r="AF75" s="514"/>
      <c r="AG75" s="440"/>
      <c r="AH75" s="514"/>
      <c r="AI75" s="440"/>
    </row>
    <row r="76" spans="1:58" ht="20" customHeight="1">
      <c r="A76" s="627"/>
      <c r="B76" s="629" t="str">
        <f t="shared" si="1"/>
        <v>TW - 14. Gin &amp; Tonic</v>
      </c>
      <c r="C76" s="444"/>
      <c r="D76" s="422"/>
      <c r="E76" s="413"/>
      <c r="F76" s="422"/>
      <c r="G76" s="413"/>
      <c r="H76" s="422"/>
      <c r="I76" s="413"/>
      <c r="J76" s="422" t="str">
        <f>'LHR AT'!I239</f>
        <v/>
      </c>
      <c r="K76" s="413">
        <f>'LHR AT'!G239</f>
        <v>1</v>
      </c>
      <c r="L76" s="514"/>
      <c r="M76" s="441"/>
      <c r="N76" s="514"/>
      <c r="O76" s="443"/>
      <c r="P76" s="422"/>
      <c r="Q76" s="442"/>
      <c r="R76" s="422"/>
      <c r="S76" s="442"/>
      <c r="T76" s="422"/>
      <c r="U76" s="442"/>
      <c r="V76" s="422" t="str">
        <f>'LHR AT'!I238</f>
        <v/>
      </c>
      <c r="W76" s="437">
        <f>'LHR AT'!G238</f>
        <v>1</v>
      </c>
      <c r="X76" s="422"/>
      <c r="Y76" s="437"/>
      <c r="Z76" s="422"/>
      <c r="AA76" s="437"/>
      <c r="AB76" s="422"/>
      <c r="AC76" s="439"/>
      <c r="AD76" s="422"/>
      <c r="AE76" s="439"/>
      <c r="AF76" s="514"/>
      <c r="AG76" s="440"/>
      <c r="AH76" s="514"/>
      <c r="AI76" s="440"/>
    </row>
    <row r="77" spans="1:58" ht="20" customHeight="1">
      <c r="A77" s="627"/>
      <c r="B77" s="629" t="str">
        <f t="shared" si="1"/>
        <v>TW - 15. Scotch &amp; Soda</v>
      </c>
      <c r="C77" s="444"/>
      <c r="D77" s="422"/>
      <c r="E77" s="413"/>
      <c r="F77" s="422"/>
      <c r="G77" s="413"/>
      <c r="H77" s="422"/>
      <c r="I77" s="413"/>
      <c r="J77" s="422" t="str">
        <f>'LHR AT'!J239</f>
        <v/>
      </c>
      <c r="K77" s="413">
        <f>'LHR AT'!G239</f>
        <v>1</v>
      </c>
      <c r="L77" s="514"/>
      <c r="M77" s="441"/>
      <c r="N77" s="514"/>
      <c r="O77" s="443"/>
      <c r="P77" s="422"/>
      <c r="Q77" s="442"/>
      <c r="R77" s="422"/>
      <c r="S77" s="442"/>
      <c r="T77" s="422"/>
      <c r="U77" s="442"/>
      <c r="V77" s="422" t="str">
        <f>'LHR AT'!J238</f>
        <v/>
      </c>
      <c r="W77" s="437">
        <f>'LHR AT'!G238</f>
        <v>1</v>
      </c>
      <c r="X77" s="422"/>
      <c r="Y77" s="437"/>
      <c r="Z77" s="422"/>
      <c r="AA77" s="437"/>
      <c r="AB77" s="422"/>
      <c r="AC77" s="439"/>
      <c r="AD77" s="422"/>
      <c r="AE77" s="439"/>
      <c r="AF77" s="514"/>
      <c r="AG77" s="440"/>
      <c r="AH77" s="514"/>
      <c r="AI77" s="440"/>
    </row>
    <row r="78" spans="1:58" ht="20" customHeight="1">
      <c r="A78" s="627"/>
      <c r="B78" s="629" t="str">
        <f t="shared" si="1"/>
        <v>TW - 16. Bloody Mary</v>
      </c>
      <c r="C78" s="444"/>
      <c r="D78" s="422"/>
      <c r="E78" s="413"/>
      <c r="F78" s="422"/>
      <c r="G78" s="413"/>
      <c r="H78" s="422"/>
      <c r="I78" s="413"/>
      <c r="J78" s="422" t="str">
        <f>'LHR AT'!K239</f>
        <v/>
      </c>
      <c r="K78" s="413">
        <f>'LHR AT'!G239</f>
        <v>1</v>
      </c>
      <c r="L78" s="514"/>
      <c r="M78" s="441"/>
      <c r="N78" s="514"/>
      <c r="O78" s="443"/>
      <c r="P78" s="422"/>
      <c r="Q78" s="442"/>
      <c r="R78" s="422"/>
      <c r="S78" s="442"/>
      <c r="T78" s="422"/>
      <c r="U78" s="442"/>
      <c r="V78" s="422" t="str">
        <f>'LHR AT'!K238</f>
        <v/>
      </c>
      <c r="W78" s="437">
        <f>'LHR AT'!G238</f>
        <v>1</v>
      </c>
      <c r="X78" s="422"/>
      <c r="Y78" s="437"/>
      <c r="Z78" s="422"/>
      <c r="AA78" s="437"/>
      <c r="AB78" s="422"/>
      <c r="AC78" s="439"/>
      <c r="AD78" s="422"/>
      <c r="AE78" s="439"/>
      <c r="AF78" s="514"/>
      <c r="AG78" s="440"/>
      <c r="AH78" s="514"/>
      <c r="AI78" s="440"/>
    </row>
    <row r="79" spans="1:58" ht="20" customHeight="1">
      <c r="A79" s="436">
        <f>SUM(D79:AI79)</f>
        <v>0</v>
      </c>
      <c r="B79" s="411" t="s">
        <v>18</v>
      </c>
      <c r="C79" s="425" t="str">
        <f>IF(B79=1,D79,"")</f>
        <v/>
      </c>
      <c r="D79" s="1878" t="str">
        <f>IF(D80=0,"N/A",(SUM(D5:D78)))</f>
        <v>N/A</v>
      </c>
      <c r="E79" s="1878"/>
      <c r="F79" s="1878" t="str">
        <f t="shared" ref="F79" si="2">IF(F80=0,"N/A",(SUM(F5:F78)))</f>
        <v>N/A</v>
      </c>
      <c r="G79" s="1878"/>
      <c r="H79" s="1878" t="str">
        <f t="shared" ref="H79" si="3">IF(H80=0,"N/A",(SUM(H5:H78)))</f>
        <v>N/A</v>
      </c>
      <c r="I79" s="1878"/>
      <c r="J79" s="1878" t="str">
        <f>IF(J80=0,"N/A",(SUM(J5:J78)))</f>
        <v>N/A</v>
      </c>
      <c r="K79" s="1878"/>
      <c r="L79" s="1878" t="str">
        <f>IF(L80=0,"N/A",(SUM(L5:L78)))</f>
        <v>N/A</v>
      </c>
      <c r="M79" s="1878"/>
      <c r="N79" s="1878" t="str">
        <f t="shared" ref="N79" si="4">IF(N80=0,"N/A",(SUM(N5:N78)))</f>
        <v>N/A</v>
      </c>
      <c r="O79" s="1878"/>
      <c r="P79" s="1878" t="str">
        <f t="shared" ref="P79" si="5">IF(P80=0,"N/A",(SUM(P5:P78)))</f>
        <v>N/A</v>
      </c>
      <c r="Q79" s="1878"/>
      <c r="R79" s="1878" t="str">
        <f t="shared" ref="R79" si="6">IF(R80=0,"N/A",(SUM(R5:R78)))</f>
        <v>N/A</v>
      </c>
      <c r="S79" s="1878"/>
      <c r="T79" s="1878" t="str">
        <f t="shared" ref="T79" si="7">IF(T80=0,"N/A",(SUM(T5:T78)))</f>
        <v>N/A</v>
      </c>
      <c r="U79" s="1878"/>
      <c r="V79" s="1878" t="str">
        <f>IF(V80=0,"N/A",(SUM(V5:V78)))</f>
        <v>N/A</v>
      </c>
      <c r="W79" s="1878"/>
      <c r="X79" s="1878" t="str">
        <f t="shared" ref="X79" si="8">IF(X80=0,"N/A",(SUM(X5:X78)))</f>
        <v>N/A</v>
      </c>
      <c r="Y79" s="1878"/>
      <c r="Z79" s="1878" t="str">
        <f t="shared" ref="Z79" si="9">IF(Z80=0,"N/A",(SUM(Z5:Z78)))</f>
        <v>N/A</v>
      </c>
      <c r="AA79" s="1878"/>
      <c r="AB79" s="1878" t="str">
        <f t="shared" ref="AB79" si="10">IF(AB80=0,"N/A",(SUM(AB5:AB78)))</f>
        <v>N/A</v>
      </c>
      <c r="AC79" s="1878"/>
      <c r="AD79" s="1878" t="str">
        <f t="shared" ref="AD79" si="11">IF(AD80=0,"N/A",(SUM(AD5:AD78)))</f>
        <v>N/A</v>
      </c>
      <c r="AE79" s="1878"/>
      <c r="AF79" s="1878" t="str">
        <f>IF(AF80=0,"N/A",(SUM(AF5:AF78)))</f>
        <v>N/A</v>
      </c>
      <c r="AG79" s="1878"/>
      <c r="AH79" s="1878" t="str">
        <f>IF(AH80=0,"N/A",(SUM(AH5:AH78)))</f>
        <v>N/A</v>
      </c>
      <c r="AI79" s="1878"/>
    </row>
    <row r="80" spans="1:58" ht="20" customHeight="1">
      <c r="A80" s="3">
        <f>SUM(D80:AI80)</f>
        <v>0</v>
      </c>
      <c r="B80" s="411" t="s">
        <v>19</v>
      </c>
      <c r="C80" s="431"/>
      <c r="D80" s="1879">
        <f>SUMIF(D5:D78,"&gt;=0", E5:E78)</f>
        <v>0</v>
      </c>
      <c r="E80" s="1879"/>
      <c r="F80" s="1879">
        <f t="shared" ref="F80" si="12">SUMIF(F5:F78,"&gt;=0", G5:G78)</f>
        <v>0</v>
      </c>
      <c r="G80" s="1879"/>
      <c r="H80" s="1879">
        <f t="shared" ref="H80" si="13">SUMIF(H5:H78,"&gt;=0", I5:I78)</f>
        <v>0</v>
      </c>
      <c r="I80" s="1879"/>
      <c r="J80" s="1879">
        <f>SUMIF(J5:J78,"&gt;=0", K5:K78)</f>
        <v>0</v>
      </c>
      <c r="K80" s="1879"/>
      <c r="L80" s="1879">
        <f>SUMIF(L5:L78,"&gt;=0", M5:M78)</f>
        <v>0</v>
      </c>
      <c r="M80" s="1879"/>
      <c r="N80" s="1879">
        <f t="shared" ref="N80" si="14">SUMIF(N5:N78,"&gt;=0", O5:O78)</f>
        <v>0</v>
      </c>
      <c r="O80" s="1879"/>
      <c r="P80" s="1879">
        <f t="shared" ref="P80" si="15">SUMIF(P5:P78,"&gt;=0", Q5:Q78)</f>
        <v>0</v>
      </c>
      <c r="Q80" s="1879"/>
      <c r="R80" s="1879">
        <f t="shared" ref="R80" si="16">SUMIF(R5:R78,"&gt;=0", S5:S78)</f>
        <v>0</v>
      </c>
      <c r="S80" s="1879"/>
      <c r="T80" s="1879">
        <f t="shared" ref="T80" si="17">SUMIF(T5:T78,"&gt;=0", U5:U78)</f>
        <v>0</v>
      </c>
      <c r="U80" s="1879"/>
      <c r="V80" s="1879">
        <f>SUMIF(V5:V78,"&gt;=0", W5:W78)</f>
        <v>0</v>
      </c>
      <c r="W80" s="1879"/>
      <c r="X80" s="1879">
        <f t="shared" ref="X80" si="18">SUMIF(X5:X78,"&gt;=0", Y5:Y78)</f>
        <v>0</v>
      </c>
      <c r="Y80" s="1879"/>
      <c r="Z80" s="1879">
        <f t="shared" ref="Z80" si="19">SUMIF(Z5:Z78,"&gt;=0", AA5:AA78)</f>
        <v>0</v>
      </c>
      <c r="AA80" s="1879"/>
      <c r="AB80" s="1879">
        <f t="shared" ref="AB80" si="20">SUMIF(AB5:AB78,"&gt;=0", AC5:AC78)</f>
        <v>0</v>
      </c>
      <c r="AC80" s="1879"/>
      <c r="AD80" s="1879">
        <f t="shared" ref="AD80" si="21">SUMIF(AD5:AD78,"&gt;=0", AE5:AE78)</f>
        <v>0</v>
      </c>
      <c r="AE80" s="1879"/>
      <c r="AF80" s="1879">
        <f>SUMIF(AF5:AF78,"&gt;=0", AG5:AG78)</f>
        <v>0</v>
      </c>
      <c r="AG80" s="1879"/>
      <c r="AH80" s="1879">
        <f>SUMIF(AH5:AH78,"&gt;=0", AI5:AI78)</f>
        <v>0</v>
      </c>
      <c r="AI80" s="1879"/>
      <c r="AJ80" s="1875"/>
      <c r="AK80" s="1875"/>
      <c r="AL80" s="622"/>
      <c r="AM80" s="622"/>
      <c r="AN80" s="622"/>
      <c r="AQ80" s="622"/>
      <c r="AR80" s="622"/>
      <c r="AS80" s="1875"/>
      <c r="AT80" s="1875"/>
      <c r="AU80" s="1875"/>
      <c r="AV80" s="1875"/>
      <c r="AW80" s="1875"/>
      <c r="AX80" s="1875"/>
      <c r="AY80" s="1875"/>
      <c r="AZ80" s="622"/>
      <c r="BA80" s="622"/>
      <c r="BB80" s="1875"/>
      <c r="BC80" s="1875"/>
      <c r="BD80" s="1875"/>
      <c r="BE80" s="1875"/>
      <c r="BF80" s="1875"/>
    </row>
    <row r="81" spans="1:58" ht="20" customHeight="1" thickBot="1">
      <c r="A81" s="412"/>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623"/>
      <c r="AM81" s="412"/>
      <c r="AN81" s="623"/>
      <c r="AQ81" s="623"/>
      <c r="AR81" s="623"/>
      <c r="AS81" s="412"/>
      <c r="AT81" s="623"/>
      <c r="AU81" s="623"/>
      <c r="AV81" s="623"/>
      <c r="AW81" s="623"/>
      <c r="AX81" s="623"/>
      <c r="AY81" s="412"/>
      <c r="AZ81" s="623"/>
      <c r="BA81" s="623"/>
      <c r="BB81" s="412"/>
      <c r="BC81" s="623"/>
      <c r="BD81" s="412"/>
      <c r="BE81" s="412"/>
      <c r="BF81" s="412"/>
    </row>
    <row r="82" spans="1:58" ht="20" customHeight="1">
      <c r="A82" s="1876" t="e">
        <f>(A79/A80)*100</f>
        <v>#DIV/0!</v>
      </c>
    </row>
    <row r="83" spans="1:58" ht="20" customHeight="1" thickBot="1">
      <c r="A83" s="1877"/>
    </row>
    <row r="84" spans="1:58" ht="20" customHeight="1">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623"/>
      <c r="AM84" s="412"/>
      <c r="AN84" s="623"/>
      <c r="AQ84" s="623"/>
      <c r="AR84" s="623"/>
      <c r="AS84" s="412"/>
      <c r="AT84" s="623"/>
      <c r="AU84" s="623"/>
      <c r="AV84" s="623"/>
      <c r="AW84" s="623"/>
      <c r="AX84" s="623"/>
      <c r="AY84" s="412"/>
      <c r="AZ84" s="623"/>
      <c r="BA84" s="623"/>
      <c r="BB84" s="412"/>
      <c r="BC84" s="623"/>
      <c r="BD84" s="412"/>
      <c r="BE84" s="412"/>
      <c r="BF84" s="412"/>
    </row>
    <row r="85" spans="1:58" ht="20" customHeight="1">
      <c r="A85" s="281">
        <f>A80*84.99%</f>
        <v>0</v>
      </c>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623"/>
      <c r="AM85" s="412"/>
      <c r="AN85" s="623"/>
      <c r="AQ85" s="623"/>
      <c r="AR85" s="623"/>
      <c r="AS85" s="412"/>
      <c r="AT85" s="623"/>
      <c r="AU85" s="623"/>
      <c r="AV85" s="623"/>
      <c r="AW85" s="623"/>
      <c r="AX85" s="623"/>
      <c r="AY85" s="412"/>
      <c r="AZ85" s="623"/>
      <c r="BA85" s="623"/>
      <c r="BB85" s="412"/>
      <c r="BC85" s="623"/>
      <c r="BD85" s="412"/>
      <c r="BE85" s="412"/>
      <c r="BF85" s="412"/>
    </row>
    <row r="86" spans="1:58" ht="20" customHeight="1">
      <c r="A86" s="282">
        <f>A80*85%</f>
        <v>0</v>
      </c>
      <c r="D86" s="160" t="e">
        <f>IF((D80-D79)&gt;2,1,"")</f>
        <v>#VALUE!</v>
      </c>
      <c r="E86" s="412"/>
      <c r="F86" s="412"/>
      <c r="G86" s="412"/>
      <c r="H86" s="412"/>
      <c r="I86" s="412"/>
      <c r="J86" s="412"/>
      <c r="K86" s="412"/>
      <c r="L86" s="412"/>
      <c r="M86" s="412"/>
      <c r="N86" s="412"/>
      <c r="O86" s="412"/>
      <c r="P86" s="412"/>
      <c r="Q86" s="412"/>
      <c r="R86" s="412"/>
      <c r="S86" s="412"/>
      <c r="T86" s="412"/>
      <c r="U86" s="412"/>
      <c r="V86" s="412"/>
      <c r="W86" s="412"/>
      <c r="X86" s="412"/>
      <c r="Y86" s="412"/>
      <c r="Z86" s="412"/>
      <c r="AA86" s="412"/>
      <c r="AB86" s="412"/>
      <c r="AC86" s="412"/>
      <c r="AD86" s="412"/>
      <c r="AE86" s="412"/>
      <c r="AF86" s="412"/>
      <c r="AG86" s="412"/>
      <c r="AH86" s="412"/>
      <c r="AI86" s="412"/>
      <c r="AJ86" s="412"/>
      <c r="AK86" s="412"/>
      <c r="AL86" s="623"/>
      <c r="AM86" s="412"/>
      <c r="AN86" s="623"/>
      <c r="AO86" s="623"/>
      <c r="AP86" s="623"/>
      <c r="AQ86" s="623"/>
      <c r="AR86" s="623"/>
      <c r="AS86" s="412"/>
      <c r="AT86" s="623"/>
      <c r="AU86" s="623"/>
      <c r="AV86" s="623"/>
      <c r="AW86" s="623"/>
      <c r="AX86" s="623"/>
      <c r="AY86" s="412"/>
      <c r="AZ86" s="623"/>
      <c r="BA86" s="623"/>
      <c r="BB86" s="412"/>
      <c r="BC86" s="623"/>
      <c r="BD86" s="412"/>
      <c r="BE86" s="412"/>
      <c r="BF86" s="412"/>
    </row>
    <row r="87" spans="1:58" ht="20" customHeight="1">
      <c r="A87" s="282">
        <f>A80*89.99%</f>
        <v>0</v>
      </c>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623"/>
      <c r="AM87" s="412"/>
      <c r="AN87" s="623"/>
      <c r="AO87" s="623"/>
      <c r="AP87" s="623"/>
      <c r="AQ87" s="623"/>
      <c r="AR87" s="623"/>
      <c r="AS87" s="412"/>
      <c r="AT87" s="623"/>
      <c r="AU87" s="623"/>
      <c r="AV87" s="623"/>
      <c r="AW87" s="623"/>
      <c r="AX87" s="623"/>
      <c r="AY87" s="412"/>
      <c r="AZ87" s="623"/>
      <c r="BA87" s="623"/>
      <c r="BB87" s="412"/>
      <c r="BC87" s="623"/>
      <c r="BD87" s="412"/>
      <c r="BE87" s="412"/>
      <c r="BF87" s="412"/>
    </row>
    <row r="88" spans="1:58" ht="20" customHeight="1">
      <c r="A88" s="279">
        <f>A80*90%</f>
        <v>0</v>
      </c>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623"/>
      <c r="AM88" s="412"/>
      <c r="AN88" s="623"/>
      <c r="AO88" s="623"/>
      <c r="AP88" s="623"/>
      <c r="AQ88" s="623"/>
      <c r="AR88" s="623"/>
      <c r="AS88" s="412"/>
      <c r="AT88" s="623"/>
      <c r="AU88" s="623"/>
      <c r="AV88" s="623"/>
      <c r="AW88" s="623"/>
      <c r="AX88" s="623"/>
      <c r="AY88" s="412"/>
      <c r="AZ88" s="623"/>
      <c r="BA88" s="623"/>
      <c r="BB88" s="412"/>
      <c r="BC88" s="623"/>
      <c r="BD88" s="412"/>
      <c r="BE88" s="412"/>
      <c r="BF88" s="412"/>
    </row>
    <row r="89" spans="1:58" ht="20" customHeight="1">
      <c r="A89" s="279">
        <f>A80*98.99%</f>
        <v>0</v>
      </c>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623"/>
      <c r="AM89" s="412"/>
      <c r="AN89" s="623"/>
      <c r="AO89" s="623"/>
      <c r="AP89" s="623"/>
      <c r="AQ89" s="623"/>
      <c r="AR89" s="623"/>
      <c r="AS89" s="412"/>
      <c r="AT89" s="623"/>
      <c r="AU89" s="623"/>
      <c r="AV89" s="623"/>
      <c r="AW89" s="623"/>
      <c r="AX89" s="623"/>
      <c r="AY89" s="412"/>
      <c r="AZ89" s="623"/>
      <c r="BA89" s="623"/>
      <c r="BB89" s="412"/>
      <c r="BC89" s="623"/>
      <c r="BD89" s="412"/>
      <c r="BE89" s="412"/>
      <c r="BF89" s="412"/>
    </row>
    <row r="90" spans="1:58" ht="20" customHeight="1">
      <c r="A90" s="280">
        <f>A80*99%</f>
        <v>0</v>
      </c>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623"/>
      <c r="AM90" s="412"/>
      <c r="AN90" s="623"/>
      <c r="AO90" s="623"/>
      <c r="AP90" s="623"/>
      <c r="AQ90" s="623"/>
      <c r="AR90" s="623"/>
      <c r="AS90" s="412"/>
      <c r="AT90" s="623"/>
      <c r="AU90" s="623"/>
      <c r="AV90" s="623"/>
      <c r="AW90" s="623"/>
      <c r="AX90" s="623"/>
      <c r="AY90" s="412"/>
      <c r="AZ90" s="623"/>
      <c r="BA90" s="623"/>
      <c r="BB90" s="412"/>
      <c r="BC90" s="623"/>
      <c r="BD90" s="412"/>
      <c r="BE90" s="412"/>
      <c r="BF90" s="412"/>
    </row>
    <row r="91" spans="1:58" ht="20" customHeight="1">
      <c r="A91" s="280">
        <f>A80</f>
        <v>0</v>
      </c>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623"/>
      <c r="AM91" s="412"/>
      <c r="AN91" s="623"/>
      <c r="AO91" s="623"/>
      <c r="AP91" s="623"/>
      <c r="AQ91" s="623"/>
      <c r="AR91" s="623"/>
      <c r="AS91" s="412"/>
      <c r="AT91" s="623"/>
      <c r="AU91" s="623"/>
      <c r="AV91" s="623"/>
      <c r="AW91" s="623"/>
      <c r="AX91" s="623"/>
      <c r="AY91" s="412"/>
      <c r="AZ91" s="623"/>
      <c r="BA91" s="623"/>
      <c r="BB91" s="412"/>
      <c r="BC91" s="623"/>
      <c r="BD91" s="412"/>
      <c r="BE91" s="412"/>
      <c r="BF91" s="412"/>
    </row>
    <row r="92" spans="1:58" ht="20" customHeight="1">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623"/>
      <c r="AM92" s="412"/>
      <c r="AN92" s="623"/>
      <c r="AO92" s="623"/>
      <c r="AP92" s="623"/>
      <c r="AQ92" s="623"/>
      <c r="AR92" s="623"/>
      <c r="AS92" s="412"/>
      <c r="AT92" s="623"/>
      <c r="AU92" s="623"/>
      <c r="AV92" s="623"/>
      <c r="AW92" s="623"/>
      <c r="AX92" s="623"/>
      <c r="AY92" s="412"/>
      <c r="AZ92" s="623"/>
      <c r="BA92" s="623"/>
      <c r="BB92" s="412"/>
      <c r="BC92" s="623"/>
      <c r="BD92" s="412"/>
      <c r="BE92" s="412"/>
      <c r="BF92" s="412"/>
    </row>
    <row r="93" spans="1:58" ht="20" customHeight="1">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623"/>
      <c r="AM93" s="412"/>
      <c r="AN93" s="623"/>
      <c r="AO93" s="623"/>
      <c r="AP93" s="623"/>
      <c r="AQ93" s="623"/>
      <c r="AR93" s="623"/>
      <c r="AS93" s="412"/>
      <c r="AT93" s="623"/>
      <c r="AU93" s="623"/>
      <c r="AV93" s="623"/>
      <c r="AW93" s="623"/>
      <c r="AX93" s="623"/>
      <c r="AY93" s="412"/>
      <c r="AZ93" s="623"/>
      <c r="BA93" s="623"/>
      <c r="BB93" s="412"/>
      <c r="BC93" s="623"/>
      <c r="BD93" s="412"/>
      <c r="BE93" s="412"/>
      <c r="BF93" s="412"/>
    </row>
    <row r="94" spans="1:58" ht="20" customHeight="1">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623"/>
      <c r="AM94" s="412"/>
      <c r="AN94" s="623"/>
      <c r="AO94" s="623"/>
      <c r="AP94" s="623"/>
      <c r="AQ94" s="623"/>
      <c r="AR94" s="623"/>
      <c r="AS94" s="412"/>
      <c r="AT94" s="623"/>
      <c r="AU94" s="623"/>
      <c r="AV94" s="623"/>
      <c r="AW94" s="623"/>
      <c r="AX94" s="623"/>
      <c r="AY94" s="412"/>
      <c r="AZ94" s="623"/>
      <c r="BA94" s="623"/>
      <c r="BB94" s="412"/>
      <c r="BC94" s="623"/>
      <c r="BD94" s="412"/>
      <c r="BE94" s="412"/>
      <c r="BF94" s="412"/>
    </row>
    <row r="95" spans="1:58" ht="20" customHeight="1">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623"/>
      <c r="AM95" s="412"/>
      <c r="AN95" s="623"/>
      <c r="AO95" s="623"/>
      <c r="AP95" s="623"/>
      <c r="AQ95" s="623"/>
      <c r="AR95" s="623"/>
      <c r="AS95" s="412"/>
      <c r="AT95" s="623"/>
      <c r="AU95" s="623"/>
      <c r="AV95" s="623"/>
      <c r="AW95" s="623"/>
      <c r="AX95" s="623"/>
      <c r="AY95" s="412"/>
      <c r="AZ95" s="623"/>
      <c r="BA95" s="623"/>
      <c r="BB95" s="412"/>
      <c r="BC95" s="623"/>
      <c r="BD95" s="412"/>
      <c r="BE95" s="412"/>
      <c r="BF95" s="412"/>
    </row>
    <row r="96" spans="1:58" ht="20" customHeight="1">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623"/>
      <c r="AM96" s="412"/>
      <c r="AN96" s="623"/>
      <c r="AO96" s="623"/>
      <c r="AP96" s="623"/>
      <c r="AQ96" s="623"/>
      <c r="AR96" s="623"/>
      <c r="AS96" s="412"/>
      <c r="AT96" s="623"/>
      <c r="AU96" s="623"/>
      <c r="AV96" s="623"/>
      <c r="AW96" s="623"/>
      <c r="AX96" s="623"/>
      <c r="AY96" s="412"/>
      <c r="AZ96" s="623"/>
      <c r="BA96" s="623"/>
      <c r="BB96" s="412"/>
      <c r="BC96" s="623"/>
      <c r="BD96" s="412"/>
      <c r="BE96" s="412"/>
      <c r="BF96" s="412"/>
    </row>
    <row r="97" ht="20" customHeight="1"/>
    <row r="98" ht="20" customHeight="1"/>
    <row r="99" ht="20" customHeight="1"/>
    <row r="100" ht="20" customHeight="1"/>
    <row r="101" ht="20" customHeight="1"/>
    <row r="102" ht="20" customHeight="1"/>
    <row r="103" ht="20" customHeight="1"/>
    <row r="104" ht="20" customHeight="1"/>
    <row r="105" ht="20" customHeight="1"/>
    <row r="106" ht="20" customHeight="1"/>
    <row r="107" ht="20" customHeight="1"/>
    <row r="108" ht="20" customHeight="1"/>
    <row r="109" ht="20" customHeight="1"/>
    <row r="110" ht="20" customHeight="1"/>
    <row r="111" ht="20" customHeight="1"/>
    <row r="112" ht="20" customHeight="1"/>
    <row r="113" ht="20" customHeight="1"/>
    <row r="114" ht="20" customHeight="1"/>
    <row r="115" ht="20" customHeight="1"/>
    <row r="116" ht="20" customHeight="1"/>
    <row r="117" ht="20" customHeight="1"/>
    <row r="118" ht="20" customHeight="1"/>
    <row r="119" ht="20" customHeight="1"/>
    <row r="120" ht="20" customHeight="1"/>
    <row r="121" ht="20" customHeight="1"/>
    <row r="122" ht="20" customHeight="1"/>
    <row r="123" ht="20" customHeight="1"/>
    <row r="124" ht="20" customHeight="1"/>
    <row r="125" ht="20" customHeight="1"/>
    <row r="126" ht="20" customHeight="1"/>
    <row r="127" ht="20" customHeight="1"/>
    <row r="128" ht="20" customHeight="1"/>
    <row r="129" spans="4:58" ht="20" customHeight="1"/>
    <row r="130" spans="4:58" ht="20" customHeight="1"/>
    <row r="131" spans="4:58" ht="20" customHeight="1"/>
    <row r="132" spans="4:58" ht="20" customHeight="1"/>
    <row r="133" spans="4:58" ht="20" customHeight="1"/>
    <row r="134" spans="4:58" ht="20" customHeight="1"/>
    <row r="135" spans="4:58" ht="20" customHeight="1"/>
    <row r="136" spans="4:58" ht="20" customHeight="1"/>
    <row r="137" spans="4:58" ht="20" customHeight="1"/>
    <row r="138" spans="4:58" ht="20" customHeight="1">
      <c r="D138" s="412"/>
      <c r="E138" s="412"/>
      <c r="F138" s="412"/>
      <c r="G138" s="412"/>
      <c r="H138" s="412"/>
      <c r="I138" s="412"/>
      <c r="J138" s="412"/>
      <c r="K138" s="412"/>
      <c r="L138" s="412"/>
      <c r="M138" s="412"/>
      <c r="N138" s="412"/>
      <c r="O138" s="412"/>
      <c r="P138" s="412"/>
      <c r="Q138" s="412"/>
      <c r="R138" s="412"/>
      <c r="S138" s="412"/>
      <c r="T138" s="412"/>
      <c r="U138" s="412"/>
      <c r="V138" s="412"/>
      <c r="W138" s="412"/>
      <c r="X138" s="412"/>
      <c r="Y138" s="412"/>
      <c r="Z138" s="412"/>
      <c r="AA138" s="412"/>
      <c r="AB138" s="412"/>
      <c r="AC138" s="412"/>
      <c r="AD138" s="412"/>
      <c r="AE138" s="412"/>
      <c r="AF138" s="412"/>
      <c r="AG138" s="412"/>
      <c r="AH138" s="412"/>
      <c r="AI138" s="412"/>
      <c r="AJ138" s="412"/>
      <c r="AK138" s="412"/>
      <c r="AL138" s="623"/>
      <c r="AM138" s="412"/>
      <c r="AN138" s="623"/>
      <c r="AO138" s="623"/>
      <c r="AP138" s="623"/>
      <c r="AQ138" s="623"/>
      <c r="AR138" s="623"/>
      <c r="AS138" s="412"/>
      <c r="AT138" s="623"/>
      <c r="AU138" s="623"/>
      <c r="AV138" s="623"/>
      <c r="AW138" s="623"/>
      <c r="AX138" s="623"/>
      <c r="AY138" s="412"/>
      <c r="AZ138" s="623"/>
      <c r="BA138" s="623"/>
      <c r="BB138" s="412"/>
      <c r="BC138" s="623"/>
      <c r="BD138" s="412"/>
      <c r="BE138" s="412"/>
      <c r="BF138" s="412"/>
    </row>
    <row r="139" spans="4:58" ht="20" customHeight="1">
      <c r="D139" s="412"/>
      <c r="E139" s="412"/>
      <c r="F139" s="412"/>
      <c r="G139" s="412"/>
      <c r="H139" s="412"/>
      <c r="I139" s="412"/>
      <c r="J139" s="412"/>
      <c r="K139" s="412"/>
      <c r="L139" s="412"/>
      <c r="M139" s="412"/>
      <c r="N139" s="412"/>
      <c r="O139" s="412"/>
      <c r="P139" s="412"/>
      <c r="Q139" s="412"/>
      <c r="R139" s="412"/>
      <c r="S139" s="412"/>
      <c r="T139" s="412"/>
      <c r="U139" s="412"/>
      <c r="V139" s="412"/>
      <c r="W139" s="412"/>
      <c r="X139" s="412"/>
      <c r="Y139" s="412"/>
      <c r="Z139" s="412"/>
      <c r="AA139" s="412"/>
      <c r="AB139" s="412"/>
      <c r="AC139" s="412"/>
      <c r="AD139" s="412"/>
      <c r="AE139" s="412"/>
      <c r="AF139" s="412"/>
      <c r="AG139" s="412"/>
      <c r="AH139" s="412"/>
      <c r="AI139" s="412"/>
      <c r="AJ139" s="412"/>
      <c r="AK139" s="412"/>
      <c r="AL139" s="623"/>
      <c r="AM139" s="412"/>
      <c r="AN139" s="623"/>
      <c r="AO139" s="623"/>
      <c r="AP139" s="623"/>
      <c r="AQ139" s="623"/>
      <c r="AR139" s="623"/>
      <c r="AS139" s="412"/>
      <c r="AT139" s="623"/>
      <c r="AU139" s="623"/>
      <c r="AV139" s="623"/>
      <c r="AW139" s="623"/>
      <c r="AX139" s="623"/>
      <c r="AY139" s="412"/>
      <c r="AZ139" s="623"/>
      <c r="BA139" s="623"/>
      <c r="BB139" s="412"/>
      <c r="BC139" s="623"/>
      <c r="BD139" s="412"/>
      <c r="BE139" s="412"/>
      <c r="BF139" s="412"/>
    </row>
    <row r="140" spans="4:58" ht="20" customHeight="1">
      <c r="D140" s="412"/>
      <c r="E140" s="412"/>
      <c r="F140" s="412"/>
      <c r="G140" s="412"/>
      <c r="H140" s="412"/>
      <c r="I140" s="412"/>
      <c r="J140" s="412"/>
      <c r="K140" s="412"/>
      <c r="L140" s="412"/>
      <c r="M140" s="412"/>
      <c r="N140" s="412"/>
      <c r="O140" s="412"/>
      <c r="P140" s="412"/>
      <c r="Q140" s="412"/>
      <c r="R140" s="412"/>
      <c r="S140" s="412"/>
      <c r="T140" s="412"/>
      <c r="U140" s="412"/>
      <c r="V140" s="412"/>
      <c r="W140" s="412"/>
      <c r="X140" s="412"/>
      <c r="Y140" s="412"/>
      <c r="Z140" s="412"/>
      <c r="AA140" s="412"/>
      <c r="AB140" s="412"/>
      <c r="AC140" s="412"/>
      <c r="AD140" s="412"/>
      <c r="AE140" s="412"/>
      <c r="AF140" s="412"/>
      <c r="AG140" s="412"/>
      <c r="AH140" s="412"/>
      <c r="AI140" s="412"/>
      <c r="AJ140" s="412"/>
      <c r="AK140" s="412"/>
      <c r="AL140" s="623"/>
      <c r="AM140" s="412"/>
      <c r="AN140" s="623"/>
      <c r="AO140" s="623"/>
      <c r="AP140" s="623"/>
      <c r="AQ140" s="623"/>
      <c r="AR140" s="623"/>
      <c r="AS140" s="412"/>
      <c r="AT140" s="623"/>
      <c r="AU140" s="623"/>
      <c r="AV140" s="623"/>
      <c r="AW140" s="623"/>
      <c r="AX140" s="623"/>
      <c r="AY140" s="412"/>
      <c r="AZ140" s="623"/>
      <c r="BA140" s="623"/>
      <c r="BB140" s="412"/>
      <c r="BC140" s="623"/>
      <c r="BD140" s="412"/>
      <c r="BE140" s="412"/>
      <c r="BF140" s="412"/>
    </row>
    <row r="141" spans="4:58" ht="20" customHeight="1">
      <c r="D141" s="412"/>
      <c r="E141" s="412"/>
      <c r="F141" s="412"/>
      <c r="G141" s="412"/>
      <c r="H141" s="412"/>
      <c r="I141" s="412"/>
      <c r="J141" s="412"/>
      <c r="K141" s="412"/>
      <c r="L141" s="412"/>
      <c r="M141" s="412"/>
      <c r="N141" s="412"/>
      <c r="O141" s="412"/>
      <c r="P141" s="412"/>
      <c r="Q141" s="412"/>
      <c r="R141" s="412"/>
      <c r="S141" s="412"/>
      <c r="T141" s="412"/>
      <c r="U141" s="412"/>
      <c r="V141" s="412"/>
      <c r="W141" s="412"/>
      <c r="X141" s="412"/>
      <c r="Y141" s="412"/>
      <c r="Z141" s="412"/>
      <c r="AA141" s="412"/>
      <c r="AB141" s="412"/>
      <c r="AC141" s="412"/>
      <c r="AD141" s="412"/>
      <c r="AE141" s="412"/>
      <c r="AF141" s="412"/>
      <c r="AG141" s="412"/>
      <c r="AH141" s="412"/>
      <c r="AI141" s="412"/>
      <c r="AJ141" s="412"/>
      <c r="AK141" s="412"/>
      <c r="AL141" s="623"/>
      <c r="AM141" s="412"/>
      <c r="AN141" s="623"/>
      <c r="AO141" s="623"/>
      <c r="AP141" s="623"/>
      <c r="AQ141" s="623"/>
      <c r="AR141" s="623"/>
      <c r="AS141" s="412"/>
      <c r="AT141" s="623"/>
      <c r="AU141" s="623"/>
      <c r="AV141" s="623"/>
      <c r="AW141" s="623"/>
      <c r="AX141" s="623"/>
      <c r="AY141" s="412"/>
      <c r="AZ141" s="623"/>
      <c r="BA141" s="623"/>
      <c r="BB141" s="412"/>
      <c r="BC141" s="623"/>
      <c r="BD141" s="412"/>
      <c r="BE141" s="412"/>
      <c r="BF141" s="412"/>
    </row>
    <row r="142" spans="4:58" ht="20" customHeight="1">
      <c r="D142" s="412"/>
      <c r="E142" s="412"/>
      <c r="F142" s="412"/>
      <c r="G142" s="412"/>
      <c r="H142" s="412"/>
      <c r="I142" s="412"/>
      <c r="J142" s="412"/>
      <c r="K142" s="412"/>
      <c r="L142" s="412"/>
      <c r="M142" s="412"/>
      <c r="N142" s="412"/>
      <c r="O142" s="412"/>
      <c r="P142" s="412"/>
      <c r="Q142" s="412"/>
      <c r="R142" s="412"/>
      <c r="S142" s="412"/>
      <c r="T142" s="412"/>
      <c r="U142" s="412"/>
      <c r="V142" s="412"/>
      <c r="W142" s="412"/>
      <c r="X142" s="412"/>
      <c r="Y142" s="412"/>
      <c r="Z142" s="412"/>
      <c r="AA142" s="412"/>
      <c r="AB142" s="412"/>
      <c r="AC142" s="412"/>
      <c r="AD142" s="412"/>
      <c r="AE142" s="412"/>
      <c r="AF142" s="412"/>
      <c r="AG142" s="412"/>
      <c r="AH142" s="412"/>
      <c r="AI142" s="412"/>
      <c r="AJ142" s="412"/>
      <c r="AK142" s="412"/>
      <c r="AL142" s="623"/>
      <c r="AM142" s="412"/>
      <c r="AN142" s="623"/>
      <c r="AO142" s="623"/>
      <c r="AP142" s="623"/>
      <c r="AQ142" s="623"/>
      <c r="AR142" s="623"/>
      <c r="AS142" s="412"/>
      <c r="AT142" s="623"/>
      <c r="AU142" s="623"/>
      <c r="AV142" s="623"/>
      <c r="AW142" s="623"/>
      <c r="AX142" s="623"/>
      <c r="AY142" s="412"/>
      <c r="AZ142" s="623"/>
      <c r="BA142" s="623"/>
      <c r="BB142" s="412"/>
      <c r="BC142" s="623"/>
      <c r="BD142" s="412"/>
      <c r="BE142" s="412"/>
      <c r="BF142" s="412"/>
    </row>
    <row r="143" spans="4:58" ht="20" customHeight="1">
      <c r="D143" s="412"/>
      <c r="E143" s="412"/>
      <c r="F143" s="412"/>
      <c r="G143" s="412"/>
      <c r="H143" s="412"/>
      <c r="I143" s="412"/>
      <c r="J143" s="412"/>
      <c r="K143" s="412"/>
      <c r="L143" s="412"/>
      <c r="M143" s="412"/>
      <c r="N143" s="412"/>
      <c r="O143" s="412"/>
      <c r="P143" s="412"/>
      <c r="Q143" s="412"/>
      <c r="R143" s="412"/>
      <c r="S143" s="412"/>
      <c r="T143" s="412"/>
      <c r="U143" s="412"/>
      <c r="V143" s="412"/>
      <c r="W143" s="412"/>
      <c r="X143" s="412"/>
      <c r="Y143" s="412"/>
      <c r="Z143" s="412"/>
      <c r="AA143" s="412"/>
      <c r="AB143" s="412"/>
      <c r="AC143" s="412"/>
      <c r="AD143" s="412"/>
      <c r="AE143" s="412"/>
      <c r="AF143" s="412"/>
      <c r="AG143" s="412"/>
      <c r="AH143" s="412"/>
      <c r="AI143" s="412"/>
      <c r="AJ143" s="412"/>
      <c r="AK143" s="412"/>
      <c r="AL143" s="623"/>
      <c r="AM143" s="412"/>
      <c r="AN143" s="623"/>
      <c r="AO143" s="623"/>
      <c r="AP143" s="623"/>
      <c r="AQ143" s="623"/>
      <c r="AR143" s="623"/>
      <c r="AS143" s="412"/>
      <c r="AT143" s="623"/>
      <c r="AU143" s="623"/>
      <c r="AV143" s="623"/>
      <c r="AW143" s="623"/>
      <c r="AX143" s="623"/>
      <c r="AY143" s="412"/>
      <c r="AZ143" s="623"/>
      <c r="BA143" s="623"/>
      <c r="BB143" s="412"/>
      <c r="BC143" s="623"/>
      <c r="BD143" s="412"/>
      <c r="BE143" s="412"/>
      <c r="BF143" s="412"/>
    </row>
    <row r="144" spans="4:58" ht="20" customHeight="1">
      <c r="D144" s="412"/>
      <c r="E144" s="161"/>
      <c r="F144" s="161"/>
      <c r="G144" s="412"/>
      <c r="H144" s="412"/>
      <c r="I144" s="412"/>
      <c r="J144" s="412"/>
      <c r="K144" s="412"/>
      <c r="L144" s="412"/>
      <c r="M144" s="412"/>
      <c r="N144" s="412"/>
      <c r="O144" s="412"/>
      <c r="P144" s="412"/>
      <c r="Q144" s="412"/>
      <c r="R144" s="412"/>
      <c r="S144" s="412"/>
      <c r="T144" s="412"/>
      <c r="U144" s="412"/>
      <c r="V144" s="412"/>
      <c r="W144" s="412"/>
      <c r="X144" s="412"/>
      <c r="Y144" s="412"/>
      <c r="Z144" s="412"/>
      <c r="AA144" s="412"/>
      <c r="AB144" s="412"/>
      <c r="AC144" s="412"/>
      <c r="AD144" s="412"/>
      <c r="AE144" s="412"/>
      <c r="AF144" s="412"/>
      <c r="AG144" s="412"/>
      <c r="AH144" s="412"/>
      <c r="AI144" s="412"/>
      <c r="AJ144" s="412"/>
      <c r="AK144" s="412"/>
      <c r="AL144" s="623"/>
      <c r="AM144" s="412"/>
      <c r="AN144" s="623"/>
      <c r="AO144" s="623"/>
      <c r="AP144" s="623"/>
      <c r="AQ144" s="623"/>
      <c r="AR144" s="623"/>
      <c r="AS144" s="412"/>
      <c r="AT144" s="623"/>
      <c r="AU144" s="623"/>
      <c r="AV144" s="623"/>
      <c r="AW144" s="623"/>
      <c r="AX144" s="623"/>
      <c r="AY144" s="412"/>
      <c r="AZ144" s="623"/>
      <c r="BA144" s="623"/>
      <c r="BB144" s="412"/>
      <c r="BC144" s="623"/>
      <c r="BD144" s="412"/>
      <c r="BE144" s="412"/>
      <c r="BF144" s="412"/>
    </row>
    <row r="145" spans="4:58" ht="20" customHeight="1">
      <c r="D145" s="412"/>
      <c r="E145" s="161"/>
      <c r="F145" s="161"/>
      <c r="G145" s="412"/>
      <c r="H145" s="412"/>
      <c r="I145" s="412"/>
      <c r="J145" s="412"/>
      <c r="K145" s="412"/>
      <c r="L145" s="412"/>
      <c r="M145" s="412"/>
      <c r="N145" s="412"/>
      <c r="O145" s="412"/>
      <c r="P145" s="412"/>
      <c r="Q145" s="412"/>
      <c r="R145" s="412"/>
      <c r="S145" s="412"/>
      <c r="T145" s="412"/>
      <c r="U145" s="412"/>
      <c r="V145" s="412"/>
      <c r="W145" s="412"/>
      <c r="X145" s="412"/>
      <c r="Y145" s="412"/>
      <c r="Z145" s="412"/>
      <c r="AA145" s="412"/>
      <c r="AB145" s="412"/>
      <c r="AC145" s="412"/>
      <c r="AD145" s="412"/>
      <c r="AE145" s="412"/>
      <c r="AF145" s="412"/>
      <c r="AG145" s="412"/>
      <c r="AH145" s="412"/>
      <c r="AI145" s="412"/>
      <c r="AJ145" s="412"/>
      <c r="AK145" s="412"/>
      <c r="AL145" s="623"/>
      <c r="AM145" s="412"/>
      <c r="AN145" s="623"/>
      <c r="AO145" s="623"/>
      <c r="AP145" s="623"/>
      <c r="AQ145" s="623"/>
      <c r="AR145" s="623"/>
      <c r="AS145" s="412"/>
      <c r="AT145" s="623"/>
      <c r="AU145" s="623"/>
      <c r="AV145" s="623"/>
      <c r="AW145" s="623"/>
      <c r="AX145" s="623"/>
      <c r="AY145" s="412"/>
      <c r="AZ145" s="623"/>
      <c r="BA145" s="623"/>
      <c r="BB145" s="412"/>
      <c r="BC145" s="623"/>
      <c r="BD145" s="412"/>
      <c r="BE145" s="412"/>
      <c r="BF145" s="412"/>
    </row>
    <row r="146" spans="4:58" ht="20" customHeight="1">
      <c r="D146" s="412"/>
      <c r="E146" s="161"/>
      <c r="F146" s="161"/>
      <c r="G146" s="412"/>
      <c r="H146" s="412"/>
      <c r="I146" s="412"/>
      <c r="J146" s="412"/>
      <c r="K146" s="412"/>
      <c r="L146" s="412"/>
      <c r="M146" s="412"/>
      <c r="N146" s="412"/>
      <c r="O146" s="412"/>
      <c r="P146" s="412"/>
      <c r="Q146" s="412"/>
      <c r="R146" s="412"/>
      <c r="S146" s="412"/>
      <c r="T146" s="412"/>
      <c r="U146" s="412"/>
      <c r="V146" s="412"/>
      <c r="W146" s="412"/>
      <c r="X146" s="412"/>
      <c r="Y146" s="412"/>
      <c r="Z146" s="412"/>
      <c r="AA146" s="412"/>
      <c r="AB146" s="412"/>
      <c r="AC146" s="412"/>
      <c r="AD146" s="412"/>
      <c r="AE146" s="412"/>
      <c r="AF146" s="412"/>
      <c r="AG146" s="412"/>
      <c r="AH146" s="412"/>
      <c r="AI146" s="412"/>
      <c r="AJ146" s="412"/>
      <c r="AK146" s="412"/>
      <c r="AL146" s="623"/>
      <c r="AM146" s="412"/>
      <c r="AN146" s="623"/>
      <c r="AO146" s="623"/>
      <c r="AP146" s="623"/>
      <c r="AQ146" s="623"/>
      <c r="AR146" s="623"/>
      <c r="AS146" s="412"/>
      <c r="AT146" s="623"/>
      <c r="AU146" s="623"/>
      <c r="AV146" s="623"/>
      <c r="AW146" s="623"/>
      <c r="AX146" s="623"/>
      <c r="AY146" s="412"/>
      <c r="AZ146" s="623"/>
      <c r="BA146" s="623"/>
      <c r="BB146" s="412"/>
      <c r="BC146" s="623"/>
      <c r="BD146" s="412"/>
      <c r="BE146" s="412"/>
      <c r="BF146" s="412"/>
    </row>
    <row r="147" spans="4:58" ht="20" customHeight="1">
      <c r="D147" s="412"/>
      <c r="E147" s="161"/>
      <c r="F147" s="161"/>
      <c r="G147" s="412"/>
      <c r="H147" s="412"/>
      <c r="I147" s="412"/>
      <c r="J147" s="412"/>
      <c r="K147" s="412"/>
      <c r="L147" s="412"/>
      <c r="M147" s="412"/>
      <c r="N147" s="412"/>
      <c r="O147" s="412"/>
      <c r="P147" s="412"/>
      <c r="Q147" s="412"/>
      <c r="R147" s="412"/>
      <c r="S147" s="412"/>
      <c r="T147" s="412"/>
      <c r="U147" s="412"/>
      <c r="V147" s="412"/>
      <c r="W147" s="412"/>
      <c r="X147" s="412"/>
      <c r="Y147" s="412"/>
      <c r="Z147" s="412"/>
      <c r="AA147" s="412"/>
      <c r="AB147" s="412"/>
      <c r="AC147" s="412"/>
      <c r="AD147" s="412"/>
      <c r="AE147" s="412"/>
      <c r="AF147" s="412"/>
      <c r="AG147" s="412"/>
      <c r="AH147" s="412"/>
      <c r="AI147" s="412"/>
      <c r="AJ147" s="412"/>
      <c r="AK147" s="412"/>
      <c r="AL147" s="623"/>
      <c r="AM147" s="412"/>
      <c r="AN147" s="623"/>
      <c r="AO147" s="623"/>
      <c r="AP147" s="623"/>
      <c r="AQ147" s="623"/>
      <c r="AR147" s="623"/>
      <c r="AS147" s="412"/>
      <c r="AT147" s="623"/>
      <c r="AU147" s="623"/>
      <c r="AV147" s="623"/>
      <c r="AW147" s="623"/>
      <c r="AX147" s="623"/>
      <c r="AY147" s="412"/>
      <c r="AZ147" s="623"/>
      <c r="BA147" s="623"/>
      <c r="BB147" s="412"/>
      <c r="BC147" s="623"/>
      <c r="BD147" s="412"/>
      <c r="BE147" s="412"/>
      <c r="BF147" s="412"/>
    </row>
    <row r="148" spans="4:58" ht="20" customHeight="1">
      <c r="D148" s="412"/>
      <c r="E148" s="161"/>
      <c r="F148" s="161"/>
      <c r="G148" s="412"/>
      <c r="H148" s="412"/>
      <c r="I148" s="412"/>
      <c r="J148" s="412"/>
      <c r="K148" s="412"/>
      <c r="L148" s="412"/>
      <c r="M148" s="412"/>
      <c r="N148" s="412"/>
      <c r="O148" s="412"/>
      <c r="P148" s="412"/>
      <c r="Q148" s="412"/>
      <c r="R148" s="412"/>
      <c r="S148" s="412"/>
      <c r="T148" s="412"/>
      <c r="U148" s="412"/>
      <c r="V148" s="412"/>
      <c r="W148" s="412"/>
      <c r="X148" s="412"/>
      <c r="Y148" s="412"/>
      <c r="Z148" s="412"/>
      <c r="AA148" s="412"/>
      <c r="AB148" s="412"/>
      <c r="AC148" s="412"/>
      <c r="AD148" s="412"/>
      <c r="AE148" s="412"/>
      <c r="AF148" s="412"/>
      <c r="AG148" s="412"/>
      <c r="AH148" s="412"/>
      <c r="AI148" s="412"/>
      <c r="AJ148" s="412"/>
      <c r="AK148" s="412"/>
      <c r="AL148" s="623"/>
      <c r="AM148" s="412"/>
      <c r="AN148" s="623"/>
      <c r="AO148" s="623"/>
      <c r="AP148" s="623"/>
      <c r="AQ148" s="623"/>
      <c r="AR148" s="623"/>
      <c r="AS148" s="412"/>
      <c r="AT148" s="623"/>
      <c r="AU148" s="623"/>
      <c r="AV148" s="623"/>
      <c r="AW148" s="623"/>
      <c r="AX148" s="623"/>
      <c r="AY148" s="412"/>
      <c r="AZ148" s="623"/>
      <c r="BA148" s="623"/>
      <c r="BB148" s="412"/>
      <c r="BC148" s="623"/>
      <c r="BD148" s="412"/>
      <c r="BE148" s="412"/>
      <c r="BF148" s="412"/>
    </row>
    <row r="149" spans="4:58" ht="20" customHeight="1">
      <c r="D149" s="412"/>
      <c r="E149" s="161"/>
      <c r="F149" s="161"/>
      <c r="G149" s="412"/>
      <c r="H149" s="412"/>
      <c r="I149" s="412"/>
      <c r="J149" s="412"/>
      <c r="K149" s="412"/>
      <c r="L149" s="412"/>
      <c r="M149" s="412"/>
      <c r="N149" s="412"/>
      <c r="O149" s="412"/>
      <c r="P149" s="412"/>
      <c r="Q149" s="412"/>
      <c r="R149" s="412"/>
      <c r="S149" s="412"/>
      <c r="T149" s="412"/>
      <c r="U149" s="412"/>
      <c r="V149" s="412"/>
      <c r="W149" s="412"/>
      <c r="X149" s="412"/>
      <c r="Y149" s="412"/>
      <c r="Z149" s="412"/>
      <c r="AA149" s="412"/>
      <c r="AB149" s="412"/>
      <c r="AC149" s="412"/>
      <c r="AD149" s="412"/>
      <c r="AE149" s="412"/>
      <c r="AF149" s="412"/>
      <c r="AG149" s="412"/>
      <c r="AH149" s="412"/>
      <c r="AI149" s="412"/>
      <c r="AJ149" s="412"/>
      <c r="AK149" s="412"/>
      <c r="AL149" s="623"/>
      <c r="AM149" s="412"/>
      <c r="AN149" s="623"/>
      <c r="AO149" s="623"/>
      <c r="AP149" s="623"/>
      <c r="AQ149" s="623"/>
      <c r="AR149" s="623"/>
      <c r="AS149" s="412"/>
      <c r="AT149" s="623"/>
      <c r="AU149" s="623"/>
      <c r="AV149" s="623"/>
      <c r="AW149" s="623"/>
      <c r="AX149" s="623"/>
      <c r="AY149" s="412"/>
      <c r="AZ149" s="623"/>
      <c r="BA149" s="623"/>
      <c r="BB149" s="412"/>
      <c r="BC149" s="623"/>
      <c r="BD149" s="412"/>
      <c r="BE149" s="412"/>
      <c r="BF149" s="412"/>
    </row>
    <row r="150" spans="4:58" ht="20" customHeight="1">
      <c r="D150" s="412"/>
      <c r="E150" s="161"/>
      <c r="F150" s="161"/>
      <c r="G150" s="412"/>
      <c r="H150" s="412"/>
      <c r="I150" s="412"/>
      <c r="J150" s="412"/>
      <c r="K150" s="412"/>
      <c r="L150" s="412"/>
      <c r="M150" s="412"/>
      <c r="N150" s="412"/>
      <c r="O150" s="412"/>
      <c r="P150" s="412"/>
      <c r="Q150" s="412"/>
      <c r="R150" s="412"/>
      <c r="S150" s="412"/>
      <c r="T150" s="412"/>
      <c r="U150" s="412"/>
      <c r="V150" s="412"/>
      <c r="W150" s="412"/>
      <c r="X150" s="412"/>
      <c r="Y150" s="412"/>
      <c r="Z150" s="412"/>
      <c r="AA150" s="412"/>
      <c r="AB150" s="412"/>
      <c r="AC150" s="412"/>
      <c r="AD150" s="412"/>
      <c r="AE150" s="412"/>
      <c r="AF150" s="412"/>
      <c r="AG150" s="412"/>
      <c r="AH150" s="412"/>
      <c r="AI150" s="412"/>
      <c r="AJ150" s="412"/>
      <c r="AK150" s="412"/>
      <c r="AL150" s="623"/>
      <c r="AM150" s="412"/>
      <c r="AN150" s="623"/>
      <c r="AO150" s="623"/>
      <c r="AP150" s="623"/>
      <c r="AQ150" s="623"/>
      <c r="AR150" s="623"/>
      <c r="AS150" s="412"/>
      <c r="AT150" s="623"/>
      <c r="AU150" s="623"/>
      <c r="AV150" s="623"/>
      <c r="AW150" s="623"/>
      <c r="AX150" s="623"/>
      <c r="AY150" s="412"/>
      <c r="AZ150" s="623"/>
      <c r="BA150" s="623"/>
      <c r="BB150" s="412"/>
      <c r="BC150" s="623"/>
      <c r="BD150" s="412"/>
      <c r="BE150" s="412"/>
      <c r="BF150" s="412"/>
    </row>
    <row r="151" spans="4:58" ht="20" customHeight="1">
      <c r="D151" s="412"/>
      <c r="E151" s="161"/>
      <c r="F151" s="161"/>
      <c r="G151" s="412"/>
      <c r="H151" s="412"/>
      <c r="I151" s="412"/>
      <c r="J151" s="412"/>
      <c r="K151" s="412"/>
      <c r="L151" s="412"/>
      <c r="M151" s="412"/>
      <c r="N151" s="412"/>
      <c r="O151" s="412"/>
      <c r="P151" s="412"/>
      <c r="Q151" s="412"/>
      <c r="R151" s="412"/>
      <c r="S151" s="412"/>
      <c r="T151" s="412"/>
      <c r="U151" s="412"/>
      <c r="V151" s="412"/>
      <c r="W151" s="412"/>
      <c r="X151" s="412"/>
      <c r="Y151" s="412"/>
      <c r="Z151" s="412"/>
      <c r="AA151" s="412"/>
      <c r="AB151" s="412"/>
      <c r="AC151" s="412"/>
      <c r="AD151" s="412"/>
      <c r="AE151" s="412"/>
      <c r="AF151" s="412"/>
      <c r="AG151" s="412"/>
      <c r="AH151" s="412"/>
      <c r="AI151" s="412"/>
      <c r="AJ151" s="412"/>
      <c r="AK151" s="412"/>
      <c r="AL151" s="623"/>
      <c r="AM151" s="412"/>
      <c r="AN151" s="623"/>
      <c r="AO151" s="623"/>
      <c r="AP151" s="623"/>
      <c r="AQ151" s="623"/>
      <c r="AR151" s="623"/>
      <c r="AS151" s="412"/>
      <c r="AT151" s="623"/>
      <c r="AU151" s="623"/>
      <c r="AV151" s="623"/>
      <c r="AW151" s="623"/>
      <c r="AX151" s="623"/>
      <c r="AY151" s="412"/>
      <c r="AZ151" s="623"/>
      <c r="BA151" s="623"/>
      <c r="BB151" s="412"/>
      <c r="BC151" s="623"/>
      <c r="BD151" s="412"/>
      <c r="BE151" s="412"/>
      <c r="BF151" s="412"/>
    </row>
    <row r="152" spans="4:58" ht="20" customHeight="1">
      <c r="D152" s="412"/>
      <c r="E152" s="161"/>
      <c r="F152" s="161"/>
      <c r="G152" s="412"/>
      <c r="H152" s="412"/>
      <c r="I152" s="412"/>
      <c r="J152" s="412"/>
      <c r="K152" s="412"/>
      <c r="L152" s="412"/>
      <c r="M152" s="412"/>
      <c r="N152" s="412"/>
      <c r="O152" s="412"/>
      <c r="P152" s="412"/>
      <c r="Q152" s="412"/>
      <c r="R152" s="412"/>
      <c r="S152" s="412"/>
      <c r="T152" s="412"/>
      <c r="U152" s="412"/>
      <c r="V152" s="412"/>
      <c r="W152" s="412"/>
      <c r="X152" s="412"/>
      <c r="Y152" s="412"/>
      <c r="Z152" s="412"/>
      <c r="AA152" s="412"/>
      <c r="AB152" s="412"/>
      <c r="AC152" s="412"/>
      <c r="AD152" s="412"/>
      <c r="AE152" s="412"/>
      <c r="AF152" s="412"/>
      <c r="AG152" s="412"/>
      <c r="AH152" s="412"/>
      <c r="AI152" s="412"/>
      <c r="AJ152" s="412"/>
      <c r="AK152" s="412"/>
      <c r="AL152" s="623"/>
      <c r="AM152" s="412"/>
      <c r="AN152" s="623"/>
      <c r="AO152" s="623"/>
      <c r="AP152" s="623"/>
      <c r="AQ152" s="623"/>
      <c r="AR152" s="623"/>
      <c r="AS152" s="412"/>
      <c r="AT152" s="623"/>
      <c r="AU152" s="623"/>
      <c r="AV152" s="623"/>
      <c r="AW152" s="623"/>
      <c r="AX152" s="623"/>
      <c r="AY152" s="412"/>
      <c r="AZ152" s="623"/>
      <c r="BA152" s="623"/>
      <c r="BB152" s="412"/>
      <c r="BC152" s="623"/>
      <c r="BD152" s="412"/>
      <c r="BE152" s="412"/>
      <c r="BF152" s="412"/>
    </row>
    <row r="153" spans="4:58" ht="20" customHeight="1">
      <c r="D153" s="412"/>
      <c r="E153" s="161"/>
      <c r="F153" s="161"/>
      <c r="G153" s="412"/>
      <c r="H153" s="412"/>
      <c r="I153" s="412"/>
      <c r="J153" s="412"/>
      <c r="K153" s="412"/>
      <c r="L153" s="412"/>
      <c r="M153" s="412"/>
      <c r="N153" s="412"/>
      <c r="O153" s="412"/>
      <c r="P153" s="412"/>
      <c r="Q153" s="412"/>
      <c r="R153" s="412"/>
      <c r="S153" s="412"/>
      <c r="T153" s="412"/>
      <c r="U153" s="412"/>
      <c r="V153" s="412"/>
      <c r="W153" s="412"/>
      <c r="X153" s="412"/>
      <c r="Y153" s="412"/>
      <c r="Z153" s="412"/>
      <c r="AA153" s="412"/>
      <c r="AB153" s="412"/>
      <c r="AC153" s="412"/>
      <c r="AD153" s="412"/>
      <c r="AE153" s="412"/>
      <c r="AF153" s="412"/>
      <c r="AG153" s="412"/>
      <c r="AH153" s="412"/>
      <c r="AI153" s="412"/>
      <c r="AJ153" s="412"/>
      <c r="AK153" s="412"/>
      <c r="AL153" s="623"/>
      <c r="AM153" s="412"/>
      <c r="AN153" s="623"/>
      <c r="AO153" s="623"/>
      <c r="AP153" s="623"/>
      <c r="AQ153" s="623"/>
      <c r="AR153" s="623"/>
      <c r="AS153" s="412"/>
      <c r="AT153" s="623"/>
      <c r="AU153" s="623"/>
      <c r="AV153" s="623"/>
      <c r="AW153" s="623"/>
      <c r="AX153" s="623"/>
      <c r="AY153" s="412"/>
      <c r="AZ153" s="623"/>
      <c r="BA153" s="623"/>
      <c r="BB153" s="412"/>
      <c r="BC153" s="623"/>
      <c r="BD153" s="412"/>
      <c r="BE153" s="412"/>
      <c r="BF153" s="412"/>
    </row>
    <row r="154" spans="4:58" ht="20" customHeight="1">
      <c r="D154" s="412"/>
      <c r="E154" s="161"/>
      <c r="F154" s="161"/>
      <c r="G154" s="412"/>
      <c r="H154" s="412"/>
      <c r="I154" s="412"/>
      <c r="J154" s="412"/>
      <c r="K154" s="412"/>
      <c r="L154" s="412"/>
      <c r="M154" s="412"/>
      <c r="N154" s="412"/>
      <c r="O154" s="412"/>
      <c r="P154" s="412"/>
      <c r="Q154" s="412"/>
      <c r="R154" s="412"/>
      <c r="S154" s="412"/>
      <c r="T154" s="412"/>
      <c r="U154" s="412"/>
      <c r="V154" s="412"/>
      <c r="W154" s="412"/>
      <c r="X154" s="412"/>
      <c r="Y154" s="412"/>
      <c r="Z154" s="412"/>
      <c r="AA154" s="412"/>
      <c r="AB154" s="412"/>
      <c r="AC154" s="412"/>
      <c r="AD154" s="412"/>
      <c r="AE154" s="412"/>
      <c r="AF154" s="412"/>
      <c r="AG154" s="412"/>
      <c r="AH154" s="412"/>
      <c r="AI154" s="412"/>
      <c r="AJ154" s="412"/>
      <c r="AK154" s="412"/>
      <c r="AL154" s="623"/>
      <c r="AM154" s="412"/>
      <c r="AN154" s="623"/>
      <c r="AO154" s="623"/>
      <c r="AP154" s="623"/>
      <c r="AQ154" s="623"/>
      <c r="AR154" s="623"/>
      <c r="AS154" s="412"/>
      <c r="AT154" s="623"/>
      <c r="AU154" s="623"/>
      <c r="AV154" s="623"/>
      <c r="AW154" s="623"/>
      <c r="AX154" s="623"/>
      <c r="AY154" s="412"/>
      <c r="AZ154" s="623"/>
      <c r="BA154" s="623"/>
      <c r="BB154" s="412"/>
      <c r="BC154" s="623"/>
      <c r="BD154" s="412"/>
      <c r="BE154" s="412"/>
      <c r="BF154" s="412"/>
    </row>
    <row r="155" spans="4:58" ht="20" customHeight="1">
      <c r="D155" s="412"/>
      <c r="E155" s="161"/>
      <c r="F155" s="161"/>
      <c r="G155" s="412"/>
      <c r="H155" s="412"/>
      <c r="I155" s="412"/>
      <c r="J155" s="412"/>
      <c r="K155" s="412"/>
      <c r="L155" s="412"/>
      <c r="M155" s="412"/>
      <c r="N155" s="412"/>
      <c r="O155" s="412"/>
      <c r="P155" s="412"/>
      <c r="Q155" s="412"/>
      <c r="R155" s="412"/>
      <c r="S155" s="412"/>
      <c r="T155" s="412"/>
      <c r="U155" s="412"/>
      <c r="V155" s="412"/>
      <c r="W155" s="412"/>
      <c r="X155" s="412"/>
      <c r="Y155" s="412"/>
      <c r="Z155" s="412"/>
      <c r="AA155" s="412"/>
      <c r="AB155" s="412"/>
      <c r="AC155" s="412"/>
      <c r="AD155" s="412"/>
      <c r="AE155" s="412"/>
      <c r="AF155" s="412"/>
      <c r="AG155" s="412"/>
      <c r="AH155" s="412"/>
      <c r="AI155" s="412"/>
      <c r="AJ155" s="412"/>
      <c r="AK155" s="412"/>
      <c r="AL155" s="623"/>
      <c r="AM155" s="412"/>
      <c r="AN155" s="623"/>
      <c r="AO155" s="623"/>
      <c r="AP155" s="623"/>
      <c r="AQ155" s="623"/>
      <c r="AR155" s="623"/>
      <c r="AS155" s="412"/>
      <c r="AT155" s="623"/>
      <c r="AU155" s="623"/>
      <c r="AV155" s="623"/>
      <c r="AW155" s="623"/>
      <c r="AX155" s="623"/>
      <c r="AY155" s="412"/>
      <c r="AZ155" s="623"/>
      <c r="BA155" s="623"/>
      <c r="BB155" s="412"/>
      <c r="BC155" s="623"/>
      <c r="BD155" s="412"/>
      <c r="BE155" s="412"/>
      <c r="BF155" s="412"/>
    </row>
    <row r="156" spans="4:58" ht="20" customHeight="1">
      <c r="D156" s="412"/>
      <c r="E156" s="161"/>
      <c r="F156" s="161"/>
      <c r="G156" s="412"/>
      <c r="H156" s="412"/>
      <c r="I156" s="412"/>
      <c r="J156" s="412"/>
      <c r="K156" s="412"/>
      <c r="L156" s="412"/>
      <c r="M156" s="412"/>
      <c r="N156" s="412"/>
      <c r="O156" s="412"/>
      <c r="P156" s="412"/>
      <c r="Q156" s="412"/>
      <c r="R156" s="412"/>
      <c r="S156" s="412"/>
      <c r="T156" s="412"/>
      <c r="U156" s="412"/>
      <c r="V156" s="412"/>
      <c r="W156" s="412"/>
      <c r="X156" s="412"/>
      <c r="Y156" s="412"/>
      <c r="Z156" s="412"/>
      <c r="AA156" s="412"/>
      <c r="AB156" s="412"/>
      <c r="AC156" s="412"/>
      <c r="AD156" s="412"/>
      <c r="AE156" s="412"/>
      <c r="AF156" s="412"/>
      <c r="AG156" s="412"/>
      <c r="AH156" s="412"/>
      <c r="AI156" s="412"/>
      <c r="AJ156" s="412"/>
      <c r="AK156" s="412"/>
      <c r="AL156" s="623"/>
      <c r="AM156" s="412"/>
      <c r="AN156" s="623"/>
      <c r="AO156" s="623"/>
      <c r="AP156" s="623"/>
      <c r="AQ156" s="623"/>
      <c r="AR156" s="623"/>
      <c r="AS156" s="412"/>
      <c r="AT156" s="623"/>
      <c r="AU156" s="623"/>
      <c r="AV156" s="623"/>
      <c r="AW156" s="623"/>
      <c r="AX156" s="623"/>
      <c r="AY156" s="412"/>
      <c r="AZ156" s="623"/>
      <c r="BA156" s="623"/>
      <c r="BB156" s="412"/>
      <c r="BC156" s="623"/>
      <c r="BD156" s="412"/>
      <c r="BE156" s="412"/>
      <c r="BF156" s="412"/>
    </row>
    <row r="157" spans="4:58" ht="20" customHeight="1">
      <c r="D157" s="412"/>
      <c r="E157" s="161"/>
      <c r="F157" s="161"/>
      <c r="G157" s="412"/>
      <c r="H157" s="412"/>
      <c r="I157" s="412"/>
      <c r="J157" s="412"/>
      <c r="K157" s="412"/>
      <c r="L157" s="412"/>
      <c r="M157" s="412"/>
      <c r="N157" s="412"/>
      <c r="O157" s="412"/>
      <c r="P157" s="412"/>
      <c r="Q157" s="412"/>
      <c r="R157" s="412"/>
      <c r="S157" s="412"/>
      <c r="T157" s="412"/>
      <c r="U157" s="412"/>
      <c r="V157" s="412"/>
      <c r="W157" s="412"/>
      <c r="X157" s="412"/>
      <c r="Y157" s="412"/>
      <c r="Z157" s="412"/>
      <c r="AA157" s="412"/>
      <c r="AB157" s="412"/>
      <c r="AC157" s="412"/>
      <c r="AD157" s="412"/>
      <c r="AE157" s="412"/>
      <c r="AF157" s="412"/>
      <c r="AG157" s="412"/>
      <c r="AH157" s="412"/>
      <c r="AI157" s="412"/>
      <c r="AJ157" s="412"/>
      <c r="AK157" s="412"/>
      <c r="AL157" s="623"/>
      <c r="AM157" s="412"/>
      <c r="AN157" s="623"/>
      <c r="AO157" s="623"/>
      <c r="AP157" s="623"/>
      <c r="AQ157" s="623"/>
      <c r="AR157" s="623"/>
      <c r="AS157" s="412"/>
      <c r="AT157" s="623"/>
      <c r="AU157" s="623"/>
      <c r="AV157" s="623"/>
      <c r="AW157" s="623"/>
      <c r="AX157" s="623"/>
      <c r="AY157" s="412"/>
      <c r="AZ157" s="623"/>
      <c r="BA157" s="623"/>
      <c r="BB157" s="412"/>
      <c r="BC157" s="623"/>
      <c r="BD157" s="412"/>
      <c r="BE157" s="412"/>
      <c r="BF157" s="412"/>
    </row>
    <row r="158" spans="4:58" ht="20" customHeight="1">
      <c r="D158" s="412"/>
      <c r="E158" s="161"/>
      <c r="F158" s="161"/>
      <c r="G158" s="412"/>
      <c r="H158" s="412"/>
      <c r="I158" s="412"/>
      <c r="J158" s="412"/>
      <c r="K158" s="412"/>
      <c r="L158" s="412"/>
      <c r="M158" s="412"/>
      <c r="N158" s="412"/>
      <c r="O158" s="412"/>
      <c r="P158" s="412"/>
      <c r="Q158" s="412"/>
      <c r="R158" s="412"/>
      <c r="S158" s="412"/>
      <c r="T158" s="412"/>
      <c r="U158" s="412"/>
      <c r="V158" s="412"/>
      <c r="W158" s="412"/>
      <c r="X158" s="412"/>
      <c r="Y158" s="412"/>
      <c r="Z158" s="412"/>
      <c r="AA158" s="412"/>
      <c r="AB158" s="412"/>
      <c r="AC158" s="412"/>
      <c r="AD158" s="412"/>
      <c r="AE158" s="412"/>
      <c r="AF158" s="412"/>
      <c r="AG158" s="412"/>
      <c r="AH158" s="412"/>
      <c r="AI158" s="412"/>
      <c r="AJ158" s="412"/>
      <c r="AK158" s="412"/>
      <c r="AL158" s="623"/>
      <c r="AM158" s="412"/>
      <c r="AN158" s="623"/>
      <c r="AO158" s="623"/>
      <c r="AP158" s="623"/>
      <c r="AQ158" s="623"/>
      <c r="AR158" s="623"/>
      <c r="AS158" s="412"/>
      <c r="AT158" s="623"/>
      <c r="AU158" s="623"/>
      <c r="AV158" s="623"/>
      <c r="AW158" s="623"/>
      <c r="AX158" s="623"/>
      <c r="AY158" s="412"/>
      <c r="AZ158" s="623"/>
      <c r="BA158" s="623"/>
      <c r="BB158" s="412"/>
      <c r="BC158" s="623"/>
      <c r="BD158" s="412"/>
      <c r="BE158" s="412"/>
      <c r="BF158" s="412"/>
    </row>
    <row r="159" spans="4:58" ht="20" customHeight="1">
      <c r="D159" s="412"/>
      <c r="E159" s="161"/>
      <c r="F159" s="161"/>
      <c r="G159" s="412"/>
      <c r="H159" s="412"/>
      <c r="I159" s="412"/>
      <c r="J159" s="412"/>
      <c r="K159" s="412"/>
      <c r="L159" s="412"/>
      <c r="M159" s="412"/>
      <c r="N159" s="412"/>
      <c r="O159" s="412"/>
      <c r="P159" s="412"/>
      <c r="Q159" s="412"/>
      <c r="R159" s="412"/>
      <c r="S159" s="412"/>
      <c r="T159" s="412"/>
      <c r="U159" s="412"/>
      <c r="V159" s="412"/>
      <c r="W159" s="412"/>
      <c r="X159" s="412"/>
      <c r="Y159" s="412"/>
      <c r="Z159" s="412"/>
      <c r="AA159" s="412"/>
      <c r="AB159" s="412"/>
      <c r="AC159" s="412"/>
      <c r="AD159" s="412"/>
      <c r="AE159" s="412"/>
      <c r="AF159" s="412"/>
      <c r="AG159" s="412"/>
      <c r="AH159" s="412"/>
      <c r="AI159" s="412"/>
      <c r="AJ159" s="412"/>
      <c r="AK159" s="412"/>
      <c r="AL159" s="623"/>
      <c r="AM159" s="412"/>
      <c r="AN159" s="623"/>
      <c r="AO159" s="623"/>
      <c r="AP159" s="623"/>
      <c r="AQ159" s="623"/>
      <c r="AR159" s="623"/>
      <c r="AS159" s="412"/>
      <c r="AT159" s="623"/>
      <c r="AU159" s="623"/>
      <c r="AV159" s="623"/>
      <c r="AW159" s="623"/>
      <c r="AX159" s="623"/>
      <c r="AY159" s="412"/>
      <c r="AZ159" s="623"/>
      <c r="BA159" s="623"/>
      <c r="BB159" s="412"/>
      <c r="BC159" s="623"/>
      <c r="BD159" s="412"/>
      <c r="BE159" s="412"/>
      <c r="BF159" s="412"/>
    </row>
    <row r="160" spans="4:58" ht="20" customHeight="1">
      <c r="D160" s="412"/>
      <c r="E160" s="161"/>
      <c r="F160" s="161"/>
      <c r="G160" s="412"/>
      <c r="H160" s="412"/>
      <c r="I160" s="412"/>
      <c r="J160" s="412"/>
      <c r="K160" s="412"/>
      <c r="L160" s="412"/>
      <c r="M160" s="412"/>
      <c r="N160" s="412"/>
      <c r="O160" s="412"/>
      <c r="P160" s="412"/>
      <c r="Q160" s="412"/>
      <c r="R160" s="412"/>
      <c r="S160" s="412"/>
      <c r="T160" s="412"/>
      <c r="U160" s="412"/>
      <c r="V160" s="412"/>
      <c r="W160" s="412"/>
      <c r="X160" s="412"/>
      <c r="Y160" s="412"/>
      <c r="Z160" s="412"/>
      <c r="AA160" s="412"/>
      <c r="AB160" s="412"/>
      <c r="AC160" s="412"/>
      <c r="AD160" s="412"/>
      <c r="AE160" s="412"/>
      <c r="AF160" s="412"/>
      <c r="AG160" s="412"/>
      <c r="AH160" s="412"/>
      <c r="AI160" s="412"/>
      <c r="AJ160" s="412"/>
      <c r="AK160" s="412"/>
      <c r="AL160" s="623"/>
      <c r="AM160" s="412"/>
      <c r="AN160" s="623"/>
      <c r="AO160" s="623"/>
      <c r="AP160" s="623"/>
      <c r="AQ160" s="623"/>
      <c r="AR160" s="623"/>
      <c r="AS160" s="412"/>
      <c r="AT160" s="623"/>
      <c r="AU160" s="623"/>
      <c r="AV160" s="623"/>
      <c r="AW160" s="623"/>
      <c r="AX160" s="623"/>
      <c r="AY160" s="412"/>
      <c r="AZ160" s="623"/>
      <c r="BA160" s="623"/>
      <c r="BB160" s="412"/>
      <c r="BC160" s="623"/>
      <c r="BD160" s="412"/>
      <c r="BE160" s="412"/>
      <c r="BF160" s="412"/>
    </row>
    <row r="161" spans="4:58" ht="20" customHeight="1">
      <c r="D161" s="412"/>
      <c r="E161" s="161"/>
      <c r="F161" s="161"/>
      <c r="G161" s="412"/>
      <c r="H161" s="412"/>
      <c r="I161" s="412"/>
      <c r="J161" s="412"/>
      <c r="K161" s="412"/>
      <c r="L161" s="412"/>
      <c r="M161" s="412"/>
      <c r="N161" s="412"/>
      <c r="O161" s="412"/>
      <c r="P161" s="412"/>
      <c r="Q161" s="412"/>
      <c r="R161" s="412"/>
      <c r="S161" s="412"/>
      <c r="T161" s="412"/>
      <c r="U161" s="412"/>
      <c r="V161" s="412"/>
      <c r="W161" s="412"/>
      <c r="X161" s="412"/>
      <c r="Y161" s="412"/>
      <c r="Z161" s="412"/>
      <c r="AA161" s="412"/>
      <c r="AB161" s="412"/>
      <c r="AC161" s="412"/>
      <c r="AD161" s="412"/>
      <c r="AE161" s="412"/>
      <c r="AF161" s="412"/>
      <c r="AG161" s="412"/>
      <c r="AH161" s="412"/>
      <c r="AI161" s="412"/>
      <c r="AJ161" s="412"/>
      <c r="AK161" s="412"/>
      <c r="AL161" s="623"/>
      <c r="AM161" s="412"/>
      <c r="AN161" s="623"/>
      <c r="AO161" s="623"/>
      <c r="AP161" s="623"/>
      <c r="AQ161" s="623"/>
      <c r="AR161" s="623"/>
      <c r="AS161" s="412"/>
      <c r="AT161" s="623"/>
      <c r="AU161" s="623"/>
      <c r="AV161" s="623"/>
      <c r="AW161" s="623"/>
      <c r="AX161" s="623"/>
      <c r="AY161" s="412"/>
      <c r="AZ161" s="623"/>
      <c r="BA161" s="623"/>
      <c r="BB161" s="412"/>
      <c r="BC161" s="623"/>
      <c r="BD161" s="412"/>
      <c r="BE161" s="412"/>
      <c r="BF161" s="412"/>
    </row>
    <row r="162" spans="4:58" ht="20" customHeight="1">
      <c r="D162" s="412"/>
      <c r="E162" s="161"/>
      <c r="F162" s="161"/>
      <c r="G162" s="412"/>
      <c r="H162" s="412"/>
      <c r="I162" s="412"/>
      <c r="J162" s="412"/>
      <c r="K162" s="412"/>
      <c r="L162" s="412"/>
      <c r="M162" s="412"/>
      <c r="N162" s="412"/>
      <c r="O162" s="412"/>
      <c r="P162" s="412"/>
      <c r="Q162" s="412"/>
      <c r="R162" s="412"/>
      <c r="S162" s="412"/>
      <c r="T162" s="412"/>
      <c r="U162" s="412"/>
      <c r="V162" s="412"/>
      <c r="W162" s="412"/>
      <c r="X162" s="412"/>
      <c r="Y162" s="412"/>
      <c r="Z162" s="412"/>
      <c r="AA162" s="412"/>
      <c r="AB162" s="412"/>
      <c r="AC162" s="412"/>
      <c r="AD162" s="412"/>
      <c r="AE162" s="412"/>
      <c r="AF162" s="412"/>
      <c r="AG162" s="412"/>
      <c r="AH162" s="412"/>
      <c r="AI162" s="412"/>
      <c r="AJ162" s="412"/>
      <c r="AK162" s="412"/>
      <c r="AL162" s="623"/>
      <c r="AM162" s="412"/>
      <c r="AN162" s="623"/>
      <c r="AO162" s="623"/>
      <c r="AP162" s="623"/>
      <c r="AQ162" s="623"/>
      <c r="AR162" s="623"/>
      <c r="AS162" s="412"/>
      <c r="AT162" s="623"/>
      <c r="AU162" s="623"/>
      <c r="AV162" s="623"/>
      <c r="AW162" s="623"/>
      <c r="AX162" s="623"/>
      <c r="AY162" s="412"/>
      <c r="AZ162" s="623"/>
      <c r="BA162" s="623"/>
      <c r="BB162" s="412"/>
      <c r="BC162" s="623"/>
      <c r="BD162" s="412"/>
      <c r="BE162" s="412"/>
      <c r="BF162" s="412"/>
    </row>
    <row r="163" spans="4:58" ht="20" customHeight="1">
      <c r="D163" s="412"/>
      <c r="E163" s="161"/>
      <c r="F163" s="161"/>
      <c r="G163" s="412"/>
      <c r="H163" s="412"/>
      <c r="I163" s="412"/>
      <c r="J163" s="412"/>
      <c r="K163" s="412"/>
      <c r="L163" s="412"/>
      <c r="M163" s="412"/>
      <c r="N163" s="412"/>
      <c r="O163" s="412"/>
      <c r="P163" s="412"/>
      <c r="Q163" s="412"/>
      <c r="R163" s="412"/>
      <c r="S163" s="412"/>
      <c r="T163" s="412"/>
      <c r="U163" s="412"/>
      <c r="V163" s="412"/>
      <c r="W163" s="412"/>
      <c r="X163" s="412"/>
      <c r="Y163" s="412"/>
      <c r="Z163" s="412"/>
      <c r="AA163" s="412"/>
      <c r="AB163" s="412"/>
      <c r="AC163" s="412"/>
      <c r="AD163" s="412"/>
      <c r="AE163" s="412"/>
      <c r="AF163" s="412"/>
      <c r="AG163" s="412"/>
      <c r="AH163" s="412"/>
      <c r="AI163" s="412"/>
      <c r="AJ163" s="412"/>
      <c r="AK163" s="412"/>
      <c r="AL163" s="623"/>
      <c r="AM163" s="412"/>
      <c r="AN163" s="623"/>
      <c r="AO163" s="623"/>
      <c r="AP163" s="623"/>
      <c r="AQ163" s="623"/>
      <c r="AR163" s="623"/>
      <c r="AS163" s="412"/>
      <c r="AT163" s="623"/>
      <c r="AU163" s="623"/>
      <c r="AV163" s="623"/>
      <c r="AW163" s="623"/>
      <c r="AX163" s="623"/>
      <c r="AY163" s="412"/>
      <c r="AZ163" s="623"/>
      <c r="BA163" s="623"/>
      <c r="BB163" s="412"/>
      <c r="BC163" s="623"/>
      <c r="BD163" s="412"/>
      <c r="BE163" s="412"/>
      <c r="BF163" s="412"/>
    </row>
    <row r="164" spans="4:58" ht="20" customHeight="1">
      <c r="D164" s="412"/>
      <c r="E164" s="161"/>
      <c r="F164" s="161"/>
      <c r="G164" s="412"/>
      <c r="H164" s="412"/>
      <c r="I164" s="412"/>
      <c r="J164" s="412"/>
      <c r="K164" s="412"/>
      <c r="L164" s="412"/>
      <c r="M164" s="412"/>
      <c r="N164" s="412"/>
      <c r="O164" s="412"/>
      <c r="P164" s="412"/>
      <c r="Q164" s="412"/>
      <c r="R164" s="412"/>
      <c r="S164" s="412"/>
      <c r="T164" s="412"/>
      <c r="U164" s="412"/>
      <c r="V164" s="412"/>
      <c r="W164" s="412"/>
      <c r="X164" s="412"/>
      <c r="Y164" s="412"/>
      <c r="Z164" s="412"/>
      <c r="AA164" s="412"/>
      <c r="AB164" s="412"/>
      <c r="AC164" s="412"/>
      <c r="AD164" s="412"/>
      <c r="AE164" s="412"/>
      <c r="AF164" s="412"/>
      <c r="AG164" s="412"/>
      <c r="AH164" s="412"/>
      <c r="AI164" s="412"/>
      <c r="AJ164" s="412"/>
      <c r="AK164" s="412"/>
      <c r="AL164" s="623"/>
      <c r="AM164" s="412"/>
      <c r="AN164" s="623"/>
      <c r="AO164" s="623"/>
      <c r="AP164" s="623"/>
      <c r="AQ164" s="623"/>
      <c r="AR164" s="623"/>
      <c r="AS164" s="412"/>
      <c r="AT164" s="623"/>
      <c r="AU164" s="623"/>
      <c r="AV164" s="623"/>
      <c r="AW164" s="623"/>
      <c r="AX164" s="623"/>
      <c r="AY164" s="412"/>
      <c r="AZ164" s="623"/>
      <c r="BA164" s="623"/>
      <c r="BB164" s="412"/>
      <c r="BC164" s="623"/>
      <c r="BD164" s="412"/>
      <c r="BE164" s="412"/>
      <c r="BF164" s="412"/>
    </row>
    <row r="165" spans="4:58" ht="20" customHeight="1">
      <c r="D165" s="412"/>
      <c r="E165" s="161"/>
      <c r="F165" s="161"/>
      <c r="G165" s="412"/>
      <c r="H165" s="412"/>
      <c r="I165" s="412"/>
      <c r="J165" s="412"/>
      <c r="K165" s="412"/>
      <c r="L165" s="412"/>
      <c r="M165" s="412"/>
      <c r="N165" s="412"/>
      <c r="O165" s="412"/>
      <c r="P165" s="412"/>
      <c r="Q165" s="412"/>
      <c r="R165" s="412"/>
      <c r="S165" s="412"/>
      <c r="T165" s="412"/>
      <c r="U165" s="412"/>
      <c r="V165" s="412"/>
      <c r="W165" s="412"/>
      <c r="X165" s="412"/>
      <c r="Y165" s="412"/>
      <c r="Z165" s="412"/>
      <c r="AA165" s="412"/>
      <c r="AB165" s="412"/>
      <c r="AC165" s="412"/>
      <c r="AD165" s="412"/>
      <c r="AE165" s="412"/>
      <c r="AF165" s="412"/>
      <c r="AG165" s="412"/>
      <c r="AH165" s="412"/>
      <c r="AI165" s="412"/>
      <c r="AJ165" s="412"/>
      <c r="AK165" s="412"/>
      <c r="AL165" s="623"/>
      <c r="AM165" s="412"/>
      <c r="AN165" s="623"/>
      <c r="AO165" s="623"/>
      <c r="AP165" s="623"/>
      <c r="AQ165" s="623"/>
      <c r="AR165" s="623"/>
      <c r="AS165" s="412"/>
      <c r="AT165" s="623"/>
      <c r="AU165" s="623"/>
      <c r="AV165" s="623"/>
      <c r="AW165" s="623"/>
      <c r="AX165" s="623"/>
      <c r="AY165" s="412"/>
      <c r="AZ165" s="623"/>
      <c r="BA165" s="623"/>
      <c r="BB165" s="412"/>
      <c r="BC165" s="623"/>
      <c r="BD165" s="412"/>
      <c r="BE165" s="412"/>
      <c r="BF165" s="412"/>
    </row>
    <row r="166" spans="4:58" ht="20" customHeight="1">
      <c r="D166" s="412"/>
      <c r="E166" s="161"/>
      <c r="F166" s="161"/>
      <c r="G166" s="412"/>
      <c r="H166" s="412"/>
      <c r="I166" s="412"/>
      <c r="J166" s="412"/>
      <c r="K166" s="412"/>
      <c r="L166" s="412"/>
      <c r="M166" s="412"/>
      <c r="N166" s="412"/>
      <c r="O166" s="412"/>
      <c r="P166" s="412"/>
      <c r="Q166" s="412"/>
      <c r="R166" s="412"/>
      <c r="S166" s="412"/>
      <c r="T166" s="412"/>
      <c r="U166" s="412"/>
      <c r="V166" s="412"/>
      <c r="W166" s="412"/>
      <c r="X166" s="412"/>
      <c r="Y166" s="412"/>
      <c r="Z166" s="412"/>
      <c r="AA166" s="412"/>
      <c r="AB166" s="412"/>
      <c r="AC166" s="412"/>
      <c r="AD166" s="412"/>
      <c r="AE166" s="412"/>
      <c r="AF166" s="412"/>
      <c r="AG166" s="412"/>
      <c r="AH166" s="412"/>
      <c r="AI166" s="412"/>
      <c r="AJ166" s="412"/>
      <c r="AK166" s="412"/>
      <c r="AL166" s="623"/>
      <c r="AM166" s="412"/>
      <c r="AN166" s="623"/>
      <c r="AO166" s="623"/>
      <c r="AP166" s="623"/>
      <c r="AQ166" s="623"/>
      <c r="AR166" s="623"/>
      <c r="AS166" s="412"/>
      <c r="AT166" s="623"/>
      <c r="AU166" s="623"/>
      <c r="AV166" s="623"/>
      <c r="AW166" s="623"/>
      <c r="AX166" s="623"/>
      <c r="AY166" s="412"/>
      <c r="AZ166" s="623"/>
      <c r="BA166" s="623"/>
      <c r="BB166" s="412"/>
      <c r="BC166" s="623"/>
      <c r="BD166" s="412"/>
      <c r="BE166" s="412"/>
      <c r="BF166" s="412"/>
    </row>
    <row r="167" spans="4:58" ht="20" customHeight="1">
      <c r="D167" s="412"/>
      <c r="E167" s="161"/>
      <c r="F167" s="161"/>
      <c r="G167" s="412"/>
      <c r="H167" s="412"/>
      <c r="I167" s="412"/>
      <c r="J167" s="412"/>
      <c r="K167" s="412"/>
      <c r="L167" s="412"/>
      <c r="M167" s="412"/>
      <c r="N167" s="412"/>
      <c r="O167" s="412"/>
      <c r="P167" s="412"/>
      <c r="Q167" s="412"/>
      <c r="R167" s="412"/>
      <c r="S167" s="412"/>
      <c r="T167" s="412"/>
      <c r="U167" s="412"/>
      <c r="V167" s="412"/>
      <c r="W167" s="412"/>
      <c r="X167" s="412"/>
      <c r="Y167" s="412"/>
      <c r="Z167" s="412"/>
      <c r="AA167" s="412"/>
      <c r="AB167" s="412"/>
      <c r="AC167" s="412"/>
      <c r="AD167" s="412"/>
      <c r="AE167" s="412"/>
      <c r="AF167" s="412"/>
      <c r="AG167" s="412"/>
      <c r="AH167" s="412"/>
      <c r="AI167" s="412"/>
      <c r="AJ167" s="412"/>
      <c r="AK167" s="412"/>
      <c r="AL167" s="623"/>
      <c r="AM167" s="412"/>
      <c r="AN167" s="623"/>
      <c r="AO167" s="623"/>
      <c r="AP167" s="623"/>
      <c r="AQ167" s="623"/>
      <c r="AR167" s="623"/>
      <c r="AS167" s="412"/>
      <c r="AT167" s="623"/>
      <c r="AU167" s="623"/>
      <c r="AV167" s="623"/>
      <c r="AW167" s="623"/>
      <c r="AX167" s="623"/>
      <c r="AY167" s="412"/>
      <c r="AZ167" s="623"/>
      <c r="BA167" s="623"/>
      <c r="BB167" s="412"/>
      <c r="BC167" s="623"/>
      <c r="BD167" s="412"/>
      <c r="BE167" s="412"/>
      <c r="BF167" s="412"/>
    </row>
    <row r="168" spans="4:58" ht="20" customHeight="1">
      <c r="D168" s="412"/>
      <c r="E168" s="161"/>
      <c r="F168" s="161"/>
      <c r="G168" s="412"/>
      <c r="H168" s="412"/>
      <c r="I168" s="412"/>
      <c r="J168" s="412"/>
      <c r="K168" s="412"/>
      <c r="L168" s="412"/>
      <c r="M168" s="412"/>
      <c r="N168" s="412"/>
      <c r="O168" s="412"/>
      <c r="P168" s="412"/>
      <c r="Q168" s="412"/>
      <c r="R168" s="412"/>
      <c r="S168" s="412"/>
      <c r="T168" s="412"/>
      <c r="U168" s="412"/>
      <c r="V168" s="412"/>
      <c r="W168" s="412"/>
      <c r="X168" s="412"/>
      <c r="Y168" s="412"/>
      <c r="Z168" s="412"/>
      <c r="AA168" s="412"/>
      <c r="AB168" s="412"/>
      <c r="AC168" s="412"/>
      <c r="AD168" s="412"/>
      <c r="AE168" s="412"/>
      <c r="AF168" s="412"/>
      <c r="AG168" s="412"/>
      <c r="AH168" s="412"/>
      <c r="AI168" s="412"/>
      <c r="AJ168" s="412"/>
      <c r="AK168" s="412"/>
      <c r="AL168" s="623"/>
      <c r="AM168" s="412"/>
      <c r="AN168" s="623"/>
      <c r="AO168" s="623"/>
      <c r="AP168" s="623"/>
      <c r="AQ168" s="623"/>
      <c r="AR168" s="623"/>
      <c r="AS168" s="412"/>
      <c r="AT168" s="623"/>
      <c r="AU168" s="623"/>
      <c r="AV168" s="623"/>
      <c r="AW168" s="623"/>
      <c r="AX168" s="623"/>
      <c r="AY168" s="412"/>
      <c r="AZ168" s="623"/>
      <c r="BA168" s="623"/>
      <c r="BB168" s="412"/>
      <c r="BC168" s="623"/>
      <c r="BD168" s="412"/>
      <c r="BE168" s="412"/>
      <c r="BF168" s="412"/>
    </row>
    <row r="169" spans="4:58" ht="20" customHeight="1">
      <c r="D169" s="412"/>
      <c r="E169" s="161"/>
      <c r="F169" s="161"/>
      <c r="G169" s="412"/>
      <c r="H169" s="412"/>
      <c r="I169" s="412"/>
      <c r="J169" s="412"/>
      <c r="K169" s="412"/>
      <c r="L169" s="412"/>
      <c r="M169" s="412"/>
      <c r="N169" s="412"/>
      <c r="O169" s="412"/>
      <c r="P169" s="412"/>
      <c r="Q169" s="412"/>
      <c r="R169" s="412"/>
      <c r="S169" s="412"/>
      <c r="T169" s="412"/>
      <c r="U169" s="412"/>
      <c r="V169" s="412"/>
      <c r="W169" s="412"/>
      <c r="X169" s="412"/>
      <c r="Y169" s="412"/>
      <c r="Z169" s="412"/>
      <c r="AA169" s="412"/>
      <c r="AB169" s="412"/>
      <c r="AC169" s="412"/>
      <c r="AD169" s="412"/>
      <c r="AE169" s="412"/>
      <c r="AF169" s="412"/>
      <c r="AG169" s="412"/>
      <c r="AH169" s="412"/>
      <c r="AI169" s="412"/>
      <c r="AJ169" s="412"/>
      <c r="AK169" s="412"/>
      <c r="AL169" s="623"/>
      <c r="AM169" s="412"/>
      <c r="AN169" s="623"/>
      <c r="AO169" s="623"/>
      <c r="AP169" s="623"/>
      <c r="AQ169" s="623"/>
      <c r="AR169" s="623"/>
      <c r="AS169" s="412"/>
      <c r="AT169" s="623"/>
      <c r="AU169" s="623"/>
      <c r="AV169" s="623"/>
      <c r="AW169" s="623"/>
      <c r="AX169" s="623"/>
      <c r="AY169" s="412"/>
      <c r="AZ169" s="623"/>
      <c r="BA169" s="623"/>
      <c r="BB169" s="412"/>
      <c r="BC169" s="623"/>
      <c r="BD169" s="412"/>
      <c r="BE169" s="412"/>
      <c r="BF169" s="412"/>
    </row>
    <row r="170" spans="4:58" ht="20" customHeight="1">
      <c r="D170" s="412"/>
      <c r="G170" s="412"/>
      <c r="H170" s="412"/>
      <c r="I170" s="412"/>
      <c r="J170" s="412"/>
      <c r="K170" s="412"/>
      <c r="L170" s="412"/>
      <c r="M170" s="412"/>
      <c r="N170" s="412"/>
      <c r="O170" s="412"/>
      <c r="P170" s="412"/>
      <c r="Q170" s="412"/>
      <c r="R170" s="412"/>
      <c r="S170" s="412"/>
      <c r="T170" s="412"/>
      <c r="U170" s="412"/>
      <c r="V170" s="412"/>
      <c r="W170" s="412"/>
      <c r="X170" s="412"/>
      <c r="Y170" s="412"/>
      <c r="Z170" s="412"/>
      <c r="AA170" s="412"/>
      <c r="AB170" s="412"/>
      <c r="AC170" s="412"/>
      <c r="AD170" s="412"/>
      <c r="AE170" s="412"/>
      <c r="AF170" s="412"/>
      <c r="AG170" s="412"/>
      <c r="AH170" s="412"/>
      <c r="AI170" s="412"/>
      <c r="AJ170" s="412"/>
      <c r="AK170" s="412"/>
      <c r="AL170" s="623"/>
      <c r="AM170" s="412"/>
      <c r="AN170" s="623"/>
      <c r="AO170" s="623"/>
      <c r="AP170" s="623"/>
      <c r="AQ170" s="623"/>
      <c r="AR170" s="623"/>
      <c r="AS170" s="412"/>
      <c r="AT170" s="623"/>
      <c r="AU170" s="623"/>
      <c r="AV170" s="623"/>
      <c r="AW170" s="623"/>
      <c r="AX170" s="623"/>
      <c r="AY170" s="412"/>
      <c r="AZ170" s="623"/>
      <c r="BA170" s="623"/>
      <c r="BB170" s="412"/>
      <c r="BC170" s="623"/>
      <c r="BD170" s="412"/>
      <c r="BE170" s="412"/>
      <c r="BF170" s="412"/>
    </row>
    <row r="171" spans="4:58" ht="20" customHeight="1">
      <c r="D171" s="412"/>
      <c r="G171" s="412"/>
      <c r="H171" s="412"/>
      <c r="I171" s="412"/>
      <c r="J171" s="412"/>
      <c r="K171" s="412"/>
      <c r="L171" s="412"/>
      <c r="M171" s="412"/>
      <c r="N171" s="412"/>
      <c r="O171" s="412"/>
      <c r="P171" s="412"/>
      <c r="Q171" s="412"/>
      <c r="R171" s="412"/>
      <c r="S171" s="412"/>
      <c r="T171" s="412"/>
      <c r="U171" s="412"/>
      <c r="V171" s="412"/>
      <c r="W171" s="412"/>
      <c r="X171" s="412"/>
      <c r="Y171" s="412"/>
      <c r="Z171" s="412"/>
      <c r="AA171" s="412"/>
      <c r="AB171" s="412"/>
      <c r="AC171" s="412"/>
      <c r="AD171" s="412"/>
      <c r="AE171" s="412"/>
      <c r="AF171" s="412"/>
      <c r="AG171" s="412"/>
      <c r="AH171" s="412"/>
      <c r="AI171" s="412"/>
      <c r="AJ171" s="412"/>
      <c r="AK171" s="412"/>
      <c r="AL171" s="623"/>
      <c r="AM171" s="412"/>
      <c r="AN171" s="623"/>
      <c r="AO171" s="623"/>
      <c r="AP171" s="623"/>
      <c r="AQ171" s="623"/>
      <c r="AR171" s="623"/>
      <c r="AS171" s="412"/>
      <c r="AT171" s="623"/>
      <c r="AU171" s="623"/>
      <c r="AV171" s="623"/>
      <c r="AW171" s="623"/>
      <c r="AX171" s="623"/>
      <c r="AY171" s="412"/>
      <c r="AZ171" s="623"/>
      <c r="BA171" s="623"/>
      <c r="BB171" s="412"/>
      <c r="BC171" s="623"/>
      <c r="BD171" s="412"/>
      <c r="BE171" s="412"/>
      <c r="BF171" s="412"/>
    </row>
    <row r="172" spans="4:58" ht="20" customHeight="1">
      <c r="D172" s="412"/>
      <c r="G172" s="412"/>
      <c r="H172" s="412"/>
      <c r="I172" s="412"/>
      <c r="J172" s="412"/>
      <c r="K172" s="412"/>
      <c r="L172" s="412"/>
      <c r="M172" s="412"/>
      <c r="N172" s="412"/>
      <c r="O172" s="412"/>
      <c r="P172" s="412"/>
      <c r="Q172" s="412"/>
      <c r="R172" s="412"/>
      <c r="S172" s="412"/>
      <c r="T172" s="412"/>
      <c r="U172" s="412"/>
      <c r="V172" s="412"/>
      <c r="W172" s="412"/>
      <c r="X172" s="412"/>
      <c r="Y172" s="412"/>
      <c r="Z172" s="412"/>
      <c r="AA172" s="412"/>
      <c r="AB172" s="412"/>
      <c r="AC172" s="412"/>
      <c r="AD172" s="412"/>
      <c r="AE172" s="412"/>
      <c r="AF172" s="412"/>
      <c r="AG172" s="412"/>
      <c r="AH172" s="412"/>
      <c r="AI172" s="412"/>
      <c r="AJ172" s="412"/>
      <c r="AK172" s="412"/>
      <c r="AL172" s="623"/>
      <c r="AM172" s="412"/>
      <c r="AN172" s="623"/>
      <c r="AO172" s="623"/>
      <c r="AP172" s="623"/>
      <c r="AQ172" s="623"/>
      <c r="AR172" s="623"/>
      <c r="AS172" s="412"/>
      <c r="AT172" s="623"/>
      <c r="AU172" s="623"/>
      <c r="AV172" s="623"/>
      <c r="AW172" s="623"/>
      <c r="AX172" s="623"/>
      <c r="AY172" s="412"/>
      <c r="AZ172" s="623"/>
      <c r="BA172" s="623"/>
      <c r="BB172" s="412"/>
      <c r="BC172" s="623"/>
      <c r="BD172" s="412"/>
      <c r="BE172" s="412"/>
      <c r="BF172" s="412"/>
    </row>
    <row r="173" spans="4:58" ht="20" customHeight="1">
      <c r="D173" s="412"/>
      <c r="G173" s="412"/>
      <c r="H173" s="412"/>
      <c r="I173" s="412"/>
      <c r="J173" s="412"/>
      <c r="K173" s="412"/>
      <c r="L173" s="412"/>
      <c r="M173" s="412"/>
      <c r="N173" s="412"/>
      <c r="O173" s="412"/>
      <c r="P173" s="412"/>
      <c r="Q173" s="412"/>
      <c r="R173" s="412"/>
      <c r="S173" s="412"/>
      <c r="T173" s="412"/>
      <c r="U173" s="412"/>
      <c r="V173" s="412"/>
      <c r="W173" s="412"/>
      <c r="X173" s="412"/>
      <c r="Y173" s="412"/>
      <c r="Z173" s="412"/>
      <c r="AA173" s="412"/>
      <c r="AB173" s="412"/>
      <c r="AC173" s="412"/>
      <c r="AD173" s="412"/>
      <c r="AE173" s="412"/>
      <c r="AF173" s="412"/>
      <c r="AG173" s="412"/>
      <c r="AH173" s="412"/>
      <c r="AI173" s="412"/>
      <c r="AJ173" s="412"/>
      <c r="AK173" s="412"/>
      <c r="AL173" s="623"/>
      <c r="AM173" s="412"/>
      <c r="AN173" s="623"/>
      <c r="AO173" s="623"/>
      <c r="AP173" s="623"/>
      <c r="AQ173" s="623"/>
      <c r="AR173" s="623"/>
      <c r="AS173" s="412"/>
      <c r="AT173" s="623"/>
      <c r="AU173" s="623"/>
      <c r="AV173" s="623"/>
      <c r="AW173" s="623"/>
      <c r="AX173" s="623"/>
      <c r="AY173" s="412"/>
      <c r="AZ173" s="623"/>
      <c r="BA173" s="623"/>
      <c r="BB173" s="412"/>
      <c r="BC173" s="623"/>
      <c r="BD173" s="412"/>
      <c r="BE173" s="412"/>
      <c r="BF173" s="412"/>
    </row>
    <row r="174" spans="4:58" ht="20" customHeight="1">
      <c r="D174" s="161"/>
      <c r="G174" s="161"/>
      <c r="H174" s="161"/>
      <c r="I174" s="161"/>
      <c r="J174" s="161"/>
      <c r="K174" s="161"/>
      <c r="L174" s="161"/>
      <c r="M174" s="161"/>
      <c r="N174" s="161"/>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161"/>
      <c r="AR174" s="161"/>
      <c r="AS174" s="161"/>
      <c r="AT174" s="161"/>
      <c r="AU174" s="161"/>
      <c r="AV174" s="161"/>
      <c r="AW174" s="161"/>
      <c r="AX174" s="161"/>
      <c r="AY174" s="161"/>
      <c r="AZ174" s="161"/>
      <c r="BA174" s="161"/>
      <c r="BB174" s="161"/>
      <c r="BC174" s="161"/>
      <c r="BD174" s="161"/>
      <c r="BE174" s="161"/>
      <c r="BF174" s="161"/>
    </row>
    <row r="175" spans="4:58" ht="20" customHeight="1">
      <c r="D175" s="161"/>
      <c r="G175" s="161"/>
      <c r="H175" s="161"/>
      <c r="I175" s="161"/>
      <c r="J175" s="161"/>
      <c r="K175" s="161"/>
      <c r="L175" s="161"/>
      <c r="M175" s="161"/>
      <c r="N175" s="161"/>
      <c r="O175" s="161"/>
      <c r="P175" s="161"/>
      <c r="Q175" s="161"/>
      <c r="R175" s="161"/>
      <c r="S175" s="161"/>
      <c r="T175" s="161"/>
      <c r="U175" s="161"/>
      <c r="V175" s="161"/>
      <c r="W175" s="161"/>
      <c r="X175" s="161"/>
      <c r="Y175" s="161"/>
      <c r="Z175" s="161"/>
      <c r="AA175" s="161"/>
      <c r="AB175" s="161"/>
      <c r="AC175" s="161"/>
      <c r="AD175" s="161"/>
      <c r="AE175" s="161"/>
      <c r="AF175" s="161"/>
      <c r="AG175" s="161"/>
      <c r="AH175" s="161"/>
      <c r="AI175" s="161"/>
      <c r="AJ175" s="161"/>
      <c r="AK175" s="161"/>
      <c r="AL175" s="161"/>
      <c r="AM175" s="161"/>
      <c r="AN175" s="161"/>
      <c r="AO175" s="161"/>
      <c r="AP175" s="161"/>
      <c r="AQ175" s="161"/>
      <c r="AR175" s="161"/>
      <c r="AS175" s="161"/>
      <c r="AT175" s="161"/>
      <c r="AU175" s="161"/>
      <c r="AV175" s="161"/>
      <c r="AW175" s="161"/>
      <c r="AX175" s="161"/>
      <c r="AY175" s="161"/>
      <c r="AZ175" s="161"/>
      <c r="BA175" s="161"/>
      <c r="BB175" s="161"/>
      <c r="BC175" s="161"/>
      <c r="BD175" s="161"/>
      <c r="BE175" s="161"/>
      <c r="BF175" s="161"/>
    </row>
    <row r="176" spans="4:58" ht="20" customHeight="1">
      <c r="D176" s="161"/>
      <c r="G176" s="161"/>
      <c r="H176" s="161"/>
      <c r="I176" s="161"/>
      <c r="J176" s="161"/>
      <c r="K176" s="161"/>
      <c r="L176" s="161"/>
      <c r="M176" s="161"/>
      <c r="N176" s="161"/>
      <c r="O176" s="161"/>
      <c r="P176" s="161"/>
      <c r="Q176" s="161"/>
      <c r="R176" s="161"/>
      <c r="S176" s="161"/>
      <c r="T176" s="161"/>
      <c r="U176" s="161"/>
      <c r="V176" s="161"/>
      <c r="W176" s="161"/>
      <c r="X176" s="161"/>
      <c r="Y176" s="161"/>
      <c r="Z176" s="161"/>
      <c r="AA176" s="161"/>
      <c r="AB176" s="161"/>
      <c r="AC176" s="161"/>
      <c r="AD176" s="161"/>
      <c r="AE176" s="161"/>
      <c r="AF176" s="161"/>
      <c r="AG176" s="161"/>
      <c r="AH176" s="161"/>
      <c r="AI176" s="161"/>
      <c r="AJ176" s="161"/>
      <c r="AK176" s="161"/>
      <c r="AL176" s="161"/>
      <c r="AM176" s="161"/>
      <c r="AN176" s="161"/>
      <c r="AO176" s="161"/>
      <c r="AP176" s="161"/>
      <c r="AQ176" s="161"/>
      <c r="AR176" s="161"/>
      <c r="AS176" s="161"/>
      <c r="AT176" s="161"/>
      <c r="AU176" s="161"/>
      <c r="AV176" s="161"/>
      <c r="AW176" s="161"/>
      <c r="AX176" s="161"/>
      <c r="AY176" s="161"/>
      <c r="AZ176" s="161"/>
      <c r="BA176" s="161"/>
      <c r="BB176" s="161"/>
      <c r="BC176" s="161"/>
      <c r="BD176" s="161"/>
      <c r="BE176" s="161"/>
      <c r="BF176" s="161"/>
    </row>
    <row r="177" spans="4:58" ht="20" customHeight="1">
      <c r="D177" s="161"/>
      <c r="G177" s="161"/>
      <c r="H177" s="161"/>
      <c r="I177" s="161"/>
      <c r="J177" s="161"/>
      <c r="K177" s="161"/>
      <c r="L177" s="161"/>
      <c r="M177" s="161"/>
      <c r="N177" s="161"/>
      <c r="O177" s="161"/>
      <c r="P177" s="161"/>
      <c r="Q177" s="161"/>
      <c r="R177" s="161"/>
      <c r="S177" s="161"/>
      <c r="T177" s="161"/>
      <c r="U177" s="161"/>
      <c r="V177" s="161"/>
      <c r="W177" s="161"/>
      <c r="X177" s="161"/>
      <c r="Y177" s="161"/>
      <c r="Z177" s="161"/>
      <c r="AA177" s="161"/>
      <c r="AB177" s="161"/>
      <c r="AC177" s="161"/>
      <c r="AD177" s="161"/>
      <c r="AE177" s="161"/>
      <c r="AF177" s="161"/>
      <c r="AG177" s="161"/>
      <c r="AH177" s="161"/>
      <c r="AI177" s="161"/>
      <c r="AJ177" s="161"/>
      <c r="AK177" s="161"/>
      <c r="AL177" s="161"/>
      <c r="AM177" s="161"/>
      <c r="AN177" s="161"/>
      <c r="AO177" s="161"/>
      <c r="AP177" s="161"/>
      <c r="AQ177" s="161"/>
      <c r="AR177" s="161"/>
      <c r="AS177" s="161"/>
      <c r="AT177" s="161"/>
      <c r="AU177" s="161"/>
      <c r="AV177" s="161"/>
      <c r="AW177" s="161"/>
      <c r="AX177" s="161"/>
      <c r="AY177" s="161"/>
      <c r="AZ177" s="161"/>
      <c r="BA177" s="161"/>
      <c r="BB177" s="161"/>
      <c r="BC177" s="161"/>
      <c r="BD177" s="161"/>
      <c r="BE177" s="161"/>
      <c r="BF177" s="161"/>
    </row>
    <row r="178" spans="4:58" ht="20" customHeight="1">
      <c r="D178" s="161"/>
      <c r="G178" s="161"/>
      <c r="H178" s="161"/>
      <c r="I178" s="161"/>
      <c r="J178" s="161"/>
      <c r="K178" s="161"/>
      <c r="L178" s="161"/>
      <c r="M178" s="161"/>
      <c r="N178" s="161"/>
      <c r="O178" s="161"/>
      <c r="P178" s="161"/>
      <c r="Q178" s="161"/>
      <c r="R178" s="161"/>
      <c r="S178" s="161"/>
      <c r="T178" s="161"/>
      <c r="U178" s="161"/>
      <c r="V178" s="161"/>
      <c r="W178" s="161"/>
      <c r="X178" s="161"/>
      <c r="Y178" s="161"/>
      <c r="Z178" s="161"/>
      <c r="AA178" s="161"/>
      <c r="AB178" s="161"/>
      <c r="AC178" s="161"/>
      <c r="AD178" s="161"/>
      <c r="AE178" s="161"/>
      <c r="AF178" s="161"/>
      <c r="AG178" s="161"/>
      <c r="AH178" s="161"/>
      <c r="AI178" s="161"/>
      <c r="AJ178" s="161"/>
      <c r="AK178" s="161"/>
      <c r="AL178" s="161"/>
      <c r="AM178" s="161"/>
      <c r="AN178" s="161"/>
      <c r="AO178" s="161"/>
      <c r="AP178" s="161"/>
      <c r="AQ178" s="161"/>
      <c r="AR178" s="161"/>
      <c r="AS178" s="161"/>
      <c r="AT178" s="161"/>
      <c r="AU178" s="161"/>
      <c r="AV178" s="161"/>
      <c r="AW178" s="161"/>
      <c r="AX178" s="161"/>
      <c r="AY178" s="161"/>
      <c r="AZ178" s="161"/>
      <c r="BA178" s="161"/>
      <c r="BB178" s="161"/>
      <c r="BC178" s="161"/>
      <c r="BD178" s="161"/>
      <c r="BE178" s="161"/>
      <c r="BF178" s="161"/>
    </row>
    <row r="179" spans="4:58" ht="20" customHeight="1">
      <c r="D179" s="161"/>
      <c r="G179" s="161"/>
      <c r="H179" s="161"/>
      <c r="I179" s="161"/>
      <c r="J179" s="161"/>
      <c r="K179" s="161"/>
      <c r="L179" s="161"/>
      <c r="M179" s="161"/>
      <c r="N179" s="161"/>
      <c r="O179" s="161"/>
      <c r="P179" s="161"/>
      <c r="Q179" s="161"/>
      <c r="R179" s="161"/>
      <c r="S179" s="161"/>
      <c r="T179" s="161"/>
      <c r="U179" s="161"/>
      <c r="V179" s="161"/>
      <c r="W179" s="161"/>
      <c r="X179" s="161"/>
      <c r="Y179" s="161"/>
      <c r="Z179" s="161"/>
      <c r="AA179" s="161"/>
      <c r="AB179" s="161"/>
      <c r="AC179" s="161"/>
      <c r="AD179" s="161"/>
      <c r="AE179" s="161"/>
      <c r="AF179" s="161"/>
      <c r="AG179" s="161"/>
      <c r="AH179" s="161"/>
      <c r="AI179" s="161"/>
      <c r="AJ179" s="161"/>
      <c r="AK179" s="161"/>
      <c r="AL179" s="161"/>
      <c r="AM179" s="161"/>
      <c r="AN179" s="161"/>
      <c r="AO179" s="161"/>
      <c r="AP179" s="161"/>
      <c r="AQ179" s="161"/>
      <c r="AR179" s="161"/>
      <c r="AS179" s="161"/>
      <c r="AT179" s="161"/>
      <c r="AU179" s="161"/>
      <c r="AV179" s="161"/>
      <c r="AW179" s="161"/>
      <c r="AX179" s="161"/>
      <c r="AY179" s="161"/>
      <c r="AZ179" s="161"/>
      <c r="BA179" s="161"/>
      <c r="BB179" s="161"/>
      <c r="BC179" s="161"/>
      <c r="BD179" s="161"/>
      <c r="BE179" s="161"/>
      <c r="BF179" s="161"/>
    </row>
    <row r="180" spans="4:58" ht="20" customHeight="1">
      <c r="D180" s="161"/>
      <c r="G180" s="161"/>
      <c r="H180" s="161"/>
      <c r="I180" s="161"/>
      <c r="J180" s="161"/>
      <c r="K180" s="161"/>
      <c r="L180" s="161"/>
      <c r="M180" s="161"/>
      <c r="N180" s="161"/>
      <c r="O180" s="161"/>
      <c r="P180" s="161"/>
      <c r="Q180" s="161"/>
      <c r="R180" s="161"/>
      <c r="S180" s="161"/>
      <c r="T180" s="161"/>
      <c r="U180" s="161"/>
      <c r="V180" s="161"/>
      <c r="W180" s="161"/>
      <c r="X180" s="161"/>
      <c r="Y180" s="161"/>
      <c r="Z180" s="161"/>
      <c r="AA180" s="161"/>
      <c r="AB180" s="161"/>
      <c r="AC180" s="161"/>
      <c r="AD180" s="161"/>
      <c r="AE180" s="161"/>
      <c r="AF180" s="161"/>
      <c r="AG180" s="161"/>
      <c r="AH180" s="161"/>
      <c r="AI180" s="161"/>
      <c r="AJ180" s="161"/>
      <c r="AK180" s="161"/>
      <c r="AL180" s="161"/>
      <c r="AM180" s="161"/>
      <c r="AN180" s="161"/>
      <c r="AO180" s="161"/>
      <c r="AP180" s="161"/>
      <c r="AQ180" s="161"/>
      <c r="AR180" s="161"/>
      <c r="AS180" s="161"/>
      <c r="AT180" s="161"/>
      <c r="AU180" s="161"/>
      <c r="AV180" s="161"/>
      <c r="AW180" s="161"/>
      <c r="AX180" s="161"/>
      <c r="AY180" s="161"/>
      <c r="AZ180" s="161"/>
      <c r="BA180" s="161"/>
      <c r="BB180" s="161"/>
      <c r="BC180" s="161"/>
      <c r="BD180" s="161"/>
      <c r="BE180" s="161"/>
      <c r="BF180" s="161"/>
    </row>
    <row r="181" spans="4:58" ht="20" customHeight="1">
      <c r="D181" s="161"/>
      <c r="G181" s="161"/>
      <c r="H181" s="161"/>
      <c r="I181" s="161"/>
      <c r="J181" s="161"/>
      <c r="K181" s="161"/>
      <c r="L181" s="161"/>
      <c r="M181" s="161"/>
      <c r="N181" s="161"/>
      <c r="O181" s="161"/>
      <c r="P181" s="161"/>
      <c r="Q181" s="161"/>
      <c r="R181" s="161"/>
      <c r="S181" s="161"/>
      <c r="T181" s="161"/>
      <c r="U181" s="161"/>
      <c r="V181" s="161"/>
      <c r="W181" s="161"/>
      <c r="X181" s="161"/>
      <c r="Y181" s="161"/>
      <c r="Z181" s="161"/>
      <c r="AA181" s="161"/>
      <c r="AB181" s="161"/>
      <c r="AC181" s="161"/>
      <c r="AD181" s="161"/>
      <c r="AE181" s="161"/>
      <c r="AF181" s="161"/>
      <c r="AG181" s="161"/>
      <c r="AH181" s="161"/>
      <c r="AI181" s="161"/>
      <c r="AJ181" s="161"/>
      <c r="AK181" s="161"/>
      <c r="AL181" s="161"/>
      <c r="AM181" s="161"/>
      <c r="AN181" s="161"/>
      <c r="AO181" s="161"/>
      <c r="AP181" s="161"/>
      <c r="AQ181" s="161"/>
      <c r="AR181" s="161"/>
      <c r="AS181" s="161"/>
      <c r="AT181" s="161"/>
      <c r="AU181" s="161"/>
      <c r="AV181" s="161"/>
      <c r="AW181" s="161"/>
      <c r="AX181" s="161"/>
      <c r="AY181" s="161"/>
      <c r="AZ181" s="161"/>
      <c r="BA181" s="161"/>
      <c r="BB181" s="161"/>
      <c r="BC181" s="161"/>
      <c r="BD181" s="161"/>
      <c r="BE181" s="161"/>
      <c r="BF181" s="161"/>
    </row>
    <row r="182" spans="4:58" ht="20" customHeight="1">
      <c r="D182" s="161"/>
      <c r="G182" s="161"/>
      <c r="H182" s="161"/>
      <c r="I182" s="161"/>
      <c r="J182" s="161"/>
      <c r="K182" s="161"/>
      <c r="L182" s="161"/>
      <c r="M182" s="161"/>
      <c r="N182" s="161"/>
      <c r="O182" s="161"/>
      <c r="P182" s="161"/>
      <c r="Q182" s="161"/>
      <c r="R182" s="161"/>
      <c r="S182" s="161"/>
      <c r="T182" s="161"/>
      <c r="U182" s="161"/>
      <c r="V182" s="161"/>
      <c r="W182" s="161"/>
      <c r="X182" s="161"/>
      <c r="Y182" s="161"/>
      <c r="Z182" s="161"/>
      <c r="AA182" s="161"/>
      <c r="AB182" s="161"/>
      <c r="AC182" s="161"/>
      <c r="AD182" s="161"/>
      <c r="AE182" s="161"/>
      <c r="AF182" s="161"/>
      <c r="AG182" s="161"/>
      <c r="AH182" s="161"/>
      <c r="AI182" s="161"/>
      <c r="AJ182" s="161"/>
      <c r="AK182" s="161"/>
      <c r="AL182" s="161"/>
      <c r="AM182" s="161"/>
      <c r="AN182" s="161"/>
      <c r="AO182" s="161"/>
      <c r="AP182" s="161"/>
      <c r="AQ182" s="161"/>
      <c r="AR182" s="161"/>
      <c r="AS182" s="161"/>
      <c r="AT182" s="161"/>
      <c r="AU182" s="161"/>
      <c r="AV182" s="161"/>
      <c r="AW182" s="161"/>
      <c r="AX182" s="161"/>
      <c r="AY182" s="161"/>
      <c r="AZ182" s="161"/>
      <c r="BA182" s="161"/>
      <c r="BB182" s="161"/>
      <c r="BC182" s="161"/>
      <c r="BD182" s="161"/>
      <c r="BE182" s="161"/>
      <c r="BF182" s="161"/>
    </row>
    <row r="183" spans="4:58" ht="20" customHeight="1">
      <c r="D183" s="161"/>
      <c r="G183" s="161"/>
      <c r="H183" s="161"/>
      <c r="I183" s="161"/>
      <c r="J183" s="161"/>
      <c r="K183" s="161"/>
      <c r="L183" s="161"/>
      <c r="M183" s="161"/>
      <c r="N183" s="161"/>
      <c r="O183" s="161"/>
      <c r="P183" s="161"/>
      <c r="Q183" s="161"/>
      <c r="R183" s="161"/>
      <c r="S183" s="161"/>
      <c r="T183" s="161"/>
      <c r="U183" s="161"/>
      <c r="V183" s="161"/>
      <c r="W183" s="161"/>
      <c r="X183" s="161"/>
      <c r="Y183" s="161"/>
      <c r="Z183" s="161"/>
      <c r="AA183" s="161"/>
      <c r="AB183" s="161"/>
      <c r="AC183" s="161"/>
      <c r="AD183" s="161"/>
      <c r="AE183" s="161"/>
      <c r="AF183" s="161"/>
      <c r="AG183" s="161"/>
      <c r="AH183" s="161"/>
      <c r="AI183" s="161"/>
      <c r="AJ183" s="161"/>
      <c r="AK183" s="161"/>
      <c r="AL183" s="161"/>
      <c r="AM183" s="161"/>
      <c r="AN183" s="161"/>
      <c r="AO183" s="161"/>
      <c r="AP183" s="161"/>
      <c r="AQ183" s="161"/>
      <c r="AR183" s="161"/>
      <c r="AS183" s="161"/>
      <c r="AT183" s="161"/>
      <c r="AU183" s="161"/>
      <c r="AV183" s="161"/>
      <c r="AW183" s="161"/>
      <c r="AX183" s="161"/>
      <c r="AY183" s="161"/>
      <c r="AZ183" s="161"/>
      <c r="BA183" s="161"/>
      <c r="BB183" s="161"/>
      <c r="BC183" s="161"/>
      <c r="BD183" s="161"/>
      <c r="BE183" s="161"/>
      <c r="BF183" s="161"/>
    </row>
    <row r="184" spans="4:58" ht="20" customHeight="1">
      <c r="D184" s="161"/>
      <c r="G184" s="161"/>
      <c r="H184" s="161"/>
      <c r="I184" s="161"/>
      <c r="J184" s="161"/>
      <c r="K184" s="161"/>
      <c r="L184" s="161"/>
      <c r="M184" s="161"/>
      <c r="N184" s="161"/>
      <c r="O184" s="161"/>
      <c r="P184" s="161"/>
      <c r="Q184" s="161"/>
      <c r="R184" s="161"/>
      <c r="S184" s="161"/>
      <c r="T184" s="161"/>
      <c r="U184" s="161"/>
      <c r="V184" s="161"/>
      <c r="W184" s="161"/>
      <c r="X184" s="161"/>
      <c r="Y184" s="161"/>
      <c r="Z184" s="161"/>
      <c r="AA184" s="161"/>
      <c r="AB184" s="161"/>
      <c r="AC184" s="161"/>
      <c r="AD184" s="161"/>
      <c r="AE184" s="161"/>
      <c r="AF184" s="161"/>
      <c r="AG184" s="161"/>
      <c r="AH184" s="161"/>
      <c r="AI184" s="161"/>
      <c r="AJ184" s="161"/>
      <c r="AK184" s="161"/>
      <c r="AL184" s="161"/>
      <c r="AM184" s="161"/>
      <c r="AN184" s="161"/>
      <c r="AO184" s="161"/>
      <c r="AP184" s="161"/>
      <c r="AQ184" s="161"/>
      <c r="AR184" s="161"/>
      <c r="AS184" s="161"/>
      <c r="AT184" s="161"/>
      <c r="AU184" s="161"/>
      <c r="AV184" s="161"/>
      <c r="AW184" s="161"/>
      <c r="AX184" s="161"/>
      <c r="AY184" s="161"/>
      <c r="AZ184" s="161"/>
      <c r="BA184" s="161"/>
      <c r="BB184" s="161"/>
      <c r="BC184" s="161"/>
      <c r="BD184" s="161"/>
      <c r="BE184" s="161"/>
      <c r="BF184" s="161"/>
    </row>
    <row r="185" spans="4:58" ht="20" customHeight="1">
      <c r="D185" s="161"/>
      <c r="G185" s="161"/>
      <c r="H185" s="161"/>
      <c r="I185" s="161"/>
      <c r="J185" s="161"/>
      <c r="K185" s="161"/>
      <c r="L185" s="161"/>
      <c r="M185" s="161"/>
      <c r="N185" s="161"/>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row>
    <row r="186" spans="4:58" ht="20" customHeight="1">
      <c r="D186" s="161"/>
      <c r="G186" s="161"/>
      <c r="H186" s="161"/>
      <c r="I186" s="161"/>
      <c r="J186" s="161"/>
      <c r="K186" s="161"/>
      <c r="L186" s="161"/>
      <c r="M186" s="161"/>
      <c r="N186" s="161"/>
      <c r="O186" s="161"/>
      <c r="P186" s="161"/>
      <c r="Q186" s="161"/>
      <c r="R186" s="161"/>
      <c r="S186" s="161"/>
      <c r="T186" s="161"/>
      <c r="U186" s="161"/>
      <c r="V186" s="161"/>
      <c r="W186" s="161"/>
      <c r="X186" s="161"/>
      <c r="Y186" s="161"/>
      <c r="Z186" s="161"/>
      <c r="AA186" s="161"/>
      <c r="AB186" s="161"/>
      <c r="AC186" s="161"/>
      <c r="AD186" s="161"/>
      <c r="AE186" s="161"/>
      <c r="AF186" s="161"/>
      <c r="AG186" s="161"/>
      <c r="AH186" s="161"/>
      <c r="AI186" s="161"/>
      <c r="AJ186" s="161"/>
      <c r="AK186" s="161"/>
      <c r="AL186" s="161"/>
      <c r="AM186" s="161"/>
      <c r="AN186" s="161"/>
      <c r="AO186" s="161"/>
      <c r="AP186" s="161"/>
      <c r="AQ186" s="161"/>
      <c r="AR186" s="161"/>
      <c r="AS186" s="161"/>
      <c r="AT186" s="161"/>
      <c r="AU186" s="161"/>
      <c r="AV186" s="161"/>
      <c r="AW186" s="161"/>
      <c r="AX186" s="161"/>
      <c r="AY186" s="161"/>
      <c r="AZ186" s="161"/>
      <c r="BA186" s="161"/>
      <c r="BB186" s="161"/>
      <c r="BC186" s="161"/>
      <c r="BD186" s="161"/>
      <c r="BE186" s="161"/>
      <c r="BF186" s="161"/>
    </row>
    <row r="187" spans="4:58" ht="20" customHeight="1">
      <c r="D187" s="161"/>
      <c r="G187" s="161"/>
      <c r="H187" s="161"/>
      <c r="I187" s="161"/>
      <c r="J187" s="161"/>
      <c r="K187" s="161"/>
      <c r="L187" s="161"/>
      <c r="M187" s="161"/>
      <c r="N187" s="161"/>
      <c r="O187" s="161"/>
      <c r="P187" s="161"/>
      <c r="Q187" s="161"/>
      <c r="R187" s="161"/>
      <c r="S187" s="161"/>
      <c r="T187" s="161"/>
      <c r="U187" s="161"/>
      <c r="V187" s="161"/>
      <c r="W187" s="161"/>
      <c r="X187" s="161"/>
      <c r="Y187" s="161"/>
      <c r="Z187" s="161"/>
      <c r="AA187" s="161"/>
      <c r="AB187" s="161"/>
      <c r="AC187" s="161"/>
      <c r="AD187" s="161"/>
      <c r="AE187" s="161"/>
      <c r="AF187" s="161"/>
      <c r="AG187" s="161"/>
      <c r="AH187" s="161"/>
      <c r="AI187" s="161"/>
      <c r="AJ187" s="161"/>
      <c r="AK187" s="161"/>
      <c r="AL187" s="161"/>
      <c r="AM187" s="161"/>
      <c r="AN187" s="161"/>
      <c r="AO187" s="161"/>
      <c r="AP187" s="161"/>
      <c r="AQ187" s="161"/>
      <c r="AR187" s="161"/>
      <c r="AS187" s="161"/>
      <c r="AT187" s="161"/>
      <c r="AU187" s="161"/>
      <c r="AV187" s="161"/>
      <c r="AW187" s="161"/>
      <c r="AX187" s="161"/>
      <c r="AY187" s="161"/>
      <c r="AZ187" s="161"/>
      <c r="BA187" s="161"/>
      <c r="BB187" s="161"/>
      <c r="BC187" s="161"/>
      <c r="BD187" s="161"/>
      <c r="BE187" s="161"/>
      <c r="BF187" s="161"/>
    </row>
    <row r="188" spans="4:58" ht="20" customHeight="1">
      <c r="D188" s="161"/>
      <c r="G188" s="161"/>
      <c r="H188" s="161"/>
      <c r="I188" s="161"/>
      <c r="J188" s="161"/>
      <c r="K188" s="161"/>
      <c r="L188" s="161"/>
      <c r="M188" s="161"/>
      <c r="N188" s="161"/>
      <c r="O188" s="161"/>
      <c r="P188" s="161"/>
      <c r="Q188" s="161"/>
      <c r="R188" s="161"/>
      <c r="S188" s="161"/>
      <c r="T188" s="161"/>
      <c r="U188" s="161"/>
      <c r="V188" s="161"/>
      <c r="W188" s="161"/>
      <c r="X188" s="161"/>
      <c r="Y188" s="161"/>
      <c r="Z188" s="161"/>
      <c r="AA188" s="161"/>
      <c r="AB188" s="161"/>
      <c r="AC188" s="161"/>
      <c r="AD188" s="161"/>
      <c r="AE188" s="161"/>
      <c r="AF188" s="161"/>
      <c r="AG188" s="161"/>
      <c r="AH188" s="161"/>
      <c r="AI188" s="161"/>
      <c r="AJ188" s="161"/>
      <c r="AK188" s="161"/>
      <c r="AL188" s="161"/>
      <c r="AM188" s="161"/>
      <c r="AN188" s="161"/>
      <c r="AO188" s="161"/>
      <c r="AP188" s="161"/>
      <c r="AQ188" s="161"/>
      <c r="AR188" s="161"/>
      <c r="AS188" s="161"/>
      <c r="AT188" s="161"/>
      <c r="AU188" s="161"/>
      <c r="AV188" s="161"/>
      <c r="AW188" s="161"/>
      <c r="AX188" s="161"/>
      <c r="AY188" s="161"/>
      <c r="AZ188" s="161"/>
      <c r="BA188" s="161"/>
      <c r="BB188" s="161"/>
      <c r="BC188" s="161"/>
      <c r="BD188" s="161"/>
      <c r="BE188" s="161"/>
      <c r="BF188" s="161"/>
    </row>
    <row r="189" spans="4:58" ht="20" customHeight="1">
      <c r="D189" s="161"/>
      <c r="G189" s="161"/>
      <c r="H189" s="161"/>
      <c r="I189" s="161"/>
      <c r="J189" s="161"/>
      <c r="K189" s="161"/>
      <c r="L189" s="161"/>
      <c r="M189" s="161"/>
      <c r="N189" s="161"/>
      <c r="O189" s="161"/>
      <c r="P189" s="161"/>
      <c r="Q189" s="161"/>
      <c r="R189" s="161"/>
      <c r="S189" s="161"/>
      <c r="T189" s="161"/>
      <c r="U189" s="161"/>
      <c r="V189" s="161"/>
      <c r="W189" s="161"/>
      <c r="X189" s="161"/>
      <c r="Y189" s="161"/>
      <c r="Z189" s="161"/>
      <c r="AA189" s="161"/>
      <c r="AB189" s="161"/>
      <c r="AC189" s="161"/>
      <c r="AD189" s="161"/>
      <c r="AE189" s="161"/>
      <c r="AF189" s="161"/>
      <c r="AG189" s="161"/>
      <c r="AH189" s="161"/>
      <c r="AI189" s="161"/>
      <c r="AJ189" s="161"/>
      <c r="AK189" s="161"/>
      <c r="AL189" s="161"/>
      <c r="AM189" s="161"/>
      <c r="AN189" s="161"/>
      <c r="AO189" s="161"/>
      <c r="AP189" s="161"/>
      <c r="AQ189" s="161"/>
      <c r="AR189" s="161"/>
      <c r="AS189" s="161"/>
      <c r="AT189" s="161"/>
      <c r="AU189" s="161"/>
      <c r="AV189" s="161"/>
      <c r="AW189" s="161"/>
      <c r="AX189" s="161"/>
      <c r="AY189" s="161"/>
      <c r="AZ189" s="161"/>
      <c r="BA189" s="161"/>
      <c r="BB189" s="161"/>
      <c r="BC189" s="161"/>
      <c r="BD189" s="161"/>
      <c r="BE189" s="161"/>
      <c r="BF189" s="161"/>
    </row>
    <row r="190" spans="4:58" ht="20" customHeight="1">
      <c r="D190" s="161"/>
      <c r="G190" s="161"/>
      <c r="H190" s="161"/>
      <c r="I190" s="161"/>
      <c r="J190" s="161"/>
      <c r="K190" s="161"/>
      <c r="L190" s="161"/>
      <c r="M190" s="161"/>
      <c r="N190" s="161"/>
      <c r="O190" s="161"/>
      <c r="P190" s="161"/>
      <c r="Q190" s="161"/>
      <c r="R190" s="161"/>
      <c r="S190" s="161"/>
      <c r="T190" s="161"/>
      <c r="U190" s="161"/>
      <c r="V190" s="161"/>
      <c r="W190" s="161"/>
      <c r="X190" s="161"/>
      <c r="Y190" s="161"/>
      <c r="Z190" s="161"/>
      <c r="AA190" s="161"/>
      <c r="AB190" s="161"/>
      <c r="AC190" s="161"/>
      <c r="AD190" s="161"/>
      <c r="AE190" s="161"/>
      <c r="AF190" s="161"/>
      <c r="AG190" s="161"/>
      <c r="AH190" s="161"/>
      <c r="AI190" s="161"/>
      <c r="AJ190" s="161"/>
      <c r="AK190" s="161"/>
      <c r="AL190" s="161"/>
      <c r="AM190" s="161"/>
      <c r="AN190" s="161"/>
      <c r="AO190" s="161"/>
      <c r="AP190" s="161"/>
      <c r="AQ190" s="161"/>
      <c r="AR190" s="161"/>
      <c r="AS190" s="161"/>
      <c r="AT190" s="161"/>
      <c r="AU190" s="161"/>
      <c r="AV190" s="161"/>
      <c r="AW190" s="161"/>
      <c r="AX190" s="161"/>
      <c r="AY190" s="161"/>
      <c r="AZ190" s="161"/>
      <c r="BA190" s="161"/>
      <c r="BB190" s="161"/>
      <c r="BC190" s="161"/>
      <c r="BD190" s="161"/>
      <c r="BE190" s="161"/>
      <c r="BF190" s="161"/>
    </row>
    <row r="191" spans="4:58" ht="20" customHeight="1">
      <c r="D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61"/>
      <c r="AR191" s="161"/>
      <c r="AS191" s="161"/>
      <c r="AT191" s="161"/>
      <c r="AU191" s="161"/>
      <c r="AV191" s="161"/>
      <c r="AW191" s="161"/>
      <c r="AX191" s="161"/>
      <c r="AY191" s="161"/>
      <c r="AZ191" s="161"/>
      <c r="BA191" s="161"/>
      <c r="BB191" s="161"/>
      <c r="BC191" s="161"/>
      <c r="BD191" s="161"/>
      <c r="BE191" s="161"/>
      <c r="BF191" s="161"/>
    </row>
    <row r="192" spans="4:58" ht="20" customHeight="1">
      <c r="D192" s="161"/>
      <c r="G192" s="161"/>
      <c r="H192" s="161"/>
      <c r="I192" s="161"/>
      <c r="J192" s="161"/>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61"/>
      <c r="AN192" s="161"/>
      <c r="AO192" s="161"/>
      <c r="AP192" s="161"/>
      <c r="AQ192" s="161"/>
      <c r="AR192" s="161"/>
      <c r="AS192" s="161"/>
      <c r="AT192" s="161"/>
      <c r="AU192" s="161"/>
      <c r="AV192" s="161"/>
      <c r="AW192" s="161"/>
      <c r="AX192" s="161"/>
      <c r="AY192" s="161"/>
      <c r="AZ192" s="161"/>
      <c r="BA192" s="161"/>
      <c r="BB192" s="161"/>
      <c r="BC192" s="161"/>
      <c r="BD192" s="161"/>
      <c r="BE192" s="161"/>
      <c r="BF192" s="161"/>
    </row>
    <row r="193" spans="4:58" ht="20" customHeight="1">
      <c r="D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161"/>
      <c r="AR193" s="161"/>
      <c r="AS193" s="161"/>
      <c r="AT193" s="161"/>
      <c r="AU193" s="161"/>
      <c r="AV193" s="161"/>
      <c r="AW193" s="161"/>
      <c r="AX193" s="161"/>
      <c r="AY193" s="161"/>
      <c r="AZ193" s="161"/>
      <c r="BA193" s="161"/>
      <c r="BB193" s="161"/>
      <c r="BC193" s="161"/>
      <c r="BD193" s="161"/>
      <c r="BE193" s="161"/>
      <c r="BF193" s="161"/>
    </row>
    <row r="194" spans="4:58" ht="20" customHeight="1">
      <c r="D194" s="161"/>
      <c r="G194" s="161"/>
      <c r="H194" s="161"/>
      <c r="I194" s="161"/>
      <c r="J194" s="161"/>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161"/>
      <c r="AR194" s="161"/>
      <c r="AS194" s="161"/>
      <c r="AT194" s="161"/>
      <c r="AU194" s="161"/>
      <c r="AV194" s="161"/>
      <c r="AW194" s="161"/>
      <c r="AX194" s="161"/>
      <c r="AY194" s="161"/>
      <c r="AZ194" s="161"/>
      <c r="BA194" s="161"/>
      <c r="BB194" s="161"/>
      <c r="BC194" s="161"/>
      <c r="BD194" s="161"/>
      <c r="BE194" s="161"/>
      <c r="BF194" s="161"/>
    </row>
    <row r="195" spans="4:58" ht="20" customHeight="1">
      <c r="D195" s="161"/>
      <c r="G195" s="161"/>
      <c r="H195" s="161"/>
      <c r="I195" s="161"/>
      <c r="J195" s="161"/>
      <c r="K195" s="161"/>
      <c r="L195" s="161"/>
      <c r="M195" s="161"/>
      <c r="N195" s="161"/>
      <c r="O195" s="161"/>
      <c r="P195" s="161"/>
      <c r="Q195" s="161"/>
      <c r="R195" s="161"/>
      <c r="S195" s="161"/>
      <c r="T195" s="161"/>
      <c r="U195" s="161"/>
      <c r="V195" s="161"/>
      <c r="W195" s="161"/>
      <c r="X195" s="161"/>
      <c r="Y195" s="161"/>
      <c r="Z195" s="161"/>
      <c r="AA195" s="161"/>
      <c r="AB195" s="161"/>
      <c r="AC195" s="161"/>
      <c r="AD195" s="161"/>
      <c r="AE195" s="161"/>
      <c r="AF195" s="161"/>
      <c r="AG195" s="161"/>
      <c r="AH195" s="161"/>
      <c r="AI195" s="161"/>
      <c r="AJ195" s="161"/>
      <c r="AK195" s="161"/>
      <c r="AL195" s="161"/>
      <c r="AM195" s="161"/>
      <c r="AN195" s="161"/>
      <c r="AO195" s="161"/>
      <c r="AP195" s="161"/>
      <c r="AQ195" s="161"/>
      <c r="AR195" s="161"/>
      <c r="AS195" s="161"/>
      <c r="AT195" s="161"/>
      <c r="AU195" s="161"/>
      <c r="AV195" s="161"/>
      <c r="AW195" s="161"/>
      <c r="AX195" s="161"/>
      <c r="AY195" s="161"/>
      <c r="AZ195" s="161"/>
      <c r="BA195" s="161"/>
      <c r="BB195" s="161"/>
      <c r="BC195" s="161"/>
      <c r="BD195" s="161"/>
      <c r="BE195" s="161"/>
      <c r="BF195" s="161"/>
    </row>
    <row r="196" spans="4:58" ht="20" customHeight="1">
      <c r="D196" s="161"/>
      <c r="G196" s="161"/>
      <c r="H196" s="161"/>
      <c r="I196" s="161"/>
      <c r="J196" s="161"/>
      <c r="K196" s="161"/>
      <c r="L196" s="161"/>
      <c r="M196" s="161"/>
      <c r="N196" s="161"/>
      <c r="O196" s="161"/>
      <c r="P196" s="161"/>
      <c r="Q196" s="161"/>
      <c r="R196" s="161"/>
      <c r="S196" s="161"/>
      <c r="T196" s="161"/>
      <c r="U196" s="161"/>
      <c r="V196" s="161"/>
      <c r="W196" s="161"/>
      <c r="X196" s="161"/>
      <c r="Y196" s="161"/>
      <c r="Z196" s="161"/>
      <c r="AA196" s="161"/>
      <c r="AB196" s="161"/>
      <c r="AC196" s="161"/>
      <c r="AD196" s="161"/>
      <c r="AE196" s="161"/>
      <c r="AF196" s="161"/>
      <c r="AG196" s="161"/>
      <c r="AH196" s="161"/>
      <c r="AI196" s="161"/>
      <c r="AJ196" s="161"/>
      <c r="AK196" s="161"/>
      <c r="AL196" s="161"/>
      <c r="AM196" s="161"/>
      <c r="AN196" s="161"/>
      <c r="AO196" s="161"/>
      <c r="AP196" s="161"/>
      <c r="AQ196" s="161"/>
      <c r="AR196" s="161"/>
      <c r="AS196" s="161"/>
      <c r="AT196" s="161"/>
      <c r="AU196" s="161"/>
      <c r="AV196" s="161"/>
      <c r="AW196" s="161"/>
      <c r="AX196" s="161"/>
      <c r="AY196" s="161"/>
      <c r="AZ196" s="161"/>
      <c r="BA196" s="161"/>
      <c r="BB196" s="161"/>
      <c r="BC196" s="161"/>
      <c r="BD196" s="161"/>
      <c r="BE196" s="161"/>
      <c r="BF196" s="161"/>
    </row>
    <row r="197" spans="4:58" ht="20" customHeight="1">
      <c r="D197" s="161"/>
      <c r="G197" s="161"/>
      <c r="H197" s="161"/>
      <c r="I197" s="161"/>
      <c r="J197" s="161"/>
      <c r="K197" s="161"/>
      <c r="L197" s="161"/>
      <c r="M197" s="161"/>
      <c r="N197" s="161"/>
      <c r="O197" s="161"/>
      <c r="P197" s="161"/>
      <c r="Q197" s="161"/>
      <c r="R197" s="161"/>
      <c r="S197" s="161"/>
      <c r="T197" s="161"/>
      <c r="U197" s="161"/>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161"/>
      <c r="AQ197" s="161"/>
      <c r="AR197" s="161"/>
      <c r="AS197" s="161"/>
      <c r="AT197" s="161"/>
      <c r="AU197" s="161"/>
      <c r="AV197" s="161"/>
      <c r="AW197" s="161"/>
      <c r="AX197" s="161"/>
      <c r="AY197" s="161"/>
      <c r="AZ197" s="161"/>
      <c r="BA197" s="161"/>
      <c r="BB197" s="161"/>
      <c r="BC197" s="161"/>
      <c r="BD197" s="161"/>
      <c r="BE197" s="161"/>
      <c r="BF197" s="161"/>
    </row>
    <row r="198" spans="4:58" ht="20" customHeight="1">
      <c r="D198" s="161"/>
      <c r="G198" s="161"/>
      <c r="H198" s="161"/>
      <c r="I198" s="161"/>
      <c r="J198" s="161"/>
      <c r="K198" s="161"/>
      <c r="L198" s="161"/>
      <c r="M198" s="161"/>
      <c r="N198" s="161"/>
      <c r="O198" s="161"/>
      <c r="P198" s="161"/>
      <c r="Q198" s="161"/>
      <c r="R198" s="161"/>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161"/>
      <c r="AQ198" s="161"/>
      <c r="AR198" s="161"/>
      <c r="AS198" s="161"/>
      <c r="AT198" s="161"/>
      <c r="AU198" s="161"/>
      <c r="AV198" s="161"/>
      <c r="AW198" s="161"/>
      <c r="AX198" s="161"/>
      <c r="AY198" s="161"/>
      <c r="AZ198" s="161"/>
      <c r="BA198" s="161"/>
      <c r="BB198" s="161"/>
      <c r="BC198" s="161"/>
      <c r="BD198" s="161"/>
      <c r="BE198" s="161"/>
      <c r="BF198" s="161"/>
    </row>
    <row r="199" spans="4:58" ht="20" customHeight="1">
      <c r="D199" s="161"/>
      <c r="G199" s="161"/>
      <c r="H199" s="161"/>
      <c r="I199" s="161"/>
      <c r="J199" s="161"/>
      <c r="K199" s="161"/>
      <c r="L199" s="161"/>
      <c r="M199" s="161"/>
      <c r="N199" s="161"/>
      <c r="O199" s="161"/>
      <c r="P199" s="161"/>
      <c r="Q199" s="161"/>
      <c r="R199" s="161"/>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161"/>
      <c r="AQ199" s="161"/>
      <c r="AR199" s="161"/>
      <c r="AS199" s="161"/>
      <c r="AT199" s="161"/>
      <c r="AU199" s="161"/>
      <c r="AV199" s="161"/>
      <c r="AW199" s="161"/>
      <c r="AX199" s="161"/>
      <c r="AY199" s="161"/>
      <c r="AZ199" s="161"/>
      <c r="BA199" s="161"/>
      <c r="BB199" s="161"/>
      <c r="BC199" s="161"/>
      <c r="BD199" s="161"/>
      <c r="BE199" s="161"/>
      <c r="BF199" s="161"/>
    </row>
    <row r="200" spans="4:58" ht="20" customHeight="1"/>
    <row r="201" spans="4:58" ht="20" customHeight="1"/>
    <row r="202" spans="4:58" ht="20" customHeight="1"/>
    <row r="203" spans="4:58" ht="20" customHeight="1"/>
    <row r="204" spans="4:58" ht="20" customHeight="1"/>
    <row r="205" spans="4:58" ht="20" customHeight="1"/>
    <row r="206" spans="4:58" ht="20" customHeight="1"/>
    <row r="207" spans="4:58" ht="20" customHeight="1"/>
    <row r="208" spans="4:58" ht="20" customHeight="1"/>
    <row r="209" ht="20" customHeight="1"/>
    <row r="210" ht="20" customHeight="1"/>
    <row r="211" ht="20" customHeight="1"/>
    <row r="212" ht="20" customHeight="1"/>
    <row r="213" ht="20" customHeight="1"/>
    <row r="214" ht="20" customHeight="1"/>
    <row r="215" ht="20" customHeight="1"/>
    <row r="216" ht="20" customHeight="1"/>
    <row r="217" ht="20" customHeight="1"/>
    <row r="218" ht="20" customHeight="1"/>
    <row r="219" ht="20" customHeight="1"/>
    <row r="220" ht="20" customHeight="1"/>
    <row r="221" ht="20" customHeight="1"/>
    <row r="222" ht="20" customHeight="1"/>
    <row r="223" ht="20" customHeight="1"/>
    <row r="224" ht="20" customHeight="1"/>
    <row r="225" ht="20" customHeight="1"/>
    <row r="226" ht="20" customHeight="1"/>
    <row r="227" ht="20" customHeight="1"/>
    <row r="228" ht="20" customHeight="1"/>
    <row r="229" ht="20" customHeight="1"/>
    <row r="230" ht="20" customHeight="1"/>
    <row r="231" ht="20" customHeight="1"/>
    <row r="232" ht="20" customHeight="1"/>
    <row r="233" ht="20" customHeight="1"/>
    <row r="234" ht="20" customHeight="1"/>
    <row r="235" ht="20" customHeight="1"/>
    <row r="236" ht="20" customHeight="1"/>
    <row r="237" ht="20" customHeight="1"/>
    <row r="238" ht="20" customHeight="1"/>
    <row r="239" ht="20" customHeight="1"/>
    <row r="240" ht="20" customHeight="1"/>
    <row r="241" ht="20" customHeight="1"/>
    <row r="242" ht="20" customHeight="1"/>
    <row r="243" ht="20" customHeight="1"/>
    <row r="244" ht="20" customHeight="1"/>
    <row r="245" ht="20" customHeight="1"/>
    <row r="246" ht="20" customHeight="1"/>
    <row r="247" ht="20" customHeight="1"/>
    <row r="248" ht="20" customHeight="1"/>
    <row r="249" ht="20" customHeight="1"/>
    <row r="250" ht="20" customHeight="1"/>
    <row r="251" ht="20" customHeight="1"/>
    <row r="252" ht="20" customHeight="1"/>
    <row r="253" ht="20" customHeight="1"/>
    <row r="254" ht="20" customHeight="1"/>
    <row r="255" ht="20" customHeight="1"/>
    <row r="256" ht="20" customHeight="1"/>
    <row r="257" ht="20" customHeight="1"/>
    <row r="258" ht="20" customHeight="1"/>
    <row r="259" ht="20" customHeight="1"/>
    <row r="260" ht="20" customHeight="1"/>
  </sheetData>
  <sheetProtection sheet="1" objects="1" scenarios="1" selectLockedCells="1"/>
  <sortState xmlns:xlrd2="http://schemas.microsoft.com/office/spreadsheetml/2017/richdata2" ref="B12:B35">
    <sortCondition ref="B12"/>
  </sortState>
  <customSheetViews>
    <customSheetView guid="{B4419C5D-1877-4ABB-A46F-9E0AFFC75B59}" scale="85" showGridLines="0" fitToPage="1" hiddenColumns="1" state="hidden">
      <pane ySplit="4" topLeftCell="A5" activePane="bottomLeft" state="frozen"/>
      <selection pane="bottomLeft" activeCell="AX30" sqref="AX30"/>
      <pageMargins left="0.7" right="0.7" top="0.75" bottom="0.75" header="0.3" footer="0.3"/>
      <pageSetup scale="41" fitToHeight="0" orientation="landscape" r:id="rId1"/>
    </customSheetView>
  </customSheetViews>
  <mergeCells count="63">
    <mergeCell ref="AJ3:AK3"/>
    <mergeCell ref="AM3:BF3"/>
    <mergeCell ref="A12:A29"/>
    <mergeCell ref="P4:Q4"/>
    <mergeCell ref="R4:S4"/>
    <mergeCell ref="T4:U4"/>
    <mergeCell ref="V4:W4"/>
    <mergeCell ref="D4:E4"/>
    <mergeCell ref="F4:G4"/>
    <mergeCell ref="H4:I4"/>
    <mergeCell ref="J4:K4"/>
    <mergeCell ref="L4:M4"/>
    <mergeCell ref="N4:O4"/>
    <mergeCell ref="B3:C4"/>
    <mergeCell ref="D3:M3"/>
    <mergeCell ref="N3:U3"/>
    <mergeCell ref="V3:AA3"/>
    <mergeCell ref="AB4:AC4"/>
    <mergeCell ref="AD4:AE4"/>
    <mergeCell ref="AF4:AG4"/>
    <mergeCell ref="AB3:AI3"/>
    <mergeCell ref="AH4:AI4"/>
    <mergeCell ref="A5:A10"/>
    <mergeCell ref="X4:Y4"/>
    <mergeCell ref="Z4:AA4"/>
    <mergeCell ref="X79:Y79"/>
    <mergeCell ref="A31:A46"/>
    <mergeCell ref="D79:E79"/>
    <mergeCell ref="F79:G79"/>
    <mergeCell ref="H79:I79"/>
    <mergeCell ref="J79:K79"/>
    <mergeCell ref="L79:M79"/>
    <mergeCell ref="AB79:AC79"/>
    <mergeCell ref="AD79:AE79"/>
    <mergeCell ref="AF79:AG79"/>
    <mergeCell ref="AH79:AI79"/>
    <mergeCell ref="V79:W79"/>
    <mergeCell ref="D80:E80"/>
    <mergeCell ref="F80:G80"/>
    <mergeCell ref="H80:I80"/>
    <mergeCell ref="J80:K80"/>
    <mergeCell ref="L80:M80"/>
    <mergeCell ref="N80:O80"/>
    <mergeCell ref="N79:O79"/>
    <mergeCell ref="P79:Q79"/>
    <mergeCell ref="R79:S79"/>
    <mergeCell ref="T79:U79"/>
    <mergeCell ref="AB80:AC80"/>
    <mergeCell ref="Z79:AA79"/>
    <mergeCell ref="BB80:BD80"/>
    <mergeCell ref="BE80:BF80"/>
    <mergeCell ref="A82:A83"/>
    <mergeCell ref="X80:Y80"/>
    <mergeCell ref="AD80:AE80"/>
    <mergeCell ref="AF80:AG80"/>
    <mergeCell ref="AH80:AI80"/>
    <mergeCell ref="AJ80:AK80"/>
    <mergeCell ref="AS80:AY80"/>
    <mergeCell ref="P80:Q80"/>
    <mergeCell ref="R80:S80"/>
    <mergeCell ref="T80:U80"/>
    <mergeCell ref="V80:W80"/>
    <mergeCell ref="Z80:AA80"/>
  </mergeCells>
  <conditionalFormatting sqref="A82:A83">
    <cfRule type="cellIs" dxfId="635" priority="358" operator="between">
      <formula>99.01</formula>
      <formula>100</formula>
    </cfRule>
    <cfRule type="cellIs" dxfId="634" priority="359" operator="between">
      <formula>90.01</formula>
      <formula>99</formula>
    </cfRule>
    <cfRule type="cellIs" dxfId="633" priority="360" operator="between">
      <formula>85.01</formula>
      <formula>90</formula>
    </cfRule>
    <cfRule type="cellIs" dxfId="632" priority="361" operator="lessThanOrEqual">
      <formula>85</formula>
    </cfRule>
  </conditionalFormatting>
  <conditionalFormatting sqref="D4 F4 H4 J4 L4 N4 P4 R4 T4 V4 AF4 AH4 B112 B115 B118 B121 B124 B127 AM11:BD11">
    <cfRule type="cellIs" dxfId="631" priority="341" operator="equal">
      <formula>4.4</formula>
    </cfRule>
    <cfRule type="cellIs" dxfId="630" priority="342" operator="equal">
      <formula>4.3</formula>
    </cfRule>
    <cfRule type="cellIs" dxfId="629" priority="343" operator="equal">
      <formula>4.2</formula>
    </cfRule>
    <cfRule type="cellIs" dxfId="628" priority="344" operator="equal">
      <formula>4.1</formula>
    </cfRule>
    <cfRule type="cellIs" dxfId="627" priority="345" operator="equal">
      <formula>3.4</formula>
    </cfRule>
    <cfRule type="cellIs" dxfId="626" priority="346" operator="equal">
      <formula>3.3</formula>
    </cfRule>
    <cfRule type="cellIs" dxfId="625" priority="347" operator="equal">
      <formula>3.2</formula>
    </cfRule>
    <cfRule type="cellIs" dxfId="624" priority="348" operator="equal">
      <formula>3.1</formula>
    </cfRule>
    <cfRule type="cellIs" dxfId="623" priority="349" operator="equal">
      <formula>2.4</formula>
    </cfRule>
    <cfRule type="cellIs" dxfId="622" priority="350" operator="equal">
      <formula>2.3</formula>
    </cfRule>
    <cfRule type="cellIs" dxfId="621" priority="351" operator="equal">
      <formula>2.2</formula>
    </cfRule>
    <cfRule type="cellIs" dxfId="620" priority="352" operator="equal">
      <formula>2.1</formula>
    </cfRule>
    <cfRule type="cellIs" dxfId="619" priority="353" operator="equal">
      <formula>1.5</formula>
    </cfRule>
    <cfRule type="cellIs" dxfId="618" priority="354" operator="equal">
      <formula>1.4</formula>
    </cfRule>
    <cfRule type="cellIs" dxfId="617" priority="355" operator="equal">
      <formula>1.3</formula>
    </cfRule>
    <cfRule type="cellIs" dxfId="616" priority="356" operator="equal">
      <formula>1.2</formula>
    </cfRule>
    <cfRule type="containsText" dxfId="615" priority="357" operator="containsText" text="1.1">
      <formula>NOT(ISERROR(SEARCH("1.1",B4)))</formula>
    </cfRule>
  </conditionalFormatting>
  <conditionalFormatting sqref="X4">
    <cfRule type="cellIs" dxfId="614" priority="307" operator="equal">
      <formula>4.4</formula>
    </cfRule>
    <cfRule type="cellIs" dxfId="613" priority="308" operator="equal">
      <formula>4.3</formula>
    </cfRule>
    <cfRule type="cellIs" dxfId="612" priority="309" operator="equal">
      <formula>4.2</formula>
    </cfRule>
    <cfRule type="cellIs" dxfId="611" priority="310" operator="equal">
      <formula>4.1</formula>
    </cfRule>
    <cfRule type="cellIs" dxfId="610" priority="311" operator="equal">
      <formula>3.4</formula>
    </cfRule>
    <cfRule type="cellIs" dxfId="609" priority="312" operator="equal">
      <formula>3.3</formula>
    </cfRule>
    <cfRule type="cellIs" dxfId="608" priority="313" operator="equal">
      <formula>3.2</formula>
    </cfRule>
    <cfRule type="cellIs" dxfId="607" priority="314" operator="equal">
      <formula>3.1</formula>
    </cfRule>
    <cfRule type="cellIs" dxfId="606" priority="315" operator="equal">
      <formula>2.4</formula>
    </cfRule>
    <cfRule type="cellIs" dxfId="605" priority="316" operator="equal">
      <formula>2.3</formula>
    </cfRule>
    <cfRule type="cellIs" dxfId="604" priority="317" operator="equal">
      <formula>2.2</formula>
    </cfRule>
    <cfRule type="cellIs" dxfId="603" priority="318" operator="equal">
      <formula>2.1</formula>
    </cfRule>
    <cfRule type="cellIs" dxfId="602" priority="319" operator="equal">
      <formula>1.5</formula>
    </cfRule>
    <cfRule type="cellIs" dxfId="601" priority="320" operator="equal">
      <formula>1.4</formula>
    </cfRule>
    <cfRule type="cellIs" dxfId="600" priority="321" operator="equal">
      <formula>1.3</formula>
    </cfRule>
    <cfRule type="cellIs" dxfId="599" priority="322" operator="equal">
      <formula>1.2</formula>
    </cfRule>
    <cfRule type="containsText" dxfId="598" priority="323" operator="containsText" text="1.1">
      <formula>NOT(ISERROR(SEARCH("1.1",X4)))</formula>
    </cfRule>
  </conditionalFormatting>
  <conditionalFormatting sqref="Z4">
    <cfRule type="cellIs" dxfId="597" priority="324" operator="equal">
      <formula>4.4</formula>
    </cfRule>
    <cfRule type="cellIs" dxfId="596" priority="325" operator="equal">
      <formula>4.3</formula>
    </cfRule>
    <cfRule type="cellIs" dxfId="595" priority="326" operator="equal">
      <formula>4.2</formula>
    </cfRule>
    <cfRule type="cellIs" dxfId="594" priority="327" operator="equal">
      <formula>4.1</formula>
    </cfRule>
    <cfRule type="cellIs" dxfId="593" priority="328" operator="equal">
      <formula>3.4</formula>
    </cfRule>
    <cfRule type="cellIs" dxfId="592" priority="329" operator="equal">
      <formula>3.3</formula>
    </cfRule>
    <cfRule type="cellIs" dxfId="591" priority="330" operator="equal">
      <formula>3.2</formula>
    </cfRule>
    <cfRule type="cellIs" dxfId="590" priority="331" operator="equal">
      <formula>3.1</formula>
    </cfRule>
    <cfRule type="cellIs" dxfId="589" priority="332" operator="equal">
      <formula>2.4</formula>
    </cfRule>
    <cfRule type="cellIs" dxfId="588" priority="333" operator="equal">
      <formula>2.3</formula>
    </cfRule>
    <cfRule type="cellIs" dxfId="587" priority="334" operator="equal">
      <formula>2.2</formula>
    </cfRule>
    <cfRule type="cellIs" dxfId="586" priority="335" operator="equal">
      <formula>2.1</formula>
    </cfRule>
    <cfRule type="cellIs" dxfId="585" priority="336" operator="equal">
      <formula>1.5</formula>
    </cfRule>
    <cfRule type="cellIs" dxfId="584" priority="337" operator="equal">
      <formula>1.4</formula>
    </cfRule>
    <cfRule type="cellIs" dxfId="583" priority="338" operator="equal">
      <formula>1.3</formula>
    </cfRule>
    <cfRule type="cellIs" dxfId="582" priority="339" operator="equal">
      <formula>1.2</formula>
    </cfRule>
    <cfRule type="containsText" dxfId="581" priority="340" operator="containsText" text="1.1">
      <formula>NOT(ISERROR(SEARCH("1.1",Z4)))</formula>
    </cfRule>
  </conditionalFormatting>
  <conditionalFormatting sqref="AB4 AD4">
    <cfRule type="cellIs" dxfId="580" priority="290" operator="equal">
      <formula>4.4</formula>
    </cfRule>
    <cfRule type="cellIs" dxfId="579" priority="291" operator="equal">
      <formula>4.3</formula>
    </cfRule>
    <cfRule type="cellIs" dxfId="578" priority="292" operator="equal">
      <formula>4.2</formula>
    </cfRule>
    <cfRule type="cellIs" dxfId="577" priority="293" operator="equal">
      <formula>4.1</formula>
    </cfRule>
    <cfRule type="cellIs" dxfId="576" priority="294" operator="equal">
      <formula>3.4</formula>
    </cfRule>
    <cfRule type="cellIs" dxfId="575" priority="295" operator="equal">
      <formula>3.3</formula>
    </cfRule>
    <cfRule type="cellIs" dxfId="574" priority="296" operator="equal">
      <formula>3.2</formula>
    </cfRule>
    <cfRule type="cellIs" dxfId="573" priority="297" operator="equal">
      <formula>3.1</formula>
    </cfRule>
    <cfRule type="cellIs" dxfId="572" priority="298" operator="equal">
      <formula>2.4</formula>
    </cfRule>
    <cfRule type="cellIs" dxfId="571" priority="299" operator="equal">
      <formula>2.3</formula>
    </cfRule>
    <cfRule type="cellIs" dxfId="570" priority="300" operator="equal">
      <formula>2.2</formula>
    </cfRule>
    <cfRule type="cellIs" dxfId="569" priority="301" operator="equal">
      <formula>2.1</formula>
    </cfRule>
    <cfRule type="cellIs" dxfId="568" priority="302" operator="equal">
      <formula>1.5</formula>
    </cfRule>
    <cfRule type="cellIs" dxfId="567" priority="303" operator="equal">
      <formula>1.4</formula>
    </cfRule>
    <cfRule type="cellIs" dxfId="566" priority="304" operator="equal">
      <formula>1.3</formula>
    </cfRule>
    <cfRule type="cellIs" dxfId="565" priority="305" operator="equal">
      <formula>1.2</formula>
    </cfRule>
    <cfRule type="containsText" dxfId="564" priority="306" operator="containsText" text="1.1">
      <formula>NOT(ISERROR(SEARCH("1.1",AB4)))</formula>
    </cfRule>
  </conditionalFormatting>
  <conditionalFormatting sqref="B110:B111 B113:B114 B116:B117 B119:B120 B122:B123 B125:B126 B128">
    <cfRule type="cellIs" dxfId="563" priority="239" operator="equal">
      <formula>4.4</formula>
    </cfRule>
    <cfRule type="cellIs" dxfId="562" priority="240" operator="equal">
      <formula>4.3</formula>
    </cfRule>
    <cfRule type="cellIs" dxfId="561" priority="241" operator="equal">
      <formula>4.2</formula>
    </cfRule>
    <cfRule type="cellIs" dxfId="560" priority="242" operator="equal">
      <formula>4.1</formula>
    </cfRule>
    <cfRule type="cellIs" dxfId="559" priority="243" operator="equal">
      <formula>3.4</formula>
    </cfRule>
    <cfRule type="cellIs" dxfId="558" priority="244" operator="equal">
      <formula>3.3</formula>
    </cfRule>
    <cfRule type="cellIs" dxfId="557" priority="245" operator="equal">
      <formula>3.2</formula>
    </cfRule>
    <cfRule type="cellIs" dxfId="556" priority="246" operator="equal">
      <formula>3.1</formula>
    </cfRule>
    <cfRule type="cellIs" dxfId="555" priority="247" operator="equal">
      <formula>2.4</formula>
    </cfRule>
    <cfRule type="cellIs" dxfId="554" priority="248" operator="equal">
      <formula>2.3</formula>
    </cfRule>
    <cfRule type="cellIs" dxfId="553" priority="249" operator="equal">
      <formula>2.2</formula>
    </cfRule>
    <cfRule type="cellIs" dxfId="552" priority="250" operator="equal">
      <formula>2.1</formula>
    </cfRule>
    <cfRule type="cellIs" dxfId="551" priority="251" operator="equal">
      <formula>1.5</formula>
    </cfRule>
    <cfRule type="cellIs" dxfId="550" priority="252" operator="equal">
      <formula>1.4</formula>
    </cfRule>
    <cfRule type="cellIs" dxfId="549" priority="253" operator="equal">
      <formula>1.3</formula>
    </cfRule>
    <cfRule type="cellIs" dxfId="548" priority="254" operator="equal">
      <formula>1.2</formula>
    </cfRule>
    <cfRule type="containsText" dxfId="547" priority="255" operator="containsText" text="1.1">
      <formula>NOT(ISERROR(SEARCH("1.1",B110)))</formula>
    </cfRule>
  </conditionalFormatting>
  <conditionalFormatting sqref="B129">
    <cfRule type="cellIs" dxfId="546" priority="222" operator="equal">
      <formula>4.4</formula>
    </cfRule>
    <cfRule type="cellIs" dxfId="545" priority="223" operator="equal">
      <formula>4.3</formula>
    </cfRule>
    <cfRule type="cellIs" dxfId="544" priority="224" operator="equal">
      <formula>4.2</formula>
    </cfRule>
    <cfRule type="cellIs" dxfId="543" priority="225" operator="equal">
      <formula>4.1</formula>
    </cfRule>
    <cfRule type="cellIs" dxfId="542" priority="226" operator="equal">
      <formula>3.4</formula>
    </cfRule>
    <cfRule type="cellIs" dxfId="541" priority="227" operator="equal">
      <formula>3.3</formula>
    </cfRule>
    <cfRule type="cellIs" dxfId="540" priority="228" operator="equal">
      <formula>3.2</formula>
    </cfRule>
    <cfRule type="cellIs" dxfId="539" priority="229" operator="equal">
      <formula>3.1</formula>
    </cfRule>
    <cfRule type="cellIs" dxfId="538" priority="230" operator="equal">
      <formula>2.4</formula>
    </cfRule>
    <cfRule type="cellIs" dxfId="537" priority="231" operator="equal">
      <formula>2.3</formula>
    </cfRule>
    <cfRule type="cellIs" dxfId="536" priority="232" operator="equal">
      <formula>2.2</formula>
    </cfRule>
    <cfRule type="cellIs" dxfId="535" priority="233" operator="equal">
      <formula>2.1</formula>
    </cfRule>
    <cfRule type="cellIs" dxfId="534" priority="234" operator="equal">
      <formula>1.5</formula>
    </cfRule>
    <cfRule type="cellIs" dxfId="533" priority="235" operator="equal">
      <formula>1.4</formula>
    </cfRule>
    <cfRule type="cellIs" dxfId="532" priority="236" operator="equal">
      <formula>1.3</formula>
    </cfRule>
    <cfRule type="cellIs" dxfId="531" priority="237" operator="equal">
      <formula>1.2</formula>
    </cfRule>
    <cfRule type="containsText" dxfId="530" priority="238" operator="containsText" text="1.1">
      <formula>NOT(ISERROR(SEARCH("1.1",B129)))</formula>
    </cfRule>
  </conditionalFormatting>
  <conditionalFormatting sqref="B103:B109">
    <cfRule type="cellIs" dxfId="529" priority="86" operator="equal">
      <formula>4.4</formula>
    </cfRule>
    <cfRule type="cellIs" dxfId="528" priority="87" operator="equal">
      <formula>4.3</formula>
    </cfRule>
    <cfRule type="cellIs" dxfId="527" priority="88" operator="equal">
      <formula>4.2</formula>
    </cfRule>
    <cfRule type="cellIs" dxfId="526" priority="89" operator="equal">
      <formula>4.1</formula>
    </cfRule>
    <cfRule type="cellIs" dxfId="525" priority="90" operator="equal">
      <formula>3.4</formula>
    </cfRule>
    <cfRule type="cellIs" dxfId="524" priority="91" operator="equal">
      <formula>3.3</formula>
    </cfRule>
    <cfRule type="cellIs" dxfId="523" priority="92" operator="equal">
      <formula>3.2</formula>
    </cfRule>
    <cfRule type="cellIs" dxfId="522" priority="93" operator="equal">
      <formula>3.1</formula>
    </cfRule>
    <cfRule type="cellIs" dxfId="521" priority="94" operator="equal">
      <formula>2.4</formula>
    </cfRule>
    <cfRule type="cellIs" dxfId="520" priority="95" operator="equal">
      <formula>2.3</formula>
    </cfRule>
    <cfRule type="cellIs" dxfId="519" priority="96" operator="equal">
      <formula>2.2</formula>
    </cfRule>
    <cfRule type="cellIs" dxfId="518" priority="97" operator="equal">
      <formula>2.1</formula>
    </cfRule>
    <cfRule type="cellIs" dxfId="517" priority="98" operator="equal">
      <formula>1.5</formula>
    </cfRule>
    <cfRule type="cellIs" dxfId="516" priority="99" operator="equal">
      <formula>1.4</formula>
    </cfRule>
    <cfRule type="cellIs" dxfId="515" priority="100" operator="equal">
      <formula>1.3</formula>
    </cfRule>
    <cfRule type="cellIs" dxfId="514" priority="101" operator="equal">
      <formula>1.2</formula>
    </cfRule>
    <cfRule type="containsText" dxfId="513" priority="102" operator="containsText" text="1.1">
      <formula>NOT(ISERROR(SEARCH("1.1",B103)))</formula>
    </cfRule>
  </conditionalFormatting>
  <conditionalFormatting sqref="B1:B2">
    <cfRule type="cellIs" dxfId="512" priority="18" operator="equal">
      <formula>4.4</formula>
    </cfRule>
    <cfRule type="cellIs" dxfId="511" priority="19" operator="equal">
      <formula>4.3</formula>
    </cfRule>
    <cfRule type="cellIs" dxfId="510" priority="20" operator="equal">
      <formula>4.2</formula>
    </cfRule>
    <cfRule type="cellIs" dxfId="509" priority="21" operator="equal">
      <formula>4.1</formula>
    </cfRule>
    <cfRule type="cellIs" dxfId="508" priority="22" operator="equal">
      <formula>3.4</formula>
    </cfRule>
    <cfRule type="cellIs" dxfId="507" priority="23" operator="equal">
      <formula>3.3</formula>
    </cfRule>
    <cfRule type="cellIs" dxfId="506" priority="24" operator="equal">
      <formula>3.2</formula>
    </cfRule>
    <cfRule type="cellIs" dxfId="505" priority="25" operator="equal">
      <formula>3.1</formula>
    </cfRule>
    <cfRule type="cellIs" dxfId="504" priority="26" operator="equal">
      <formula>2.4</formula>
    </cfRule>
    <cfRule type="cellIs" dxfId="503" priority="27" operator="equal">
      <formula>2.3</formula>
    </cfRule>
    <cfRule type="cellIs" dxfId="502" priority="28" operator="equal">
      <formula>2.2</formula>
    </cfRule>
    <cfRule type="cellIs" dxfId="501" priority="29" operator="equal">
      <formula>2.1</formula>
    </cfRule>
    <cfRule type="cellIs" dxfId="500" priority="30" operator="equal">
      <formula>1.5</formula>
    </cfRule>
    <cfRule type="cellIs" dxfId="499" priority="31" operator="equal">
      <formula>1.4</formula>
    </cfRule>
    <cfRule type="cellIs" dxfId="498" priority="32" operator="equal">
      <formula>1.3</formula>
    </cfRule>
    <cfRule type="cellIs" dxfId="497" priority="33" operator="equal">
      <formula>1.2</formula>
    </cfRule>
    <cfRule type="containsText" dxfId="496" priority="34" operator="containsText" text="1.1">
      <formula>NOT(ISERROR(SEARCH("1.1",B1)))</formula>
    </cfRule>
  </conditionalFormatting>
  <conditionalFormatting sqref="AD1:AE2">
    <cfRule type="cellIs" dxfId="495" priority="1" operator="equal">
      <formula>4.4</formula>
    </cfRule>
    <cfRule type="cellIs" dxfId="494" priority="2" operator="equal">
      <formula>4.3</formula>
    </cfRule>
    <cfRule type="cellIs" dxfId="493" priority="3" operator="equal">
      <formula>4.2</formula>
    </cfRule>
    <cfRule type="cellIs" dxfId="492" priority="4" operator="equal">
      <formula>4.1</formula>
    </cfRule>
    <cfRule type="cellIs" dxfId="491" priority="5" operator="equal">
      <formula>3.4</formula>
    </cfRule>
    <cfRule type="cellIs" dxfId="490" priority="6" operator="equal">
      <formula>3.3</formula>
    </cfRule>
    <cfRule type="cellIs" dxfId="489" priority="7" operator="equal">
      <formula>3.2</formula>
    </cfRule>
    <cfRule type="cellIs" dxfId="488" priority="8" operator="equal">
      <formula>3.1</formula>
    </cfRule>
    <cfRule type="cellIs" dxfId="487" priority="9" operator="equal">
      <formula>2.4</formula>
    </cfRule>
    <cfRule type="cellIs" dxfId="486" priority="10" operator="equal">
      <formula>2.3</formula>
    </cfRule>
    <cfRule type="cellIs" dxfId="485" priority="11" operator="equal">
      <formula>2.2</formula>
    </cfRule>
    <cfRule type="cellIs" dxfId="484" priority="12" operator="equal">
      <formula>2.1</formula>
    </cfRule>
    <cfRule type="cellIs" dxfId="483" priority="13" operator="equal">
      <formula>1.5</formula>
    </cfRule>
    <cfRule type="cellIs" dxfId="482" priority="14" operator="equal">
      <formula>1.4</formula>
    </cfRule>
    <cfRule type="cellIs" dxfId="481" priority="15" operator="equal">
      <formula>1.3</formula>
    </cfRule>
    <cfRule type="cellIs" dxfId="480" priority="16" operator="equal">
      <formula>1.2</formula>
    </cfRule>
    <cfRule type="containsText" dxfId="479" priority="17" operator="containsText" text="1.1">
      <formula>NOT(ISERROR(SEARCH("1.1",AD1)))</formula>
    </cfRule>
  </conditionalFormatting>
  <hyperlinks>
    <hyperlink ref="A3" location="'D3 to D14'!R3" tooltip="Back" display="D3 to D14'!A1" xr:uid="{00000000-0004-0000-1100-000000000000}"/>
  </hyperlinks>
  <pageMargins left="0.7" right="0.7" top="0.75" bottom="0.75" header="0.3" footer="0.3"/>
  <pageSetup scale="41" fitToHeight="0" orientation="landscape"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pageSetUpPr fitToPage="1"/>
  </sheetPr>
  <dimension ref="A1:BA122"/>
  <sheetViews>
    <sheetView zoomScale="75" zoomScaleNormal="75" workbookViewId="0"/>
  </sheetViews>
  <sheetFormatPr baseColWidth="10" defaultColWidth="9.1640625" defaultRowHeight="15"/>
  <cols>
    <col min="1" max="1" width="9.1640625" style="32" customWidth="1"/>
    <col min="2" max="2" width="44" style="32" bestFit="1" customWidth="1"/>
    <col min="3" max="3" width="7.5" style="32" customWidth="1"/>
    <col min="4" max="53" width="5.6640625" style="32" customWidth="1"/>
    <col min="54" max="54" width="9" style="32" customWidth="1"/>
    <col min="55" max="16384" width="9.1640625" style="32"/>
  </cols>
  <sheetData>
    <row r="1" spans="1:53"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c r="AU1" s="428"/>
      <c r="AV1" s="428"/>
      <c r="AW1" s="428"/>
      <c r="AX1" s="428"/>
      <c r="AY1" s="428"/>
      <c r="AZ1" s="428"/>
      <c r="BA1" s="428"/>
    </row>
    <row r="2" spans="1:53"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c r="AU2" s="428"/>
      <c r="AV2" s="428"/>
      <c r="AW2" s="428"/>
      <c r="AX2" s="428"/>
      <c r="AY2" s="428"/>
      <c r="AZ2" s="428"/>
      <c r="BA2" s="428"/>
    </row>
    <row r="3" spans="1:53"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632"/>
      <c r="AK3" s="632"/>
      <c r="AL3" s="631"/>
      <c r="AM3" s="631"/>
      <c r="AN3" s="631"/>
      <c r="AO3" s="631"/>
      <c r="AP3" s="631"/>
      <c r="AQ3" s="631"/>
      <c r="AR3" s="631"/>
      <c r="AS3" s="631"/>
      <c r="AT3" s="631"/>
      <c r="AU3" s="631"/>
      <c r="AV3" s="631"/>
      <c r="AW3" s="631"/>
      <c r="AX3" s="631"/>
      <c r="AY3" s="631"/>
      <c r="AZ3" s="631"/>
      <c r="BA3" s="631"/>
    </row>
    <row r="4" spans="1:53" ht="20" customHeight="1">
      <c r="A4" s="159" t="s">
        <v>671</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53" ht="20" customHeight="1">
      <c r="A5" s="1871" t="s">
        <v>15</v>
      </c>
      <c r="B5" s="410" t="s">
        <v>662</v>
      </c>
      <c r="C5" s="444"/>
      <c r="D5" s="422"/>
      <c r="E5" s="413"/>
      <c r="F5" s="422"/>
      <c r="G5" s="413"/>
      <c r="H5" s="422"/>
      <c r="I5" s="413"/>
      <c r="J5" s="422"/>
      <c r="K5" s="413"/>
      <c r="L5" s="32" t="str">
        <f>'LHR LU'!T32</f>
        <v/>
      </c>
      <c r="M5" s="441">
        <f>'LHR LU'!S32</f>
        <v>2</v>
      </c>
      <c r="O5" s="443"/>
      <c r="P5" s="422"/>
      <c r="Q5" s="442"/>
      <c r="R5" s="422"/>
      <c r="S5" s="442"/>
      <c r="T5" s="422"/>
      <c r="U5" s="442"/>
      <c r="V5" s="422"/>
      <c r="W5" s="437"/>
      <c r="X5" s="422"/>
      <c r="Y5" s="437"/>
      <c r="Z5" s="422"/>
      <c r="AA5" s="437"/>
      <c r="AB5" s="422"/>
      <c r="AC5" s="439"/>
      <c r="AD5" s="422"/>
      <c r="AE5" s="439"/>
      <c r="AF5" s="32" t="str">
        <f>'LHR LU'!T33</f>
        <v/>
      </c>
      <c r="AG5" s="440">
        <f>'LHR LU'!S33</f>
        <v>2</v>
      </c>
      <c r="AH5" s="32" t="str">
        <f>'LHR LU'!T34</f>
        <v/>
      </c>
      <c r="AI5" s="440">
        <f>'LHR LU'!S34</f>
        <v>3</v>
      </c>
    </row>
    <row r="6" spans="1:53" ht="20" customHeight="1">
      <c r="A6" s="1871"/>
      <c r="B6" s="410" t="s">
        <v>677</v>
      </c>
      <c r="C6" s="444"/>
      <c r="D6" s="422"/>
      <c r="E6" s="413"/>
      <c r="F6" s="422"/>
      <c r="G6" s="413"/>
      <c r="H6" s="422"/>
      <c r="I6" s="413"/>
      <c r="J6" s="422"/>
      <c r="K6" s="413"/>
      <c r="L6" s="32" t="str">
        <f>'LHR LU'!AD41</f>
        <v/>
      </c>
      <c r="M6" s="441">
        <f>'LHR LU'!AC41</f>
        <v>1</v>
      </c>
      <c r="O6" s="443"/>
      <c r="P6" s="422"/>
      <c r="Q6" s="442"/>
      <c r="R6" s="422"/>
      <c r="S6" s="442"/>
      <c r="T6" s="422" t="str">
        <f>'LHR LU'!AD42</f>
        <v/>
      </c>
      <c r="U6" s="442">
        <f>'LHR LU'!AC42</f>
        <v>2</v>
      </c>
      <c r="V6" s="422"/>
      <c r="W6" s="437"/>
      <c r="X6" s="422"/>
      <c r="Y6" s="437"/>
      <c r="Z6" s="422"/>
      <c r="AA6" s="437"/>
      <c r="AB6" s="422"/>
      <c r="AC6" s="439"/>
      <c r="AD6" s="422"/>
      <c r="AE6" s="439"/>
      <c r="AF6" s="32" t="str">
        <f>'LHR LU'!AD43</f>
        <v/>
      </c>
      <c r="AG6" s="440">
        <f>'LHR LU'!AC43</f>
        <v>1</v>
      </c>
      <c r="AH6" s="32" t="str">
        <f>'LHR LU'!AD44</f>
        <v/>
      </c>
      <c r="AI6" s="440">
        <f>'LHR LU'!AC44</f>
        <v>6</v>
      </c>
    </row>
    <row r="7" spans="1:53" ht="20" customHeight="1">
      <c r="A7" s="1871"/>
      <c r="B7" s="410" t="s">
        <v>697</v>
      </c>
      <c r="C7" s="444"/>
      <c r="D7" s="422" t="str">
        <f>'LHR LU'!I32</f>
        <v/>
      </c>
      <c r="E7" s="413">
        <f>'LHR LU'!H32</f>
        <v>4</v>
      </c>
      <c r="F7" s="422"/>
      <c r="G7" s="413"/>
      <c r="H7" s="422"/>
      <c r="I7" s="413"/>
      <c r="J7" s="422"/>
      <c r="K7" s="413"/>
      <c r="L7" s="32" t="str">
        <f>'LHR LU'!I33</f>
        <v/>
      </c>
      <c r="M7" s="441">
        <f>'LHR LU'!H33</f>
        <v>1</v>
      </c>
      <c r="N7" s="32" t="str">
        <f>'LHR LU'!I34</f>
        <v/>
      </c>
      <c r="O7" s="443">
        <f>'LHR LU'!H34</f>
        <v>1</v>
      </c>
      <c r="P7" s="422"/>
      <c r="Q7" s="442"/>
      <c r="R7" s="422"/>
      <c r="S7" s="442"/>
      <c r="T7" s="422" t="str">
        <f>'LHR LU'!I35</f>
        <v/>
      </c>
      <c r="U7" s="442">
        <f>'LHR LU'!H35</f>
        <v>1</v>
      </c>
      <c r="V7" s="422"/>
      <c r="W7" s="437"/>
      <c r="X7" s="422"/>
      <c r="Y7" s="437"/>
      <c r="Z7" s="422"/>
      <c r="AA7" s="437"/>
      <c r="AB7" s="422"/>
      <c r="AC7" s="439"/>
      <c r="AD7" s="422"/>
      <c r="AE7" s="439"/>
      <c r="AG7" s="440"/>
      <c r="AI7" s="440"/>
    </row>
    <row r="8" spans="1:53" ht="20" customHeight="1">
      <c r="A8" s="1871"/>
      <c r="B8" s="410" t="s">
        <v>698</v>
      </c>
      <c r="C8" s="444"/>
      <c r="D8" s="422" t="str">
        <f>'LHR LU'!J32</f>
        <v/>
      </c>
      <c r="E8" s="413">
        <f>'LHR LU'!H32</f>
        <v>4</v>
      </c>
      <c r="F8" s="422"/>
      <c r="G8" s="413"/>
      <c r="H8" s="422"/>
      <c r="I8" s="413"/>
      <c r="J8" s="422"/>
      <c r="K8" s="413"/>
      <c r="L8" s="32" t="str">
        <f>'LHR LU'!J33</f>
        <v/>
      </c>
      <c r="M8" s="441">
        <f>'LHR LU'!H33</f>
        <v>1</v>
      </c>
      <c r="N8" s="32" t="str">
        <f>'LHR LU'!J34</f>
        <v/>
      </c>
      <c r="O8" s="443">
        <f>'LHR LU'!H34</f>
        <v>1</v>
      </c>
      <c r="P8" s="422"/>
      <c r="Q8" s="442"/>
      <c r="R8" s="422"/>
      <c r="S8" s="442"/>
      <c r="T8" s="422" t="str">
        <f>'LHR LU'!J35</f>
        <v/>
      </c>
      <c r="U8" s="442">
        <f>'LHR LU'!H35</f>
        <v>1</v>
      </c>
      <c r="V8" s="422"/>
      <c r="W8" s="437"/>
      <c r="X8" s="422"/>
      <c r="Y8" s="437"/>
      <c r="Z8" s="422"/>
      <c r="AA8" s="437"/>
      <c r="AB8" s="422"/>
      <c r="AC8" s="439"/>
      <c r="AD8" s="422"/>
      <c r="AE8" s="439"/>
      <c r="AG8" s="440"/>
      <c r="AI8" s="440"/>
    </row>
    <row r="9" spans="1:53" ht="20" customHeight="1">
      <c r="A9" s="1871"/>
      <c r="B9" s="410" t="s">
        <v>716</v>
      </c>
      <c r="C9" s="444"/>
      <c r="D9" s="422"/>
      <c r="E9" s="413"/>
      <c r="F9" s="422"/>
      <c r="G9" s="413"/>
      <c r="H9" s="422"/>
      <c r="I9" s="413"/>
      <c r="J9" s="422"/>
      <c r="K9" s="413"/>
      <c r="M9" s="441"/>
      <c r="O9" s="443"/>
      <c r="P9" s="422"/>
      <c r="Q9" s="442"/>
      <c r="R9" s="422"/>
      <c r="S9" s="442"/>
      <c r="T9" s="422"/>
      <c r="U9" s="442"/>
      <c r="V9" s="422" t="str">
        <f>'LHR LU'!I42</f>
        <v/>
      </c>
      <c r="W9" s="437">
        <f>'LHR LU'!H42</f>
        <v>1</v>
      </c>
      <c r="X9" s="422"/>
      <c r="Y9" s="437"/>
      <c r="Z9" s="422"/>
      <c r="AA9" s="437"/>
      <c r="AB9" s="422"/>
      <c r="AC9" s="439"/>
      <c r="AD9" s="422"/>
      <c r="AE9" s="439"/>
      <c r="AG9" s="440"/>
      <c r="AI9" s="440"/>
    </row>
    <row r="10" spans="1:53" ht="20" customHeight="1">
      <c r="A10" s="1871"/>
      <c r="B10" s="410" t="s">
        <v>717</v>
      </c>
      <c r="C10" s="444"/>
      <c r="D10" s="422"/>
      <c r="E10" s="413"/>
      <c r="F10" s="422"/>
      <c r="G10" s="413"/>
      <c r="H10" s="422"/>
      <c r="I10" s="413"/>
      <c r="J10" s="422"/>
      <c r="K10" s="413"/>
      <c r="M10" s="441"/>
      <c r="O10" s="443"/>
      <c r="P10" s="422"/>
      <c r="Q10" s="442"/>
      <c r="R10" s="422"/>
      <c r="S10" s="442"/>
      <c r="T10" s="422"/>
      <c r="U10" s="442"/>
      <c r="V10" s="422" t="str">
        <f>'LHR LU'!J42</f>
        <v/>
      </c>
      <c r="W10" s="437">
        <f>'LHR LU'!H42</f>
        <v>1</v>
      </c>
      <c r="X10" s="422"/>
      <c r="Y10" s="437"/>
      <c r="Z10" s="422"/>
      <c r="AA10" s="437"/>
      <c r="AB10" s="422"/>
      <c r="AC10" s="439"/>
      <c r="AD10" s="422"/>
      <c r="AE10" s="439"/>
      <c r="AG10" s="440"/>
      <c r="AI10" s="440"/>
    </row>
    <row r="11" spans="1:53" ht="20" customHeight="1">
      <c r="A11" s="423"/>
      <c r="B11" s="424"/>
      <c r="C11" s="429"/>
      <c r="D11" s="429"/>
      <c r="E11" s="429"/>
      <c r="F11" s="429"/>
      <c r="G11" s="429"/>
      <c r="H11" s="429"/>
      <c r="I11" s="429"/>
      <c r="J11" s="429"/>
      <c r="K11" s="429"/>
      <c r="L11" s="429"/>
      <c r="M11" s="429"/>
      <c r="N11" s="429"/>
      <c r="O11" s="429"/>
      <c r="P11" s="429"/>
      <c r="Q11" s="429"/>
      <c r="R11" s="429"/>
      <c r="S11" s="429"/>
      <c r="T11" s="429"/>
      <c r="U11" s="429"/>
      <c r="V11" s="429"/>
      <c r="W11" s="429"/>
      <c r="X11" s="429"/>
      <c r="Y11" s="429"/>
      <c r="Z11" s="429"/>
      <c r="AA11" s="429"/>
      <c r="AB11" s="429"/>
      <c r="AC11" s="429"/>
      <c r="AD11" s="429"/>
      <c r="AE11" s="429"/>
      <c r="AF11" s="429"/>
      <c r="AG11" s="429"/>
      <c r="AH11" s="429"/>
      <c r="AI11" s="429"/>
      <c r="AU11" s="415"/>
      <c r="AV11" s="415"/>
      <c r="AW11" s="52"/>
      <c r="AX11" s="52"/>
    </row>
    <row r="12" spans="1:53" ht="20" customHeight="1">
      <c r="A12" s="1871" t="s">
        <v>641</v>
      </c>
      <c r="B12" s="410" t="s">
        <v>426</v>
      </c>
      <c r="C12" s="444"/>
      <c r="D12" s="422"/>
      <c r="E12" s="413"/>
      <c r="F12" s="422"/>
      <c r="G12" s="413"/>
      <c r="H12" s="422"/>
      <c r="I12" s="413"/>
      <c r="J12" s="422"/>
      <c r="K12" s="413"/>
      <c r="L12" s="32" t="str">
        <f>'LHR LU'!U65</f>
        <v/>
      </c>
      <c r="M12" s="441">
        <f>'LHR LU'!T65</f>
        <v>1</v>
      </c>
      <c r="N12" s="32" t="str">
        <f>'LHR LU'!U66</f>
        <v/>
      </c>
      <c r="O12" s="443">
        <f>'LHR LU'!T66</f>
        <v>1</v>
      </c>
      <c r="P12" s="422"/>
      <c r="Q12" s="442"/>
      <c r="R12" s="422"/>
      <c r="S12" s="442"/>
      <c r="T12" s="422"/>
      <c r="U12" s="442"/>
      <c r="V12" s="422"/>
      <c r="W12" s="437"/>
      <c r="X12" s="422"/>
      <c r="Y12" s="437"/>
      <c r="Z12" s="422"/>
      <c r="AA12" s="437"/>
      <c r="AB12" s="422"/>
      <c r="AC12" s="439"/>
      <c r="AD12" s="422"/>
      <c r="AE12" s="439"/>
      <c r="AF12" s="32" t="str">
        <f>'LHR LU'!U67</f>
        <v/>
      </c>
      <c r="AG12" s="440">
        <f>'LHR LU'!T67</f>
        <v>1</v>
      </c>
      <c r="AH12" s="32" t="str">
        <f>'LHR LU'!U68</f>
        <v/>
      </c>
      <c r="AI12" s="440">
        <f>'LHR LU'!T68</f>
        <v>2</v>
      </c>
    </row>
    <row r="13" spans="1:53" ht="20" customHeight="1">
      <c r="A13" s="1871"/>
      <c r="B13" s="410" t="s">
        <v>444</v>
      </c>
      <c r="C13" s="444"/>
      <c r="D13" s="422"/>
      <c r="E13" s="413"/>
      <c r="F13" s="422"/>
      <c r="G13" s="413"/>
      <c r="H13" s="422"/>
      <c r="I13" s="413"/>
      <c r="J13" s="422"/>
      <c r="K13" s="413"/>
      <c r="M13" s="441"/>
      <c r="O13" s="443"/>
      <c r="P13" s="422"/>
      <c r="Q13" s="442"/>
      <c r="R13" s="422"/>
      <c r="S13" s="442"/>
      <c r="T13" s="422" t="str">
        <f>'LHR LU'!AC65</f>
        <v/>
      </c>
      <c r="U13" s="442">
        <f>'LHR LU'!AB65</f>
        <v>1</v>
      </c>
      <c r="V13" s="422"/>
      <c r="W13" s="437"/>
      <c r="X13" s="422"/>
      <c r="Y13" s="437"/>
      <c r="Z13" s="422"/>
      <c r="AA13" s="437"/>
      <c r="AB13" s="422"/>
      <c r="AC13" s="439"/>
      <c r="AD13" s="422"/>
      <c r="AE13" s="439"/>
      <c r="AF13" s="32" t="str">
        <f>'LHR LU'!AC66</f>
        <v/>
      </c>
      <c r="AG13" s="440">
        <f>'LHR LU'!AB66</f>
        <v>3</v>
      </c>
      <c r="AH13" s="32" t="str">
        <f>'LHR LU'!AC67</f>
        <v/>
      </c>
      <c r="AI13" s="440">
        <f>'LHR LU'!AB67</f>
        <v>1</v>
      </c>
    </row>
    <row r="14" spans="1:53" ht="20" customHeight="1">
      <c r="A14" s="1871"/>
      <c r="B14" s="410" t="s">
        <v>445</v>
      </c>
      <c r="C14" s="444"/>
      <c r="D14" s="422"/>
      <c r="E14" s="413"/>
      <c r="F14" s="422"/>
      <c r="G14" s="413"/>
      <c r="H14" s="422"/>
      <c r="I14" s="413"/>
      <c r="J14" s="422"/>
      <c r="K14" s="413"/>
      <c r="M14" s="441"/>
      <c r="O14" s="443"/>
      <c r="P14" s="422"/>
      <c r="Q14" s="442"/>
      <c r="R14" s="422"/>
      <c r="S14" s="442"/>
      <c r="T14" s="422" t="str">
        <f>'LHR LU'!AK77</f>
        <v/>
      </c>
      <c r="U14" s="442">
        <f>'LHR LU'!AJ77</f>
        <v>2</v>
      </c>
      <c r="V14" s="422"/>
      <c r="W14" s="437"/>
      <c r="X14" s="422"/>
      <c r="Y14" s="437"/>
      <c r="Z14" s="422"/>
      <c r="AA14" s="437"/>
      <c r="AB14" s="422"/>
      <c r="AC14" s="439"/>
      <c r="AD14" s="422"/>
      <c r="AE14" s="439"/>
      <c r="AF14" s="32" t="str">
        <f>'LHR LU'!AK78</f>
        <v/>
      </c>
      <c r="AG14" s="440">
        <f>'LHR LU'!AJ78</f>
        <v>4</v>
      </c>
      <c r="AH14" s="32" t="str">
        <f>'LHR LU'!AK79</f>
        <v/>
      </c>
      <c r="AI14" s="440">
        <f>'LHR LU'!AJ79</f>
        <v>3</v>
      </c>
    </row>
    <row r="15" spans="1:53" ht="20" customHeight="1">
      <c r="A15" s="1871"/>
      <c r="B15" s="410" t="s">
        <v>675</v>
      </c>
      <c r="C15" s="444"/>
      <c r="D15" s="422"/>
      <c r="E15" s="413"/>
      <c r="F15" s="422"/>
      <c r="G15" s="413"/>
      <c r="H15" s="422"/>
      <c r="I15" s="413"/>
      <c r="J15" s="422"/>
      <c r="K15" s="413"/>
      <c r="M15" s="441"/>
      <c r="O15" s="443"/>
      <c r="P15" s="422"/>
      <c r="Q15" s="442"/>
      <c r="R15" s="422"/>
      <c r="S15" s="442"/>
      <c r="T15" s="422" t="str">
        <f>'LHR LU'!AS77</f>
        <v/>
      </c>
      <c r="U15" s="442">
        <f>'LHR LU'!AR77</f>
        <v>3</v>
      </c>
      <c r="V15" s="422"/>
      <c r="W15" s="437"/>
      <c r="X15" s="422"/>
      <c r="Y15" s="437"/>
      <c r="Z15" s="422"/>
      <c r="AA15" s="437"/>
      <c r="AB15" s="422"/>
      <c r="AC15" s="439"/>
      <c r="AD15" s="422"/>
      <c r="AE15" s="439"/>
      <c r="AF15" s="32" t="str">
        <f>'LHR LU'!AS78</f>
        <v/>
      </c>
      <c r="AG15" s="440">
        <f>'LHR LU'!AR78</f>
        <v>4</v>
      </c>
      <c r="AH15" s="32" t="str">
        <f>'LHR LU'!AS79</f>
        <v/>
      </c>
      <c r="AI15" s="440">
        <f>'LHR LU'!AR79</f>
        <v>2</v>
      </c>
    </row>
    <row r="16" spans="1:53" ht="20" customHeight="1">
      <c r="A16" s="1871"/>
      <c r="B16" s="410" t="s">
        <v>446</v>
      </c>
      <c r="C16" s="444"/>
      <c r="D16" s="422"/>
      <c r="E16" s="413"/>
      <c r="F16" s="422"/>
      <c r="G16" s="413"/>
      <c r="H16" s="422"/>
      <c r="I16" s="413"/>
      <c r="J16" s="422"/>
      <c r="K16" s="413"/>
      <c r="M16" s="441"/>
      <c r="O16" s="443"/>
      <c r="P16" s="422"/>
      <c r="Q16" s="442"/>
      <c r="R16" s="422"/>
      <c r="S16" s="442"/>
      <c r="T16" s="422" t="str">
        <f>'LHR LU'!BA74</f>
        <v/>
      </c>
      <c r="U16" s="442">
        <f>'LHR LU'!AZ74</f>
        <v>4</v>
      </c>
      <c r="V16" s="422"/>
      <c r="W16" s="437"/>
      <c r="X16" s="422"/>
      <c r="Y16" s="437"/>
      <c r="Z16" s="422"/>
      <c r="AA16" s="437"/>
      <c r="AB16" s="422"/>
      <c r="AC16" s="439"/>
      <c r="AD16" s="422"/>
      <c r="AE16" s="439"/>
      <c r="AF16" s="32" t="str">
        <f>'LHR LU'!BA75</f>
        <v/>
      </c>
      <c r="AG16" s="440">
        <f>'LHR LU'!AZ75</f>
        <v>1</v>
      </c>
      <c r="AH16" s="32" t="str">
        <f>'LHR LU'!BA76</f>
        <v/>
      </c>
      <c r="AI16" s="440">
        <f>'LHR LU'!AZ76</f>
        <v>3</v>
      </c>
    </row>
    <row r="17" spans="1:35" ht="20" customHeight="1">
      <c r="A17" s="1871"/>
      <c r="B17" s="410" t="s">
        <v>447</v>
      </c>
      <c r="C17" s="444"/>
      <c r="D17" s="422"/>
      <c r="E17" s="413"/>
      <c r="F17" s="422"/>
      <c r="G17" s="413"/>
      <c r="H17" s="422"/>
      <c r="I17" s="413"/>
      <c r="J17" s="422"/>
      <c r="K17" s="413"/>
      <c r="M17" s="441"/>
      <c r="O17" s="443"/>
      <c r="P17" s="422"/>
      <c r="Q17" s="442"/>
      <c r="R17" s="422"/>
      <c r="S17" s="442"/>
      <c r="T17" s="422" t="str">
        <f>'LHR LU'!BI71</f>
        <v/>
      </c>
      <c r="U17" s="442">
        <f>'LHR LU'!BH71</f>
        <v>2</v>
      </c>
      <c r="V17" s="422"/>
      <c r="W17" s="437"/>
      <c r="X17" s="422"/>
      <c r="Y17" s="437"/>
      <c r="Z17" s="422"/>
      <c r="AA17" s="437"/>
      <c r="AB17" s="422"/>
      <c r="AC17" s="439"/>
      <c r="AD17" s="422"/>
      <c r="AE17" s="439"/>
      <c r="AF17" s="32" t="str">
        <f>'LHR LU'!BI72</f>
        <v/>
      </c>
      <c r="AG17" s="440">
        <f>'LHR LU'!BH72</f>
        <v>1</v>
      </c>
      <c r="AH17" s="32" t="str">
        <f>'LHR LU'!BI73</f>
        <v/>
      </c>
      <c r="AI17" s="440">
        <f>'LHR LU'!BH73</f>
        <v>4</v>
      </c>
    </row>
    <row r="18" spans="1:35" ht="20" customHeight="1">
      <c r="A18" s="1871"/>
      <c r="B18" s="410" t="s">
        <v>699</v>
      </c>
      <c r="C18" s="444"/>
      <c r="D18" s="422" t="str">
        <f>'LHR LU'!H77</f>
        <v/>
      </c>
      <c r="E18" s="413">
        <f>'LHR LU'!G77</f>
        <v>4</v>
      </c>
      <c r="F18" s="422"/>
      <c r="G18" s="413"/>
      <c r="H18" s="422"/>
      <c r="I18" s="413"/>
      <c r="J18" s="422"/>
      <c r="K18" s="413"/>
      <c r="L18" s="32" t="str">
        <f>'LHR LU'!H78</f>
        <v/>
      </c>
      <c r="M18" s="441">
        <f>'LHR LU'!G78</f>
        <v>1</v>
      </c>
      <c r="N18" s="32" t="str">
        <f>'LHR LU'!H79</f>
        <v/>
      </c>
      <c r="O18" s="443">
        <f>'LHR LU'!G79</f>
        <v>2</v>
      </c>
      <c r="P18" s="422"/>
      <c r="Q18" s="442"/>
      <c r="R18" s="422"/>
      <c r="S18" s="442"/>
      <c r="T18" s="422" t="str">
        <f>'LHR LU'!H80</f>
        <v/>
      </c>
      <c r="U18" s="442">
        <f>'LHR LU'!G80</f>
        <v>2</v>
      </c>
      <c r="V18" s="422"/>
      <c r="W18" s="437"/>
      <c r="X18" s="422"/>
      <c r="Y18" s="437"/>
      <c r="Z18" s="422"/>
      <c r="AA18" s="437"/>
      <c r="AB18" s="422"/>
      <c r="AC18" s="439"/>
      <c r="AD18" s="422"/>
      <c r="AE18" s="439"/>
      <c r="AG18" s="440"/>
      <c r="AI18" s="440"/>
    </row>
    <row r="19" spans="1:35" ht="20" customHeight="1">
      <c r="A19" s="1871"/>
      <c r="B19" s="410" t="s">
        <v>719</v>
      </c>
      <c r="C19" s="444"/>
      <c r="D19" s="422" t="str">
        <f>'LHR LU'!I77</f>
        <v/>
      </c>
      <c r="E19" s="413">
        <f>'LHR LU'!G77</f>
        <v>4</v>
      </c>
      <c r="F19" s="422"/>
      <c r="G19" s="413"/>
      <c r="H19" s="422"/>
      <c r="I19" s="413"/>
      <c r="J19" s="422"/>
      <c r="K19" s="413"/>
      <c r="L19" s="32" t="str">
        <f>'LHR LU'!I78</f>
        <v/>
      </c>
      <c r="M19" s="441">
        <f>'LHR LU'!G78</f>
        <v>1</v>
      </c>
      <c r="N19" s="32" t="str">
        <f>'LHR LU'!I79</f>
        <v/>
      </c>
      <c r="O19" s="443">
        <f>'LHR LU'!G79</f>
        <v>2</v>
      </c>
      <c r="P19" s="422"/>
      <c r="Q19" s="442"/>
      <c r="R19" s="422"/>
      <c r="S19" s="442"/>
      <c r="T19" s="422" t="str">
        <f>'LHR LU'!I80</f>
        <v/>
      </c>
      <c r="U19" s="442">
        <f>'LHR LU'!G80</f>
        <v>2</v>
      </c>
      <c r="V19" s="422"/>
      <c r="W19" s="437"/>
      <c r="X19" s="422"/>
      <c r="Y19" s="437"/>
      <c r="Z19" s="422"/>
      <c r="AA19" s="437"/>
      <c r="AB19" s="422"/>
      <c r="AC19" s="439"/>
      <c r="AD19" s="422"/>
      <c r="AE19" s="439"/>
      <c r="AG19" s="440"/>
      <c r="AI19" s="440"/>
    </row>
    <row r="20" spans="1:35" ht="20" customHeight="1">
      <c r="A20" s="1871"/>
      <c r="B20" s="410" t="s">
        <v>700</v>
      </c>
      <c r="C20" s="444"/>
      <c r="D20" s="422" t="str">
        <f>'LHR LU'!J77</f>
        <v/>
      </c>
      <c r="E20" s="413">
        <f>'LHR LU'!G77</f>
        <v>4</v>
      </c>
      <c r="F20" s="422"/>
      <c r="G20" s="413"/>
      <c r="H20" s="422"/>
      <c r="I20" s="413"/>
      <c r="J20" s="422"/>
      <c r="K20" s="413"/>
      <c r="L20" s="32" t="str">
        <f>'LHR LU'!J78</f>
        <v/>
      </c>
      <c r="M20" s="441">
        <f>'LHR LU'!G78</f>
        <v>1</v>
      </c>
      <c r="N20" s="32" t="str">
        <f>'LHR LU'!J79</f>
        <v/>
      </c>
      <c r="O20" s="443">
        <f>'LHR LU'!G79</f>
        <v>2</v>
      </c>
      <c r="P20" s="422"/>
      <c r="Q20" s="442"/>
      <c r="R20" s="422"/>
      <c r="S20" s="442"/>
      <c r="T20" s="422" t="str">
        <f>'LHR LU'!J80</f>
        <v/>
      </c>
      <c r="U20" s="442">
        <f>'LHR LU'!G80</f>
        <v>2</v>
      </c>
      <c r="V20" s="422"/>
      <c r="W20" s="437"/>
      <c r="X20" s="422"/>
      <c r="Y20" s="437"/>
      <c r="Z20" s="422"/>
      <c r="AA20" s="437"/>
      <c r="AB20" s="422"/>
      <c r="AC20" s="439"/>
      <c r="AD20" s="422"/>
      <c r="AE20" s="439"/>
      <c r="AG20" s="440"/>
      <c r="AI20" s="440"/>
    </row>
    <row r="21" spans="1:35" ht="20" customHeight="1">
      <c r="A21" s="1871"/>
      <c r="B21" s="410" t="s">
        <v>723</v>
      </c>
      <c r="C21" s="444"/>
      <c r="D21" s="422" t="str">
        <f>'LHR LU'!K77</f>
        <v/>
      </c>
      <c r="E21" s="413">
        <f>'LHR LU'!G77</f>
        <v>4</v>
      </c>
      <c r="F21" s="422"/>
      <c r="G21" s="413"/>
      <c r="H21" s="422"/>
      <c r="I21" s="413"/>
      <c r="J21" s="422"/>
      <c r="K21" s="413"/>
      <c r="L21" s="32" t="str">
        <f>'LHR LU'!K78</f>
        <v/>
      </c>
      <c r="M21" s="441">
        <f>'LHR LU'!G78</f>
        <v>1</v>
      </c>
      <c r="N21" s="32" t="str">
        <f>'LHR LU'!K79</f>
        <v/>
      </c>
      <c r="O21" s="443">
        <f>'LHR LU'!G79</f>
        <v>2</v>
      </c>
      <c r="P21" s="422"/>
      <c r="Q21" s="442"/>
      <c r="R21" s="422"/>
      <c r="S21" s="442"/>
      <c r="T21" s="422" t="str">
        <f>'LHR LU'!K80</f>
        <v/>
      </c>
      <c r="U21" s="442">
        <f>'LHR LU'!G80</f>
        <v>2</v>
      </c>
      <c r="V21" s="422"/>
      <c r="W21" s="437"/>
      <c r="X21" s="422"/>
      <c r="Y21" s="437"/>
      <c r="Z21" s="422"/>
      <c r="AA21" s="437"/>
      <c r="AB21" s="422"/>
      <c r="AC21" s="439"/>
      <c r="AD21" s="422"/>
      <c r="AE21" s="439"/>
      <c r="AG21" s="440"/>
      <c r="AI21" s="440"/>
    </row>
    <row r="22" spans="1:35" ht="20" customHeight="1">
      <c r="A22" s="1871"/>
      <c r="B22" s="410" t="s">
        <v>701</v>
      </c>
      <c r="C22" s="444"/>
      <c r="D22" s="422" t="str">
        <f>'LHR LU'!L77</f>
        <v/>
      </c>
      <c r="E22" s="413">
        <f>'LHR LU'!G77</f>
        <v>4</v>
      </c>
      <c r="F22" s="422"/>
      <c r="G22" s="413"/>
      <c r="H22" s="422"/>
      <c r="I22" s="413"/>
      <c r="J22" s="422"/>
      <c r="K22" s="413"/>
      <c r="L22" s="32" t="str">
        <f>'LHR LU'!L78</f>
        <v/>
      </c>
      <c r="M22" s="441">
        <f>'LHR LU'!G78</f>
        <v>1</v>
      </c>
      <c r="N22" s="32" t="str">
        <f>'LHR LU'!L79</f>
        <v/>
      </c>
      <c r="O22" s="443">
        <f>'LHR LU'!G79</f>
        <v>2</v>
      </c>
      <c r="P22" s="422"/>
      <c r="Q22" s="442"/>
      <c r="R22" s="422"/>
      <c r="S22" s="442"/>
      <c r="T22" s="422" t="str">
        <f>'LHR LU'!L80</f>
        <v/>
      </c>
      <c r="U22" s="442">
        <f>'LHR LU'!G80</f>
        <v>2</v>
      </c>
      <c r="V22" s="422"/>
      <c r="W22" s="437"/>
      <c r="X22" s="422"/>
      <c r="Y22" s="437"/>
      <c r="Z22" s="422"/>
      <c r="AA22" s="437"/>
      <c r="AB22" s="422"/>
      <c r="AC22" s="439"/>
      <c r="AD22" s="422"/>
      <c r="AE22" s="439"/>
      <c r="AG22" s="440"/>
      <c r="AI22" s="440"/>
    </row>
    <row r="23" spans="1:35" ht="20" customHeight="1">
      <c r="A23" s="1871"/>
      <c r="B23" s="410" t="s">
        <v>702</v>
      </c>
      <c r="C23" s="444"/>
      <c r="D23" s="422" t="str">
        <f>'LHR LU'!M77</f>
        <v/>
      </c>
      <c r="E23" s="413">
        <f>'LHR LU'!G77</f>
        <v>4</v>
      </c>
      <c r="F23" s="422"/>
      <c r="G23" s="413"/>
      <c r="H23" s="422"/>
      <c r="I23" s="413"/>
      <c r="J23" s="422"/>
      <c r="K23" s="413"/>
      <c r="L23" s="32" t="str">
        <f>'LHR LU'!M78</f>
        <v/>
      </c>
      <c r="M23" s="441">
        <f>'LHR LU'!G78</f>
        <v>1</v>
      </c>
      <c r="N23" s="32" t="str">
        <f>'LHR LU'!M79</f>
        <v/>
      </c>
      <c r="O23" s="443">
        <f>'LHR LU'!G79</f>
        <v>2</v>
      </c>
      <c r="P23" s="422"/>
      <c r="Q23" s="442"/>
      <c r="R23" s="422"/>
      <c r="S23" s="442"/>
      <c r="T23" s="422" t="str">
        <f>'LHR LU'!M80</f>
        <v/>
      </c>
      <c r="U23" s="442">
        <f>'LHR LU'!G80</f>
        <v>2</v>
      </c>
      <c r="V23" s="422"/>
      <c r="W23" s="437"/>
      <c r="X23" s="422"/>
      <c r="Y23" s="437"/>
      <c r="Z23" s="422"/>
      <c r="AA23" s="437"/>
      <c r="AB23" s="422"/>
      <c r="AC23" s="439"/>
      <c r="AD23" s="422"/>
      <c r="AE23" s="439"/>
      <c r="AG23" s="440"/>
      <c r="AI23" s="440"/>
    </row>
    <row r="24" spans="1:35" ht="20" customHeight="1">
      <c r="A24" s="1871"/>
      <c r="B24" s="410" t="s">
        <v>679</v>
      </c>
      <c r="C24" s="444"/>
      <c r="D24" s="422"/>
      <c r="E24" s="413"/>
      <c r="F24" s="422"/>
      <c r="G24" s="413"/>
      <c r="H24" s="422"/>
      <c r="I24" s="413"/>
      <c r="J24" s="422" t="str">
        <f>'LHR LU'!H92</f>
        <v/>
      </c>
      <c r="K24" s="413">
        <f>'LHR LU'!G92</f>
        <v>1</v>
      </c>
      <c r="M24" s="441"/>
      <c r="O24" s="443"/>
      <c r="P24" s="422"/>
      <c r="Q24" s="442"/>
      <c r="R24" s="422"/>
      <c r="S24" s="442"/>
      <c r="T24" s="422"/>
      <c r="U24" s="442"/>
      <c r="V24" s="422" t="str">
        <f>'LHR LU'!H91</f>
        <v/>
      </c>
      <c r="W24" s="437">
        <f>'LHR LU'!G91</f>
        <v>1</v>
      </c>
      <c r="X24" s="422"/>
      <c r="Y24" s="437"/>
      <c r="Z24" s="422"/>
      <c r="AA24" s="437"/>
      <c r="AB24" s="422"/>
      <c r="AC24" s="439"/>
      <c r="AD24" s="422"/>
      <c r="AE24" s="439"/>
      <c r="AG24" s="440"/>
      <c r="AI24" s="440"/>
    </row>
    <row r="25" spans="1:35" ht="20" customHeight="1">
      <c r="A25" s="1871"/>
      <c r="B25" s="410" t="s">
        <v>720</v>
      </c>
      <c r="C25" s="444"/>
      <c r="D25" s="422"/>
      <c r="E25" s="413"/>
      <c r="F25" s="422"/>
      <c r="G25" s="413"/>
      <c r="H25" s="422"/>
      <c r="I25" s="413"/>
      <c r="J25" s="422" t="str">
        <f>'LHR LU'!I92</f>
        <v/>
      </c>
      <c r="K25" s="413">
        <f>'LHR LU'!G92</f>
        <v>1</v>
      </c>
      <c r="M25" s="441"/>
      <c r="O25" s="443"/>
      <c r="P25" s="422"/>
      <c r="Q25" s="442"/>
      <c r="R25" s="422"/>
      <c r="S25" s="442"/>
      <c r="T25" s="422"/>
      <c r="U25" s="442"/>
      <c r="V25" s="422" t="str">
        <f>'LHR LU'!I91</f>
        <v/>
      </c>
      <c r="W25" s="437">
        <f>'LHR LU'!G91</f>
        <v>1</v>
      </c>
      <c r="X25" s="422"/>
      <c r="Y25" s="437"/>
      <c r="Z25" s="422"/>
      <c r="AA25" s="437"/>
      <c r="AB25" s="422"/>
      <c r="AC25" s="439"/>
      <c r="AD25" s="422"/>
      <c r="AE25" s="439"/>
      <c r="AG25" s="440"/>
      <c r="AI25" s="440"/>
    </row>
    <row r="26" spans="1:35" ht="20" customHeight="1">
      <c r="A26" s="1871"/>
      <c r="B26" s="410" t="s">
        <v>680</v>
      </c>
      <c r="C26" s="444"/>
      <c r="D26" s="422"/>
      <c r="E26" s="413"/>
      <c r="F26" s="422"/>
      <c r="G26" s="413"/>
      <c r="H26" s="422"/>
      <c r="I26" s="413"/>
      <c r="J26" s="422" t="str">
        <f>'LHR LU'!J92</f>
        <v/>
      </c>
      <c r="K26" s="413">
        <f>'LHR LU'!G92</f>
        <v>1</v>
      </c>
      <c r="M26" s="441"/>
      <c r="O26" s="443"/>
      <c r="P26" s="422"/>
      <c r="Q26" s="442"/>
      <c r="R26" s="422"/>
      <c r="S26" s="442"/>
      <c r="T26" s="422"/>
      <c r="U26" s="442"/>
      <c r="V26" s="422" t="str">
        <f>'LHR LU'!J91</f>
        <v/>
      </c>
      <c r="W26" s="437">
        <f>'LHR LU'!G91</f>
        <v>1</v>
      </c>
      <c r="X26" s="422"/>
      <c r="Y26" s="437"/>
      <c r="Z26" s="422"/>
      <c r="AA26" s="437"/>
      <c r="AB26" s="422"/>
      <c r="AC26" s="439"/>
      <c r="AD26" s="422"/>
      <c r="AE26" s="439"/>
      <c r="AG26" s="440"/>
      <c r="AI26" s="440"/>
    </row>
    <row r="27" spans="1:35" ht="20" customHeight="1">
      <c r="A27" s="1871"/>
      <c r="B27" s="410" t="s">
        <v>724</v>
      </c>
      <c r="C27" s="444"/>
      <c r="D27" s="422"/>
      <c r="E27" s="413"/>
      <c r="F27" s="422"/>
      <c r="G27" s="413"/>
      <c r="H27" s="422"/>
      <c r="I27" s="413"/>
      <c r="J27" s="422" t="str">
        <f>'LHR LU'!K92</f>
        <v/>
      </c>
      <c r="K27" s="413">
        <f>'LHR LU'!G92</f>
        <v>1</v>
      </c>
      <c r="M27" s="441"/>
      <c r="O27" s="443"/>
      <c r="P27" s="422"/>
      <c r="Q27" s="442"/>
      <c r="R27" s="422"/>
      <c r="S27" s="442"/>
      <c r="T27" s="422"/>
      <c r="U27" s="442"/>
      <c r="V27" s="422" t="str">
        <f>'LHR LU'!K91</f>
        <v/>
      </c>
      <c r="W27" s="437">
        <f>'LHR LU'!G91</f>
        <v>1</v>
      </c>
      <c r="X27" s="422"/>
      <c r="Y27" s="437"/>
      <c r="Z27" s="422"/>
      <c r="AA27" s="437"/>
      <c r="AB27" s="422"/>
      <c r="AC27" s="439"/>
      <c r="AD27" s="422"/>
      <c r="AE27" s="439"/>
      <c r="AG27" s="440"/>
      <c r="AI27" s="440"/>
    </row>
    <row r="28" spans="1:35" ht="20" customHeight="1">
      <c r="A28" s="1871"/>
      <c r="B28" s="410" t="s">
        <v>681</v>
      </c>
      <c r="C28" s="444"/>
      <c r="D28" s="422"/>
      <c r="E28" s="413"/>
      <c r="F28" s="422"/>
      <c r="G28" s="413"/>
      <c r="H28" s="422"/>
      <c r="I28" s="413"/>
      <c r="J28" s="422" t="str">
        <f>'LHR LU'!L92</f>
        <v/>
      </c>
      <c r="K28" s="413">
        <f>'LHR LU'!G92</f>
        <v>1</v>
      </c>
      <c r="M28" s="441"/>
      <c r="O28" s="443"/>
      <c r="P28" s="422"/>
      <c r="Q28" s="442"/>
      <c r="R28" s="422"/>
      <c r="S28" s="442"/>
      <c r="T28" s="422"/>
      <c r="U28" s="442"/>
      <c r="V28" s="422" t="str">
        <f>'LHR LU'!L91</f>
        <v/>
      </c>
      <c r="W28" s="437">
        <f>'LHR LU'!G91</f>
        <v>1</v>
      </c>
      <c r="X28" s="422"/>
      <c r="Y28" s="437"/>
      <c r="Z28" s="422"/>
      <c r="AA28" s="437"/>
      <c r="AB28" s="422"/>
      <c r="AC28" s="439"/>
      <c r="AD28" s="422"/>
      <c r="AE28" s="439"/>
      <c r="AG28" s="440"/>
      <c r="AI28" s="440"/>
    </row>
    <row r="29" spans="1:35" ht="20" customHeight="1">
      <c r="A29" s="1871"/>
      <c r="B29" s="410" t="s">
        <v>682</v>
      </c>
      <c r="C29" s="444"/>
      <c r="D29" s="422"/>
      <c r="E29" s="413"/>
      <c r="F29" s="422"/>
      <c r="G29" s="413"/>
      <c r="H29" s="422"/>
      <c r="I29" s="413"/>
      <c r="J29" s="422" t="str">
        <f>'LHR LU'!M92</f>
        <v/>
      </c>
      <c r="K29" s="413">
        <f>'LHR LU'!G92</f>
        <v>1</v>
      </c>
      <c r="M29" s="441"/>
      <c r="O29" s="443"/>
      <c r="P29" s="422"/>
      <c r="Q29" s="442"/>
      <c r="R29" s="422"/>
      <c r="S29" s="442"/>
      <c r="T29" s="422"/>
      <c r="U29" s="442"/>
      <c r="V29" s="422" t="str">
        <f>'LHR LU'!M91</f>
        <v/>
      </c>
      <c r="W29" s="437">
        <f>'LHR LU'!G91</f>
        <v>1</v>
      </c>
      <c r="X29" s="422"/>
      <c r="Y29" s="437"/>
      <c r="Z29" s="422"/>
      <c r="AA29" s="437"/>
      <c r="AB29" s="422"/>
      <c r="AC29" s="439"/>
      <c r="AD29" s="422"/>
      <c r="AE29" s="439"/>
      <c r="AG29" s="440"/>
      <c r="AI29" s="440"/>
    </row>
    <row r="30" spans="1:35" ht="20" customHeight="1">
      <c r="A30" s="423"/>
      <c r="B30" s="424"/>
      <c r="C30" s="429"/>
      <c r="D30" s="429"/>
      <c r="E30" s="429"/>
      <c r="F30" s="429"/>
      <c r="G30" s="429"/>
      <c r="H30" s="429"/>
      <c r="I30" s="429"/>
      <c r="J30" s="429"/>
      <c r="K30" s="429"/>
      <c r="L30" s="429"/>
      <c r="M30" s="429"/>
      <c r="N30" s="429"/>
      <c r="O30" s="429"/>
      <c r="P30" s="429"/>
      <c r="Q30" s="429"/>
      <c r="R30" s="429"/>
      <c r="S30" s="429"/>
      <c r="T30" s="429"/>
      <c r="U30" s="429"/>
      <c r="V30" s="429"/>
      <c r="W30" s="429"/>
      <c r="X30" s="429"/>
      <c r="Y30" s="429"/>
      <c r="Z30" s="429"/>
      <c r="AA30" s="429"/>
      <c r="AB30" s="429"/>
      <c r="AC30" s="429"/>
      <c r="AD30" s="429"/>
      <c r="AE30" s="429"/>
      <c r="AF30" s="429"/>
      <c r="AG30" s="429"/>
      <c r="AH30" s="429"/>
      <c r="AI30" s="429"/>
    </row>
    <row r="31" spans="1:35" ht="20" customHeight="1">
      <c r="A31" s="1871" t="s">
        <v>17</v>
      </c>
      <c r="B31" s="410" t="str">
        <f>'LHR LU'!O95</f>
        <v>1. Champagne</v>
      </c>
      <c r="C31" s="444"/>
      <c r="D31" s="422"/>
      <c r="E31" s="413"/>
      <c r="F31" s="422"/>
      <c r="G31" s="413"/>
      <c r="H31" s="422"/>
      <c r="I31" s="413"/>
      <c r="J31" s="422"/>
      <c r="K31" s="413"/>
      <c r="L31" s="32" t="str">
        <f>'LHR LU'!U134</f>
        <v/>
      </c>
      <c r="M31" s="441">
        <f>'LHR LU'!T134</f>
        <v>1</v>
      </c>
      <c r="O31" s="443"/>
      <c r="P31" s="422"/>
      <c r="Q31" s="442"/>
      <c r="R31" s="422"/>
      <c r="S31" s="442"/>
      <c r="T31" s="422"/>
      <c r="U31" s="442"/>
      <c r="V31" s="422"/>
      <c r="W31" s="437"/>
      <c r="X31" s="422"/>
      <c r="Y31" s="437"/>
      <c r="Z31" s="422"/>
      <c r="AA31" s="437"/>
      <c r="AB31" s="422"/>
      <c r="AC31" s="439"/>
      <c r="AD31" s="422"/>
      <c r="AE31" s="439"/>
      <c r="AF31" s="32" t="str">
        <f>'LHR LU'!U135</f>
        <v/>
      </c>
      <c r="AG31" s="440">
        <f>'LHR LU'!T135</f>
        <v>3</v>
      </c>
      <c r="AH31" s="32" t="str">
        <f>'LHR LU'!U136</f>
        <v/>
      </c>
      <c r="AI31" s="440">
        <f>'LHR LU'!T136</f>
        <v>8</v>
      </c>
    </row>
    <row r="32" spans="1:35" ht="20" customHeight="1">
      <c r="A32" s="1871"/>
      <c r="B32" s="410" t="str">
        <f>'LHR LU'!W95</f>
        <v>2. Wine 
- Small Bottles</v>
      </c>
      <c r="C32" s="444"/>
      <c r="D32" s="422"/>
      <c r="E32" s="413"/>
      <c r="F32" s="422"/>
      <c r="G32" s="413"/>
      <c r="H32" s="422"/>
      <c r="I32" s="413"/>
      <c r="J32" s="422"/>
      <c r="K32" s="413"/>
      <c r="L32" s="32" t="str">
        <f>'LHR LU'!AC131</f>
        <v/>
      </c>
      <c r="M32" s="441">
        <f>'LHR LU'!AB131</f>
        <v>1</v>
      </c>
      <c r="O32" s="443"/>
      <c r="P32" s="422"/>
      <c r="Q32" s="442"/>
      <c r="R32" s="422"/>
      <c r="S32" s="442"/>
      <c r="T32" s="422"/>
      <c r="U32" s="442"/>
      <c r="V32" s="422"/>
      <c r="W32" s="437"/>
      <c r="X32" s="422"/>
      <c r="Y32" s="437"/>
      <c r="Z32" s="422"/>
      <c r="AA32" s="437"/>
      <c r="AB32" s="422"/>
      <c r="AC32" s="439"/>
      <c r="AD32" s="422"/>
      <c r="AE32" s="439"/>
      <c r="AF32" s="32" t="str">
        <f>'LHR LU'!AC132</f>
        <v/>
      </c>
      <c r="AG32" s="440">
        <f>'LHR LU'!AB132</f>
        <v>4</v>
      </c>
      <c r="AH32" s="32" t="str">
        <f>'LHR LU'!AC133</f>
        <v/>
      </c>
      <c r="AI32" s="440">
        <f>'LHR LU'!AB133</f>
        <v>6</v>
      </c>
    </row>
    <row r="33" spans="1:35" ht="20" customHeight="1">
      <c r="A33" s="1871"/>
      <c r="B33" s="410" t="str">
        <f>'LHR LU'!AE95</f>
        <v>3. White Wine Spritzer
- Small Bottles</v>
      </c>
      <c r="C33" s="444"/>
      <c r="D33" s="422"/>
      <c r="E33" s="413"/>
      <c r="F33" s="422"/>
      <c r="G33" s="413"/>
      <c r="H33" s="422"/>
      <c r="I33" s="413"/>
      <c r="J33" s="422"/>
      <c r="K33" s="413"/>
      <c r="L33" s="32" t="str">
        <f>'LHR LU'!AK140</f>
        <v/>
      </c>
      <c r="M33" s="441">
        <f>'LHR LU'!AJ140</f>
        <v>1</v>
      </c>
      <c r="O33" s="443"/>
      <c r="P33" s="422"/>
      <c r="Q33" s="442"/>
      <c r="R33" s="422"/>
      <c r="S33" s="442"/>
      <c r="T33" s="422"/>
      <c r="U33" s="442"/>
      <c r="V33" s="422"/>
      <c r="W33" s="437"/>
      <c r="X33" s="422"/>
      <c r="Y33" s="437"/>
      <c r="Z33" s="422"/>
      <c r="AA33" s="437"/>
      <c r="AB33" s="422"/>
      <c r="AC33" s="439"/>
      <c r="AD33" s="422"/>
      <c r="AE33" s="439"/>
      <c r="AF33" s="32" t="str">
        <f>'LHR LU'!AK141</f>
        <v/>
      </c>
      <c r="AG33" s="440">
        <f>'LHR LU'!AJ141</f>
        <v>6</v>
      </c>
      <c r="AH33" s="32" t="str">
        <f>'LHR LU'!AK142</f>
        <v/>
      </c>
      <c r="AI33" s="440">
        <f>'LHR LU'!AJ142</f>
        <v>7</v>
      </c>
    </row>
    <row r="34" spans="1:35" ht="20" customHeight="1">
      <c r="A34" s="1871"/>
      <c r="B34" s="410" t="str">
        <f>'LHR LU'!AM95</f>
        <v>4. Wine
- Big Bottles</v>
      </c>
      <c r="C34" s="444"/>
      <c r="D34" s="422"/>
      <c r="E34" s="413"/>
      <c r="F34" s="422"/>
      <c r="G34" s="413"/>
      <c r="H34" s="422"/>
      <c r="I34" s="413"/>
      <c r="J34" s="422"/>
      <c r="K34" s="413"/>
      <c r="L34" s="32" t="str">
        <f>'LHR LU'!AS137</f>
        <v/>
      </c>
      <c r="M34" s="441">
        <f>'LHR LU'!AR137</f>
        <v>1</v>
      </c>
      <c r="O34" s="443"/>
      <c r="P34" s="422"/>
      <c r="Q34" s="442"/>
      <c r="R34" s="422"/>
      <c r="S34" s="442"/>
      <c r="T34" s="422"/>
      <c r="U34" s="442"/>
      <c r="V34" s="422"/>
      <c r="W34" s="437"/>
      <c r="X34" s="422"/>
      <c r="Y34" s="437"/>
      <c r="Z34" s="422"/>
      <c r="AA34" s="437"/>
      <c r="AB34" s="422"/>
      <c r="AC34" s="439"/>
      <c r="AD34" s="422"/>
      <c r="AE34" s="439"/>
      <c r="AF34" s="32" t="str">
        <f>'LHR LU'!AS138</f>
        <v/>
      </c>
      <c r="AG34" s="440">
        <f>'LHR LU'!AR138</f>
        <v>4</v>
      </c>
      <c r="AH34" s="32" t="str">
        <f>'LHR LU'!AS139</f>
        <v/>
      </c>
      <c r="AI34" s="440">
        <f>'LHR LU'!AR139</f>
        <v>8</v>
      </c>
    </row>
    <row r="35" spans="1:35" ht="20" customHeight="1">
      <c r="A35" s="1871"/>
      <c r="B35" s="410" t="str">
        <f>'LHR LU'!AU95</f>
        <v>5. Dry - White Wine Spritzer - Big Bottle of Wine</v>
      </c>
      <c r="C35" s="444"/>
      <c r="D35" s="422"/>
      <c r="E35" s="413"/>
      <c r="F35" s="422"/>
      <c r="G35" s="413"/>
      <c r="H35" s="422"/>
      <c r="I35" s="413"/>
      <c r="J35" s="422"/>
      <c r="K35" s="413"/>
      <c r="L35" s="32" t="str">
        <f>'LHR LU'!BA140</f>
        <v/>
      </c>
      <c r="M35" s="441">
        <f>'LHR LU'!AZ140</f>
        <v>1</v>
      </c>
      <c r="O35" s="443"/>
      <c r="P35" s="422"/>
      <c r="Q35" s="442"/>
      <c r="R35" s="422"/>
      <c r="S35" s="442"/>
      <c r="T35" s="422"/>
      <c r="U35" s="442"/>
      <c r="V35" s="422"/>
      <c r="W35" s="437"/>
      <c r="X35" s="422"/>
      <c r="Y35" s="437"/>
      <c r="Z35" s="422"/>
      <c r="AA35" s="437"/>
      <c r="AB35" s="422"/>
      <c r="AC35" s="439"/>
      <c r="AD35" s="422"/>
      <c r="AE35" s="439"/>
      <c r="AF35" s="32" t="str">
        <f>'LHR LU'!BA141</f>
        <v/>
      </c>
      <c r="AG35" s="440">
        <f>'LHR LU'!AZ141</f>
        <v>6</v>
      </c>
      <c r="AH35" s="32" t="str">
        <f>'LHR LU'!BA142</f>
        <v/>
      </c>
      <c r="AI35" s="440">
        <f>'LHR LU'!AZ142</f>
        <v>7</v>
      </c>
    </row>
    <row r="36" spans="1:35" ht="20" customHeight="1">
      <c r="A36" s="1871"/>
      <c r="B36" s="410" t="str">
        <f>'LHR LU'!BC95</f>
        <v>6. Sweet - White Wine Spritzer- Big Bottle of Wine</v>
      </c>
      <c r="C36" s="444"/>
      <c r="D36" s="422"/>
      <c r="E36" s="413"/>
      <c r="F36" s="422"/>
      <c r="G36" s="413"/>
      <c r="H36" s="422"/>
      <c r="I36" s="413"/>
      <c r="J36" s="422"/>
      <c r="K36" s="413"/>
      <c r="L36" s="32" t="str">
        <f>'LHR LU'!BI140</f>
        <v/>
      </c>
      <c r="M36" s="441">
        <f>'LHR LU'!BH140</f>
        <v>1</v>
      </c>
      <c r="O36" s="443"/>
      <c r="P36" s="422"/>
      <c r="Q36" s="442"/>
      <c r="R36" s="422"/>
      <c r="S36" s="442"/>
      <c r="T36" s="422"/>
      <c r="U36" s="442"/>
      <c r="V36" s="422"/>
      <c r="W36" s="437"/>
      <c r="X36" s="422"/>
      <c r="Y36" s="437"/>
      <c r="Z36" s="422"/>
      <c r="AA36" s="437"/>
      <c r="AB36" s="422"/>
      <c r="AC36" s="439"/>
      <c r="AD36" s="422"/>
      <c r="AE36" s="439"/>
      <c r="AF36" s="32" t="str">
        <f>'LHR LU'!BI141</f>
        <v/>
      </c>
      <c r="AG36" s="440">
        <f>'LHR LU'!BH141</f>
        <v>6</v>
      </c>
      <c r="AH36" s="32" t="str">
        <f>'LHR LU'!BI142</f>
        <v/>
      </c>
      <c r="AI36" s="440">
        <f>'LHR LU'!BH142</f>
        <v>7</v>
      </c>
    </row>
    <row r="37" spans="1:35" ht="20" customHeight="1">
      <c r="A37" s="1871"/>
      <c r="B37" s="410" t="str">
        <f>'LHR LU'!O145</f>
        <v>7. Liqueur</v>
      </c>
      <c r="C37" s="444"/>
      <c r="D37" s="422"/>
      <c r="E37" s="413"/>
      <c r="F37" s="422"/>
      <c r="G37" s="413"/>
      <c r="H37" s="422"/>
      <c r="I37" s="413"/>
      <c r="J37" s="422"/>
      <c r="K37" s="413"/>
      <c r="L37" s="32" t="str">
        <f>'LHR LU'!U181</f>
        <v/>
      </c>
      <c r="M37" s="441">
        <f>'LHR LU'!T181</f>
        <v>1</v>
      </c>
      <c r="O37" s="443"/>
      <c r="P37" s="422"/>
      <c r="Q37" s="442"/>
      <c r="R37" s="422"/>
      <c r="S37" s="442"/>
      <c r="T37" s="422"/>
      <c r="U37" s="442"/>
      <c r="V37" s="422"/>
      <c r="W37" s="437"/>
      <c r="X37" s="422"/>
      <c r="Y37" s="437"/>
      <c r="Z37" s="422"/>
      <c r="AA37" s="437"/>
      <c r="AB37" s="422"/>
      <c r="AC37" s="439"/>
      <c r="AD37" s="422"/>
      <c r="AE37" s="439"/>
      <c r="AF37" s="32" t="str">
        <f>'LHR LU'!U182</f>
        <v/>
      </c>
      <c r="AG37" s="440">
        <f>'LHR LU'!T182</f>
        <v>4</v>
      </c>
      <c r="AH37" s="32" t="str">
        <f>'LHR LU'!U183</f>
        <v/>
      </c>
      <c r="AI37" s="440">
        <f>'LHR LU'!T183</f>
        <v>6</v>
      </c>
    </row>
    <row r="38" spans="1:35" ht="20" customHeight="1">
      <c r="A38" s="1871"/>
      <c r="B38" s="410" t="str">
        <f>'LHR LU'!W145</f>
        <v>8. Shandy</v>
      </c>
      <c r="C38" s="444"/>
      <c r="D38" s="422"/>
      <c r="E38" s="413"/>
      <c r="F38" s="422"/>
      <c r="G38" s="413"/>
      <c r="H38" s="422"/>
      <c r="I38" s="413"/>
      <c r="J38" s="422"/>
      <c r="K38" s="413"/>
      <c r="L38" s="32" t="str">
        <f>'LHR LU'!AC178</f>
        <v/>
      </c>
      <c r="M38" s="441">
        <f>'LHR LU'!AB178</f>
        <v>1</v>
      </c>
      <c r="O38" s="443"/>
      <c r="P38" s="422"/>
      <c r="Q38" s="442"/>
      <c r="R38" s="422"/>
      <c r="S38" s="442"/>
      <c r="T38" s="422"/>
      <c r="U38" s="442"/>
      <c r="V38" s="422"/>
      <c r="W38" s="437"/>
      <c r="X38" s="422"/>
      <c r="Y38" s="437"/>
      <c r="Z38" s="422"/>
      <c r="AA38" s="437"/>
      <c r="AB38" s="422"/>
      <c r="AC38" s="439"/>
      <c r="AD38" s="422"/>
      <c r="AE38" s="439"/>
      <c r="AF38" s="32" t="str">
        <f>'LHR LU'!AC179</f>
        <v/>
      </c>
      <c r="AG38" s="440">
        <f>'LHR LU'!AB179</f>
        <v>3</v>
      </c>
      <c r="AH38" s="32" t="str">
        <f>'LHR LU'!AC180</f>
        <v/>
      </c>
      <c r="AI38" s="440">
        <f>'LHR LU'!AB180</f>
        <v>6</v>
      </c>
    </row>
    <row r="39" spans="1:35" ht="20" customHeight="1">
      <c r="A39" s="1871"/>
      <c r="B39" s="410" t="str">
        <f>'LHR LU'!AE145</f>
        <v>9. Hot Beverage 
- Tea</v>
      </c>
      <c r="C39" s="444"/>
      <c r="D39" s="422"/>
      <c r="E39" s="413"/>
      <c r="F39" s="422"/>
      <c r="G39" s="413"/>
      <c r="H39" s="422"/>
      <c r="I39" s="413"/>
      <c r="J39" s="422"/>
      <c r="K39" s="413"/>
      <c r="L39" s="32" t="str">
        <f>'LHR LU'!AK178</f>
        <v/>
      </c>
      <c r="M39" s="441">
        <f>'LHR LU'!AJ178</f>
        <v>1</v>
      </c>
      <c r="O39" s="443"/>
      <c r="P39" s="422"/>
      <c r="Q39" s="442"/>
      <c r="R39" s="422"/>
      <c r="S39" s="442"/>
      <c r="T39" s="422"/>
      <c r="U39" s="442"/>
      <c r="V39" s="422"/>
      <c r="W39" s="437"/>
      <c r="X39" s="422"/>
      <c r="Y39" s="437"/>
      <c r="Z39" s="422"/>
      <c r="AA39" s="437"/>
      <c r="AB39" s="422"/>
      <c r="AC39" s="439"/>
      <c r="AD39" s="422"/>
      <c r="AE39" s="439"/>
      <c r="AF39" s="32" t="str">
        <f>'LHR LU'!AK179</f>
        <v/>
      </c>
      <c r="AG39" s="440">
        <f>'LHR LU'!AJ179</f>
        <v>2</v>
      </c>
      <c r="AH39" s="32" t="str">
        <f>'LHR LU'!AK180</f>
        <v/>
      </c>
      <c r="AI39" s="440">
        <f>'LHR LU'!AJ180</f>
        <v>7</v>
      </c>
    </row>
    <row r="40" spans="1:35" ht="20" customHeight="1">
      <c r="A40" s="1871"/>
      <c r="B40" s="410" t="str">
        <f>'LHR LU'!AM145</f>
        <v>10. Beer</v>
      </c>
      <c r="C40" s="444"/>
      <c r="D40" s="422"/>
      <c r="E40" s="413"/>
      <c r="F40" s="422"/>
      <c r="G40" s="413"/>
      <c r="H40" s="422"/>
      <c r="I40" s="413"/>
      <c r="J40" s="422"/>
      <c r="K40" s="413"/>
      <c r="L40" s="32" t="str">
        <f>'LHR LU'!AS175</f>
        <v/>
      </c>
      <c r="M40" s="441">
        <f>'LHR LU'!AR175</f>
        <v>1</v>
      </c>
      <c r="O40" s="443"/>
      <c r="P40" s="422"/>
      <c r="Q40" s="442"/>
      <c r="R40" s="422"/>
      <c r="S40" s="442"/>
      <c r="T40" s="422"/>
      <c r="U40" s="442"/>
      <c r="V40" s="422"/>
      <c r="W40" s="437"/>
      <c r="X40" s="422"/>
      <c r="Y40" s="437"/>
      <c r="Z40" s="422"/>
      <c r="AA40" s="437"/>
      <c r="AB40" s="422"/>
      <c r="AC40" s="439"/>
      <c r="AD40" s="422"/>
      <c r="AE40" s="439"/>
      <c r="AF40" s="32" t="str">
        <f>'LHR LU'!AS176</f>
        <v/>
      </c>
      <c r="AG40" s="440">
        <f>'LHR LU'!AR176</f>
        <v>2</v>
      </c>
      <c r="AH40" s="32" t="str">
        <f>'LHR LU'!AS177</f>
        <v/>
      </c>
      <c r="AI40" s="440">
        <f>'LHR LU'!AR177</f>
        <v>6</v>
      </c>
    </row>
    <row r="41" spans="1:35" ht="20" customHeight="1">
      <c r="A41" s="1871"/>
      <c r="B41" s="410" t="str">
        <f>'LHR LU'!AU145</f>
        <v>11. Screwdriver</v>
      </c>
      <c r="C41" s="444"/>
      <c r="D41" s="422"/>
      <c r="E41" s="413"/>
      <c r="F41" s="422"/>
      <c r="G41" s="413"/>
      <c r="H41" s="422"/>
      <c r="I41" s="413"/>
      <c r="J41" s="422"/>
      <c r="K41" s="413"/>
      <c r="L41" s="32" t="str">
        <f>'LHR LU'!BA190</f>
        <v/>
      </c>
      <c r="M41" s="441">
        <f>'LHR LU'!AZ190</f>
        <v>1</v>
      </c>
      <c r="O41" s="443"/>
      <c r="P41" s="422"/>
      <c r="Q41" s="442"/>
      <c r="R41" s="422"/>
      <c r="S41" s="442"/>
      <c r="T41" s="422"/>
      <c r="U41" s="442"/>
      <c r="V41" s="422"/>
      <c r="W41" s="437"/>
      <c r="X41" s="422"/>
      <c r="Y41" s="437"/>
      <c r="Z41" s="422"/>
      <c r="AA41" s="437"/>
      <c r="AB41" s="422"/>
      <c r="AC41" s="439"/>
      <c r="AD41" s="422"/>
      <c r="AE41" s="439"/>
      <c r="AF41" s="32" t="str">
        <f>'LHR LU'!BA191</f>
        <v/>
      </c>
      <c r="AG41" s="440">
        <f>'LHR LU'!AZ191</f>
        <v>4</v>
      </c>
      <c r="AH41" s="32" t="str">
        <f>'LHR LU'!BA192</f>
        <v/>
      </c>
      <c r="AI41" s="440">
        <f>'LHR LU'!AZ192</f>
        <v>9</v>
      </c>
    </row>
    <row r="42" spans="1:35" ht="20" customHeight="1">
      <c r="A42" s="1871"/>
      <c r="B42" s="410" t="str">
        <f>'LHR LU'!BC145</f>
        <v>12. Gin &amp; Orange Juice</v>
      </c>
      <c r="C42" s="444"/>
      <c r="D42" s="422"/>
      <c r="E42" s="413"/>
      <c r="F42" s="422"/>
      <c r="G42" s="413"/>
      <c r="H42" s="422"/>
      <c r="I42" s="413"/>
      <c r="J42" s="422"/>
      <c r="K42" s="413"/>
      <c r="L42" s="32" t="str">
        <f>'LHR LU'!BI190</f>
        <v/>
      </c>
      <c r="M42" s="441">
        <f>'LHR LU'!BH190</f>
        <v>1</v>
      </c>
      <c r="O42" s="443"/>
      <c r="P42" s="422"/>
      <c r="Q42" s="442"/>
      <c r="R42" s="422"/>
      <c r="S42" s="442"/>
      <c r="T42" s="422"/>
      <c r="U42" s="442"/>
      <c r="V42" s="422"/>
      <c r="W42" s="437"/>
      <c r="X42" s="422"/>
      <c r="Y42" s="437"/>
      <c r="Z42" s="422"/>
      <c r="AA42" s="437"/>
      <c r="AB42" s="422"/>
      <c r="AC42" s="439"/>
      <c r="AD42" s="422"/>
      <c r="AE42" s="439"/>
      <c r="AF42" s="32" t="str">
        <f>'LHR LU'!BI191</f>
        <v/>
      </c>
      <c r="AG42" s="440">
        <f>'LHR LU'!BH191</f>
        <v>5</v>
      </c>
      <c r="AH42" s="32" t="str">
        <f>'LHR LU'!BI192</f>
        <v/>
      </c>
      <c r="AI42" s="440">
        <f>'LHR LU'!BH192</f>
        <v>8</v>
      </c>
    </row>
    <row r="43" spans="1:35" ht="20" customHeight="1">
      <c r="A43" s="1871"/>
      <c r="B43" s="410" t="str">
        <f>'LHR LU'!O195</f>
        <v>13. Rum &amp; Pepsi</v>
      </c>
      <c r="C43" s="444"/>
      <c r="D43" s="422"/>
      <c r="E43" s="413"/>
      <c r="F43" s="422"/>
      <c r="G43" s="413"/>
      <c r="H43" s="422"/>
      <c r="I43" s="413"/>
      <c r="J43" s="422"/>
      <c r="K43" s="413"/>
      <c r="M43" s="441">
        <f>'LHR LU'!T237</f>
        <v>1</v>
      </c>
      <c r="O43" s="443"/>
      <c r="P43" s="422"/>
      <c r="Q43" s="442"/>
      <c r="R43" s="422"/>
      <c r="S43" s="442"/>
      <c r="T43" s="422"/>
      <c r="U43" s="442"/>
      <c r="V43" s="422"/>
      <c r="W43" s="437"/>
      <c r="X43" s="422"/>
      <c r="Y43" s="437"/>
      <c r="Z43" s="422"/>
      <c r="AA43" s="437"/>
      <c r="AB43" s="422"/>
      <c r="AC43" s="439"/>
      <c r="AD43" s="422"/>
      <c r="AE43" s="439"/>
      <c r="AG43" s="440">
        <f>'LHR LU'!T238</f>
        <v>5</v>
      </c>
      <c r="AI43" s="440">
        <f>'LHR LU'!T239</f>
        <v>7</v>
      </c>
    </row>
    <row r="44" spans="1:35" ht="20" customHeight="1">
      <c r="A44" s="1871"/>
      <c r="B44" s="410" t="str">
        <f>'LHR LU'!W195</f>
        <v>14. Gin &amp; Tonic</v>
      </c>
      <c r="C44" s="444"/>
      <c r="D44" s="422"/>
      <c r="E44" s="413"/>
      <c r="F44" s="422"/>
      <c r="G44" s="413"/>
      <c r="H44" s="422"/>
      <c r="I44" s="413"/>
      <c r="J44" s="422"/>
      <c r="K44" s="413"/>
      <c r="L44" s="32" t="str">
        <f>'LHR LU'!AC237</f>
        <v/>
      </c>
      <c r="M44" s="441">
        <f>'LHR LU'!AB237</f>
        <v>1</v>
      </c>
      <c r="O44" s="443"/>
      <c r="P44" s="422"/>
      <c r="Q44" s="442"/>
      <c r="R44" s="422"/>
      <c r="S44" s="442"/>
      <c r="T44" s="422"/>
      <c r="U44" s="442"/>
      <c r="V44" s="422"/>
      <c r="W44" s="437"/>
      <c r="X44" s="422"/>
      <c r="Y44" s="437"/>
      <c r="Z44" s="422"/>
      <c r="AA44" s="437"/>
      <c r="AB44" s="422"/>
      <c r="AC44" s="439"/>
      <c r="AD44" s="422"/>
      <c r="AE44" s="439"/>
      <c r="AF44" s="32" t="str">
        <f>'LHR LU'!AC238</f>
        <v/>
      </c>
      <c r="AG44" s="440">
        <f>'LHR LU'!AB238</f>
        <v>6</v>
      </c>
      <c r="AH44" s="32" t="str">
        <f>'LHR LU'!AC239</f>
        <v/>
      </c>
      <c r="AI44" s="440">
        <f>'LHR LU'!AB239</f>
        <v>6</v>
      </c>
    </row>
    <row r="45" spans="1:35" ht="20" customHeight="1">
      <c r="A45" s="1871"/>
      <c r="B45" s="410" t="str">
        <f>'LHR LU'!AE195</f>
        <v>15. Scotch &amp; Soda</v>
      </c>
      <c r="C45" s="444"/>
      <c r="D45" s="422"/>
      <c r="E45" s="413"/>
      <c r="F45" s="422"/>
      <c r="G45" s="413"/>
      <c r="H45" s="422"/>
      <c r="I45" s="413"/>
      <c r="J45" s="422"/>
      <c r="K45" s="413"/>
      <c r="L45" s="32" t="str">
        <f>'LHR LU'!AK234</f>
        <v/>
      </c>
      <c r="M45" s="441">
        <f>'LHR LU'!AJ234</f>
        <v>1</v>
      </c>
      <c r="O45" s="443"/>
      <c r="P45" s="422"/>
      <c r="Q45" s="442"/>
      <c r="R45" s="422"/>
      <c r="S45" s="442"/>
      <c r="T45" s="422"/>
      <c r="U45" s="442"/>
      <c r="V45" s="422"/>
      <c r="W45" s="437"/>
      <c r="X45" s="422"/>
      <c r="Y45" s="437"/>
      <c r="Z45" s="422"/>
      <c r="AA45" s="437"/>
      <c r="AB45" s="422"/>
      <c r="AC45" s="439"/>
      <c r="AD45" s="422"/>
      <c r="AE45" s="439"/>
      <c r="AF45" s="32" t="str">
        <f>'LHR LU'!AK235</f>
        <v/>
      </c>
      <c r="AG45" s="440">
        <f>'LHR LU'!AJ235</f>
        <v>4</v>
      </c>
      <c r="AH45" s="32" t="str">
        <f>'LHR LU'!AK236</f>
        <v/>
      </c>
      <c r="AI45" s="440">
        <f>'LHR LU'!AJ236</f>
        <v>7</v>
      </c>
    </row>
    <row r="46" spans="1:35" ht="20" customHeight="1">
      <c r="A46" s="1871"/>
      <c r="B46" s="410" t="str">
        <f>'LHR LU'!AM195</f>
        <v>16. Bloody Mary</v>
      </c>
      <c r="C46" s="444"/>
      <c r="D46" s="422"/>
      <c r="E46" s="413"/>
      <c r="F46" s="422"/>
      <c r="G46" s="413"/>
      <c r="H46" s="422"/>
      <c r="I46" s="413"/>
      <c r="J46" s="422"/>
      <c r="K46" s="413"/>
      <c r="L46" s="32" t="str">
        <f>'LHR LU'!AS246</f>
        <v/>
      </c>
      <c r="M46" s="441">
        <f>'LHR LU'!AR246</f>
        <v>1</v>
      </c>
      <c r="O46" s="443"/>
      <c r="P46" s="422"/>
      <c r="Q46" s="442"/>
      <c r="R46" s="422"/>
      <c r="S46" s="442"/>
      <c r="T46" s="422"/>
      <c r="U46" s="442"/>
      <c r="V46" s="422"/>
      <c r="W46" s="437"/>
      <c r="X46" s="422"/>
      <c r="Y46" s="437"/>
      <c r="Z46" s="422"/>
      <c r="AA46" s="437"/>
      <c r="AB46" s="422"/>
      <c r="AC46" s="439"/>
      <c r="AD46" s="422"/>
      <c r="AE46" s="439"/>
      <c r="AF46" s="32" t="str">
        <f>'LHR LU'!AS247</f>
        <v/>
      </c>
      <c r="AG46" s="440">
        <f>'LHR LU'!AR247</f>
        <v>6</v>
      </c>
      <c r="AH46" s="32" t="str">
        <f>'LHR LU'!AS248</f>
        <v/>
      </c>
      <c r="AI46" s="440">
        <f>'LHR LU'!AR248</f>
        <v>9</v>
      </c>
    </row>
    <row r="47" spans="1:35" ht="20" customHeight="1">
      <c r="A47" s="627"/>
      <c r="B47" s="629" t="str">
        <f>"MCS - "&amp;B31</f>
        <v>MCS - 1. Champagne</v>
      </c>
      <c r="C47" s="444"/>
      <c r="D47" s="422" t="str">
        <f>'LHR LU'!H125</f>
        <v/>
      </c>
      <c r="E47" s="413">
        <f>'LHR LU'!G125</f>
        <v>4</v>
      </c>
      <c r="F47" s="422"/>
      <c r="G47" s="413"/>
      <c r="H47" s="422"/>
      <c r="I47" s="413"/>
      <c r="J47" s="422"/>
      <c r="K47" s="413"/>
      <c r="L47" s="32" t="str">
        <f>'LHR LU'!H126</f>
        <v/>
      </c>
      <c r="M47" s="441">
        <f>'LHR LU'!G126</f>
        <v>1</v>
      </c>
      <c r="N47" s="32" t="str">
        <f>'LHR LU'!H127</f>
        <v/>
      </c>
      <c r="O47" s="443">
        <f>'LHR LU'!G127</f>
        <v>2</v>
      </c>
      <c r="P47" s="422"/>
      <c r="Q47" s="442"/>
      <c r="R47" s="422"/>
      <c r="S47" s="442"/>
      <c r="T47" s="422" t="str">
        <f>'LHR LU'!H128</f>
        <v/>
      </c>
      <c r="U47" s="442">
        <f>'LHR LU'!G128</f>
        <v>2</v>
      </c>
      <c r="V47" s="422"/>
      <c r="W47" s="437"/>
      <c r="X47" s="422"/>
      <c r="Y47" s="437"/>
      <c r="Z47" s="422"/>
      <c r="AA47" s="437"/>
      <c r="AB47" s="422"/>
      <c r="AC47" s="439"/>
      <c r="AD47" s="422"/>
      <c r="AE47" s="439"/>
      <c r="AG47" s="440"/>
      <c r="AI47" s="440"/>
    </row>
    <row r="48" spans="1:35" ht="20" customHeight="1">
      <c r="A48" s="627"/>
      <c r="B48" s="629" t="str">
        <f t="shared" ref="B48:B62" si="0">"MCS - "&amp;B32</f>
        <v>MCS - 2. Wine 
- Small Bottles</v>
      </c>
      <c r="C48" s="624"/>
      <c r="D48" s="422" t="str">
        <f>'LHR LU'!I125</f>
        <v/>
      </c>
      <c r="E48" s="413">
        <f>'LHR LU'!G125</f>
        <v>4</v>
      </c>
      <c r="F48" s="422"/>
      <c r="G48" s="413"/>
      <c r="H48" s="422"/>
      <c r="I48" s="413"/>
      <c r="J48" s="422"/>
      <c r="K48" s="413"/>
      <c r="L48" s="32" t="str">
        <f>'LHR LU'!I126</f>
        <v/>
      </c>
      <c r="M48" s="441">
        <f>'LHR LU'!G126</f>
        <v>1</v>
      </c>
      <c r="N48" s="32" t="str">
        <f>'LHR LU'!I127</f>
        <v/>
      </c>
      <c r="O48" s="443">
        <f>'LHR LU'!G127</f>
        <v>2</v>
      </c>
      <c r="P48" s="422"/>
      <c r="Q48" s="442"/>
      <c r="R48" s="422"/>
      <c r="S48" s="442"/>
      <c r="T48" s="422" t="str">
        <f>'LHR LU'!I128</f>
        <v/>
      </c>
      <c r="U48" s="442">
        <f>'LHR LU'!G128</f>
        <v>2</v>
      </c>
      <c r="V48" s="422"/>
      <c r="W48" s="437"/>
      <c r="X48" s="422"/>
      <c r="Y48" s="437"/>
      <c r="Z48" s="422"/>
      <c r="AA48" s="437"/>
      <c r="AB48" s="422"/>
      <c r="AC48" s="439"/>
      <c r="AD48" s="422"/>
      <c r="AE48" s="439"/>
      <c r="AG48" s="440"/>
      <c r="AI48" s="440"/>
    </row>
    <row r="49" spans="1:35" ht="20" customHeight="1">
      <c r="A49" s="627"/>
      <c r="B49" s="629" t="str">
        <f t="shared" si="0"/>
        <v>MCS - 3. White Wine Spritzer
- Small Bottles</v>
      </c>
      <c r="C49" s="624"/>
      <c r="D49" s="422" t="str">
        <f>'LHR LU'!J125</f>
        <v/>
      </c>
      <c r="E49" s="413">
        <f>'LHR LU'!G125</f>
        <v>4</v>
      </c>
      <c r="F49" s="422"/>
      <c r="G49" s="413"/>
      <c r="H49" s="422"/>
      <c r="I49" s="413"/>
      <c r="J49" s="422"/>
      <c r="K49" s="413"/>
      <c r="L49" s="32" t="str">
        <f>'LHR LU'!J126</f>
        <v/>
      </c>
      <c r="M49" s="441">
        <f>'LHR LU'!G126</f>
        <v>1</v>
      </c>
      <c r="N49" s="32" t="str">
        <f>'LHR LU'!J127</f>
        <v/>
      </c>
      <c r="O49" s="443">
        <f>'LHR LU'!G127</f>
        <v>2</v>
      </c>
      <c r="P49" s="422"/>
      <c r="Q49" s="442"/>
      <c r="R49" s="422"/>
      <c r="S49" s="442"/>
      <c r="T49" s="422" t="str">
        <f>'LHR LU'!J128</f>
        <v/>
      </c>
      <c r="U49" s="442">
        <f>'LHR LU'!G128</f>
        <v>2</v>
      </c>
      <c r="V49" s="422"/>
      <c r="W49" s="437"/>
      <c r="X49" s="422"/>
      <c r="Y49" s="437"/>
      <c r="Z49" s="422"/>
      <c r="AA49" s="437"/>
      <c r="AB49" s="422"/>
      <c r="AC49" s="439"/>
      <c r="AD49" s="422"/>
      <c r="AE49" s="439"/>
      <c r="AG49" s="440"/>
      <c r="AI49" s="440"/>
    </row>
    <row r="50" spans="1:35" ht="20" customHeight="1">
      <c r="A50" s="627"/>
      <c r="B50" s="629" t="str">
        <f t="shared" si="0"/>
        <v>MCS - 4. Wine
- Big Bottles</v>
      </c>
      <c r="C50" s="624"/>
      <c r="D50" s="422" t="str">
        <f>'LHR LU'!K125</f>
        <v/>
      </c>
      <c r="E50" s="413">
        <f>'LHR LU'!G125</f>
        <v>4</v>
      </c>
      <c r="F50" s="422"/>
      <c r="G50" s="413"/>
      <c r="H50" s="422"/>
      <c r="I50" s="413"/>
      <c r="J50" s="422"/>
      <c r="K50" s="413"/>
      <c r="L50" s="32" t="str">
        <f>'LHR LU'!K126</f>
        <v/>
      </c>
      <c r="M50" s="441">
        <f>'LHR LU'!G126</f>
        <v>1</v>
      </c>
      <c r="N50" s="32" t="str">
        <f>'LHR LU'!K127</f>
        <v/>
      </c>
      <c r="O50" s="443">
        <f>'LHR LU'!G127</f>
        <v>2</v>
      </c>
      <c r="P50" s="422"/>
      <c r="Q50" s="442"/>
      <c r="R50" s="422"/>
      <c r="S50" s="442"/>
      <c r="T50" s="422" t="str">
        <f>'LHR LU'!K128</f>
        <v/>
      </c>
      <c r="U50" s="442">
        <f>'LHR LU'!G128</f>
        <v>2</v>
      </c>
      <c r="V50" s="422"/>
      <c r="W50" s="437"/>
      <c r="X50" s="422"/>
      <c r="Y50" s="437"/>
      <c r="Z50" s="422"/>
      <c r="AA50" s="437"/>
      <c r="AB50" s="422"/>
      <c r="AC50" s="439"/>
      <c r="AD50" s="422"/>
      <c r="AE50" s="439"/>
      <c r="AG50" s="440"/>
      <c r="AI50" s="440"/>
    </row>
    <row r="51" spans="1:35" ht="20" customHeight="1">
      <c r="A51" s="627"/>
      <c r="B51" s="629" t="str">
        <f t="shared" si="0"/>
        <v>MCS - 5. Dry - White Wine Spritzer - Big Bottle of Wine</v>
      </c>
      <c r="C51" s="624"/>
      <c r="D51" s="422" t="str">
        <f>'LHR LU'!L125</f>
        <v/>
      </c>
      <c r="E51" s="413">
        <f>'LHR LU'!G125</f>
        <v>4</v>
      </c>
      <c r="F51" s="422"/>
      <c r="G51" s="413"/>
      <c r="H51" s="422"/>
      <c r="I51" s="413"/>
      <c r="J51" s="422"/>
      <c r="K51" s="413"/>
      <c r="L51" s="32" t="str">
        <f>'LHR LU'!L126</f>
        <v/>
      </c>
      <c r="M51" s="441">
        <f>'LHR LU'!G126</f>
        <v>1</v>
      </c>
      <c r="N51" s="32" t="str">
        <f>'LHR LU'!L127</f>
        <v/>
      </c>
      <c r="O51" s="443">
        <f>'LHR LU'!G127</f>
        <v>2</v>
      </c>
      <c r="P51" s="422"/>
      <c r="Q51" s="442"/>
      <c r="R51" s="422"/>
      <c r="S51" s="442"/>
      <c r="T51" s="422" t="str">
        <f>'LHR LU'!L128</f>
        <v/>
      </c>
      <c r="U51" s="442">
        <f>'LHR LU'!G128</f>
        <v>2</v>
      </c>
      <c r="V51" s="422"/>
      <c r="W51" s="437"/>
      <c r="X51" s="422"/>
      <c r="Y51" s="437"/>
      <c r="Z51" s="422"/>
      <c r="AA51" s="437"/>
      <c r="AB51" s="422"/>
      <c r="AC51" s="439"/>
      <c r="AD51" s="422"/>
      <c r="AE51" s="439"/>
      <c r="AG51" s="440"/>
      <c r="AI51" s="440"/>
    </row>
    <row r="52" spans="1:35" ht="20" customHeight="1">
      <c r="A52" s="627"/>
      <c r="B52" s="629" t="str">
        <f t="shared" si="0"/>
        <v>MCS - 6. Sweet - White Wine Spritzer- Big Bottle of Wine</v>
      </c>
      <c r="C52" s="624"/>
      <c r="D52" s="422" t="str">
        <f>'LHR LU'!M125</f>
        <v/>
      </c>
      <c r="E52" s="413">
        <f>'LHR LU'!G125</f>
        <v>4</v>
      </c>
      <c r="F52" s="422"/>
      <c r="G52" s="413"/>
      <c r="H52" s="422"/>
      <c r="I52" s="413"/>
      <c r="J52" s="422"/>
      <c r="K52" s="413"/>
      <c r="L52" s="32" t="str">
        <f>'LHR LU'!M126</f>
        <v/>
      </c>
      <c r="M52" s="441">
        <f>'LHR LU'!G126</f>
        <v>1</v>
      </c>
      <c r="N52" s="32" t="str">
        <f>'LHR LU'!M127</f>
        <v/>
      </c>
      <c r="O52" s="443">
        <f>'LHR LU'!G127</f>
        <v>2</v>
      </c>
      <c r="P52" s="422"/>
      <c r="Q52" s="442"/>
      <c r="R52" s="422"/>
      <c r="S52" s="442"/>
      <c r="T52" s="422" t="str">
        <f>'LHR LU'!M128</f>
        <v/>
      </c>
      <c r="U52" s="442">
        <f>'LHR LU'!G128</f>
        <v>2</v>
      </c>
      <c r="V52" s="422"/>
      <c r="W52" s="437"/>
      <c r="X52" s="422"/>
      <c r="Y52" s="437"/>
      <c r="Z52" s="422"/>
      <c r="AA52" s="437"/>
      <c r="AB52" s="422"/>
      <c r="AC52" s="439"/>
      <c r="AD52" s="422"/>
      <c r="AE52" s="439"/>
      <c r="AG52" s="440"/>
      <c r="AI52" s="440"/>
    </row>
    <row r="53" spans="1:35" ht="20" customHeight="1">
      <c r="A53" s="627"/>
      <c r="B53" s="629" t="str">
        <f t="shared" si="0"/>
        <v>MCS - 7. Liqueur</v>
      </c>
      <c r="C53" s="624"/>
      <c r="D53" s="422" t="str">
        <f>'LHR LU'!H175</f>
        <v/>
      </c>
      <c r="E53" s="413">
        <f>'LHR LU'!G175</f>
        <v>4</v>
      </c>
      <c r="F53" s="422"/>
      <c r="G53" s="413"/>
      <c r="H53" s="422"/>
      <c r="I53" s="413"/>
      <c r="J53" s="422"/>
      <c r="K53" s="413"/>
      <c r="L53" s="32" t="str">
        <f>'LHR LU'!H176</f>
        <v/>
      </c>
      <c r="M53" s="441">
        <f>'LHR LU'!G176</f>
        <v>1</v>
      </c>
      <c r="N53" s="32" t="str">
        <f>'LHR LU'!H177</f>
        <v/>
      </c>
      <c r="O53" s="443">
        <f>'LHR LU'!G177</f>
        <v>2</v>
      </c>
      <c r="P53" s="422"/>
      <c r="Q53" s="442"/>
      <c r="R53" s="422"/>
      <c r="S53" s="442"/>
      <c r="T53" s="422" t="str">
        <f>'LHR LU'!H178</f>
        <v/>
      </c>
      <c r="U53" s="442">
        <f>'LHR LU'!G178</f>
        <v>2</v>
      </c>
      <c r="V53" s="422"/>
      <c r="W53" s="437"/>
      <c r="X53" s="422"/>
      <c r="Y53" s="437"/>
      <c r="Z53" s="422"/>
      <c r="AA53" s="437"/>
      <c r="AB53" s="422"/>
      <c r="AC53" s="439"/>
      <c r="AD53" s="422"/>
      <c r="AE53" s="439"/>
      <c r="AG53" s="440"/>
      <c r="AI53" s="440"/>
    </row>
    <row r="54" spans="1:35" ht="20" customHeight="1">
      <c r="A54" s="627"/>
      <c r="B54" s="629" t="str">
        <f t="shared" si="0"/>
        <v>MCS - 8. Shandy</v>
      </c>
      <c r="C54" s="624"/>
      <c r="D54" s="422" t="str">
        <f>'LHR LU'!I175</f>
        <v/>
      </c>
      <c r="E54" s="413">
        <f>'LHR LU'!G175</f>
        <v>4</v>
      </c>
      <c r="F54" s="422"/>
      <c r="G54" s="413"/>
      <c r="H54" s="422"/>
      <c r="I54" s="413"/>
      <c r="J54" s="422"/>
      <c r="K54" s="413"/>
      <c r="L54" s="32" t="str">
        <f>'LHR LU'!I176</f>
        <v/>
      </c>
      <c r="M54" s="441">
        <f>'LHR LU'!G176</f>
        <v>1</v>
      </c>
      <c r="N54" s="32" t="str">
        <f>'LHR LU'!I177</f>
        <v/>
      </c>
      <c r="O54" s="443">
        <f>'LHR LU'!G177</f>
        <v>2</v>
      </c>
      <c r="P54" s="422"/>
      <c r="Q54" s="442"/>
      <c r="R54" s="422"/>
      <c r="S54" s="442"/>
      <c r="T54" s="422" t="str">
        <f>'LHR LU'!I178</f>
        <v/>
      </c>
      <c r="U54" s="442">
        <f>'LHR LU'!G178</f>
        <v>2</v>
      </c>
      <c r="V54" s="422"/>
      <c r="W54" s="437"/>
      <c r="X54" s="422"/>
      <c r="Y54" s="437"/>
      <c r="Z54" s="422"/>
      <c r="AA54" s="437"/>
      <c r="AB54" s="422"/>
      <c r="AC54" s="439"/>
      <c r="AD54" s="422"/>
      <c r="AE54" s="439"/>
      <c r="AG54" s="440"/>
      <c r="AI54" s="440"/>
    </row>
    <row r="55" spans="1:35" ht="20" customHeight="1">
      <c r="A55" s="627"/>
      <c r="B55" s="629" t="str">
        <f t="shared" si="0"/>
        <v>MCS - 9. Hot Beverage 
- Tea</v>
      </c>
      <c r="C55" s="624"/>
      <c r="D55" s="422" t="str">
        <f>'LHR LU'!J175</f>
        <v/>
      </c>
      <c r="E55" s="413">
        <f>'LHR LU'!G175</f>
        <v>4</v>
      </c>
      <c r="F55" s="422"/>
      <c r="G55" s="413"/>
      <c r="H55" s="422"/>
      <c r="I55" s="413"/>
      <c r="J55" s="422"/>
      <c r="K55" s="413"/>
      <c r="L55" s="32" t="str">
        <f>'LHR LU'!J176</f>
        <v/>
      </c>
      <c r="M55" s="441">
        <f>'LHR LU'!G176</f>
        <v>1</v>
      </c>
      <c r="N55" s="32" t="str">
        <f>'LHR LU'!J177</f>
        <v/>
      </c>
      <c r="O55" s="443">
        <f>'LHR LU'!G177</f>
        <v>2</v>
      </c>
      <c r="P55" s="422"/>
      <c r="Q55" s="442"/>
      <c r="R55" s="422"/>
      <c r="S55" s="442"/>
      <c r="T55" s="422" t="str">
        <f>'LHR LU'!J178</f>
        <v/>
      </c>
      <c r="U55" s="442">
        <f>'LHR LU'!G178</f>
        <v>2</v>
      </c>
      <c r="V55" s="422"/>
      <c r="W55" s="437"/>
      <c r="X55" s="422"/>
      <c r="Y55" s="437"/>
      <c r="Z55" s="422"/>
      <c r="AA55" s="437"/>
      <c r="AB55" s="422"/>
      <c r="AC55" s="439"/>
      <c r="AD55" s="422"/>
      <c r="AE55" s="439"/>
      <c r="AG55" s="440"/>
      <c r="AI55" s="440"/>
    </row>
    <row r="56" spans="1:35" ht="20" customHeight="1">
      <c r="A56" s="627"/>
      <c r="B56" s="629" t="str">
        <f t="shared" si="0"/>
        <v>MCS - 10. Beer</v>
      </c>
      <c r="C56" s="624"/>
      <c r="D56" s="422" t="str">
        <f>'LHR LU'!K175</f>
        <v/>
      </c>
      <c r="E56" s="413">
        <f>'LHR LU'!G175</f>
        <v>4</v>
      </c>
      <c r="F56" s="422"/>
      <c r="G56" s="413"/>
      <c r="H56" s="422"/>
      <c r="I56" s="413"/>
      <c r="J56" s="422"/>
      <c r="K56" s="413"/>
      <c r="L56" s="32" t="str">
        <f>'LHR LU'!K176</f>
        <v/>
      </c>
      <c r="M56" s="441">
        <f>'LHR LU'!G176</f>
        <v>1</v>
      </c>
      <c r="N56" s="32" t="str">
        <f>'LHR LU'!K177</f>
        <v/>
      </c>
      <c r="O56" s="443">
        <f>'LHR LU'!G177</f>
        <v>2</v>
      </c>
      <c r="P56" s="422"/>
      <c r="Q56" s="442"/>
      <c r="R56" s="422"/>
      <c r="S56" s="442"/>
      <c r="T56" s="422" t="str">
        <f>'LHR LU'!K178</f>
        <v/>
      </c>
      <c r="U56" s="442">
        <f>'LHR LU'!G178</f>
        <v>2</v>
      </c>
      <c r="V56" s="422"/>
      <c r="W56" s="437"/>
      <c r="X56" s="422"/>
      <c r="Y56" s="437"/>
      <c r="Z56" s="422"/>
      <c r="AA56" s="437"/>
      <c r="AB56" s="422"/>
      <c r="AC56" s="439"/>
      <c r="AD56" s="422"/>
      <c r="AE56" s="439"/>
      <c r="AG56" s="440"/>
      <c r="AI56" s="440"/>
    </row>
    <row r="57" spans="1:35" ht="20" customHeight="1">
      <c r="A57" s="627"/>
      <c r="B57" s="629" t="str">
        <f t="shared" si="0"/>
        <v>MCS - 11. Screwdriver</v>
      </c>
      <c r="C57" s="624"/>
      <c r="D57" s="422" t="str">
        <f>'LHR LU'!L175</f>
        <v/>
      </c>
      <c r="E57" s="413">
        <f>'LHR LU'!G175</f>
        <v>4</v>
      </c>
      <c r="F57" s="422"/>
      <c r="G57" s="413"/>
      <c r="H57" s="422"/>
      <c r="I57" s="413"/>
      <c r="J57" s="422"/>
      <c r="K57" s="413"/>
      <c r="L57" s="32" t="str">
        <f>'LHR LU'!L176</f>
        <v/>
      </c>
      <c r="M57" s="441">
        <f>'LHR LU'!G176</f>
        <v>1</v>
      </c>
      <c r="N57" s="32" t="str">
        <f>'LHR LU'!L177</f>
        <v/>
      </c>
      <c r="O57" s="443">
        <f>'LHR LU'!G177</f>
        <v>2</v>
      </c>
      <c r="P57" s="422"/>
      <c r="Q57" s="442"/>
      <c r="R57" s="422"/>
      <c r="S57" s="442"/>
      <c r="T57" s="422" t="str">
        <f>'LHR LU'!L178</f>
        <v/>
      </c>
      <c r="U57" s="442">
        <f>'LHR LU'!G178</f>
        <v>2</v>
      </c>
      <c r="V57" s="422"/>
      <c r="W57" s="437"/>
      <c r="X57" s="422"/>
      <c r="Y57" s="437"/>
      <c r="Z57" s="422"/>
      <c r="AA57" s="437"/>
      <c r="AB57" s="422"/>
      <c r="AC57" s="439"/>
      <c r="AD57" s="422"/>
      <c r="AE57" s="439"/>
      <c r="AG57" s="440"/>
      <c r="AI57" s="440"/>
    </row>
    <row r="58" spans="1:35" ht="20" customHeight="1">
      <c r="A58" s="627"/>
      <c r="B58" s="629" t="str">
        <f t="shared" si="0"/>
        <v>MCS - 12. Gin &amp; Orange Juice</v>
      </c>
      <c r="C58" s="624"/>
      <c r="D58" s="422" t="str">
        <f>'LHR LU'!M175</f>
        <v/>
      </c>
      <c r="E58" s="413">
        <f>'LHR LU'!G175</f>
        <v>4</v>
      </c>
      <c r="F58" s="422"/>
      <c r="G58" s="413"/>
      <c r="H58" s="422"/>
      <c r="I58" s="413"/>
      <c r="J58" s="422"/>
      <c r="K58" s="413"/>
      <c r="L58" s="32" t="str">
        <f>'LHR LU'!M176</f>
        <v/>
      </c>
      <c r="M58" s="441">
        <f>'LHR LU'!G176</f>
        <v>1</v>
      </c>
      <c r="N58" s="32" t="str">
        <f>'LHR LU'!M177</f>
        <v/>
      </c>
      <c r="O58" s="443">
        <f>'LHR LU'!G177</f>
        <v>2</v>
      </c>
      <c r="P58" s="422"/>
      <c r="Q58" s="442"/>
      <c r="R58" s="422"/>
      <c r="S58" s="442"/>
      <c r="T58" s="422" t="str">
        <f>'LHR LU'!M178</f>
        <v/>
      </c>
      <c r="U58" s="442">
        <f>'LHR LU'!G178</f>
        <v>2</v>
      </c>
      <c r="V58" s="422"/>
      <c r="W58" s="437"/>
      <c r="X58" s="422"/>
      <c r="Y58" s="437"/>
      <c r="Z58" s="422"/>
      <c r="AA58" s="437"/>
      <c r="AB58" s="422"/>
      <c r="AC58" s="439"/>
      <c r="AD58" s="422"/>
      <c r="AE58" s="439"/>
      <c r="AG58" s="440"/>
      <c r="AI58" s="440"/>
    </row>
    <row r="59" spans="1:35" ht="20" customHeight="1">
      <c r="A59" s="627"/>
      <c r="B59" s="629" t="str">
        <f t="shared" si="0"/>
        <v>MCS - 13. Rum &amp; Pepsi</v>
      </c>
      <c r="C59" s="624"/>
      <c r="D59" s="422" t="str">
        <f>'LHR LU'!H225</f>
        <v/>
      </c>
      <c r="E59" s="413">
        <f>'LHR LU'!G225</f>
        <v>4</v>
      </c>
      <c r="F59" s="422"/>
      <c r="G59" s="413"/>
      <c r="H59" s="422"/>
      <c r="I59" s="413"/>
      <c r="J59" s="422"/>
      <c r="K59" s="413"/>
      <c r="L59" s="32" t="str">
        <f>'LHR LU'!H226</f>
        <v/>
      </c>
      <c r="M59" s="441">
        <f>'LHR LU'!G226</f>
        <v>1</v>
      </c>
      <c r="N59" s="32" t="str">
        <f>'LHR LU'!H227</f>
        <v/>
      </c>
      <c r="O59" s="443">
        <f>'LHR LU'!G227</f>
        <v>2</v>
      </c>
      <c r="P59" s="422"/>
      <c r="Q59" s="442"/>
      <c r="R59" s="422"/>
      <c r="S59" s="442"/>
      <c r="T59" s="422" t="str">
        <f>'LHR LU'!H228</f>
        <v/>
      </c>
      <c r="U59" s="442">
        <f>'LHR LU'!G228</f>
        <v>2</v>
      </c>
      <c r="V59" s="422"/>
      <c r="W59" s="437"/>
      <c r="X59" s="422"/>
      <c r="Y59" s="437"/>
      <c r="Z59" s="422"/>
      <c r="AA59" s="437"/>
      <c r="AB59" s="422"/>
      <c r="AC59" s="439"/>
      <c r="AD59" s="422"/>
      <c r="AE59" s="439"/>
      <c r="AG59" s="440"/>
      <c r="AI59" s="440"/>
    </row>
    <row r="60" spans="1:35" ht="20" customHeight="1">
      <c r="A60" s="627"/>
      <c r="B60" s="629" t="str">
        <f t="shared" si="0"/>
        <v>MCS - 14. Gin &amp; Tonic</v>
      </c>
      <c r="C60" s="624"/>
      <c r="D60" s="422" t="str">
        <f>'LHR LU'!I225</f>
        <v/>
      </c>
      <c r="E60" s="413">
        <f>'LHR LU'!G225</f>
        <v>4</v>
      </c>
      <c r="F60" s="422"/>
      <c r="G60" s="413"/>
      <c r="H60" s="422"/>
      <c r="I60" s="413"/>
      <c r="J60" s="422"/>
      <c r="K60" s="413"/>
      <c r="L60" s="32" t="str">
        <f>'LHR LU'!I226</f>
        <v/>
      </c>
      <c r="M60" s="441">
        <f>'LHR LU'!G226</f>
        <v>1</v>
      </c>
      <c r="N60" s="32" t="str">
        <f>'LHR LU'!I227</f>
        <v/>
      </c>
      <c r="O60" s="443">
        <f>'LHR LU'!G227</f>
        <v>2</v>
      </c>
      <c r="P60" s="422"/>
      <c r="Q60" s="442"/>
      <c r="R60" s="422"/>
      <c r="S60" s="442"/>
      <c r="T60" s="422" t="str">
        <f>'LHR LU'!I228</f>
        <v/>
      </c>
      <c r="U60" s="442">
        <f>'LHR LU'!G228</f>
        <v>2</v>
      </c>
      <c r="V60" s="422"/>
      <c r="W60" s="437"/>
      <c r="X60" s="422"/>
      <c r="Y60" s="437"/>
      <c r="Z60" s="422"/>
      <c r="AA60" s="437"/>
      <c r="AB60" s="422"/>
      <c r="AC60" s="439"/>
      <c r="AD60" s="422"/>
      <c r="AE60" s="439"/>
      <c r="AG60" s="440"/>
      <c r="AI60" s="440"/>
    </row>
    <row r="61" spans="1:35" ht="20" customHeight="1">
      <c r="A61" s="627"/>
      <c r="B61" s="629" t="str">
        <f t="shared" si="0"/>
        <v>MCS - 15. Scotch &amp; Soda</v>
      </c>
      <c r="C61" s="624"/>
      <c r="D61" s="422" t="str">
        <f>'LHR LU'!J225</f>
        <v/>
      </c>
      <c r="E61" s="413">
        <f>'LHR LU'!G225</f>
        <v>4</v>
      </c>
      <c r="F61" s="422"/>
      <c r="G61" s="413"/>
      <c r="H61" s="422"/>
      <c r="I61" s="413"/>
      <c r="J61" s="422"/>
      <c r="K61" s="413"/>
      <c r="L61" s="32" t="str">
        <f>'LHR LU'!J226</f>
        <v/>
      </c>
      <c r="M61" s="441">
        <f>'LHR LU'!G226</f>
        <v>1</v>
      </c>
      <c r="N61" s="32" t="str">
        <f>'LHR LU'!J227</f>
        <v/>
      </c>
      <c r="O61" s="443">
        <f>'LHR LU'!G227</f>
        <v>2</v>
      </c>
      <c r="P61" s="422"/>
      <c r="Q61" s="442"/>
      <c r="R61" s="422"/>
      <c r="S61" s="442"/>
      <c r="T61" s="422" t="str">
        <f>'LHR LU'!J228</f>
        <v/>
      </c>
      <c r="U61" s="442">
        <f>'LHR LU'!G228</f>
        <v>2</v>
      </c>
      <c r="V61" s="422"/>
      <c r="W61" s="437"/>
      <c r="X61" s="422"/>
      <c r="Y61" s="437"/>
      <c r="Z61" s="422"/>
      <c r="AA61" s="437"/>
      <c r="AB61" s="422"/>
      <c r="AC61" s="439"/>
      <c r="AD61" s="422"/>
      <c r="AE61" s="439"/>
      <c r="AG61" s="440"/>
      <c r="AI61" s="440"/>
    </row>
    <row r="62" spans="1:35" ht="20" customHeight="1">
      <c r="A62" s="627"/>
      <c r="B62" s="629" t="str">
        <f t="shared" si="0"/>
        <v>MCS - 16. Bloody Mary</v>
      </c>
      <c r="C62" s="624"/>
      <c r="D62" s="422" t="str">
        <f>'LHR LU'!K225</f>
        <v/>
      </c>
      <c r="E62" s="413">
        <f>'LHR LU'!G225</f>
        <v>4</v>
      </c>
      <c r="F62" s="422"/>
      <c r="G62" s="413"/>
      <c r="H62" s="422"/>
      <c r="I62" s="413"/>
      <c r="J62" s="422"/>
      <c r="K62" s="413"/>
      <c r="L62" s="32" t="str">
        <f>'LHR LU'!K226</f>
        <v/>
      </c>
      <c r="M62" s="441">
        <f>'LHR LU'!G226</f>
        <v>1</v>
      </c>
      <c r="N62" s="32" t="str">
        <f>'LHR LU'!K227</f>
        <v/>
      </c>
      <c r="O62" s="443">
        <f>'LHR LU'!G227</f>
        <v>2</v>
      </c>
      <c r="P62" s="422"/>
      <c r="Q62" s="442"/>
      <c r="R62" s="422"/>
      <c r="S62" s="442"/>
      <c r="T62" s="422" t="str">
        <f>'LHR LU'!K228</f>
        <v/>
      </c>
      <c r="U62" s="442">
        <f>'LHR LU'!G228</f>
        <v>2</v>
      </c>
      <c r="V62" s="422"/>
      <c r="W62" s="437"/>
      <c r="X62" s="422"/>
      <c r="Y62" s="437"/>
      <c r="Z62" s="422"/>
      <c r="AA62" s="437"/>
      <c r="AB62" s="422"/>
      <c r="AC62" s="439"/>
      <c r="AD62" s="422"/>
      <c r="AE62" s="439"/>
      <c r="AG62" s="440"/>
      <c r="AI62" s="440"/>
    </row>
    <row r="63" spans="1:35" ht="20" customHeight="1">
      <c r="A63" s="627"/>
      <c r="B63" s="629" t="str">
        <f>"TW - "&amp;B31</f>
        <v>TW - 1. Champagne</v>
      </c>
      <c r="C63" s="624"/>
      <c r="D63" s="422"/>
      <c r="E63" s="413"/>
      <c r="F63" s="422"/>
      <c r="G63" s="413"/>
      <c r="H63" s="422"/>
      <c r="I63" s="413"/>
      <c r="J63" s="422" t="str">
        <f>'LHR LU'!H139</f>
        <v/>
      </c>
      <c r="K63" s="413">
        <f>'LHR LU'!G139</f>
        <v>1</v>
      </c>
      <c r="M63" s="441"/>
      <c r="O63" s="443"/>
      <c r="P63" s="422"/>
      <c r="Q63" s="442"/>
      <c r="R63" s="422"/>
      <c r="S63" s="442"/>
      <c r="T63" s="422"/>
      <c r="U63" s="442"/>
      <c r="V63" s="422" t="str">
        <f>'LHR LU'!H138</f>
        <v/>
      </c>
      <c r="W63" s="437">
        <f>'LHR LU'!G138</f>
        <v>1</v>
      </c>
      <c r="X63" s="422"/>
      <c r="Y63" s="437"/>
      <c r="Z63" s="422"/>
      <c r="AA63" s="437"/>
      <c r="AB63" s="422"/>
      <c r="AC63" s="439"/>
      <c r="AD63" s="422"/>
      <c r="AE63" s="439"/>
      <c r="AG63" s="440"/>
      <c r="AI63" s="440"/>
    </row>
    <row r="64" spans="1:35" ht="20" customHeight="1">
      <c r="A64" s="627"/>
      <c r="B64" s="629" t="str">
        <f t="shared" ref="B64:B78" si="1">"TW - "&amp;B32</f>
        <v>TW - 2. Wine 
- Small Bottles</v>
      </c>
      <c r="C64" s="624"/>
      <c r="D64" s="422"/>
      <c r="E64" s="413"/>
      <c r="F64" s="422"/>
      <c r="G64" s="413"/>
      <c r="H64" s="422"/>
      <c r="I64" s="413"/>
      <c r="J64" s="422" t="str">
        <f>'LHR LU'!I139</f>
        <v/>
      </c>
      <c r="K64" s="413">
        <f>'LHR LU'!G139</f>
        <v>1</v>
      </c>
      <c r="M64" s="441"/>
      <c r="O64" s="443"/>
      <c r="P64" s="422"/>
      <c r="Q64" s="442"/>
      <c r="R64" s="422"/>
      <c r="S64" s="442"/>
      <c r="T64" s="422"/>
      <c r="U64" s="442"/>
      <c r="V64" s="422" t="str">
        <f>'LHR LU'!I138</f>
        <v/>
      </c>
      <c r="W64" s="437">
        <f>'LHR LU'!G138</f>
        <v>1</v>
      </c>
      <c r="X64" s="422"/>
      <c r="Y64" s="437"/>
      <c r="Z64" s="422"/>
      <c r="AA64" s="437"/>
      <c r="AB64" s="422"/>
      <c r="AC64" s="439"/>
      <c r="AD64" s="422"/>
      <c r="AE64" s="439"/>
      <c r="AG64" s="440"/>
      <c r="AI64" s="440"/>
    </row>
    <row r="65" spans="1:53" ht="20" customHeight="1">
      <c r="A65" s="627"/>
      <c r="B65" s="629" t="str">
        <f t="shared" si="1"/>
        <v>TW - 3. White Wine Spritzer
- Small Bottles</v>
      </c>
      <c r="C65" s="624"/>
      <c r="D65" s="422"/>
      <c r="E65" s="413"/>
      <c r="F65" s="422"/>
      <c r="G65" s="413"/>
      <c r="H65" s="422"/>
      <c r="I65" s="413"/>
      <c r="J65" s="422" t="str">
        <f>'LHR LU'!J139</f>
        <v/>
      </c>
      <c r="K65" s="413">
        <f>'LHR LU'!G139</f>
        <v>1</v>
      </c>
      <c r="M65" s="441"/>
      <c r="O65" s="443"/>
      <c r="P65" s="422"/>
      <c r="Q65" s="442"/>
      <c r="R65" s="422"/>
      <c r="S65" s="442"/>
      <c r="T65" s="422"/>
      <c r="U65" s="442"/>
      <c r="V65" s="422" t="str">
        <f>'LHR LU'!J138</f>
        <v/>
      </c>
      <c r="W65" s="437">
        <f>'LHR LU'!G138</f>
        <v>1</v>
      </c>
      <c r="X65" s="422"/>
      <c r="Y65" s="437"/>
      <c r="Z65" s="422"/>
      <c r="AA65" s="437"/>
      <c r="AB65" s="422"/>
      <c r="AC65" s="439"/>
      <c r="AD65" s="422"/>
      <c r="AE65" s="439"/>
      <c r="AG65" s="440"/>
      <c r="AI65" s="440"/>
    </row>
    <row r="66" spans="1:53" ht="20" customHeight="1">
      <c r="A66" s="627"/>
      <c r="B66" s="629" t="str">
        <f t="shared" si="1"/>
        <v>TW - 4. Wine
- Big Bottles</v>
      </c>
      <c r="C66" s="624"/>
      <c r="D66" s="422"/>
      <c r="E66" s="413"/>
      <c r="F66" s="422"/>
      <c r="G66" s="413"/>
      <c r="H66" s="422"/>
      <c r="I66" s="413"/>
      <c r="J66" s="422" t="str">
        <f>'LHR LU'!K139</f>
        <v/>
      </c>
      <c r="K66" s="413">
        <f>'LHR LU'!G139</f>
        <v>1</v>
      </c>
      <c r="M66" s="441"/>
      <c r="O66" s="443"/>
      <c r="P66" s="422"/>
      <c r="Q66" s="442"/>
      <c r="R66" s="422"/>
      <c r="S66" s="442"/>
      <c r="T66" s="422"/>
      <c r="U66" s="442"/>
      <c r="V66" s="422" t="str">
        <f>'LHR LU'!K138</f>
        <v/>
      </c>
      <c r="W66" s="437">
        <f>'LHR LU'!G138</f>
        <v>1</v>
      </c>
      <c r="X66" s="422"/>
      <c r="Y66" s="437"/>
      <c r="Z66" s="422"/>
      <c r="AA66" s="437"/>
      <c r="AB66" s="422"/>
      <c r="AC66" s="439"/>
      <c r="AD66" s="422"/>
      <c r="AE66" s="439"/>
      <c r="AG66" s="440"/>
      <c r="AI66" s="440"/>
    </row>
    <row r="67" spans="1:53" ht="20" customHeight="1">
      <c r="A67" s="627"/>
      <c r="B67" s="629" t="str">
        <f t="shared" si="1"/>
        <v>TW - 5. Dry - White Wine Spritzer - Big Bottle of Wine</v>
      </c>
      <c r="C67" s="624"/>
      <c r="D67" s="422"/>
      <c r="E67" s="413"/>
      <c r="F67" s="422"/>
      <c r="G67" s="413"/>
      <c r="H67" s="422"/>
      <c r="I67" s="413"/>
      <c r="J67" s="422" t="str">
        <f>'LHR LU'!L139</f>
        <v/>
      </c>
      <c r="K67" s="413">
        <f>'LHR LU'!G139</f>
        <v>1</v>
      </c>
      <c r="M67" s="441"/>
      <c r="O67" s="443"/>
      <c r="P67" s="422"/>
      <c r="Q67" s="442"/>
      <c r="R67" s="422"/>
      <c r="S67" s="442"/>
      <c r="T67" s="422"/>
      <c r="U67" s="442"/>
      <c r="V67" s="422" t="str">
        <f>'LHR LU'!L138</f>
        <v/>
      </c>
      <c r="W67" s="437">
        <f>'LHR LU'!G138</f>
        <v>1</v>
      </c>
      <c r="X67" s="422"/>
      <c r="Y67" s="437"/>
      <c r="Z67" s="422"/>
      <c r="AA67" s="437"/>
      <c r="AB67" s="422"/>
      <c r="AC67" s="439"/>
      <c r="AD67" s="422"/>
      <c r="AE67" s="439"/>
      <c r="AG67" s="440"/>
      <c r="AI67" s="440"/>
    </row>
    <row r="68" spans="1:53" ht="20" customHeight="1">
      <c r="A68" s="627"/>
      <c r="B68" s="629" t="str">
        <f t="shared" si="1"/>
        <v>TW - 6. Sweet - White Wine Spritzer- Big Bottle of Wine</v>
      </c>
      <c r="C68" s="624"/>
      <c r="D68" s="422"/>
      <c r="E68" s="413"/>
      <c r="F68" s="422"/>
      <c r="G68" s="413"/>
      <c r="H68" s="422"/>
      <c r="I68" s="413"/>
      <c r="J68" s="422" t="str">
        <f>'LHR LU'!M139</f>
        <v/>
      </c>
      <c r="K68" s="413">
        <f>'LHR LU'!G139</f>
        <v>1</v>
      </c>
      <c r="M68" s="441"/>
      <c r="O68" s="443"/>
      <c r="P68" s="422"/>
      <c r="Q68" s="442"/>
      <c r="R68" s="422"/>
      <c r="S68" s="442"/>
      <c r="T68" s="422"/>
      <c r="U68" s="442"/>
      <c r="V68" s="422" t="str">
        <f>'LHR LU'!M138</f>
        <v/>
      </c>
      <c r="W68" s="437">
        <f>'LHR LU'!G138</f>
        <v>1</v>
      </c>
      <c r="X68" s="422"/>
      <c r="Y68" s="437"/>
      <c r="Z68" s="422"/>
      <c r="AA68" s="437"/>
      <c r="AB68" s="422"/>
      <c r="AC68" s="439"/>
      <c r="AD68" s="422"/>
      <c r="AE68" s="439"/>
      <c r="AG68" s="440"/>
      <c r="AI68" s="440"/>
    </row>
    <row r="69" spans="1:53" ht="20" customHeight="1">
      <c r="A69" s="627"/>
      <c r="B69" s="629" t="str">
        <f t="shared" si="1"/>
        <v>TW - 7. Liqueur</v>
      </c>
      <c r="C69" s="624"/>
      <c r="D69" s="422"/>
      <c r="E69" s="413"/>
      <c r="F69" s="422"/>
      <c r="G69" s="413"/>
      <c r="H69" s="422"/>
      <c r="I69" s="413"/>
      <c r="J69" s="422" t="str">
        <f>'LHR LU'!H189</f>
        <v/>
      </c>
      <c r="K69" s="413">
        <f>'LHR LU'!G189</f>
        <v>1</v>
      </c>
      <c r="M69" s="441"/>
      <c r="O69" s="443"/>
      <c r="P69" s="422"/>
      <c r="Q69" s="442"/>
      <c r="R69" s="422"/>
      <c r="S69" s="442"/>
      <c r="T69" s="422"/>
      <c r="U69" s="442"/>
      <c r="V69" s="422" t="str">
        <f>'LHR LU'!H188</f>
        <v/>
      </c>
      <c r="W69" s="437">
        <f>'LHR LU'!G188</f>
        <v>1</v>
      </c>
      <c r="X69" s="422"/>
      <c r="Y69" s="437"/>
      <c r="Z69" s="422"/>
      <c r="AA69" s="437"/>
      <c r="AB69" s="422"/>
      <c r="AC69" s="439"/>
      <c r="AD69" s="422"/>
      <c r="AE69" s="439"/>
      <c r="AG69" s="440"/>
      <c r="AI69" s="440"/>
    </row>
    <row r="70" spans="1:53" ht="20" customHeight="1">
      <c r="A70" s="627"/>
      <c r="B70" s="629" t="str">
        <f t="shared" si="1"/>
        <v>TW - 8. Shandy</v>
      </c>
      <c r="C70" s="624"/>
      <c r="D70" s="422"/>
      <c r="E70" s="413"/>
      <c r="F70" s="422"/>
      <c r="G70" s="413"/>
      <c r="H70" s="422"/>
      <c r="I70" s="413"/>
      <c r="J70" s="422" t="str">
        <f>'LHR LU'!I189</f>
        <v/>
      </c>
      <c r="K70" s="413">
        <f>'LHR LU'!G189</f>
        <v>1</v>
      </c>
      <c r="M70" s="441"/>
      <c r="O70" s="443"/>
      <c r="P70" s="422"/>
      <c r="Q70" s="442"/>
      <c r="R70" s="422"/>
      <c r="S70" s="442"/>
      <c r="T70" s="422"/>
      <c r="U70" s="442"/>
      <c r="V70" s="422" t="str">
        <f>'LHR LU'!I188</f>
        <v/>
      </c>
      <c r="W70" s="437">
        <f>'LHR LU'!G188</f>
        <v>1</v>
      </c>
      <c r="X70" s="422"/>
      <c r="Y70" s="437"/>
      <c r="Z70" s="422"/>
      <c r="AA70" s="437"/>
      <c r="AB70" s="422"/>
      <c r="AC70" s="439"/>
      <c r="AD70" s="422"/>
      <c r="AE70" s="439"/>
      <c r="AG70" s="440"/>
      <c r="AI70" s="440"/>
    </row>
    <row r="71" spans="1:53" ht="20" customHeight="1">
      <c r="A71" s="627"/>
      <c r="B71" s="629" t="str">
        <f t="shared" si="1"/>
        <v>TW - 9. Hot Beverage 
- Tea</v>
      </c>
      <c r="C71" s="624"/>
      <c r="D71" s="422"/>
      <c r="E71" s="413"/>
      <c r="F71" s="422"/>
      <c r="G71" s="413"/>
      <c r="H71" s="422"/>
      <c r="I71" s="413"/>
      <c r="J71" s="422" t="str">
        <f>'LHR LU'!J189</f>
        <v/>
      </c>
      <c r="K71" s="413">
        <f>'LHR LU'!G189</f>
        <v>1</v>
      </c>
      <c r="M71" s="441"/>
      <c r="O71" s="443"/>
      <c r="P71" s="422"/>
      <c r="Q71" s="442"/>
      <c r="R71" s="422"/>
      <c r="S71" s="442"/>
      <c r="T71" s="422"/>
      <c r="U71" s="442"/>
      <c r="V71" s="422" t="str">
        <f>'LHR LU'!J188</f>
        <v/>
      </c>
      <c r="W71" s="437">
        <f>'LHR LU'!G188</f>
        <v>1</v>
      </c>
      <c r="X71" s="422"/>
      <c r="Y71" s="437"/>
      <c r="Z71" s="422"/>
      <c r="AA71" s="437"/>
      <c r="AB71" s="422"/>
      <c r="AC71" s="439"/>
      <c r="AD71" s="422"/>
      <c r="AE71" s="439"/>
      <c r="AG71" s="440"/>
      <c r="AI71" s="440"/>
    </row>
    <row r="72" spans="1:53" ht="20" customHeight="1">
      <c r="A72" s="627"/>
      <c r="B72" s="629" t="str">
        <f t="shared" si="1"/>
        <v>TW - 10. Beer</v>
      </c>
      <c r="C72" s="624"/>
      <c r="D72" s="422"/>
      <c r="E72" s="413"/>
      <c r="F72" s="422"/>
      <c r="G72" s="413"/>
      <c r="H72" s="422"/>
      <c r="I72" s="413"/>
      <c r="J72" s="422" t="str">
        <f>'LHR LU'!K189</f>
        <v/>
      </c>
      <c r="K72" s="413">
        <f>'LHR LU'!G189</f>
        <v>1</v>
      </c>
      <c r="M72" s="441"/>
      <c r="O72" s="443"/>
      <c r="P72" s="422"/>
      <c r="Q72" s="442"/>
      <c r="R72" s="422"/>
      <c r="S72" s="442"/>
      <c r="T72" s="422"/>
      <c r="U72" s="442"/>
      <c r="V72" s="422" t="str">
        <f>'LHR LU'!K188</f>
        <v/>
      </c>
      <c r="W72" s="437">
        <f>'LHR LU'!G188</f>
        <v>1</v>
      </c>
      <c r="X72" s="422"/>
      <c r="Y72" s="437"/>
      <c r="Z72" s="422"/>
      <c r="AA72" s="437"/>
      <c r="AB72" s="422"/>
      <c r="AC72" s="439"/>
      <c r="AD72" s="422"/>
      <c r="AE72" s="439"/>
      <c r="AG72" s="440"/>
      <c r="AI72" s="440"/>
    </row>
    <row r="73" spans="1:53" ht="20" customHeight="1">
      <c r="A73" s="627"/>
      <c r="B73" s="629" t="str">
        <f t="shared" si="1"/>
        <v>TW - 11. Screwdriver</v>
      </c>
      <c r="C73" s="624"/>
      <c r="D73" s="422"/>
      <c r="E73" s="413"/>
      <c r="F73" s="422"/>
      <c r="G73" s="413"/>
      <c r="H73" s="422"/>
      <c r="I73" s="413"/>
      <c r="J73" s="422" t="str">
        <f>'LHR LU'!L189</f>
        <v/>
      </c>
      <c r="K73" s="413">
        <f>'LHR LU'!G189</f>
        <v>1</v>
      </c>
      <c r="M73" s="441"/>
      <c r="O73" s="443"/>
      <c r="P73" s="422"/>
      <c r="Q73" s="442"/>
      <c r="R73" s="422"/>
      <c r="S73" s="442"/>
      <c r="T73" s="422"/>
      <c r="U73" s="442"/>
      <c r="V73" s="422" t="str">
        <f>'LHR LU'!L188</f>
        <v/>
      </c>
      <c r="W73" s="437">
        <f>'LHR LU'!G188</f>
        <v>1</v>
      </c>
      <c r="X73" s="422"/>
      <c r="Y73" s="437"/>
      <c r="Z73" s="422"/>
      <c r="AA73" s="437"/>
      <c r="AB73" s="422"/>
      <c r="AC73" s="439"/>
      <c r="AD73" s="422"/>
      <c r="AE73" s="439"/>
      <c r="AG73" s="440"/>
      <c r="AI73" s="440"/>
    </row>
    <row r="74" spans="1:53" ht="20" customHeight="1">
      <c r="A74" s="627"/>
      <c r="B74" s="629" t="str">
        <f t="shared" si="1"/>
        <v>TW - 12. Gin &amp; Orange Juice</v>
      </c>
      <c r="C74" s="624"/>
      <c r="D74" s="422"/>
      <c r="E74" s="413"/>
      <c r="F74" s="422"/>
      <c r="G74" s="413"/>
      <c r="H74" s="422"/>
      <c r="I74" s="413"/>
      <c r="J74" s="422" t="str">
        <f>'LHR LU'!M189</f>
        <v/>
      </c>
      <c r="K74" s="413">
        <f>'LHR LU'!G189</f>
        <v>1</v>
      </c>
      <c r="M74" s="441"/>
      <c r="O74" s="443"/>
      <c r="P74" s="422"/>
      <c r="Q74" s="442"/>
      <c r="R74" s="422"/>
      <c r="S74" s="442"/>
      <c r="T74" s="422"/>
      <c r="U74" s="442"/>
      <c r="V74" s="422" t="str">
        <f>'LHR LU'!M188</f>
        <v/>
      </c>
      <c r="W74" s="437">
        <f>'LHR LU'!G188</f>
        <v>1</v>
      </c>
      <c r="X74" s="422"/>
      <c r="Y74" s="437"/>
      <c r="Z74" s="422"/>
      <c r="AA74" s="437"/>
      <c r="AB74" s="422"/>
      <c r="AC74" s="439"/>
      <c r="AD74" s="422"/>
      <c r="AE74" s="439"/>
      <c r="AG74" s="440"/>
      <c r="AI74" s="440"/>
    </row>
    <row r="75" spans="1:53" ht="20" customHeight="1">
      <c r="A75" s="627"/>
      <c r="B75" s="629" t="str">
        <f t="shared" si="1"/>
        <v>TW - 13. Rum &amp; Pepsi</v>
      </c>
      <c r="C75" s="624"/>
      <c r="D75" s="422"/>
      <c r="E75" s="413"/>
      <c r="F75" s="422"/>
      <c r="G75" s="413"/>
      <c r="H75" s="422"/>
      <c r="I75" s="413"/>
      <c r="J75" s="422" t="str">
        <f>'LHR LU'!H239</f>
        <v/>
      </c>
      <c r="K75" s="413">
        <f>'LHR LU'!G239</f>
        <v>1</v>
      </c>
      <c r="M75" s="441"/>
      <c r="O75" s="443"/>
      <c r="P75" s="422"/>
      <c r="Q75" s="442"/>
      <c r="R75" s="422"/>
      <c r="S75" s="442"/>
      <c r="T75" s="422"/>
      <c r="U75" s="442"/>
      <c r="V75" s="422" t="str">
        <f>'LHR LU'!H238</f>
        <v/>
      </c>
      <c r="W75" s="437">
        <f>'LHR LU'!G238</f>
        <v>1</v>
      </c>
      <c r="X75" s="422"/>
      <c r="Y75" s="437"/>
      <c r="Z75" s="422"/>
      <c r="AA75" s="437"/>
      <c r="AB75" s="422"/>
      <c r="AC75" s="439"/>
      <c r="AD75" s="422"/>
      <c r="AE75" s="439"/>
      <c r="AG75" s="440"/>
      <c r="AI75" s="440"/>
    </row>
    <row r="76" spans="1:53" ht="20" customHeight="1">
      <c r="A76" s="627"/>
      <c r="B76" s="629" t="str">
        <f t="shared" si="1"/>
        <v>TW - 14. Gin &amp; Tonic</v>
      </c>
      <c r="C76" s="624"/>
      <c r="D76" s="422"/>
      <c r="E76" s="413"/>
      <c r="F76" s="422"/>
      <c r="G76" s="413"/>
      <c r="H76" s="422"/>
      <c r="I76" s="413"/>
      <c r="J76" s="422" t="str">
        <f>'LHR LU'!I239</f>
        <v/>
      </c>
      <c r="K76" s="413">
        <f>'LHR LU'!G239</f>
        <v>1</v>
      </c>
      <c r="M76" s="441"/>
      <c r="O76" s="443"/>
      <c r="P76" s="422"/>
      <c r="Q76" s="442"/>
      <c r="R76" s="422"/>
      <c r="S76" s="442"/>
      <c r="T76" s="422"/>
      <c r="U76" s="442"/>
      <c r="V76" s="422" t="str">
        <f>'LHR LU'!I238</f>
        <v/>
      </c>
      <c r="W76" s="437">
        <f>'LHR LU'!G238</f>
        <v>1</v>
      </c>
      <c r="X76" s="422"/>
      <c r="Y76" s="437"/>
      <c r="Z76" s="422"/>
      <c r="AA76" s="437"/>
      <c r="AB76" s="422"/>
      <c r="AC76" s="439"/>
      <c r="AD76" s="422"/>
      <c r="AE76" s="439"/>
      <c r="AG76" s="440"/>
      <c r="AI76" s="440"/>
    </row>
    <row r="77" spans="1:53" ht="20" customHeight="1">
      <c r="A77" s="627"/>
      <c r="B77" s="629" t="str">
        <f t="shared" si="1"/>
        <v>TW - 15. Scotch &amp; Soda</v>
      </c>
      <c r="C77" s="624"/>
      <c r="D77" s="422"/>
      <c r="E77" s="413"/>
      <c r="F77" s="422"/>
      <c r="G77" s="413"/>
      <c r="H77" s="422"/>
      <c r="I77" s="413"/>
      <c r="J77" s="422" t="str">
        <f>'LHR LU'!J239</f>
        <v/>
      </c>
      <c r="K77" s="413">
        <f>'LHR LU'!G239</f>
        <v>1</v>
      </c>
      <c r="M77" s="441"/>
      <c r="O77" s="443"/>
      <c r="P77" s="422"/>
      <c r="Q77" s="442"/>
      <c r="R77" s="422"/>
      <c r="S77" s="442"/>
      <c r="T77" s="422"/>
      <c r="U77" s="442"/>
      <c r="V77" s="422" t="str">
        <f>'LHR LU'!J238</f>
        <v/>
      </c>
      <c r="W77" s="437">
        <f>'LHR LU'!G238</f>
        <v>1</v>
      </c>
      <c r="X77" s="422"/>
      <c r="Y77" s="437"/>
      <c r="Z77" s="422"/>
      <c r="AA77" s="437"/>
      <c r="AB77" s="422"/>
      <c r="AC77" s="439"/>
      <c r="AD77" s="422"/>
      <c r="AE77" s="439"/>
      <c r="AG77" s="440"/>
      <c r="AI77" s="440"/>
    </row>
    <row r="78" spans="1:53" ht="20" customHeight="1">
      <c r="A78" s="627"/>
      <c r="B78" s="629" t="str">
        <f t="shared" si="1"/>
        <v>TW - 16. Bloody Mary</v>
      </c>
      <c r="C78" s="624"/>
      <c r="D78" s="422"/>
      <c r="E78" s="413"/>
      <c r="F78" s="422"/>
      <c r="G78" s="413"/>
      <c r="H78" s="422"/>
      <c r="I78" s="413"/>
      <c r="J78" s="422" t="str">
        <f>'LHR LU'!K239</f>
        <v/>
      </c>
      <c r="K78" s="413">
        <f>'LHR LU'!G239</f>
        <v>1</v>
      </c>
      <c r="M78" s="441"/>
      <c r="O78" s="443"/>
      <c r="P78" s="422"/>
      <c r="Q78" s="442"/>
      <c r="R78" s="422"/>
      <c r="S78" s="442"/>
      <c r="T78" s="422"/>
      <c r="U78" s="442"/>
      <c r="V78" s="422" t="str">
        <f>'LHR LU'!K238</f>
        <v/>
      </c>
      <c r="W78" s="437">
        <f>'LHR LU'!G238</f>
        <v>1</v>
      </c>
      <c r="X78" s="422"/>
      <c r="Y78" s="437"/>
      <c r="Z78" s="422"/>
      <c r="AA78" s="437"/>
      <c r="AB78" s="422"/>
      <c r="AC78" s="439"/>
      <c r="AD78" s="422"/>
      <c r="AE78" s="439"/>
      <c r="AG78" s="440"/>
      <c r="AI78" s="440"/>
    </row>
    <row r="79" spans="1:53" ht="20" customHeight="1">
      <c r="A79" s="416">
        <f>SUM(D79:AI79)</f>
        <v>0</v>
      </c>
      <c r="B79" s="411" t="s">
        <v>18</v>
      </c>
      <c r="C79" s="425" t="str">
        <f t="shared" ref="C79" si="2">IF(B79=1,D79,"")</f>
        <v/>
      </c>
      <c r="D79" s="1878" t="str">
        <f>IF(D80=0,"N/A",(SUM(D5:D78)))</f>
        <v>N/A</v>
      </c>
      <c r="E79" s="1878"/>
      <c r="F79" s="1878" t="str">
        <f t="shared" ref="F79" si="3">IF(F80=0,"N/A",(SUM(F5:F78)))</f>
        <v>N/A</v>
      </c>
      <c r="G79" s="1878"/>
      <c r="H79" s="1878" t="str">
        <f t="shared" ref="H79" si="4">IF(H80=0,"N/A",(SUM(H5:H78)))</f>
        <v>N/A</v>
      </c>
      <c r="I79" s="1878"/>
      <c r="J79" s="1878" t="str">
        <f>IF(J80=0,"N/A",(SUM(J5:J78)))</f>
        <v>N/A</v>
      </c>
      <c r="K79" s="1878"/>
      <c r="L79" s="1878" t="str">
        <f t="shared" ref="L79" si="5">IF(L80=0,"N/A",(SUM(L5:L78)))</f>
        <v>N/A</v>
      </c>
      <c r="M79" s="1878"/>
      <c r="N79" s="1878" t="str">
        <f t="shared" ref="N79" si="6">IF(N80=0,"N/A",(SUM(N5:N78)))</f>
        <v>N/A</v>
      </c>
      <c r="O79" s="1878"/>
      <c r="P79" s="1878" t="str">
        <f t="shared" ref="P79" si="7">IF(P80=0,"N/A",(SUM(P5:P78)))</f>
        <v>N/A</v>
      </c>
      <c r="Q79" s="1878"/>
      <c r="R79" s="1878" t="str">
        <f t="shared" ref="R79" si="8">IF(R80=0,"N/A",(SUM(R5:R78)))</f>
        <v>N/A</v>
      </c>
      <c r="S79" s="1878"/>
      <c r="T79" s="1878" t="str">
        <f t="shared" ref="T79" si="9">IF(T80=0,"N/A",(SUM(T5:T78)))</f>
        <v>N/A</v>
      </c>
      <c r="U79" s="1878"/>
      <c r="V79" s="1878" t="str">
        <f>IF(V80=0,"N/A",(SUM(V5:V78)))</f>
        <v>N/A</v>
      </c>
      <c r="W79" s="1878"/>
      <c r="X79" s="1878" t="str">
        <f t="shared" ref="X79" si="10">IF(X80=0,"N/A",(SUM(X5:X78)))</f>
        <v>N/A</v>
      </c>
      <c r="Y79" s="1878"/>
      <c r="Z79" s="1878" t="str">
        <f t="shared" ref="Z79" si="11">IF(Z80=0,"N/A",(SUM(Z5:Z78)))</f>
        <v>N/A</v>
      </c>
      <c r="AA79" s="1878"/>
      <c r="AB79" s="1878" t="str">
        <f t="shared" ref="AB79" si="12">IF(AB80=0,"N/A",(SUM(AB5:AB78)))</f>
        <v>N/A</v>
      </c>
      <c r="AC79" s="1878"/>
      <c r="AD79" s="1878" t="str">
        <f t="shared" ref="AD79" si="13">IF(AD80=0,"N/A",(SUM(AD5:AD78)))</f>
        <v>N/A</v>
      </c>
      <c r="AE79" s="1878"/>
      <c r="AF79" s="1878" t="str">
        <f t="shared" ref="AF79" si="14">IF(AF80=0,"N/A",(SUM(AF5:AF78)))</f>
        <v>N/A</v>
      </c>
      <c r="AG79" s="1878"/>
      <c r="AH79" s="1878" t="str">
        <f t="shared" ref="AH79" si="15">IF(AH80=0,"N/A",(SUM(AH5:AH78)))</f>
        <v>N/A</v>
      </c>
      <c r="AI79" s="1878"/>
    </row>
    <row r="80" spans="1:53" ht="20" customHeight="1">
      <c r="A80" s="3">
        <f>SUM(D80:AI80)</f>
        <v>0</v>
      </c>
      <c r="B80" s="411" t="s">
        <v>19</v>
      </c>
      <c r="C80" s="431"/>
      <c r="D80" s="1879">
        <f>SUMIF(D5:D78,"&gt;=0", E5:E78)</f>
        <v>0</v>
      </c>
      <c r="E80" s="1879"/>
      <c r="F80" s="1879">
        <f t="shared" ref="F80" si="16">SUMIF(F5:F78,"&gt;=0", G5:G78)</f>
        <v>0</v>
      </c>
      <c r="G80" s="1879"/>
      <c r="H80" s="1879">
        <f t="shared" ref="H80" si="17">SUMIF(H5:H78,"&gt;=0", I5:I78)</f>
        <v>0</v>
      </c>
      <c r="I80" s="1879"/>
      <c r="J80" s="1879">
        <f>SUMIF(J5:J78,"&gt;=0", K5:K78)</f>
        <v>0</v>
      </c>
      <c r="K80" s="1879"/>
      <c r="L80" s="1879">
        <f t="shared" ref="L80" si="18">SUMIF(L5:L78,"&gt;=0", M5:M78)</f>
        <v>0</v>
      </c>
      <c r="M80" s="1879"/>
      <c r="N80" s="1879">
        <f t="shared" ref="N80" si="19">SUMIF(N5:N78,"&gt;=0", O5:O78)</f>
        <v>0</v>
      </c>
      <c r="O80" s="1879"/>
      <c r="P80" s="1879">
        <f t="shared" ref="P80" si="20">SUMIF(P5:P78,"&gt;=0", Q5:Q78)</f>
        <v>0</v>
      </c>
      <c r="Q80" s="1879"/>
      <c r="R80" s="1879">
        <f t="shared" ref="R80" si="21">SUMIF(R5:R78,"&gt;=0", S5:S78)</f>
        <v>0</v>
      </c>
      <c r="S80" s="1879"/>
      <c r="T80" s="1879">
        <f t="shared" ref="T80" si="22">SUMIF(T5:T78,"&gt;=0", U5:U78)</f>
        <v>0</v>
      </c>
      <c r="U80" s="1879"/>
      <c r="V80" s="1879">
        <f>SUMIF(V5:V78,"&gt;=0", W5:W78)</f>
        <v>0</v>
      </c>
      <c r="W80" s="1879"/>
      <c r="X80" s="1879">
        <f t="shared" ref="X80" si="23">SUMIF(X5:X78,"&gt;=0", Y5:Y78)</f>
        <v>0</v>
      </c>
      <c r="Y80" s="1879"/>
      <c r="Z80" s="1879">
        <f t="shared" ref="Z80" si="24">SUMIF(Z5:Z78,"&gt;=0", AA5:AA78)</f>
        <v>0</v>
      </c>
      <c r="AA80" s="1879"/>
      <c r="AB80" s="1879">
        <f t="shared" ref="AB80" si="25">SUMIF(AB5:AB78,"&gt;=0", AC5:AC78)</f>
        <v>0</v>
      </c>
      <c r="AC80" s="1879"/>
      <c r="AD80" s="1879">
        <f t="shared" ref="AD80" si="26">SUMIF(AD5:AD78,"&gt;=0", AE5:AE78)</f>
        <v>0</v>
      </c>
      <c r="AE80" s="1879"/>
      <c r="AF80" s="1879">
        <f t="shared" ref="AF80" si="27">SUMIF(AF5:AF78,"&gt;=0", AG5:AG78)</f>
        <v>0</v>
      </c>
      <c r="AG80" s="1879"/>
      <c r="AH80" s="1879">
        <f t="shared" ref="AH80" si="28">SUMIF(AH5:AH78,"&gt;=0", AI5:AI78)</f>
        <v>0</v>
      </c>
      <c r="AI80" s="1879"/>
      <c r="AJ80" s="1875"/>
      <c r="AK80" s="1875"/>
      <c r="AL80" s="622"/>
      <c r="AM80" s="622"/>
      <c r="AN80" s="622"/>
      <c r="AO80" s="622"/>
      <c r="AP80" s="622"/>
      <c r="AQ80" s="622"/>
      <c r="AR80" s="622"/>
      <c r="AS80" s="622"/>
      <c r="AT80" s="622"/>
      <c r="AU80" s="1875"/>
      <c r="AV80" s="1875"/>
      <c r="AW80" s="1875"/>
      <c r="AX80" s="622"/>
      <c r="AY80" s="1875"/>
      <c r="AZ80" s="1875"/>
      <c r="BA80" s="1875"/>
    </row>
    <row r="81" spans="1:53" ht="20" customHeight="1" thickBot="1">
      <c r="A81" s="412"/>
      <c r="D81" s="412"/>
      <c r="E81" s="412"/>
      <c r="F81" s="412"/>
      <c r="G81" s="412"/>
      <c r="H81" s="412"/>
      <c r="I81" s="412"/>
      <c r="J81" s="412"/>
      <c r="K81" s="412"/>
      <c r="L81" s="412"/>
      <c r="M81" s="412"/>
      <c r="N81" s="412"/>
      <c r="O81" s="412"/>
      <c r="P81" s="412"/>
      <c r="Q81" s="412"/>
      <c r="R81" s="412"/>
      <c r="S81" s="412"/>
      <c r="T81" s="412"/>
      <c r="U81" s="412"/>
      <c r="V81" s="412"/>
      <c r="W81" s="412"/>
      <c r="X81" s="412"/>
      <c r="Y81" s="412"/>
      <c r="Z81" s="412"/>
      <c r="AA81" s="412"/>
      <c r="AB81" s="412"/>
      <c r="AC81" s="412"/>
      <c r="AD81" s="412"/>
      <c r="AE81" s="412"/>
      <c r="AF81" s="412"/>
      <c r="AG81" s="412"/>
      <c r="AH81" s="412"/>
      <c r="AI81" s="412"/>
      <c r="AJ81" s="412"/>
      <c r="AK81" s="412"/>
      <c r="AL81" s="412"/>
      <c r="AM81" s="623"/>
      <c r="AN81" s="623"/>
      <c r="AO81" s="623"/>
      <c r="AP81" s="623"/>
      <c r="AQ81" s="623"/>
      <c r="AR81" s="623"/>
      <c r="AS81" s="623"/>
      <c r="AT81" s="623"/>
      <c r="AU81" s="412"/>
      <c r="AV81" s="623"/>
      <c r="AW81" s="412"/>
      <c r="AX81" s="623"/>
      <c r="AY81" s="412"/>
      <c r="AZ81" s="623"/>
      <c r="BA81" s="412"/>
    </row>
    <row r="82" spans="1:53" ht="20" customHeight="1">
      <c r="A82" s="1876" t="e">
        <f>(A79/A80)*100</f>
        <v>#DIV/0!</v>
      </c>
    </row>
    <row r="83" spans="1:53" ht="20" customHeight="1" thickBot="1">
      <c r="A83" s="1877"/>
    </row>
    <row r="84" spans="1:53" ht="20" customHeight="1">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M84" s="623"/>
      <c r="AN84" s="623"/>
      <c r="AO84" s="623"/>
      <c r="AP84" s="623"/>
      <c r="AQ84" s="623"/>
      <c r="AR84" s="623"/>
      <c r="AS84" s="623"/>
      <c r="AT84" s="623"/>
      <c r="AU84" s="412"/>
      <c r="AV84" s="623"/>
      <c r="AW84" s="412"/>
      <c r="AX84" s="623"/>
      <c r="AY84" s="412"/>
      <c r="AZ84" s="623"/>
      <c r="BA84" s="412"/>
    </row>
    <row r="85" spans="1:53" ht="20" customHeight="1">
      <c r="A85" s="281">
        <f>A80*84.99%</f>
        <v>0</v>
      </c>
      <c r="D85" s="412"/>
      <c r="E85" s="412"/>
      <c r="F85" s="412"/>
      <c r="G85" s="412"/>
      <c r="H85" s="412"/>
      <c r="I85" s="412"/>
      <c r="J85" s="412"/>
      <c r="K85" s="412"/>
      <c r="L85" s="412"/>
      <c r="M85" s="412"/>
      <c r="N85" s="412"/>
      <c r="O85" s="412"/>
      <c r="P85" s="412"/>
      <c r="Q85" s="412"/>
      <c r="R85" s="412"/>
      <c r="S85" s="412"/>
      <c r="T85" s="412"/>
      <c r="U85" s="412"/>
      <c r="V85" s="412"/>
      <c r="W85" s="412"/>
      <c r="X85" s="412"/>
      <c r="Y85" s="412"/>
      <c r="Z85" s="412"/>
      <c r="AA85" s="412"/>
      <c r="AB85" s="412"/>
      <c r="AC85" s="412"/>
      <c r="AD85" s="412"/>
      <c r="AE85" s="412"/>
      <c r="AF85" s="412"/>
      <c r="AG85" s="412"/>
      <c r="AH85" s="412"/>
      <c r="AI85" s="412"/>
      <c r="AJ85" s="412"/>
      <c r="AK85" s="412"/>
      <c r="AL85" s="412"/>
      <c r="AM85" s="623"/>
      <c r="AN85" s="623"/>
      <c r="AO85" s="623"/>
      <c r="AP85" s="623"/>
      <c r="AQ85" s="623"/>
      <c r="AR85" s="623"/>
      <c r="AS85" s="623"/>
      <c r="AT85" s="623"/>
      <c r="AU85" s="412"/>
      <c r="AV85" s="623"/>
      <c r="AW85" s="412"/>
      <c r="AX85" s="623"/>
      <c r="AY85" s="412"/>
      <c r="AZ85" s="623"/>
      <c r="BA85" s="412"/>
    </row>
    <row r="86" spans="1:53" ht="20" customHeight="1">
      <c r="A86" s="282">
        <f>A80*85%</f>
        <v>0</v>
      </c>
      <c r="D86" s="160" t="e">
        <f>IF((D80-D79)&gt;2,1,"")</f>
        <v>#VALUE!</v>
      </c>
      <c r="E86" s="412"/>
      <c r="F86" s="412"/>
      <c r="G86" s="412"/>
      <c r="H86" s="412"/>
      <c r="I86" s="412"/>
      <c r="J86" s="412"/>
      <c r="K86" s="412"/>
      <c r="L86" s="412"/>
      <c r="M86" s="412"/>
      <c r="N86" s="412"/>
      <c r="O86" s="412"/>
      <c r="P86" s="412"/>
      <c r="Q86" s="412"/>
      <c r="R86" s="412"/>
      <c r="S86" s="412"/>
      <c r="T86" s="412"/>
      <c r="U86" s="412"/>
      <c r="V86" s="412"/>
      <c r="W86" s="412"/>
      <c r="X86" s="412"/>
      <c r="Y86" s="412"/>
      <c r="Z86" s="412"/>
      <c r="AA86" s="412"/>
      <c r="AB86" s="412"/>
      <c r="AC86" s="412"/>
      <c r="AD86" s="412"/>
      <c r="AE86" s="412"/>
      <c r="AF86" s="412"/>
      <c r="AG86" s="412"/>
      <c r="AH86" s="412"/>
      <c r="AI86" s="412"/>
      <c r="AJ86" s="412"/>
      <c r="AK86" s="412"/>
      <c r="AL86" s="412"/>
      <c r="AM86" s="623"/>
      <c r="AN86" s="623"/>
      <c r="AO86" s="623"/>
      <c r="AP86" s="623"/>
      <c r="AQ86" s="623"/>
      <c r="AR86" s="623"/>
      <c r="AS86" s="623"/>
      <c r="AT86" s="623"/>
      <c r="AU86" s="412"/>
      <c r="AV86" s="623"/>
      <c r="AW86" s="412"/>
      <c r="AX86" s="623"/>
      <c r="AY86" s="412"/>
      <c r="AZ86" s="623"/>
      <c r="BA86" s="412"/>
    </row>
    <row r="87" spans="1:53" ht="20" customHeight="1">
      <c r="A87" s="282">
        <f>A80*89.99%</f>
        <v>0</v>
      </c>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623"/>
      <c r="AN87" s="623"/>
      <c r="AO87" s="623"/>
      <c r="AP87" s="623"/>
      <c r="AQ87" s="623"/>
      <c r="AR87" s="623"/>
      <c r="AS87" s="623"/>
      <c r="AT87" s="623"/>
      <c r="AU87" s="412"/>
      <c r="AV87" s="623"/>
      <c r="AW87" s="412"/>
      <c r="AX87" s="623"/>
      <c r="AY87" s="412"/>
      <c r="AZ87" s="623"/>
      <c r="BA87" s="412"/>
    </row>
    <row r="88" spans="1:53" ht="20" customHeight="1">
      <c r="A88" s="279">
        <f>A80*90%</f>
        <v>0</v>
      </c>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623"/>
      <c r="AN88" s="623"/>
      <c r="AO88" s="623"/>
      <c r="AP88" s="623"/>
      <c r="AQ88" s="623"/>
      <c r="AR88" s="623"/>
      <c r="AS88" s="623"/>
      <c r="AT88" s="623"/>
      <c r="AU88" s="412"/>
      <c r="AV88" s="623"/>
      <c r="AW88" s="412"/>
      <c r="AX88" s="623"/>
      <c r="AY88" s="412"/>
      <c r="AZ88" s="623"/>
      <c r="BA88" s="412"/>
    </row>
    <row r="89" spans="1:53" ht="20" customHeight="1">
      <c r="A89" s="279">
        <f>A80*98.99%</f>
        <v>0</v>
      </c>
      <c r="D89" s="412"/>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623"/>
      <c r="AN89" s="623"/>
      <c r="AO89" s="623"/>
      <c r="AP89" s="623"/>
      <c r="AQ89" s="623"/>
      <c r="AR89" s="623"/>
      <c r="AS89" s="623"/>
      <c r="AT89" s="623"/>
      <c r="AU89" s="412"/>
      <c r="AV89" s="623"/>
      <c r="AW89" s="412"/>
      <c r="AX89" s="623"/>
      <c r="AY89" s="412"/>
      <c r="AZ89" s="623"/>
      <c r="BA89" s="412"/>
    </row>
    <row r="90" spans="1:53" ht="20" customHeight="1">
      <c r="A90" s="280">
        <f>A80*99%</f>
        <v>0</v>
      </c>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623"/>
      <c r="AN90" s="623"/>
      <c r="AO90" s="623"/>
      <c r="AP90" s="623"/>
      <c r="AQ90" s="623"/>
      <c r="AR90" s="623"/>
      <c r="AS90" s="623"/>
      <c r="AT90" s="623"/>
      <c r="AU90" s="412"/>
      <c r="AV90" s="623"/>
      <c r="AW90" s="412"/>
      <c r="AX90" s="623"/>
      <c r="AY90" s="412"/>
      <c r="AZ90" s="623"/>
      <c r="BA90" s="412"/>
    </row>
    <row r="91" spans="1:53" ht="20" customHeight="1">
      <c r="A91" s="280">
        <f>A80</f>
        <v>0</v>
      </c>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623"/>
      <c r="AN91" s="623"/>
      <c r="AO91" s="623"/>
      <c r="AP91" s="623"/>
      <c r="AQ91" s="623"/>
      <c r="AR91" s="623"/>
      <c r="AS91" s="623"/>
      <c r="AT91" s="623"/>
      <c r="AU91" s="412"/>
      <c r="AV91" s="623"/>
      <c r="AW91" s="412"/>
      <c r="AX91" s="623"/>
      <c r="AY91" s="412"/>
      <c r="AZ91" s="623"/>
      <c r="BA91" s="412"/>
    </row>
    <row r="92" spans="1:53" ht="20" customHeight="1">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623"/>
      <c r="AN92" s="623"/>
      <c r="AO92" s="623"/>
      <c r="AP92" s="623"/>
      <c r="AQ92" s="623"/>
      <c r="AR92" s="623"/>
      <c r="AS92" s="623"/>
      <c r="AT92" s="623"/>
      <c r="AU92" s="412"/>
      <c r="AV92" s="623"/>
      <c r="AW92" s="412"/>
      <c r="AX92" s="623"/>
      <c r="AY92" s="412"/>
      <c r="AZ92" s="623"/>
      <c r="BA92" s="412"/>
    </row>
    <row r="93" spans="1:53" ht="20" customHeight="1">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623"/>
      <c r="AN93" s="623"/>
      <c r="AO93" s="623"/>
      <c r="AP93" s="623"/>
      <c r="AQ93" s="623"/>
      <c r="AR93" s="623"/>
      <c r="AS93" s="623"/>
      <c r="AT93" s="623"/>
      <c r="AU93" s="412"/>
      <c r="AV93" s="623"/>
      <c r="AW93" s="412"/>
      <c r="AX93" s="623"/>
      <c r="AY93" s="412"/>
      <c r="AZ93" s="623"/>
      <c r="BA93" s="412"/>
    </row>
    <row r="94" spans="1:53" ht="20" customHeight="1">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623"/>
      <c r="AN94" s="623"/>
      <c r="AO94" s="623"/>
      <c r="AP94" s="623"/>
      <c r="AQ94" s="623"/>
      <c r="AR94" s="623"/>
      <c r="AS94" s="623"/>
      <c r="AT94" s="623"/>
      <c r="AU94" s="412"/>
      <c r="AV94" s="623"/>
      <c r="AW94" s="412"/>
      <c r="AX94" s="623"/>
      <c r="AY94" s="412"/>
      <c r="AZ94" s="623"/>
      <c r="BA94" s="412"/>
    </row>
    <row r="95" spans="1:53" ht="20" customHeight="1">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623"/>
      <c r="AN95" s="623"/>
      <c r="AO95" s="623"/>
      <c r="AP95" s="623"/>
      <c r="AQ95" s="623"/>
      <c r="AR95" s="623"/>
      <c r="AS95" s="623"/>
      <c r="AT95" s="623"/>
      <c r="AU95" s="412"/>
      <c r="AV95" s="623"/>
      <c r="AW95" s="412"/>
      <c r="AX95" s="623"/>
      <c r="AY95" s="412"/>
      <c r="AZ95" s="623"/>
      <c r="BA95" s="412"/>
    </row>
    <row r="96" spans="1:53" ht="20" customHeight="1">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623"/>
      <c r="AN96" s="623"/>
      <c r="AO96" s="623"/>
      <c r="AP96" s="623"/>
      <c r="AQ96" s="623"/>
      <c r="AR96" s="623"/>
      <c r="AS96" s="623"/>
      <c r="AT96" s="623"/>
      <c r="AU96" s="412"/>
      <c r="AV96" s="623"/>
      <c r="AW96" s="412"/>
      <c r="AX96" s="623"/>
      <c r="AY96" s="412"/>
      <c r="AZ96" s="623"/>
      <c r="BA96" s="412"/>
    </row>
    <row r="97" ht="20" customHeight="1"/>
    <row r="98" ht="20" customHeight="1"/>
    <row r="99" ht="20" customHeight="1"/>
    <row r="100" ht="20" customHeight="1"/>
    <row r="101" ht="20" customHeight="1"/>
    <row r="102" ht="20" customHeight="1"/>
    <row r="103" ht="20" customHeight="1"/>
    <row r="104" ht="20" customHeight="1"/>
    <row r="105" ht="20" customHeight="1"/>
    <row r="106" ht="20" customHeight="1"/>
    <row r="107" ht="20" customHeight="1"/>
    <row r="108" ht="20" customHeight="1"/>
    <row r="109" ht="20" customHeight="1"/>
    <row r="110" ht="20" customHeight="1"/>
    <row r="111" ht="20" customHeight="1"/>
    <row r="112" ht="20" customHeight="1"/>
    <row r="113" ht="20" customHeight="1"/>
    <row r="114" ht="20" customHeight="1"/>
    <row r="115" ht="20" customHeight="1"/>
    <row r="116" ht="20" customHeight="1"/>
    <row r="117" ht="20" customHeight="1"/>
    <row r="118" ht="20" customHeight="1"/>
    <row r="119" ht="20" customHeight="1"/>
    <row r="120" ht="20" customHeight="1"/>
    <row r="121" ht="20" customHeight="1"/>
    <row r="122" ht="20" customHeight="1"/>
  </sheetData>
  <sheetProtection sheet="1" objects="1" scenarios="1" selectLockedCells="1"/>
  <customSheetViews>
    <customSheetView guid="{B4419C5D-1877-4ABB-A46F-9E0AFFC75B59}" scale="85" showGridLines="0" fitToPage="1" hiddenColumns="1" state="hidden">
      <pane ySplit="4" topLeftCell="A23" activePane="bottomLeft" state="frozen"/>
      <selection pane="bottomLeft" activeCell="D51" sqref="D51:E51"/>
      <pageMargins left="0.7" right="0.7" top="0.75" bottom="0.75" header="0.3" footer="0.3"/>
      <pageSetup scale="41" fitToHeight="0" orientation="landscape" r:id="rId1"/>
    </customSheetView>
  </customSheetViews>
  <mergeCells count="60">
    <mergeCell ref="H4:I4"/>
    <mergeCell ref="J4:K4"/>
    <mergeCell ref="L4:M4"/>
    <mergeCell ref="N4:O4"/>
    <mergeCell ref="B3:C4"/>
    <mergeCell ref="D3:M3"/>
    <mergeCell ref="N3:U3"/>
    <mergeCell ref="V3:AA3"/>
    <mergeCell ref="AB4:AC4"/>
    <mergeCell ref="AD4:AE4"/>
    <mergeCell ref="AF4:AG4"/>
    <mergeCell ref="AB3:AI3"/>
    <mergeCell ref="AH4:AI4"/>
    <mergeCell ref="V4:W4"/>
    <mergeCell ref="A5:A10"/>
    <mergeCell ref="X4:Y4"/>
    <mergeCell ref="Z4:AA4"/>
    <mergeCell ref="X79:Y79"/>
    <mergeCell ref="A31:A46"/>
    <mergeCell ref="D79:E79"/>
    <mergeCell ref="F79:G79"/>
    <mergeCell ref="H79:I79"/>
    <mergeCell ref="J79:K79"/>
    <mergeCell ref="L79:M79"/>
    <mergeCell ref="A12:A29"/>
    <mergeCell ref="P4:Q4"/>
    <mergeCell ref="R4:S4"/>
    <mergeCell ref="T4:U4"/>
    <mergeCell ref="D4:E4"/>
    <mergeCell ref="F4:G4"/>
    <mergeCell ref="AB79:AC79"/>
    <mergeCell ref="AD79:AE79"/>
    <mergeCell ref="AF79:AG79"/>
    <mergeCell ref="AH79:AI79"/>
    <mergeCell ref="V79:W79"/>
    <mergeCell ref="N79:O79"/>
    <mergeCell ref="P79:Q79"/>
    <mergeCell ref="R79:S79"/>
    <mergeCell ref="T79:U79"/>
    <mergeCell ref="D80:E80"/>
    <mergeCell ref="F80:G80"/>
    <mergeCell ref="H80:I80"/>
    <mergeCell ref="J80:K80"/>
    <mergeCell ref="L80:M80"/>
    <mergeCell ref="AB80:AC80"/>
    <mergeCell ref="Z79:AA79"/>
    <mergeCell ref="AU80:AW80"/>
    <mergeCell ref="AY80:BA80"/>
    <mergeCell ref="A82:A83"/>
    <mergeCell ref="X80:Y80"/>
    <mergeCell ref="AD80:AE80"/>
    <mergeCell ref="AF80:AG80"/>
    <mergeCell ref="AH80:AI80"/>
    <mergeCell ref="AJ80:AK80"/>
    <mergeCell ref="P80:Q80"/>
    <mergeCell ref="R80:S80"/>
    <mergeCell ref="T80:U80"/>
    <mergeCell ref="V80:W80"/>
    <mergeCell ref="Z80:AA80"/>
    <mergeCell ref="N80:O80"/>
  </mergeCells>
  <conditionalFormatting sqref="A82:A83">
    <cfRule type="cellIs" dxfId="478" priority="307" operator="between">
      <formula>99.01</formula>
      <formula>100</formula>
    </cfRule>
    <cfRule type="cellIs" dxfId="477" priority="308" operator="between">
      <formula>90.01</formula>
      <formula>99</formula>
    </cfRule>
    <cfRule type="cellIs" dxfId="476" priority="309" operator="between">
      <formula>85.01</formula>
      <formula>90</formula>
    </cfRule>
    <cfRule type="cellIs" dxfId="475" priority="310" operator="lessThanOrEqual">
      <formula>85</formula>
    </cfRule>
  </conditionalFormatting>
  <conditionalFormatting sqref="D4 F4 H4 J4 L4 N4 P4 R4 T4 V4 AF4 AH4 AU11:AX11">
    <cfRule type="cellIs" dxfId="474" priority="290" operator="equal">
      <formula>4.4</formula>
    </cfRule>
    <cfRule type="cellIs" dxfId="473" priority="291" operator="equal">
      <formula>4.3</formula>
    </cfRule>
    <cfRule type="cellIs" dxfId="472" priority="292" operator="equal">
      <formula>4.2</formula>
    </cfRule>
    <cfRule type="cellIs" dxfId="471" priority="293" operator="equal">
      <formula>4.1</formula>
    </cfRule>
    <cfRule type="cellIs" dxfId="470" priority="294" operator="equal">
      <formula>3.4</formula>
    </cfRule>
    <cfRule type="cellIs" dxfId="469" priority="295" operator="equal">
      <formula>3.3</formula>
    </cfRule>
    <cfRule type="cellIs" dxfId="468" priority="296" operator="equal">
      <formula>3.2</formula>
    </cfRule>
    <cfRule type="cellIs" dxfId="467" priority="297" operator="equal">
      <formula>3.1</formula>
    </cfRule>
    <cfRule type="cellIs" dxfId="466" priority="298" operator="equal">
      <formula>2.4</formula>
    </cfRule>
    <cfRule type="cellIs" dxfId="465" priority="299" operator="equal">
      <formula>2.3</formula>
    </cfRule>
    <cfRule type="cellIs" dxfId="464" priority="300" operator="equal">
      <formula>2.2</formula>
    </cfRule>
    <cfRule type="cellIs" dxfId="463" priority="301" operator="equal">
      <formula>2.1</formula>
    </cfRule>
    <cfRule type="cellIs" dxfId="462" priority="302" operator="equal">
      <formula>1.5</formula>
    </cfRule>
    <cfRule type="cellIs" dxfId="461" priority="303" operator="equal">
      <formula>1.4</formula>
    </cfRule>
    <cfRule type="cellIs" dxfId="460" priority="304" operator="equal">
      <formula>1.3</formula>
    </cfRule>
    <cfRule type="cellIs" dxfId="459" priority="305" operator="equal">
      <formula>1.2</formula>
    </cfRule>
    <cfRule type="containsText" dxfId="458" priority="306" operator="containsText" text="1.1">
      <formula>NOT(ISERROR(SEARCH("1.1",D4)))</formula>
    </cfRule>
  </conditionalFormatting>
  <conditionalFormatting sqref="X4">
    <cfRule type="cellIs" dxfId="457" priority="256" operator="equal">
      <formula>4.4</formula>
    </cfRule>
    <cfRule type="cellIs" dxfId="456" priority="257" operator="equal">
      <formula>4.3</formula>
    </cfRule>
    <cfRule type="cellIs" dxfId="455" priority="258" operator="equal">
      <formula>4.2</formula>
    </cfRule>
    <cfRule type="cellIs" dxfId="454" priority="259" operator="equal">
      <formula>4.1</formula>
    </cfRule>
    <cfRule type="cellIs" dxfId="453" priority="260" operator="equal">
      <formula>3.4</formula>
    </cfRule>
    <cfRule type="cellIs" dxfId="452" priority="261" operator="equal">
      <formula>3.3</formula>
    </cfRule>
    <cfRule type="cellIs" dxfId="451" priority="262" operator="equal">
      <formula>3.2</formula>
    </cfRule>
    <cfRule type="cellIs" dxfId="450" priority="263" operator="equal">
      <formula>3.1</formula>
    </cfRule>
    <cfRule type="cellIs" dxfId="449" priority="264" operator="equal">
      <formula>2.4</formula>
    </cfRule>
    <cfRule type="cellIs" dxfId="448" priority="265" operator="equal">
      <formula>2.3</formula>
    </cfRule>
    <cfRule type="cellIs" dxfId="447" priority="266" operator="equal">
      <formula>2.2</formula>
    </cfRule>
    <cfRule type="cellIs" dxfId="446" priority="267" operator="equal">
      <formula>2.1</formula>
    </cfRule>
    <cfRule type="cellIs" dxfId="445" priority="268" operator="equal">
      <formula>1.5</formula>
    </cfRule>
    <cfRule type="cellIs" dxfId="444" priority="269" operator="equal">
      <formula>1.4</formula>
    </cfRule>
    <cfRule type="cellIs" dxfId="443" priority="270" operator="equal">
      <formula>1.3</formula>
    </cfRule>
    <cfRule type="cellIs" dxfId="442" priority="271" operator="equal">
      <formula>1.2</formula>
    </cfRule>
    <cfRule type="containsText" dxfId="441" priority="272" operator="containsText" text="1.1">
      <formula>NOT(ISERROR(SEARCH("1.1",X4)))</formula>
    </cfRule>
  </conditionalFormatting>
  <conditionalFormatting sqref="Z4">
    <cfRule type="cellIs" dxfId="440" priority="273" operator="equal">
      <formula>4.4</formula>
    </cfRule>
    <cfRule type="cellIs" dxfId="439" priority="274" operator="equal">
      <formula>4.3</formula>
    </cfRule>
    <cfRule type="cellIs" dxfId="438" priority="275" operator="equal">
      <formula>4.2</formula>
    </cfRule>
    <cfRule type="cellIs" dxfId="437" priority="276" operator="equal">
      <formula>4.1</formula>
    </cfRule>
    <cfRule type="cellIs" dxfId="436" priority="277" operator="equal">
      <formula>3.4</formula>
    </cfRule>
    <cfRule type="cellIs" dxfId="435" priority="278" operator="equal">
      <formula>3.3</formula>
    </cfRule>
    <cfRule type="cellIs" dxfId="434" priority="279" operator="equal">
      <formula>3.2</formula>
    </cfRule>
    <cfRule type="cellIs" dxfId="433" priority="280" operator="equal">
      <formula>3.1</formula>
    </cfRule>
    <cfRule type="cellIs" dxfId="432" priority="281" operator="equal">
      <formula>2.4</formula>
    </cfRule>
    <cfRule type="cellIs" dxfId="431" priority="282" operator="equal">
      <formula>2.3</formula>
    </cfRule>
    <cfRule type="cellIs" dxfId="430" priority="283" operator="equal">
      <formula>2.2</formula>
    </cfRule>
    <cfRule type="cellIs" dxfId="429" priority="284" operator="equal">
      <formula>2.1</formula>
    </cfRule>
    <cfRule type="cellIs" dxfId="428" priority="285" operator="equal">
      <formula>1.5</formula>
    </cfRule>
    <cfRule type="cellIs" dxfId="427" priority="286" operator="equal">
      <formula>1.4</formula>
    </cfRule>
    <cfRule type="cellIs" dxfId="426" priority="287" operator="equal">
      <formula>1.3</formula>
    </cfRule>
    <cfRule type="cellIs" dxfId="425" priority="288" operator="equal">
      <formula>1.2</formula>
    </cfRule>
    <cfRule type="containsText" dxfId="424" priority="289" operator="containsText" text="1.1">
      <formula>NOT(ISERROR(SEARCH("1.1",Z4)))</formula>
    </cfRule>
  </conditionalFormatting>
  <conditionalFormatting sqref="AB4 AD4">
    <cfRule type="cellIs" dxfId="423" priority="239" operator="equal">
      <formula>4.4</formula>
    </cfRule>
    <cfRule type="cellIs" dxfId="422" priority="240" operator="equal">
      <formula>4.3</formula>
    </cfRule>
    <cfRule type="cellIs" dxfId="421" priority="241" operator="equal">
      <formula>4.2</formula>
    </cfRule>
    <cfRule type="cellIs" dxfId="420" priority="242" operator="equal">
      <formula>4.1</formula>
    </cfRule>
    <cfRule type="cellIs" dxfId="419" priority="243" operator="equal">
      <formula>3.4</formula>
    </cfRule>
    <cfRule type="cellIs" dxfId="418" priority="244" operator="equal">
      <formula>3.3</formula>
    </cfRule>
    <cfRule type="cellIs" dxfId="417" priority="245" operator="equal">
      <formula>3.2</formula>
    </cfRule>
    <cfRule type="cellIs" dxfId="416" priority="246" operator="equal">
      <formula>3.1</formula>
    </cfRule>
    <cfRule type="cellIs" dxfId="415" priority="247" operator="equal">
      <formula>2.4</formula>
    </cfRule>
    <cfRule type="cellIs" dxfId="414" priority="248" operator="equal">
      <formula>2.3</formula>
    </cfRule>
    <cfRule type="cellIs" dxfId="413" priority="249" operator="equal">
      <formula>2.2</formula>
    </cfRule>
    <cfRule type="cellIs" dxfId="412" priority="250" operator="equal">
      <formula>2.1</formula>
    </cfRule>
    <cfRule type="cellIs" dxfId="411" priority="251" operator="equal">
      <formula>1.5</formula>
    </cfRule>
    <cfRule type="cellIs" dxfId="410" priority="252" operator="equal">
      <formula>1.4</formula>
    </cfRule>
    <cfRule type="cellIs" dxfId="409" priority="253" operator="equal">
      <formula>1.3</formula>
    </cfRule>
    <cfRule type="cellIs" dxfId="408" priority="254" operator="equal">
      <formula>1.2</formula>
    </cfRule>
    <cfRule type="containsText" dxfId="407" priority="255" operator="containsText" text="1.1">
      <formula>NOT(ISERROR(SEARCH("1.1",AB4)))</formula>
    </cfRule>
  </conditionalFormatting>
  <conditionalFormatting sqref="B1:B2">
    <cfRule type="cellIs" dxfId="406" priority="18" operator="equal">
      <formula>4.4</formula>
    </cfRule>
    <cfRule type="cellIs" dxfId="405" priority="19" operator="equal">
      <formula>4.3</formula>
    </cfRule>
    <cfRule type="cellIs" dxfId="404" priority="20" operator="equal">
      <formula>4.2</formula>
    </cfRule>
    <cfRule type="cellIs" dxfId="403" priority="21" operator="equal">
      <formula>4.1</formula>
    </cfRule>
    <cfRule type="cellIs" dxfId="402" priority="22" operator="equal">
      <formula>3.4</formula>
    </cfRule>
    <cfRule type="cellIs" dxfId="401" priority="23" operator="equal">
      <formula>3.3</formula>
    </cfRule>
    <cfRule type="cellIs" dxfId="400" priority="24" operator="equal">
      <formula>3.2</formula>
    </cfRule>
    <cfRule type="cellIs" dxfId="399" priority="25" operator="equal">
      <formula>3.1</formula>
    </cfRule>
    <cfRule type="cellIs" dxfId="398" priority="26" operator="equal">
      <formula>2.4</formula>
    </cfRule>
    <cfRule type="cellIs" dxfId="397" priority="27" operator="equal">
      <formula>2.3</formula>
    </cfRule>
    <cfRule type="cellIs" dxfId="396" priority="28" operator="equal">
      <formula>2.2</formula>
    </cfRule>
    <cfRule type="cellIs" dxfId="395" priority="29" operator="equal">
      <formula>2.1</formula>
    </cfRule>
    <cfRule type="cellIs" dxfId="394" priority="30" operator="equal">
      <formula>1.5</formula>
    </cfRule>
    <cfRule type="cellIs" dxfId="393" priority="31" operator="equal">
      <formula>1.4</formula>
    </cfRule>
    <cfRule type="cellIs" dxfId="392" priority="32" operator="equal">
      <formula>1.3</formula>
    </cfRule>
    <cfRule type="cellIs" dxfId="391" priority="33" operator="equal">
      <formula>1.2</formula>
    </cfRule>
    <cfRule type="containsText" dxfId="390" priority="34" operator="containsText" text="1.1">
      <formula>NOT(ISERROR(SEARCH("1.1",B1)))</formula>
    </cfRule>
  </conditionalFormatting>
  <conditionalFormatting sqref="AD1:AE2">
    <cfRule type="cellIs" dxfId="389" priority="1" operator="equal">
      <formula>4.4</formula>
    </cfRule>
    <cfRule type="cellIs" dxfId="388" priority="2" operator="equal">
      <formula>4.3</formula>
    </cfRule>
    <cfRule type="cellIs" dxfId="387" priority="3" operator="equal">
      <formula>4.2</formula>
    </cfRule>
    <cfRule type="cellIs" dxfId="386" priority="4" operator="equal">
      <formula>4.1</formula>
    </cfRule>
    <cfRule type="cellIs" dxfId="385" priority="5" operator="equal">
      <formula>3.4</formula>
    </cfRule>
    <cfRule type="cellIs" dxfId="384" priority="6" operator="equal">
      <formula>3.3</formula>
    </cfRule>
    <cfRule type="cellIs" dxfId="383" priority="7" operator="equal">
      <formula>3.2</formula>
    </cfRule>
    <cfRule type="cellIs" dxfId="382" priority="8" operator="equal">
      <formula>3.1</formula>
    </cfRule>
    <cfRule type="cellIs" dxfId="381" priority="9" operator="equal">
      <formula>2.4</formula>
    </cfRule>
    <cfRule type="cellIs" dxfId="380" priority="10" operator="equal">
      <formula>2.3</formula>
    </cfRule>
    <cfRule type="cellIs" dxfId="379" priority="11" operator="equal">
      <formula>2.2</formula>
    </cfRule>
    <cfRule type="cellIs" dxfId="378" priority="12" operator="equal">
      <formula>2.1</formula>
    </cfRule>
    <cfRule type="cellIs" dxfId="377" priority="13" operator="equal">
      <formula>1.5</formula>
    </cfRule>
    <cfRule type="cellIs" dxfId="376" priority="14" operator="equal">
      <formula>1.4</formula>
    </cfRule>
    <cfRule type="cellIs" dxfId="375" priority="15" operator="equal">
      <formula>1.3</formula>
    </cfRule>
    <cfRule type="cellIs" dxfId="374" priority="16" operator="equal">
      <formula>1.2</formula>
    </cfRule>
    <cfRule type="containsText" dxfId="373" priority="17" operator="containsText" text="1.1">
      <formula>NOT(ISERROR(SEARCH("1.1",AD1)))</formula>
    </cfRule>
  </conditionalFormatting>
  <hyperlinks>
    <hyperlink ref="A3" location="'D3 to D14'!R3" tooltip="Back" display="D3 to D14'!A1" xr:uid="{00000000-0004-0000-1200-000000000000}"/>
  </hyperlinks>
  <pageMargins left="0.7" right="0.7" top="0.75" bottom="0.75" header="0.3" footer="0.3"/>
  <pageSetup scale="41" fitToHeight="0" orientation="landscape"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pageSetUpPr fitToPage="1"/>
  </sheetPr>
  <dimension ref="A1:BD125"/>
  <sheetViews>
    <sheetView zoomScale="75" zoomScaleNormal="75" workbookViewId="0"/>
  </sheetViews>
  <sheetFormatPr baseColWidth="10" defaultColWidth="9.1640625" defaultRowHeight="15"/>
  <cols>
    <col min="1" max="1" width="9.1640625" style="32" customWidth="1"/>
    <col min="2" max="2" width="50" style="32" bestFit="1" customWidth="1"/>
    <col min="3" max="3" width="7.5" style="32" customWidth="1"/>
    <col min="4" max="56" width="5.6640625" style="32" customWidth="1"/>
    <col min="57" max="57" width="2.6640625" style="32" customWidth="1"/>
    <col min="58" max="16384" width="9.1640625" style="32"/>
  </cols>
  <sheetData>
    <row r="1" spans="1:56"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c r="AU1" s="428"/>
      <c r="AV1" s="428"/>
      <c r="AW1" s="428"/>
      <c r="AX1" s="428"/>
      <c r="AY1" s="428"/>
      <c r="AZ1" s="428"/>
      <c r="BA1" s="428"/>
      <c r="BB1" s="428"/>
      <c r="BC1" s="428"/>
      <c r="BD1" s="428"/>
    </row>
    <row r="2" spans="1:56"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c r="AU2" s="428"/>
      <c r="AV2" s="428"/>
      <c r="AW2" s="428"/>
      <c r="AX2" s="428"/>
      <c r="AY2" s="428"/>
      <c r="AZ2" s="428"/>
      <c r="BA2" s="428"/>
      <c r="BB2" s="428"/>
      <c r="BC2" s="428"/>
      <c r="BD2" s="428"/>
    </row>
    <row r="3" spans="1:56"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1870"/>
      <c r="AK3" s="1870"/>
      <c r="AL3" s="1857"/>
      <c r="AM3" s="1857"/>
      <c r="AN3" s="1857"/>
      <c r="AO3" s="1857"/>
      <c r="AP3" s="1857"/>
      <c r="AQ3" s="1857"/>
      <c r="AR3" s="1857"/>
      <c r="AS3" s="1857"/>
      <c r="AT3" s="1857"/>
      <c r="AU3" s="1857"/>
      <c r="AV3" s="1857"/>
      <c r="AW3" s="1857"/>
      <c r="AX3" s="1857"/>
      <c r="AY3" s="1857"/>
      <c r="AZ3" s="1857"/>
      <c r="BA3" s="1857"/>
      <c r="BB3" s="1857"/>
      <c r="BC3" s="1857"/>
      <c r="BD3" s="1857"/>
    </row>
    <row r="4" spans="1:56" ht="20" customHeight="1">
      <c r="A4" s="159" t="s">
        <v>672</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row>
    <row r="5" spans="1:56" ht="20" customHeight="1">
      <c r="A5" s="1871" t="s">
        <v>15</v>
      </c>
      <c r="B5" s="410" t="s">
        <v>662</v>
      </c>
      <c r="C5" s="444"/>
      <c r="D5" s="422"/>
      <c r="E5" s="413"/>
      <c r="F5" s="422"/>
      <c r="G5" s="441"/>
      <c r="H5" s="422"/>
      <c r="I5" s="441"/>
      <c r="J5" s="422"/>
      <c r="K5" s="441"/>
      <c r="L5" s="623" t="str">
        <f>'JFK LU'!T32</f>
        <v/>
      </c>
      <c r="M5" s="441">
        <f>'JFK LU'!S32</f>
        <v>2</v>
      </c>
      <c r="N5" s="623"/>
      <c r="O5" s="443"/>
      <c r="P5" s="422"/>
      <c r="Q5" s="443"/>
      <c r="R5" s="422"/>
      <c r="S5" s="443"/>
      <c r="T5" s="422"/>
      <c r="U5" s="443"/>
      <c r="V5" s="422"/>
      <c r="W5" s="438"/>
      <c r="X5" s="422"/>
      <c r="Y5" s="438"/>
      <c r="Z5" s="422"/>
      <c r="AA5" s="438"/>
      <c r="AB5" s="422"/>
      <c r="AC5" s="440"/>
      <c r="AD5" s="422"/>
      <c r="AE5" s="440"/>
      <c r="AF5" s="623" t="str">
        <f>'JFK LU'!T33</f>
        <v/>
      </c>
      <c r="AG5" s="440">
        <f>'JFK LU'!S33</f>
        <v>2</v>
      </c>
      <c r="AH5" s="623" t="str">
        <f>'JFK LU'!T34</f>
        <v/>
      </c>
      <c r="AI5" s="440">
        <f>'JFK LU'!S34</f>
        <v>3</v>
      </c>
    </row>
    <row r="6" spans="1:56" ht="20" customHeight="1">
      <c r="A6" s="1871"/>
      <c r="B6" s="410" t="s">
        <v>677</v>
      </c>
      <c r="C6" s="444"/>
      <c r="D6" s="422"/>
      <c r="E6" s="413"/>
      <c r="F6" s="422"/>
      <c r="G6" s="441"/>
      <c r="H6" s="422"/>
      <c r="I6" s="441"/>
      <c r="J6" s="422"/>
      <c r="K6" s="441"/>
      <c r="L6" s="623" t="str">
        <f>'JFK LU'!AD41</f>
        <v/>
      </c>
      <c r="M6" s="441">
        <f>'JFK LU'!AC41</f>
        <v>1</v>
      </c>
      <c r="N6" s="623"/>
      <c r="O6" s="443"/>
      <c r="P6" s="422"/>
      <c r="Q6" s="443"/>
      <c r="R6" s="422"/>
      <c r="S6" s="443"/>
      <c r="T6" s="422" t="str">
        <f>'JFK LU'!AD42</f>
        <v/>
      </c>
      <c r="U6" s="443">
        <f>'JFK LU'!AC42</f>
        <v>2</v>
      </c>
      <c r="V6" s="422"/>
      <c r="W6" s="438"/>
      <c r="X6" s="422"/>
      <c r="Y6" s="438"/>
      <c r="Z6" s="422"/>
      <c r="AA6" s="438"/>
      <c r="AB6" s="422"/>
      <c r="AC6" s="440"/>
      <c r="AD6" s="422"/>
      <c r="AE6" s="440"/>
      <c r="AF6" s="623" t="str">
        <f>'JFK LU'!AD43</f>
        <v/>
      </c>
      <c r="AG6" s="440">
        <f>'JFK LU'!AC43</f>
        <v>1</v>
      </c>
      <c r="AH6" s="623" t="str">
        <f>'JFK LU'!AD44</f>
        <v/>
      </c>
      <c r="AI6" s="440">
        <f>'JFK LU'!AC44</f>
        <v>6</v>
      </c>
    </row>
    <row r="7" spans="1:56" ht="20" customHeight="1">
      <c r="A7" s="1871"/>
      <c r="B7" s="410" t="s">
        <v>678</v>
      </c>
      <c r="C7" s="444"/>
      <c r="D7" s="422"/>
      <c r="E7" s="413"/>
      <c r="F7" s="422"/>
      <c r="G7" s="441"/>
      <c r="H7" s="422"/>
      <c r="I7" s="441"/>
      <c r="J7" s="422"/>
      <c r="K7" s="441"/>
      <c r="L7" s="623" t="str">
        <f>'JFK LU'!AN29</f>
        <v/>
      </c>
      <c r="M7" s="441">
        <f>'JFK LU'!AM29</f>
        <v>1</v>
      </c>
      <c r="N7" s="623"/>
      <c r="O7" s="443"/>
      <c r="P7" s="422"/>
      <c r="Q7" s="443"/>
      <c r="R7" s="422"/>
      <c r="S7" s="443"/>
      <c r="T7" s="422"/>
      <c r="U7" s="443"/>
      <c r="V7" s="422"/>
      <c r="W7" s="438"/>
      <c r="X7" s="422"/>
      <c r="Y7" s="438"/>
      <c r="Z7" s="422"/>
      <c r="AA7" s="438"/>
      <c r="AB7" s="422"/>
      <c r="AC7" s="440"/>
      <c r="AD7" s="422"/>
      <c r="AE7" s="440"/>
      <c r="AF7" s="623" t="str">
        <f>'JFK LU'!AN30</f>
        <v/>
      </c>
      <c r="AG7" s="440">
        <f>'JFK LU'!AM30</f>
        <v>1</v>
      </c>
      <c r="AH7" s="623" t="str">
        <f>'JFK LU'!AN31</f>
        <v/>
      </c>
      <c r="AI7" s="440">
        <f>'JFK LU'!AM31</f>
        <v>4</v>
      </c>
    </row>
    <row r="8" spans="1:56" ht="20" customHeight="1">
      <c r="A8" s="1871"/>
      <c r="B8" s="410" t="s">
        <v>697</v>
      </c>
      <c r="C8" s="444"/>
      <c r="D8" s="422" t="str">
        <f>'JFK LU'!I32</f>
        <v/>
      </c>
      <c r="E8" s="413">
        <f>'JFK LU'!H32</f>
        <v>4</v>
      </c>
      <c r="F8" s="422"/>
      <c r="G8" s="441"/>
      <c r="H8" s="422"/>
      <c r="I8" s="441"/>
      <c r="J8" s="422"/>
      <c r="K8" s="441"/>
      <c r="L8" s="623" t="str">
        <f>'JFK LU'!I33</f>
        <v/>
      </c>
      <c r="M8" s="441">
        <f>'JFK LU'!H33</f>
        <v>1</v>
      </c>
      <c r="N8" s="623" t="str">
        <f>'JFK LU'!I34</f>
        <v/>
      </c>
      <c r="O8" s="443">
        <f>'JFK LU'!H34</f>
        <v>1</v>
      </c>
      <c r="P8" s="422"/>
      <c r="Q8" s="443"/>
      <c r="R8" s="422"/>
      <c r="S8" s="443"/>
      <c r="T8" s="422" t="str">
        <f>'JFK LU'!I35</f>
        <v/>
      </c>
      <c r="U8" s="443">
        <f>'JFK LU'!H35</f>
        <v>1</v>
      </c>
      <c r="V8" s="422"/>
      <c r="W8" s="438"/>
      <c r="X8" s="422"/>
      <c r="Y8" s="438"/>
      <c r="Z8" s="422"/>
      <c r="AA8" s="438"/>
      <c r="AB8" s="422"/>
      <c r="AC8" s="440"/>
      <c r="AD8" s="422"/>
      <c r="AE8" s="440"/>
      <c r="AF8" s="623"/>
      <c r="AG8" s="440"/>
      <c r="AH8" s="623"/>
      <c r="AI8" s="440"/>
    </row>
    <row r="9" spans="1:56" ht="20" customHeight="1">
      <c r="A9" s="1871"/>
      <c r="B9" s="410" t="s">
        <v>698</v>
      </c>
      <c r="C9" s="444"/>
      <c r="D9" s="422" t="str">
        <f>'JFK LU'!J32</f>
        <v/>
      </c>
      <c r="E9" s="413">
        <f>'JFK LU'!H32</f>
        <v>4</v>
      </c>
      <c r="F9" s="422"/>
      <c r="G9" s="441"/>
      <c r="H9" s="422"/>
      <c r="I9" s="441"/>
      <c r="J9" s="422"/>
      <c r="K9" s="441"/>
      <c r="L9" s="623" t="str">
        <f>'JFK LU'!J33</f>
        <v/>
      </c>
      <c r="M9" s="441">
        <f>'JFK LU'!H33</f>
        <v>1</v>
      </c>
      <c r="N9" s="623" t="str">
        <f>'JFK LU'!J34</f>
        <v/>
      </c>
      <c r="O9" s="443">
        <f>'JFK LU'!H34</f>
        <v>1</v>
      </c>
      <c r="P9" s="422"/>
      <c r="Q9" s="443"/>
      <c r="R9" s="422"/>
      <c r="S9" s="443"/>
      <c r="T9" s="422" t="str">
        <f>'JFK LU'!J35</f>
        <v/>
      </c>
      <c r="U9" s="443">
        <f>'JFK LU'!H35</f>
        <v>1</v>
      </c>
      <c r="V9" s="422"/>
      <c r="W9" s="438"/>
      <c r="X9" s="422"/>
      <c r="Y9" s="438"/>
      <c r="Z9" s="422"/>
      <c r="AA9" s="438"/>
      <c r="AB9" s="422"/>
      <c r="AC9" s="440"/>
      <c r="AD9" s="422"/>
      <c r="AE9" s="440"/>
      <c r="AF9" s="623"/>
      <c r="AG9" s="440"/>
      <c r="AH9" s="623"/>
      <c r="AI9" s="440"/>
    </row>
    <row r="10" spans="1:56" ht="20" customHeight="1">
      <c r="A10" s="1871"/>
      <c r="B10" s="410" t="s">
        <v>726</v>
      </c>
      <c r="C10" s="444"/>
      <c r="D10" s="422" t="str">
        <f>'JFK LU'!K32</f>
        <v/>
      </c>
      <c r="E10" s="413">
        <f>'JFK LU'!H32</f>
        <v>4</v>
      </c>
      <c r="F10" s="422"/>
      <c r="G10" s="441"/>
      <c r="H10" s="422"/>
      <c r="I10" s="441"/>
      <c r="J10" s="422"/>
      <c r="K10" s="441"/>
      <c r="L10" s="623" t="str">
        <f>'JFK LU'!K33</f>
        <v/>
      </c>
      <c r="M10" s="441">
        <f>'JFK LU'!H33</f>
        <v>1</v>
      </c>
      <c r="N10" s="623" t="str">
        <f>'JFK LU'!K34</f>
        <v/>
      </c>
      <c r="O10" s="443">
        <f>'JFK LU'!H34</f>
        <v>1</v>
      </c>
      <c r="P10" s="422"/>
      <c r="Q10" s="443"/>
      <c r="R10" s="422"/>
      <c r="S10" s="443"/>
      <c r="T10" s="422" t="str">
        <f>'JFK LU'!K35</f>
        <v/>
      </c>
      <c r="U10" s="443">
        <f>'JFK LU'!H35</f>
        <v>1</v>
      </c>
      <c r="V10" s="422"/>
      <c r="W10" s="438"/>
      <c r="X10" s="422"/>
      <c r="Y10" s="438"/>
      <c r="Z10" s="422"/>
      <c r="AA10" s="438"/>
      <c r="AB10" s="422"/>
      <c r="AC10" s="440"/>
      <c r="AD10" s="422"/>
      <c r="AE10" s="440"/>
      <c r="AF10" s="623"/>
      <c r="AG10" s="440"/>
      <c r="AH10" s="623"/>
      <c r="AI10" s="440"/>
    </row>
    <row r="11" spans="1:56" ht="20" customHeight="1">
      <c r="A11" s="1871"/>
      <c r="B11" s="410" t="s">
        <v>716</v>
      </c>
      <c r="C11" s="444"/>
      <c r="D11" s="422"/>
      <c r="E11" s="413"/>
      <c r="F11" s="422"/>
      <c r="G11" s="441"/>
      <c r="H11" s="422"/>
      <c r="I11" s="441"/>
      <c r="J11" s="422"/>
      <c r="K11" s="441"/>
      <c r="L11" s="623"/>
      <c r="M11" s="441"/>
      <c r="N11" s="623"/>
      <c r="O11" s="443"/>
      <c r="P11" s="422"/>
      <c r="Q11" s="443"/>
      <c r="R11" s="422"/>
      <c r="S11" s="443"/>
      <c r="T11" s="422"/>
      <c r="U11" s="443"/>
      <c r="V11" s="422" t="str">
        <f>'JFK LU'!I42</f>
        <v/>
      </c>
      <c r="W11" s="438">
        <f>'JFK LU'!H42</f>
        <v>1</v>
      </c>
      <c r="X11" s="422"/>
      <c r="Y11" s="438"/>
      <c r="Z11" s="422"/>
      <c r="AA11" s="438"/>
      <c r="AB11" s="422"/>
      <c r="AC11" s="440"/>
      <c r="AD11" s="422"/>
      <c r="AE11" s="440"/>
      <c r="AF11" s="623"/>
      <c r="AG11" s="440"/>
      <c r="AH11" s="623"/>
      <c r="AI11" s="440"/>
    </row>
    <row r="12" spans="1:56" ht="20" customHeight="1">
      <c r="A12" s="1871"/>
      <c r="B12" s="410" t="s">
        <v>717</v>
      </c>
      <c r="C12" s="444"/>
      <c r="D12" s="422"/>
      <c r="E12" s="413"/>
      <c r="F12" s="422"/>
      <c r="G12" s="441"/>
      <c r="H12" s="422"/>
      <c r="I12" s="441"/>
      <c r="J12" s="422"/>
      <c r="K12" s="441"/>
      <c r="L12" s="623"/>
      <c r="M12" s="441"/>
      <c r="N12" s="623"/>
      <c r="O12" s="443"/>
      <c r="P12" s="422"/>
      <c r="Q12" s="443"/>
      <c r="R12" s="422"/>
      <c r="S12" s="443"/>
      <c r="T12" s="422"/>
      <c r="U12" s="443"/>
      <c r="V12" s="422" t="str">
        <f>'JFK LU'!J42</f>
        <v/>
      </c>
      <c r="W12" s="438">
        <f>'JFK LU'!H42</f>
        <v>1</v>
      </c>
      <c r="X12" s="422"/>
      <c r="Y12" s="438"/>
      <c r="Z12" s="422"/>
      <c r="AA12" s="438"/>
      <c r="AB12" s="422"/>
      <c r="AC12" s="440"/>
      <c r="AD12" s="422"/>
      <c r="AE12" s="440"/>
      <c r="AF12" s="623"/>
      <c r="AG12" s="440"/>
      <c r="AH12" s="623"/>
      <c r="AI12" s="440"/>
    </row>
    <row r="13" spans="1:56" ht="20" customHeight="1">
      <c r="A13" s="1871"/>
      <c r="B13" s="410" t="s">
        <v>725</v>
      </c>
      <c r="C13" s="444"/>
      <c r="D13" s="422"/>
      <c r="E13" s="413"/>
      <c r="F13" s="422"/>
      <c r="G13" s="441"/>
      <c r="H13" s="422"/>
      <c r="I13" s="441"/>
      <c r="J13" s="422"/>
      <c r="K13" s="441"/>
      <c r="L13" s="623"/>
      <c r="M13" s="441"/>
      <c r="N13" s="623"/>
      <c r="O13" s="443"/>
      <c r="P13" s="422"/>
      <c r="Q13" s="443"/>
      <c r="R13" s="422"/>
      <c r="S13" s="443"/>
      <c r="T13" s="422"/>
      <c r="U13" s="443"/>
      <c r="V13" s="422" t="str">
        <f>'JFK LU'!K42</f>
        <v/>
      </c>
      <c r="W13" s="438">
        <f>'JFK LU'!H42</f>
        <v>1</v>
      </c>
      <c r="X13" s="422"/>
      <c r="Y13" s="438"/>
      <c r="Z13" s="422"/>
      <c r="AA13" s="438"/>
      <c r="AB13" s="422"/>
      <c r="AC13" s="440"/>
      <c r="AD13" s="422"/>
      <c r="AE13" s="440"/>
      <c r="AF13" s="623"/>
      <c r="AG13" s="440"/>
      <c r="AH13" s="623"/>
      <c r="AI13" s="440"/>
    </row>
    <row r="14" spans="1:56" ht="20" customHeight="1">
      <c r="A14" s="423"/>
      <c r="B14" s="424"/>
      <c r="C14" s="429"/>
      <c r="D14" s="513"/>
      <c r="E14" s="513"/>
      <c r="F14" s="513"/>
      <c r="G14" s="513"/>
      <c r="H14" s="513"/>
      <c r="I14" s="513"/>
      <c r="J14" s="513"/>
      <c r="K14" s="513"/>
      <c r="L14" s="513"/>
      <c r="M14" s="513"/>
      <c r="N14" s="513"/>
      <c r="O14" s="513"/>
      <c r="P14" s="513"/>
      <c r="Q14" s="513"/>
      <c r="R14" s="513"/>
      <c r="S14" s="513"/>
      <c r="T14" s="513"/>
      <c r="U14" s="513"/>
      <c r="V14" s="513"/>
      <c r="W14" s="513"/>
      <c r="X14" s="513"/>
      <c r="Y14" s="513"/>
      <c r="Z14" s="513"/>
      <c r="AA14" s="513"/>
      <c r="AB14" s="513"/>
      <c r="AC14" s="513"/>
      <c r="AD14" s="513"/>
      <c r="AE14" s="513"/>
      <c r="AF14" s="513"/>
      <c r="AG14" s="513"/>
      <c r="AH14" s="513"/>
      <c r="AI14" s="513"/>
      <c r="AZ14" s="415"/>
      <c r="BA14" s="415"/>
      <c r="BB14" s="52"/>
    </row>
    <row r="15" spans="1:56" ht="20" customHeight="1">
      <c r="A15" s="1871" t="s">
        <v>645</v>
      </c>
      <c r="B15" s="410" t="s">
        <v>426</v>
      </c>
      <c r="C15" s="444"/>
      <c r="D15" s="422"/>
      <c r="E15" s="413"/>
      <c r="F15" s="422"/>
      <c r="G15" s="441"/>
      <c r="H15" s="422"/>
      <c r="I15" s="441"/>
      <c r="J15" s="422"/>
      <c r="K15" s="441"/>
      <c r="L15" s="623" t="str">
        <f>'JFK LU'!U65</f>
        <v/>
      </c>
      <c r="M15" s="441">
        <f>'JFK LU'!T65</f>
        <v>1</v>
      </c>
      <c r="N15" s="623" t="str">
        <f>'JFK LU'!U66</f>
        <v/>
      </c>
      <c r="O15" s="443">
        <f>'JFK LU'!T66</f>
        <v>1</v>
      </c>
      <c r="P15" s="422"/>
      <c r="Q15" s="443"/>
      <c r="R15" s="422"/>
      <c r="S15" s="443"/>
      <c r="T15" s="422"/>
      <c r="U15" s="443"/>
      <c r="V15" s="422"/>
      <c r="W15" s="438"/>
      <c r="X15" s="422"/>
      <c r="Y15" s="438"/>
      <c r="Z15" s="422"/>
      <c r="AA15" s="438"/>
      <c r="AB15" s="422"/>
      <c r="AC15" s="440"/>
      <c r="AD15" s="422"/>
      <c r="AE15" s="440"/>
      <c r="AF15" s="623" t="str">
        <f>'JFK LU'!U67</f>
        <v/>
      </c>
      <c r="AG15" s="440">
        <f>'JFK LU'!T67</f>
        <v>1</v>
      </c>
      <c r="AH15" s="623" t="str">
        <f>'JFK LU'!U68</f>
        <v/>
      </c>
      <c r="AI15" s="440">
        <f>'JFK LU'!T68</f>
        <v>2</v>
      </c>
      <c r="BB15" s="52"/>
    </row>
    <row r="16" spans="1:56" ht="20" customHeight="1">
      <c r="A16" s="1871"/>
      <c r="B16" s="410" t="s">
        <v>444</v>
      </c>
      <c r="C16" s="444"/>
      <c r="D16" s="422"/>
      <c r="E16" s="413"/>
      <c r="F16" s="422"/>
      <c r="G16" s="441"/>
      <c r="H16" s="422"/>
      <c r="I16" s="441"/>
      <c r="J16" s="422"/>
      <c r="K16" s="441"/>
      <c r="L16" s="623"/>
      <c r="M16" s="441"/>
      <c r="N16" s="623"/>
      <c r="O16" s="443"/>
      <c r="P16" s="422"/>
      <c r="Q16" s="443"/>
      <c r="R16" s="422"/>
      <c r="S16" s="443"/>
      <c r="T16" s="422" t="str">
        <f>'JFK LU'!AC68</f>
        <v/>
      </c>
      <c r="U16" s="443">
        <f>'JFK LU'!AB68</f>
        <v>1</v>
      </c>
      <c r="V16" s="422"/>
      <c r="W16" s="438"/>
      <c r="X16" s="422"/>
      <c r="Y16" s="438"/>
      <c r="Z16" s="422"/>
      <c r="AA16" s="438"/>
      <c r="AB16" s="422"/>
      <c r="AC16" s="440"/>
      <c r="AD16" s="422"/>
      <c r="AE16" s="440"/>
      <c r="AF16" s="623" t="str">
        <f>'JFK LU'!AC69</f>
        <v/>
      </c>
      <c r="AG16" s="440">
        <f>'JFK LU'!AB69</f>
        <v>4</v>
      </c>
      <c r="AH16" s="623" t="str">
        <f>'JFK LU'!AC70</f>
        <v/>
      </c>
      <c r="AI16" s="440">
        <f>'JFK LU'!AB70</f>
        <v>1</v>
      </c>
      <c r="BB16" s="52"/>
    </row>
    <row r="17" spans="1:54" ht="20" customHeight="1">
      <c r="A17" s="1871"/>
      <c r="B17" s="410" t="s">
        <v>445</v>
      </c>
      <c r="C17" s="444"/>
      <c r="D17" s="422"/>
      <c r="E17" s="413"/>
      <c r="F17" s="422"/>
      <c r="G17" s="441"/>
      <c r="H17" s="422"/>
      <c r="I17" s="441"/>
      <c r="J17" s="422"/>
      <c r="K17" s="441"/>
      <c r="L17" s="623"/>
      <c r="M17" s="441"/>
      <c r="N17" s="623"/>
      <c r="O17" s="443"/>
      <c r="P17" s="422"/>
      <c r="Q17" s="443"/>
      <c r="R17" s="422"/>
      <c r="S17" s="443"/>
      <c r="T17" s="422" t="str">
        <f>'JFK LU'!AK77</f>
        <v/>
      </c>
      <c r="U17" s="443">
        <f>'JFK LU'!AJ77</f>
        <v>2</v>
      </c>
      <c r="V17" s="422"/>
      <c r="W17" s="438"/>
      <c r="X17" s="422"/>
      <c r="Y17" s="438"/>
      <c r="Z17" s="422"/>
      <c r="AA17" s="438"/>
      <c r="AB17" s="422"/>
      <c r="AC17" s="440"/>
      <c r="AD17" s="422"/>
      <c r="AE17" s="440"/>
      <c r="AF17" s="623" t="str">
        <f>'JFK LU'!AK78</f>
        <v/>
      </c>
      <c r="AG17" s="440">
        <f>'JFK LU'!AJ78</f>
        <v>4</v>
      </c>
      <c r="AH17" s="623" t="str">
        <f>'JFK LU'!AK79</f>
        <v/>
      </c>
      <c r="AI17" s="440">
        <f>'JFK LU'!AJ79</f>
        <v>3</v>
      </c>
      <c r="BB17" s="52"/>
    </row>
    <row r="18" spans="1:54" ht="20" customHeight="1">
      <c r="A18" s="1871"/>
      <c r="B18" s="410" t="s">
        <v>675</v>
      </c>
      <c r="C18" s="444"/>
      <c r="D18" s="422"/>
      <c r="E18" s="413"/>
      <c r="F18" s="422"/>
      <c r="G18" s="441"/>
      <c r="H18" s="422"/>
      <c r="I18" s="441"/>
      <c r="J18" s="422"/>
      <c r="K18" s="441"/>
      <c r="L18" s="623"/>
      <c r="M18" s="441"/>
      <c r="N18" s="623"/>
      <c r="O18" s="443"/>
      <c r="P18" s="422"/>
      <c r="Q18" s="443"/>
      <c r="R18" s="422"/>
      <c r="S18" s="443"/>
      <c r="T18" s="422" t="str">
        <f>'JFK LU'!AS77</f>
        <v/>
      </c>
      <c r="U18" s="443">
        <f>'JFK LU'!AR77</f>
        <v>3</v>
      </c>
      <c r="V18" s="422"/>
      <c r="W18" s="438"/>
      <c r="X18" s="422"/>
      <c r="Y18" s="438"/>
      <c r="Z18" s="422"/>
      <c r="AA18" s="438"/>
      <c r="AB18" s="422"/>
      <c r="AC18" s="440"/>
      <c r="AD18" s="422"/>
      <c r="AE18" s="440"/>
      <c r="AF18" s="623" t="str">
        <f>'JFK LU'!AS78</f>
        <v/>
      </c>
      <c r="AG18" s="440">
        <f>'JFK LU'!AR78</f>
        <v>4</v>
      </c>
      <c r="AH18" s="623" t="str">
        <f>'JFK LU'!AS79</f>
        <v/>
      </c>
      <c r="AI18" s="440">
        <f>'JFK LU'!AR79</f>
        <v>2</v>
      </c>
    </row>
    <row r="19" spans="1:54" ht="20" customHeight="1">
      <c r="A19" s="1871"/>
      <c r="B19" s="410" t="s">
        <v>446</v>
      </c>
      <c r="C19" s="444"/>
      <c r="D19" s="422"/>
      <c r="E19" s="413"/>
      <c r="F19" s="422"/>
      <c r="G19" s="441"/>
      <c r="H19" s="422"/>
      <c r="I19" s="441"/>
      <c r="J19" s="422"/>
      <c r="K19" s="441"/>
      <c r="L19" s="623"/>
      <c r="M19" s="441"/>
      <c r="N19" s="623"/>
      <c r="O19" s="443"/>
      <c r="P19" s="422"/>
      <c r="Q19" s="443"/>
      <c r="R19" s="422"/>
      <c r="S19" s="443"/>
      <c r="T19" s="422" t="str">
        <f>'JFK LU'!BA74</f>
        <v/>
      </c>
      <c r="U19" s="443">
        <f>'JFK LU'!AZ74</f>
        <v>4</v>
      </c>
      <c r="V19" s="422"/>
      <c r="W19" s="438"/>
      <c r="X19" s="422"/>
      <c r="Y19" s="438"/>
      <c r="Z19" s="422"/>
      <c r="AA19" s="438"/>
      <c r="AB19" s="422"/>
      <c r="AC19" s="440"/>
      <c r="AD19" s="422"/>
      <c r="AE19" s="440"/>
      <c r="AF19" s="623" t="str">
        <f>'JFK LU'!BA75</f>
        <v/>
      </c>
      <c r="AG19" s="440">
        <f>'JFK LU'!AZ75</f>
        <v>1</v>
      </c>
      <c r="AH19" s="623" t="str">
        <f>'JFK LU'!BA76</f>
        <v/>
      </c>
      <c r="AI19" s="440">
        <f>'JFK LU'!AZ76</f>
        <v>3</v>
      </c>
    </row>
    <row r="20" spans="1:54" ht="20" customHeight="1">
      <c r="A20" s="1871"/>
      <c r="B20" s="410" t="s">
        <v>447</v>
      </c>
      <c r="C20" s="444"/>
      <c r="D20" s="422"/>
      <c r="E20" s="413"/>
      <c r="F20" s="422"/>
      <c r="G20" s="441"/>
      <c r="H20" s="422"/>
      <c r="I20" s="441"/>
      <c r="J20" s="422"/>
      <c r="K20" s="441"/>
      <c r="L20" s="623"/>
      <c r="M20" s="441"/>
      <c r="N20" s="623"/>
      <c r="O20" s="443"/>
      <c r="P20" s="422"/>
      <c r="Q20" s="443"/>
      <c r="R20" s="422"/>
      <c r="S20" s="443"/>
      <c r="T20" s="422" t="str">
        <f>'JFK LU'!BI71</f>
        <v/>
      </c>
      <c r="U20" s="443">
        <f>'JFK LU'!BH71</f>
        <v>2</v>
      </c>
      <c r="V20" s="422"/>
      <c r="W20" s="438"/>
      <c r="X20" s="422"/>
      <c r="Y20" s="438"/>
      <c r="Z20" s="422"/>
      <c r="AA20" s="438"/>
      <c r="AB20" s="422"/>
      <c r="AC20" s="440"/>
      <c r="AD20" s="422"/>
      <c r="AE20" s="440"/>
      <c r="AF20" s="623" t="str">
        <f>'JFK LU'!BI72</f>
        <v/>
      </c>
      <c r="AG20" s="440">
        <f>'JFK LU'!BH72</f>
        <v>1</v>
      </c>
      <c r="AH20" s="623" t="str">
        <f>'JFK LU'!BI73</f>
        <v/>
      </c>
      <c r="AI20" s="440">
        <f>'JFK LU'!BH73</f>
        <v>4</v>
      </c>
    </row>
    <row r="21" spans="1:54" ht="20" customHeight="1">
      <c r="A21" s="1871"/>
      <c r="B21" s="410" t="s">
        <v>699</v>
      </c>
      <c r="C21" s="444"/>
      <c r="D21" s="422" t="str">
        <f>'JFK LU'!H77</f>
        <v/>
      </c>
      <c r="E21" s="413">
        <f>'JFK LU'!G77</f>
        <v>4</v>
      </c>
      <c r="F21" s="422"/>
      <c r="G21" s="441"/>
      <c r="H21" s="422"/>
      <c r="I21" s="441"/>
      <c r="J21" s="422"/>
      <c r="K21" s="441"/>
      <c r="L21" s="623" t="str">
        <f>'JFK LU'!H78</f>
        <v/>
      </c>
      <c r="M21" s="441">
        <f>'JFK LU'!G78</f>
        <v>1</v>
      </c>
      <c r="N21" s="623" t="str">
        <f>'JFK LU'!H79</f>
        <v/>
      </c>
      <c r="O21" s="443">
        <f>'JFK LU'!G79</f>
        <v>2</v>
      </c>
      <c r="P21" s="422"/>
      <c r="Q21" s="443"/>
      <c r="R21" s="422"/>
      <c r="S21" s="443"/>
      <c r="T21" s="422" t="str">
        <f>'JFK LU'!H80</f>
        <v/>
      </c>
      <c r="U21" s="443">
        <f>'JFK LU'!G80</f>
        <v>2</v>
      </c>
      <c r="V21" s="422"/>
      <c r="W21" s="438"/>
      <c r="X21" s="422"/>
      <c r="Y21" s="438"/>
      <c r="Z21" s="422"/>
      <c r="AA21" s="438"/>
      <c r="AB21" s="422"/>
      <c r="AC21" s="440"/>
      <c r="AD21" s="422"/>
      <c r="AE21" s="440"/>
      <c r="AF21" s="623"/>
      <c r="AG21" s="440"/>
      <c r="AH21" s="623"/>
      <c r="AI21" s="440"/>
    </row>
    <row r="22" spans="1:54" ht="20" customHeight="1">
      <c r="A22" s="1871"/>
      <c r="B22" s="410" t="s">
        <v>719</v>
      </c>
      <c r="C22" s="444"/>
      <c r="D22" s="422" t="str">
        <f>'JFK LU'!I77</f>
        <v/>
      </c>
      <c r="E22" s="413">
        <f>'JFK LU'!G77</f>
        <v>4</v>
      </c>
      <c r="F22" s="422"/>
      <c r="G22" s="441"/>
      <c r="H22" s="422"/>
      <c r="I22" s="441"/>
      <c r="J22" s="422"/>
      <c r="K22" s="441"/>
      <c r="L22" s="623" t="str">
        <f>'JFK LU'!I78</f>
        <v/>
      </c>
      <c r="M22" s="441">
        <f>'JFK LU'!G78</f>
        <v>1</v>
      </c>
      <c r="N22" s="623" t="str">
        <f>'JFK LU'!I79</f>
        <v/>
      </c>
      <c r="O22" s="443">
        <f>'JFK LU'!G79</f>
        <v>2</v>
      </c>
      <c r="P22" s="422"/>
      <c r="Q22" s="443"/>
      <c r="R22" s="422"/>
      <c r="S22" s="443"/>
      <c r="T22" s="422" t="str">
        <f>'JFK LU'!I80</f>
        <v/>
      </c>
      <c r="U22" s="443">
        <f>'JFK LU'!G80</f>
        <v>2</v>
      </c>
      <c r="V22" s="422"/>
      <c r="W22" s="438"/>
      <c r="X22" s="422"/>
      <c r="Y22" s="438"/>
      <c r="Z22" s="422"/>
      <c r="AA22" s="438"/>
      <c r="AB22" s="422"/>
      <c r="AC22" s="440"/>
      <c r="AD22" s="422"/>
      <c r="AE22" s="440"/>
      <c r="AF22" s="623"/>
      <c r="AG22" s="440"/>
      <c r="AH22" s="623"/>
      <c r="AI22" s="440"/>
    </row>
    <row r="23" spans="1:54" ht="20" customHeight="1">
      <c r="A23" s="1871"/>
      <c r="B23" s="410" t="s">
        <v>700</v>
      </c>
      <c r="C23" s="444"/>
      <c r="D23" s="422" t="str">
        <f>'JFK LU'!J77</f>
        <v/>
      </c>
      <c r="E23" s="413">
        <f>'JFK LU'!G77</f>
        <v>4</v>
      </c>
      <c r="F23" s="422"/>
      <c r="G23" s="441"/>
      <c r="H23" s="422"/>
      <c r="I23" s="441"/>
      <c r="J23" s="422"/>
      <c r="K23" s="441"/>
      <c r="L23" s="623" t="str">
        <f>'JFK LU'!J78</f>
        <v/>
      </c>
      <c r="M23" s="441">
        <f>'JFK LU'!G78</f>
        <v>1</v>
      </c>
      <c r="N23" s="623" t="str">
        <f>'JFK LU'!J79</f>
        <v/>
      </c>
      <c r="O23" s="443">
        <f>'JFK LU'!G79</f>
        <v>2</v>
      </c>
      <c r="P23" s="422"/>
      <c r="Q23" s="443"/>
      <c r="R23" s="422"/>
      <c r="S23" s="443"/>
      <c r="T23" s="422" t="str">
        <f>'JFK LU'!J80</f>
        <v/>
      </c>
      <c r="U23" s="443">
        <f>'JFK LU'!G80</f>
        <v>2</v>
      </c>
      <c r="V23" s="422"/>
      <c r="W23" s="438"/>
      <c r="X23" s="422"/>
      <c r="Y23" s="438"/>
      <c r="Z23" s="422"/>
      <c r="AA23" s="438"/>
      <c r="AB23" s="422"/>
      <c r="AC23" s="440"/>
      <c r="AD23" s="422"/>
      <c r="AE23" s="440"/>
      <c r="AF23" s="623"/>
      <c r="AG23" s="440"/>
      <c r="AH23" s="623"/>
      <c r="AI23" s="440"/>
    </row>
    <row r="24" spans="1:54" ht="20" customHeight="1">
      <c r="A24" s="1871"/>
      <c r="B24" s="410" t="s">
        <v>723</v>
      </c>
      <c r="C24" s="444"/>
      <c r="D24" s="422" t="str">
        <f>'JFK LU'!K77</f>
        <v/>
      </c>
      <c r="E24" s="413">
        <f>'JFK LU'!G77</f>
        <v>4</v>
      </c>
      <c r="F24" s="422"/>
      <c r="G24" s="441"/>
      <c r="H24" s="422"/>
      <c r="I24" s="441"/>
      <c r="J24" s="422"/>
      <c r="K24" s="441"/>
      <c r="L24" s="623" t="str">
        <f>'JFK LU'!K78</f>
        <v/>
      </c>
      <c r="M24" s="441">
        <f>'JFK LU'!G78</f>
        <v>1</v>
      </c>
      <c r="N24" s="623" t="str">
        <f>'JFK LU'!K79</f>
        <v/>
      </c>
      <c r="O24" s="443">
        <f>'JFK LU'!G79</f>
        <v>2</v>
      </c>
      <c r="P24" s="422"/>
      <c r="Q24" s="443"/>
      <c r="R24" s="422"/>
      <c r="S24" s="443"/>
      <c r="T24" s="422" t="str">
        <f>'JFK LU'!K80</f>
        <v/>
      </c>
      <c r="U24" s="443">
        <f>'JFK LU'!G80</f>
        <v>2</v>
      </c>
      <c r="V24" s="422"/>
      <c r="W24" s="438"/>
      <c r="X24" s="422"/>
      <c r="Y24" s="438"/>
      <c r="Z24" s="422"/>
      <c r="AA24" s="438"/>
      <c r="AB24" s="422"/>
      <c r="AC24" s="440"/>
      <c r="AD24" s="422"/>
      <c r="AE24" s="440"/>
      <c r="AF24" s="623"/>
      <c r="AG24" s="440"/>
      <c r="AH24" s="623"/>
      <c r="AI24" s="440"/>
    </row>
    <row r="25" spans="1:54" ht="20" customHeight="1">
      <c r="A25" s="1871"/>
      <c r="B25" s="410" t="s">
        <v>701</v>
      </c>
      <c r="C25" s="444"/>
      <c r="D25" s="422" t="str">
        <f>'JFK LU'!L77</f>
        <v/>
      </c>
      <c r="E25" s="413">
        <f>'JFK LU'!G77</f>
        <v>4</v>
      </c>
      <c r="F25" s="422"/>
      <c r="G25" s="441"/>
      <c r="H25" s="422"/>
      <c r="I25" s="441"/>
      <c r="J25" s="422"/>
      <c r="K25" s="441"/>
      <c r="L25" s="623" t="str">
        <f>'JFK LU'!L78</f>
        <v/>
      </c>
      <c r="M25" s="441">
        <f>'JFK LU'!G78</f>
        <v>1</v>
      </c>
      <c r="N25" s="623" t="str">
        <f>'JFK LU'!L79</f>
        <v/>
      </c>
      <c r="O25" s="443">
        <f>'JFK LU'!G79</f>
        <v>2</v>
      </c>
      <c r="P25" s="422"/>
      <c r="Q25" s="443"/>
      <c r="R25" s="422"/>
      <c r="S25" s="443"/>
      <c r="T25" s="422" t="str">
        <f>'JFK LU'!L80</f>
        <v/>
      </c>
      <c r="U25" s="443">
        <f>'JFK LU'!G80</f>
        <v>2</v>
      </c>
      <c r="V25" s="422"/>
      <c r="W25" s="438"/>
      <c r="X25" s="422"/>
      <c r="Y25" s="438"/>
      <c r="Z25" s="422"/>
      <c r="AA25" s="438"/>
      <c r="AB25" s="422"/>
      <c r="AC25" s="440"/>
      <c r="AD25" s="422"/>
      <c r="AE25" s="440"/>
      <c r="AF25" s="623"/>
      <c r="AG25" s="440"/>
      <c r="AH25" s="623"/>
      <c r="AI25" s="440"/>
    </row>
    <row r="26" spans="1:54" ht="20" customHeight="1">
      <c r="A26" s="1871"/>
      <c r="B26" s="410" t="s">
        <v>702</v>
      </c>
      <c r="C26" s="444"/>
      <c r="D26" s="422" t="str">
        <f>'JFK LU'!M77</f>
        <v/>
      </c>
      <c r="E26" s="413">
        <f>'JFK LU'!G77</f>
        <v>4</v>
      </c>
      <c r="F26" s="422"/>
      <c r="G26" s="441"/>
      <c r="H26" s="422"/>
      <c r="I26" s="441"/>
      <c r="J26" s="422"/>
      <c r="K26" s="441"/>
      <c r="L26" s="623" t="str">
        <f>'JFK LU'!M78</f>
        <v/>
      </c>
      <c r="M26" s="441">
        <f>'JFK LU'!G78</f>
        <v>1</v>
      </c>
      <c r="N26" s="623" t="str">
        <f>'JFK LU'!M79</f>
        <v/>
      </c>
      <c r="O26" s="443">
        <f>'JFK LU'!G79</f>
        <v>2</v>
      </c>
      <c r="P26" s="422"/>
      <c r="Q26" s="443"/>
      <c r="R26" s="422"/>
      <c r="S26" s="443"/>
      <c r="T26" s="422" t="str">
        <f>'JFK LU'!M80</f>
        <v/>
      </c>
      <c r="U26" s="443">
        <f>'JFK LU'!G80</f>
        <v>2</v>
      </c>
      <c r="V26" s="422"/>
      <c r="W26" s="438"/>
      <c r="X26" s="422"/>
      <c r="Y26" s="438"/>
      <c r="Z26" s="422"/>
      <c r="AA26" s="438"/>
      <c r="AB26" s="422"/>
      <c r="AC26" s="440"/>
      <c r="AD26" s="422"/>
      <c r="AE26" s="440"/>
      <c r="AF26" s="623"/>
      <c r="AG26" s="440"/>
      <c r="AH26" s="623"/>
      <c r="AI26" s="440"/>
    </row>
    <row r="27" spans="1:54" ht="20" customHeight="1">
      <c r="A27" s="1871"/>
      <c r="B27" s="410" t="s">
        <v>679</v>
      </c>
      <c r="C27" s="444"/>
      <c r="D27" s="422"/>
      <c r="E27" s="413"/>
      <c r="F27" s="422"/>
      <c r="G27" s="441"/>
      <c r="H27" s="422"/>
      <c r="I27" s="441"/>
      <c r="J27" s="422" t="str">
        <f>'JFK LU'!H92</f>
        <v/>
      </c>
      <c r="K27" s="441">
        <f>'JFK LU'!G92</f>
        <v>1</v>
      </c>
      <c r="L27" s="623"/>
      <c r="M27" s="441"/>
      <c r="N27" s="623"/>
      <c r="O27" s="443"/>
      <c r="P27" s="422"/>
      <c r="Q27" s="443"/>
      <c r="R27" s="422"/>
      <c r="S27" s="443"/>
      <c r="T27" s="422"/>
      <c r="U27" s="443"/>
      <c r="V27" s="422" t="str">
        <f>'JFK LU'!H91</f>
        <v/>
      </c>
      <c r="W27" s="438">
        <f>'JFK LU'!G91</f>
        <v>1</v>
      </c>
      <c r="X27" s="422"/>
      <c r="Y27" s="438"/>
      <c r="Z27" s="422"/>
      <c r="AA27" s="438"/>
      <c r="AB27" s="422"/>
      <c r="AC27" s="440"/>
      <c r="AD27" s="422"/>
      <c r="AE27" s="440"/>
      <c r="AF27" s="623"/>
      <c r="AG27" s="440"/>
      <c r="AH27" s="623"/>
      <c r="AI27" s="440"/>
    </row>
    <row r="28" spans="1:54" ht="20" customHeight="1">
      <c r="A28" s="1871"/>
      <c r="B28" s="410" t="s">
        <v>720</v>
      </c>
      <c r="C28" s="444"/>
      <c r="D28" s="422"/>
      <c r="E28" s="413"/>
      <c r="F28" s="422"/>
      <c r="G28" s="441"/>
      <c r="H28" s="422"/>
      <c r="I28" s="441"/>
      <c r="J28" s="422" t="str">
        <f>'JFK LU'!I92</f>
        <v/>
      </c>
      <c r="K28" s="441">
        <f>'JFK LU'!G92</f>
        <v>1</v>
      </c>
      <c r="L28" s="623"/>
      <c r="M28" s="441"/>
      <c r="N28" s="623"/>
      <c r="O28" s="443"/>
      <c r="P28" s="422"/>
      <c r="Q28" s="443"/>
      <c r="R28" s="422"/>
      <c r="S28" s="443"/>
      <c r="T28" s="422"/>
      <c r="U28" s="443"/>
      <c r="V28" s="422" t="str">
        <f>'JFK LU'!I91</f>
        <v/>
      </c>
      <c r="W28" s="438">
        <f>'JFK LU'!G91</f>
        <v>1</v>
      </c>
      <c r="X28" s="422"/>
      <c r="Y28" s="438"/>
      <c r="Z28" s="422"/>
      <c r="AA28" s="438"/>
      <c r="AB28" s="422"/>
      <c r="AC28" s="440"/>
      <c r="AD28" s="422"/>
      <c r="AE28" s="440"/>
      <c r="AF28" s="623"/>
      <c r="AG28" s="440"/>
      <c r="AH28" s="623"/>
      <c r="AI28" s="440"/>
    </row>
    <row r="29" spans="1:54" ht="20" customHeight="1">
      <c r="A29" s="1871"/>
      <c r="B29" s="410" t="s">
        <v>680</v>
      </c>
      <c r="C29" s="444"/>
      <c r="D29" s="422"/>
      <c r="E29" s="413"/>
      <c r="F29" s="422"/>
      <c r="G29" s="441"/>
      <c r="H29" s="422"/>
      <c r="I29" s="441"/>
      <c r="J29" s="422" t="str">
        <f>'JFK LU'!J92</f>
        <v/>
      </c>
      <c r="K29" s="441">
        <f>'JFK LU'!G92</f>
        <v>1</v>
      </c>
      <c r="L29" s="623"/>
      <c r="M29" s="441"/>
      <c r="N29" s="623"/>
      <c r="O29" s="443"/>
      <c r="P29" s="422"/>
      <c r="Q29" s="443"/>
      <c r="R29" s="422"/>
      <c r="S29" s="443"/>
      <c r="T29" s="422"/>
      <c r="U29" s="443"/>
      <c r="V29" s="422" t="str">
        <f>'JFK LU'!J91</f>
        <v/>
      </c>
      <c r="W29" s="438">
        <f>'JFK LU'!G91</f>
        <v>1</v>
      </c>
      <c r="X29" s="422"/>
      <c r="Y29" s="438"/>
      <c r="Z29" s="422"/>
      <c r="AA29" s="438"/>
      <c r="AB29" s="422"/>
      <c r="AC29" s="440"/>
      <c r="AD29" s="422"/>
      <c r="AE29" s="440"/>
      <c r="AF29" s="623"/>
      <c r="AG29" s="440"/>
      <c r="AH29" s="623"/>
      <c r="AI29" s="440"/>
    </row>
    <row r="30" spans="1:54" ht="20" customHeight="1">
      <c r="A30" s="1871"/>
      <c r="B30" s="410" t="s">
        <v>724</v>
      </c>
      <c r="C30" s="444"/>
      <c r="D30" s="422"/>
      <c r="E30" s="413"/>
      <c r="F30" s="422"/>
      <c r="G30" s="441"/>
      <c r="H30" s="422"/>
      <c r="I30" s="441"/>
      <c r="J30" s="422" t="str">
        <f>'JFK LU'!K92</f>
        <v/>
      </c>
      <c r="K30" s="441">
        <f>'JFK LU'!G92</f>
        <v>1</v>
      </c>
      <c r="L30" s="623"/>
      <c r="M30" s="441"/>
      <c r="N30" s="623"/>
      <c r="O30" s="443"/>
      <c r="P30" s="422"/>
      <c r="Q30" s="443"/>
      <c r="R30" s="422"/>
      <c r="S30" s="443"/>
      <c r="T30" s="422"/>
      <c r="U30" s="443"/>
      <c r="V30" s="422" t="str">
        <f>'JFK LU'!K91</f>
        <v/>
      </c>
      <c r="W30" s="438">
        <f>'JFK LU'!G91</f>
        <v>1</v>
      </c>
      <c r="X30" s="422"/>
      <c r="Y30" s="438"/>
      <c r="Z30" s="422"/>
      <c r="AA30" s="438"/>
      <c r="AB30" s="422"/>
      <c r="AC30" s="440"/>
      <c r="AD30" s="422"/>
      <c r="AE30" s="440"/>
      <c r="AF30" s="623"/>
      <c r="AG30" s="440"/>
      <c r="AH30" s="623"/>
      <c r="AI30" s="440"/>
    </row>
    <row r="31" spans="1:54" ht="20" customHeight="1">
      <c r="A31" s="1871"/>
      <c r="B31" s="410" t="s">
        <v>681</v>
      </c>
      <c r="C31" s="444"/>
      <c r="D31" s="422"/>
      <c r="E31" s="413"/>
      <c r="F31" s="422"/>
      <c r="G31" s="441"/>
      <c r="H31" s="422"/>
      <c r="I31" s="441"/>
      <c r="J31" s="422" t="str">
        <f>'JFK LU'!L92</f>
        <v/>
      </c>
      <c r="K31" s="441">
        <f>'JFK LU'!G92</f>
        <v>1</v>
      </c>
      <c r="L31" s="623"/>
      <c r="M31" s="441"/>
      <c r="N31" s="623"/>
      <c r="O31" s="443"/>
      <c r="P31" s="422"/>
      <c r="Q31" s="443"/>
      <c r="R31" s="422"/>
      <c r="S31" s="443"/>
      <c r="T31" s="422"/>
      <c r="U31" s="443"/>
      <c r="V31" s="422" t="str">
        <f>'JFK LU'!L91</f>
        <v/>
      </c>
      <c r="W31" s="438">
        <f>'JFK LU'!G91</f>
        <v>1</v>
      </c>
      <c r="X31" s="422"/>
      <c r="Y31" s="438"/>
      <c r="Z31" s="422"/>
      <c r="AA31" s="438"/>
      <c r="AB31" s="422"/>
      <c r="AC31" s="440"/>
      <c r="AD31" s="422"/>
      <c r="AE31" s="440"/>
      <c r="AF31" s="623"/>
      <c r="AG31" s="440"/>
      <c r="AH31" s="623"/>
      <c r="AI31" s="440"/>
    </row>
    <row r="32" spans="1:54" ht="20" customHeight="1">
      <c r="A32" s="1871"/>
      <c r="B32" s="410" t="s">
        <v>682</v>
      </c>
      <c r="C32" s="444"/>
      <c r="D32" s="422"/>
      <c r="E32" s="413"/>
      <c r="F32" s="422"/>
      <c r="G32" s="441"/>
      <c r="H32" s="422"/>
      <c r="I32" s="441"/>
      <c r="J32" s="422" t="str">
        <f>'JFK LU'!M92</f>
        <v/>
      </c>
      <c r="K32" s="441">
        <f>'JFK LU'!G92</f>
        <v>1</v>
      </c>
      <c r="L32" s="623"/>
      <c r="M32" s="441"/>
      <c r="N32" s="623"/>
      <c r="O32" s="443"/>
      <c r="P32" s="422"/>
      <c r="Q32" s="443"/>
      <c r="R32" s="422"/>
      <c r="S32" s="443"/>
      <c r="T32" s="422"/>
      <c r="U32" s="443"/>
      <c r="V32" s="422" t="str">
        <f>'JFK LU'!M91</f>
        <v/>
      </c>
      <c r="W32" s="438">
        <f>'JFK LU'!G91</f>
        <v>1</v>
      </c>
      <c r="X32" s="422"/>
      <c r="Y32" s="438"/>
      <c r="Z32" s="422"/>
      <c r="AA32" s="438"/>
      <c r="AB32" s="422"/>
      <c r="AC32" s="440"/>
      <c r="AD32" s="422"/>
      <c r="AE32" s="440"/>
      <c r="AF32" s="623"/>
      <c r="AG32" s="440"/>
      <c r="AH32" s="623"/>
      <c r="AI32" s="440"/>
    </row>
    <row r="33" spans="1:35" ht="20" customHeight="1">
      <c r="A33" s="423"/>
      <c r="B33" s="424"/>
      <c r="C33" s="429"/>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513"/>
      <c r="AF33" s="513"/>
      <c r="AG33" s="513"/>
      <c r="AH33" s="513"/>
      <c r="AI33" s="513"/>
    </row>
    <row r="34" spans="1:35" ht="20" customHeight="1">
      <c r="A34" s="1871" t="s">
        <v>17</v>
      </c>
      <c r="B34" s="410" t="str">
        <f>'JFK LU'!O95</f>
        <v>1. Champagne</v>
      </c>
      <c r="C34" s="444"/>
      <c r="D34" s="422"/>
      <c r="E34" s="413"/>
      <c r="F34" s="422"/>
      <c r="G34" s="441"/>
      <c r="H34" s="422"/>
      <c r="I34" s="441"/>
      <c r="J34" s="422"/>
      <c r="K34" s="441"/>
      <c r="L34" s="623" t="str">
        <f>'JFK LU'!U134</f>
        <v/>
      </c>
      <c r="M34" s="441">
        <f>'JFK LU'!T134</f>
        <v>1</v>
      </c>
      <c r="N34" s="623"/>
      <c r="O34" s="443"/>
      <c r="P34" s="422"/>
      <c r="Q34" s="443"/>
      <c r="R34" s="422"/>
      <c r="S34" s="443"/>
      <c r="T34" s="422"/>
      <c r="U34" s="443"/>
      <c r="V34" s="422"/>
      <c r="W34" s="438"/>
      <c r="X34" s="422"/>
      <c r="Y34" s="438"/>
      <c r="Z34" s="422"/>
      <c r="AA34" s="438"/>
      <c r="AB34" s="422"/>
      <c r="AC34" s="440"/>
      <c r="AD34" s="422"/>
      <c r="AE34" s="440"/>
      <c r="AF34" s="623" t="str">
        <f>'JFK LU'!U135</f>
        <v/>
      </c>
      <c r="AG34" s="440">
        <f>'JFK LU'!T135</f>
        <v>3</v>
      </c>
      <c r="AH34" s="623" t="str">
        <f>'JFK LU'!U136</f>
        <v/>
      </c>
      <c r="AI34" s="440">
        <f>'JFK LU'!T136</f>
        <v>8</v>
      </c>
    </row>
    <row r="35" spans="1:35" ht="20" customHeight="1">
      <c r="A35" s="1871"/>
      <c r="B35" s="410" t="str">
        <f>'JFK LU'!W95</f>
        <v>2. Wine 
- Small Bottles</v>
      </c>
      <c r="C35" s="444"/>
      <c r="D35" s="422"/>
      <c r="E35" s="413"/>
      <c r="F35" s="422"/>
      <c r="G35" s="441"/>
      <c r="H35" s="422"/>
      <c r="I35" s="441"/>
      <c r="J35" s="422"/>
      <c r="K35" s="441"/>
      <c r="L35" s="623" t="str">
        <f>'JFK LU'!AC131</f>
        <v/>
      </c>
      <c r="M35" s="441">
        <f>'JFK LU'!AB131</f>
        <v>1</v>
      </c>
      <c r="N35" s="623"/>
      <c r="O35" s="443"/>
      <c r="P35" s="422"/>
      <c r="Q35" s="443"/>
      <c r="R35" s="422"/>
      <c r="S35" s="443"/>
      <c r="T35" s="422"/>
      <c r="U35" s="443"/>
      <c r="V35" s="422"/>
      <c r="W35" s="438"/>
      <c r="X35" s="422"/>
      <c r="Y35" s="438"/>
      <c r="Z35" s="422"/>
      <c r="AA35" s="438"/>
      <c r="AB35" s="422"/>
      <c r="AC35" s="440"/>
      <c r="AD35" s="422"/>
      <c r="AE35" s="440"/>
      <c r="AF35" s="623" t="str">
        <f>'JFK LU'!AC132</f>
        <v/>
      </c>
      <c r="AG35" s="440">
        <f>'JFK LU'!AB132</f>
        <v>4</v>
      </c>
      <c r="AH35" s="623" t="str">
        <f>'JFK LU'!AC133</f>
        <v/>
      </c>
      <c r="AI35" s="440">
        <f>'JFK LU'!AB133</f>
        <v>6</v>
      </c>
    </row>
    <row r="36" spans="1:35" ht="20" customHeight="1">
      <c r="A36" s="1871"/>
      <c r="B36" s="410" t="str">
        <f>'JFK LU'!AE95</f>
        <v>3. White Wine Spritzer
- Small Bottles</v>
      </c>
      <c r="C36" s="444"/>
      <c r="D36" s="422"/>
      <c r="E36" s="413"/>
      <c r="F36" s="422"/>
      <c r="G36" s="441"/>
      <c r="H36" s="422"/>
      <c r="I36" s="441"/>
      <c r="J36" s="422"/>
      <c r="K36" s="441"/>
      <c r="L36" s="623" t="str">
        <f>'JFK LU'!AK140</f>
        <v/>
      </c>
      <c r="M36" s="441">
        <f>'JFK LU'!AJ140</f>
        <v>1</v>
      </c>
      <c r="N36" s="623"/>
      <c r="O36" s="443"/>
      <c r="P36" s="422"/>
      <c r="Q36" s="443"/>
      <c r="R36" s="422"/>
      <c r="S36" s="443"/>
      <c r="T36" s="422"/>
      <c r="U36" s="443"/>
      <c r="V36" s="422"/>
      <c r="W36" s="438"/>
      <c r="X36" s="422"/>
      <c r="Y36" s="438"/>
      <c r="Z36" s="422"/>
      <c r="AA36" s="438"/>
      <c r="AB36" s="422"/>
      <c r="AC36" s="440"/>
      <c r="AD36" s="422"/>
      <c r="AE36" s="440"/>
      <c r="AF36" s="623" t="str">
        <f>'JFK LU'!AK141</f>
        <v/>
      </c>
      <c r="AG36" s="440">
        <f>'JFK LU'!AJ141</f>
        <v>6</v>
      </c>
      <c r="AH36" s="623" t="str">
        <f>'JFK LU'!AK142</f>
        <v/>
      </c>
      <c r="AI36" s="440">
        <f>'JFK LU'!AJ142</f>
        <v>7</v>
      </c>
    </row>
    <row r="37" spans="1:35" ht="20" customHeight="1">
      <c r="A37" s="1871"/>
      <c r="B37" s="410" t="str">
        <f>'JFK LU'!AM95</f>
        <v>4. Wine
- Big Bottles</v>
      </c>
      <c r="C37" s="444"/>
      <c r="D37" s="422"/>
      <c r="E37" s="413"/>
      <c r="F37" s="422"/>
      <c r="G37" s="441"/>
      <c r="H37" s="422"/>
      <c r="I37" s="441"/>
      <c r="J37" s="422"/>
      <c r="K37" s="441"/>
      <c r="L37" s="623" t="str">
        <f>'JFK LU'!AS137</f>
        <v/>
      </c>
      <c r="M37" s="441">
        <f>'JFK LU'!AR137</f>
        <v>1</v>
      </c>
      <c r="N37" s="623"/>
      <c r="O37" s="443"/>
      <c r="P37" s="422"/>
      <c r="Q37" s="443"/>
      <c r="R37" s="422"/>
      <c r="S37" s="443"/>
      <c r="T37" s="422"/>
      <c r="U37" s="443"/>
      <c r="V37" s="422"/>
      <c r="W37" s="438"/>
      <c r="X37" s="422"/>
      <c r="Y37" s="438"/>
      <c r="Z37" s="422"/>
      <c r="AA37" s="438"/>
      <c r="AB37" s="422"/>
      <c r="AC37" s="440"/>
      <c r="AD37" s="422"/>
      <c r="AE37" s="440"/>
      <c r="AF37" s="623" t="str">
        <f>'JFK LU'!AS138</f>
        <v/>
      </c>
      <c r="AG37" s="440">
        <f>'JFK LU'!AR138</f>
        <v>4</v>
      </c>
      <c r="AH37" s="623" t="str">
        <f>'JFK LU'!AS139</f>
        <v/>
      </c>
      <c r="AI37" s="440">
        <f>'JFK LU'!AR139</f>
        <v>8</v>
      </c>
    </row>
    <row r="38" spans="1:35" ht="20" customHeight="1">
      <c r="A38" s="1871"/>
      <c r="B38" s="410" t="str">
        <f>'JFK LU'!AU95</f>
        <v>5. Dry - White Wine Spritzer - Big Bottle of Wine</v>
      </c>
      <c r="C38" s="444"/>
      <c r="D38" s="422"/>
      <c r="E38" s="413"/>
      <c r="F38" s="422"/>
      <c r="G38" s="441"/>
      <c r="H38" s="422"/>
      <c r="I38" s="441"/>
      <c r="J38" s="422"/>
      <c r="K38" s="441"/>
      <c r="L38" s="623" t="str">
        <f>'JFK LU'!BA140</f>
        <v/>
      </c>
      <c r="M38" s="441">
        <f>'JFK LU'!AZ140</f>
        <v>1</v>
      </c>
      <c r="N38" s="623"/>
      <c r="O38" s="443"/>
      <c r="P38" s="422"/>
      <c r="Q38" s="443"/>
      <c r="R38" s="422"/>
      <c r="S38" s="443"/>
      <c r="T38" s="422"/>
      <c r="U38" s="443"/>
      <c r="V38" s="422"/>
      <c r="W38" s="438"/>
      <c r="X38" s="422"/>
      <c r="Y38" s="438"/>
      <c r="Z38" s="422"/>
      <c r="AA38" s="438"/>
      <c r="AB38" s="422"/>
      <c r="AC38" s="440"/>
      <c r="AD38" s="422"/>
      <c r="AE38" s="440"/>
      <c r="AF38" s="623" t="str">
        <f>'JFK LU'!BA141</f>
        <v/>
      </c>
      <c r="AG38" s="440">
        <f>'JFK LU'!AZ141</f>
        <v>6</v>
      </c>
      <c r="AH38" s="623" t="str">
        <f>'JFK LU'!BA142</f>
        <v/>
      </c>
      <c r="AI38" s="440">
        <f>'JFK LU'!AZ142</f>
        <v>7</v>
      </c>
    </row>
    <row r="39" spans="1:35" ht="20" customHeight="1">
      <c r="A39" s="1871"/>
      <c r="B39" s="410" t="str">
        <f>'JFK LU'!BC95</f>
        <v>6. Sweet - White Wine Spritzer- Big Bottle of Wine</v>
      </c>
      <c r="C39" s="444"/>
      <c r="D39" s="422"/>
      <c r="E39" s="413"/>
      <c r="F39" s="422"/>
      <c r="G39" s="441"/>
      <c r="H39" s="422"/>
      <c r="I39" s="441"/>
      <c r="J39" s="422"/>
      <c r="K39" s="441"/>
      <c r="L39" s="623" t="str">
        <f>'JFK LU'!BI140</f>
        <v/>
      </c>
      <c r="M39" s="441">
        <f>'JFK LU'!BH140</f>
        <v>1</v>
      </c>
      <c r="N39" s="623"/>
      <c r="O39" s="443"/>
      <c r="P39" s="422"/>
      <c r="Q39" s="443"/>
      <c r="R39" s="422"/>
      <c r="S39" s="443"/>
      <c r="T39" s="422"/>
      <c r="U39" s="443"/>
      <c r="V39" s="422"/>
      <c r="W39" s="438"/>
      <c r="X39" s="422"/>
      <c r="Y39" s="438"/>
      <c r="Z39" s="422"/>
      <c r="AA39" s="438"/>
      <c r="AB39" s="422"/>
      <c r="AC39" s="440"/>
      <c r="AD39" s="422"/>
      <c r="AE39" s="440"/>
      <c r="AF39" s="623" t="str">
        <f>'JFK LU'!BI141</f>
        <v/>
      </c>
      <c r="AG39" s="440">
        <f>'JFK LU'!BH141</f>
        <v>6</v>
      </c>
      <c r="AH39" s="623" t="str">
        <f>'JFK LU'!BI142</f>
        <v/>
      </c>
      <c r="AI39" s="440">
        <f>'JFK LU'!BH142</f>
        <v>7</v>
      </c>
    </row>
    <row r="40" spans="1:35" ht="20" customHeight="1">
      <c r="A40" s="1871"/>
      <c r="B40" s="410" t="str">
        <f>'JFK LU'!O145</f>
        <v>7. Liqueur</v>
      </c>
      <c r="C40" s="444"/>
      <c r="D40" s="422"/>
      <c r="E40" s="413"/>
      <c r="F40" s="422"/>
      <c r="G40" s="441"/>
      <c r="H40" s="422"/>
      <c r="I40" s="441"/>
      <c r="J40" s="422"/>
      <c r="K40" s="441"/>
      <c r="L40" s="623" t="str">
        <f>'JFK LU'!U181</f>
        <v/>
      </c>
      <c r="M40" s="441">
        <f>'JFK LU'!T181</f>
        <v>1</v>
      </c>
      <c r="N40" s="623"/>
      <c r="O40" s="443"/>
      <c r="P40" s="422"/>
      <c r="Q40" s="443"/>
      <c r="R40" s="422"/>
      <c r="S40" s="443"/>
      <c r="T40" s="422"/>
      <c r="U40" s="443"/>
      <c r="V40" s="422"/>
      <c r="W40" s="438"/>
      <c r="X40" s="422"/>
      <c r="Y40" s="438"/>
      <c r="Z40" s="422"/>
      <c r="AA40" s="438"/>
      <c r="AB40" s="422"/>
      <c r="AC40" s="440"/>
      <c r="AD40" s="422"/>
      <c r="AE40" s="440"/>
      <c r="AF40" s="623" t="str">
        <f>'JFK LU'!U182</f>
        <v/>
      </c>
      <c r="AG40" s="440">
        <f>'JFK LU'!T182</f>
        <v>4</v>
      </c>
      <c r="AH40" s="623" t="str">
        <f>'JFK LU'!U183</f>
        <v/>
      </c>
      <c r="AI40" s="440">
        <f>'JFK LU'!T183</f>
        <v>6</v>
      </c>
    </row>
    <row r="41" spans="1:35" ht="20" customHeight="1">
      <c r="A41" s="1871"/>
      <c r="B41" s="410" t="str">
        <f>'JFK LU'!W145</f>
        <v>8. Shandy</v>
      </c>
      <c r="C41" s="444"/>
      <c r="D41" s="422"/>
      <c r="E41" s="413"/>
      <c r="F41" s="422"/>
      <c r="G41" s="441"/>
      <c r="H41" s="422"/>
      <c r="I41" s="441"/>
      <c r="J41" s="422"/>
      <c r="K41" s="441"/>
      <c r="L41" s="623" t="str">
        <f>'JFK LU'!AC178</f>
        <v/>
      </c>
      <c r="M41" s="441">
        <f>'JFK LU'!AB178</f>
        <v>1</v>
      </c>
      <c r="N41" s="623"/>
      <c r="O41" s="443"/>
      <c r="P41" s="422"/>
      <c r="Q41" s="443"/>
      <c r="R41" s="422"/>
      <c r="S41" s="443"/>
      <c r="T41" s="422"/>
      <c r="U41" s="443"/>
      <c r="V41" s="422"/>
      <c r="W41" s="438"/>
      <c r="X41" s="422"/>
      <c r="Y41" s="438"/>
      <c r="Z41" s="422"/>
      <c r="AA41" s="438"/>
      <c r="AB41" s="422"/>
      <c r="AC41" s="440"/>
      <c r="AD41" s="422"/>
      <c r="AE41" s="440"/>
      <c r="AF41" s="623" t="str">
        <f>'JFK LU'!AC179</f>
        <v/>
      </c>
      <c r="AG41" s="440">
        <f>'JFK LU'!AB179</f>
        <v>3</v>
      </c>
      <c r="AH41" s="623" t="str">
        <f>'JFK LU'!AC180</f>
        <v/>
      </c>
      <c r="AI41" s="440">
        <f>'JFK LU'!AB180</f>
        <v>6</v>
      </c>
    </row>
    <row r="42" spans="1:35" ht="20" customHeight="1">
      <c r="A42" s="1871"/>
      <c r="B42" s="410" t="str">
        <f>'JFK LU'!AE145</f>
        <v>9. Hot Beverage 
- Tea</v>
      </c>
      <c r="C42" s="444"/>
      <c r="D42" s="422"/>
      <c r="E42" s="413"/>
      <c r="F42" s="422"/>
      <c r="G42" s="441"/>
      <c r="H42" s="422"/>
      <c r="I42" s="441"/>
      <c r="J42" s="422"/>
      <c r="K42" s="441"/>
      <c r="L42" s="623" t="str">
        <f>'JFK LU'!AK178</f>
        <v/>
      </c>
      <c r="M42" s="441">
        <f>'JFK LU'!AJ178</f>
        <v>1</v>
      </c>
      <c r="N42" s="623"/>
      <c r="O42" s="443"/>
      <c r="P42" s="422"/>
      <c r="Q42" s="443"/>
      <c r="R42" s="422"/>
      <c r="S42" s="443"/>
      <c r="T42" s="422"/>
      <c r="U42" s="443"/>
      <c r="V42" s="422"/>
      <c r="W42" s="438"/>
      <c r="X42" s="422"/>
      <c r="Y42" s="438"/>
      <c r="Z42" s="422"/>
      <c r="AA42" s="438"/>
      <c r="AB42" s="422"/>
      <c r="AC42" s="440"/>
      <c r="AD42" s="422"/>
      <c r="AE42" s="440"/>
      <c r="AF42" s="623" t="str">
        <f>'JFK LU'!AK179</f>
        <v/>
      </c>
      <c r="AG42" s="440">
        <f>'JFK LU'!AJ179</f>
        <v>2</v>
      </c>
      <c r="AH42" s="623" t="str">
        <f>'JFK LU'!AK180</f>
        <v/>
      </c>
      <c r="AI42" s="440">
        <f>'JFK LU'!AJ180</f>
        <v>7</v>
      </c>
    </row>
    <row r="43" spans="1:35" ht="20" customHeight="1">
      <c r="A43" s="1871"/>
      <c r="B43" s="410" t="str">
        <f>'JFK LU'!AM145</f>
        <v>10. Beer</v>
      </c>
      <c r="C43" s="444"/>
      <c r="D43" s="422"/>
      <c r="E43" s="413"/>
      <c r="F43" s="422"/>
      <c r="G43" s="441"/>
      <c r="H43" s="422"/>
      <c r="I43" s="441"/>
      <c r="J43" s="422"/>
      <c r="K43" s="441"/>
      <c r="L43" s="623" t="str">
        <f>'JFK LU'!AS175</f>
        <v/>
      </c>
      <c r="M43" s="441">
        <f>'JFK LU'!AR175</f>
        <v>1</v>
      </c>
      <c r="N43" s="623"/>
      <c r="O43" s="443"/>
      <c r="P43" s="422"/>
      <c r="Q43" s="443"/>
      <c r="R43" s="422"/>
      <c r="S43" s="443"/>
      <c r="T43" s="422"/>
      <c r="U43" s="443"/>
      <c r="V43" s="422"/>
      <c r="W43" s="438"/>
      <c r="X43" s="422"/>
      <c r="Y43" s="438"/>
      <c r="Z43" s="422"/>
      <c r="AA43" s="438"/>
      <c r="AB43" s="422"/>
      <c r="AC43" s="440"/>
      <c r="AD43" s="422"/>
      <c r="AE43" s="440"/>
      <c r="AF43" s="623" t="str">
        <f>'JFK LU'!AS176</f>
        <v/>
      </c>
      <c r="AG43" s="440">
        <f>'JFK LU'!AR176</f>
        <v>2</v>
      </c>
      <c r="AH43" s="623" t="str">
        <f>'JFK LU'!AS177</f>
        <v/>
      </c>
      <c r="AI43" s="440">
        <f>'JFK LU'!AR177</f>
        <v>6</v>
      </c>
    </row>
    <row r="44" spans="1:35" ht="20" customHeight="1">
      <c r="A44" s="1871"/>
      <c r="B44" s="410" t="str">
        <f>'JFK LU'!AU145</f>
        <v>11. Screwdriver</v>
      </c>
      <c r="C44" s="444"/>
      <c r="D44" s="422"/>
      <c r="E44" s="413"/>
      <c r="F44" s="422"/>
      <c r="G44" s="441"/>
      <c r="H44" s="422"/>
      <c r="I44" s="441"/>
      <c r="J44" s="422"/>
      <c r="K44" s="441"/>
      <c r="L44" s="623" t="str">
        <f>'JFK LU'!BA190</f>
        <v/>
      </c>
      <c r="M44" s="441">
        <f>'JFK LU'!AZ190</f>
        <v>1</v>
      </c>
      <c r="N44" s="623"/>
      <c r="O44" s="443"/>
      <c r="P44" s="422"/>
      <c r="Q44" s="443"/>
      <c r="R44" s="422"/>
      <c r="S44" s="443"/>
      <c r="T44" s="422"/>
      <c r="U44" s="443"/>
      <c r="V44" s="422"/>
      <c r="W44" s="438"/>
      <c r="X44" s="422"/>
      <c r="Y44" s="438"/>
      <c r="Z44" s="422"/>
      <c r="AA44" s="438"/>
      <c r="AB44" s="422"/>
      <c r="AC44" s="440"/>
      <c r="AD44" s="422"/>
      <c r="AE44" s="440"/>
      <c r="AF44" s="623" t="str">
        <f>'JFK LU'!BA191</f>
        <v/>
      </c>
      <c r="AG44" s="440">
        <f>'JFK LU'!AZ191</f>
        <v>4</v>
      </c>
      <c r="AH44" s="623" t="str">
        <f>'JFK LU'!BA192</f>
        <v/>
      </c>
      <c r="AI44" s="440">
        <f>'JFK LU'!AZ192</f>
        <v>9</v>
      </c>
    </row>
    <row r="45" spans="1:35" ht="20" customHeight="1">
      <c r="A45" s="1871"/>
      <c r="B45" s="410" t="str">
        <f>'JFK LU'!BC145</f>
        <v>12. Gin &amp; Orange Juice</v>
      </c>
      <c r="C45" s="444"/>
      <c r="D45" s="422"/>
      <c r="E45" s="413"/>
      <c r="F45" s="422"/>
      <c r="G45" s="441"/>
      <c r="H45" s="422"/>
      <c r="I45" s="441"/>
      <c r="J45" s="422"/>
      <c r="K45" s="441"/>
      <c r="L45" s="623" t="str">
        <f>'JFK LU'!BI190</f>
        <v/>
      </c>
      <c r="M45" s="441">
        <f>'JFK LU'!BH190</f>
        <v>1</v>
      </c>
      <c r="N45" s="623"/>
      <c r="O45" s="443"/>
      <c r="P45" s="422"/>
      <c r="Q45" s="443"/>
      <c r="R45" s="422"/>
      <c r="S45" s="443"/>
      <c r="T45" s="422"/>
      <c r="U45" s="443"/>
      <c r="V45" s="422"/>
      <c r="W45" s="438"/>
      <c r="X45" s="422"/>
      <c r="Y45" s="438"/>
      <c r="Z45" s="422"/>
      <c r="AA45" s="438"/>
      <c r="AB45" s="422"/>
      <c r="AC45" s="440"/>
      <c r="AD45" s="422"/>
      <c r="AE45" s="440"/>
      <c r="AF45" s="623" t="str">
        <f>'JFK LU'!BI191</f>
        <v/>
      </c>
      <c r="AG45" s="440">
        <f>'JFK LU'!BH191</f>
        <v>5</v>
      </c>
      <c r="AH45" s="623" t="str">
        <f>'JFK LU'!BI192</f>
        <v/>
      </c>
      <c r="AI45" s="440">
        <f>'JFK LU'!BH192</f>
        <v>8</v>
      </c>
    </row>
    <row r="46" spans="1:35" ht="20" customHeight="1">
      <c r="A46" s="1871"/>
      <c r="B46" s="410" t="str">
        <f>'JFK LU'!O195</f>
        <v>13. Rum &amp; Pepsi</v>
      </c>
      <c r="C46" s="444"/>
      <c r="D46" s="422"/>
      <c r="E46" s="413"/>
      <c r="F46" s="422"/>
      <c r="G46" s="441"/>
      <c r="H46" s="422"/>
      <c r="I46" s="441"/>
      <c r="J46" s="422"/>
      <c r="K46" s="441"/>
      <c r="L46" s="623" t="str">
        <f>'JFK LU'!U237</f>
        <v/>
      </c>
      <c r="M46" s="441">
        <f>'JFK LU'!T237</f>
        <v>1</v>
      </c>
      <c r="N46" s="623"/>
      <c r="O46" s="443"/>
      <c r="P46" s="422"/>
      <c r="Q46" s="443"/>
      <c r="R46" s="422"/>
      <c r="S46" s="443"/>
      <c r="T46" s="422"/>
      <c r="U46" s="443"/>
      <c r="V46" s="422"/>
      <c r="W46" s="438"/>
      <c r="X46" s="422"/>
      <c r="Y46" s="438"/>
      <c r="Z46" s="422"/>
      <c r="AA46" s="438"/>
      <c r="AB46" s="422"/>
      <c r="AC46" s="440"/>
      <c r="AD46" s="422"/>
      <c r="AE46" s="440"/>
      <c r="AF46" s="623" t="str">
        <f>'JFK LU'!U238</f>
        <v/>
      </c>
      <c r="AG46" s="440">
        <f>'JFK LU'!T238</f>
        <v>5</v>
      </c>
      <c r="AH46" s="623" t="str">
        <f>'JFK LU'!U239</f>
        <v/>
      </c>
      <c r="AI46" s="440">
        <f>'JFK LU'!T239</f>
        <v>7</v>
      </c>
    </row>
    <row r="47" spans="1:35" ht="20" customHeight="1">
      <c r="A47" s="1871"/>
      <c r="B47" s="410" t="str">
        <f>'JFK LU'!W195</f>
        <v>14. Gin &amp; Tonic</v>
      </c>
      <c r="C47" s="444"/>
      <c r="D47" s="422"/>
      <c r="E47" s="413"/>
      <c r="F47" s="422"/>
      <c r="G47" s="441"/>
      <c r="H47" s="422"/>
      <c r="I47" s="441"/>
      <c r="J47" s="422"/>
      <c r="K47" s="441"/>
      <c r="L47" s="623" t="str">
        <f>'JFK LU'!AC237</f>
        <v/>
      </c>
      <c r="M47" s="441">
        <f>'JFK LU'!AB237</f>
        <v>1</v>
      </c>
      <c r="N47" s="623"/>
      <c r="O47" s="443"/>
      <c r="P47" s="422"/>
      <c r="Q47" s="443"/>
      <c r="R47" s="422"/>
      <c r="S47" s="443"/>
      <c r="T47" s="422"/>
      <c r="U47" s="443"/>
      <c r="V47" s="422"/>
      <c r="W47" s="438"/>
      <c r="X47" s="422"/>
      <c r="Y47" s="438"/>
      <c r="Z47" s="422"/>
      <c r="AA47" s="438"/>
      <c r="AB47" s="422"/>
      <c r="AC47" s="440"/>
      <c r="AD47" s="422"/>
      <c r="AE47" s="440"/>
      <c r="AF47" s="623" t="str">
        <f>'JFK LU'!AC238</f>
        <v/>
      </c>
      <c r="AG47" s="440">
        <f>'JFK LU'!AB238</f>
        <v>6</v>
      </c>
      <c r="AH47" s="623" t="str">
        <f>'JFK LU'!AC239</f>
        <v/>
      </c>
      <c r="AI47" s="440">
        <f>'JFK LU'!AB239</f>
        <v>6</v>
      </c>
    </row>
    <row r="48" spans="1:35" ht="20" customHeight="1">
      <c r="A48" s="1871"/>
      <c r="B48" s="410" t="str">
        <f>'JFK LU'!AE195</f>
        <v>15. Scotch &amp; Soda</v>
      </c>
      <c r="C48" s="444"/>
      <c r="D48" s="422"/>
      <c r="E48" s="413"/>
      <c r="F48" s="422"/>
      <c r="G48" s="441"/>
      <c r="H48" s="422"/>
      <c r="I48" s="441"/>
      <c r="J48" s="422"/>
      <c r="K48" s="441"/>
      <c r="L48" s="623" t="str">
        <f>'JFK LU'!AK234</f>
        <v/>
      </c>
      <c r="M48" s="441">
        <f>'JFK LU'!AJ234</f>
        <v>1</v>
      </c>
      <c r="N48" s="623"/>
      <c r="O48" s="443"/>
      <c r="P48" s="422"/>
      <c r="Q48" s="443"/>
      <c r="R48" s="422"/>
      <c r="S48" s="443"/>
      <c r="T48" s="422"/>
      <c r="U48" s="443"/>
      <c r="V48" s="422"/>
      <c r="W48" s="438"/>
      <c r="X48" s="422"/>
      <c r="Y48" s="438"/>
      <c r="Z48" s="422"/>
      <c r="AA48" s="438"/>
      <c r="AB48" s="422"/>
      <c r="AC48" s="440"/>
      <c r="AD48" s="422"/>
      <c r="AE48" s="440"/>
      <c r="AF48" s="623" t="str">
        <f>'JFK LU'!AK235</f>
        <v/>
      </c>
      <c r="AG48" s="440">
        <f>'JFK LU'!AJ235</f>
        <v>4</v>
      </c>
      <c r="AH48" s="623" t="str">
        <f>'JFK LU'!AK236</f>
        <v/>
      </c>
      <c r="AI48" s="440">
        <f>'JFK LU'!AJ236</f>
        <v>7</v>
      </c>
    </row>
    <row r="49" spans="1:35" ht="20" customHeight="1">
      <c r="A49" s="1871"/>
      <c r="B49" s="410" t="str">
        <f>'JFK LU'!AM195</f>
        <v>16. Bloody Mary</v>
      </c>
      <c r="C49" s="444"/>
      <c r="D49" s="422"/>
      <c r="E49" s="413"/>
      <c r="F49" s="422"/>
      <c r="G49" s="441"/>
      <c r="H49" s="422"/>
      <c r="I49" s="441"/>
      <c r="J49" s="422"/>
      <c r="K49" s="441"/>
      <c r="L49" s="623" t="str">
        <f>'JFK LU'!AS246</f>
        <v/>
      </c>
      <c r="M49" s="441">
        <f>'JFK LU'!AR246</f>
        <v>1</v>
      </c>
      <c r="N49" s="623"/>
      <c r="O49" s="443"/>
      <c r="P49" s="422"/>
      <c r="Q49" s="443"/>
      <c r="R49" s="422"/>
      <c r="S49" s="443"/>
      <c r="T49" s="422"/>
      <c r="U49" s="443"/>
      <c r="V49" s="422"/>
      <c r="W49" s="438"/>
      <c r="X49" s="422"/>
      <c r="Y49" s="438"/>
      <c r="Z49" s="422"/>
      <c r="AA49" s="438"/>
      <c r="AB49" s="422"/>
      <c r="AC49" s="440"/>
      <c r="AD49" s="422"/>
      <c r="AE49" s="440"/>
      <c r="AF49" s="623" t="str">
        <f>'JFK LU'!AS247</f>
        <v/>
      </c>
      <c r="AG49" s="440">
        <f>'JFK LU'!AR247</f>
        <v>6</v>
      </c>
      <c r="AH49" s="623" t="str">
        <f>'JFK LU'!AS248</f>
        <v/>
      </c>
      <c r="AI49" s="440">
        <f>'JFK LU'!AR248</f>
        <v>9</v>
      </c>
    </row>
    <row r="50" spans="1:35" ht="20" customHeight="1">
      <c r="A50" s="627"/>
      <c r="B50" s="629" t="str">
        <f>"MCS - "&amp;B34</f>
        <v>MCS - 1. Champagne</v>
      </c>
      <c r="C50" s="444"/>
      <c r="D50" s="422" t="str">
        <f>'JFK LU'!H125</f>
        <v/>
      </c>
      <c r="E50" s="413">
        <f>'JFK LU'!G125</f>
        <v>4</v>
      </c>
      <c r="F50" s="422"/>
      <c r="G50" s="441"/>
      <c r="H50" s="422"/>
      <c r="I50" s="441"/>
      <c r="J50" s="422"/>
      <c r="K50" s="441"/>
      <c r="L50" s="623" t="str">
        <f>'JFK LU'!H126</f>
        <v/>
      </c>
      <c r="M50" s="441">
        <f>'JFK LU'!G126</f>
        <v>1</v>
      </c>
      <c r="N50" s="623" t="str">
        <f>'JFK LU'!H127</f>
        <v/>
      </c>
      <c r="O50" s="443">
        <f>'JFK LU'!G127</f>
        <v>2</v>
      </c>
      <c r="P50" s="422"/>
      <c r="Q50" s="443"/>
      <c r="R50" s="422"/>
      <c r="S50" s="443"/>
      <c r="T50" s="422" t="str">
        <f>'JFK LU'!H128</f>
        <v/>
      </c>
      <c r="U50" s="443">
        <f>'JFK LU'!G128</f>
        <v>2</v>
      </c>
      <c r="V50" s="422"/>
      <c r="W50" s="438"/>
      <c r="X50" s="422"/>
      <c r="Y50" s="438"/>
      <c r="Z50" s="422"/>
      <c r="AA50" s="438"/>
      <c r="AB50" s="422"/>
      <c r="AC50" s="440"/>
      <c r="AD50" s="422"/>
      <c r="AE50" s="440"/>
      <c r="AF50" s="623"/>
      <c r="AG50" s="440"/>
      <c r="AH50" s="623"/>
      <c r="AI50" s="440"/>
    </row>
    <row r="51" spans="1:35" ht="20" customHeight="1">
      <c r="A51" s="627"/>
      <c r="B51" s="629" t="str">
        <f t="shared" ref="B51:B65" si="0">"MCS - "&amp;B35</f>
        <v>MCS - 2. Wine 
- Small Bottles</v>
      </c>
      <c r="C51" s="444"/>
      <c r="D51" s="422" t="str">
        <f>'JFK LU'!I125</f>
        <v/>
      </c>
      <c r="E51" s="413">
        <f>'JFK LU'!G125</f>
        <v>4</v>
      </c>
      <c r="F51" s="422"/>
      <c r="G51" s="441"/>
      <c r="H51" s="422"/>
      <c r="I51" s="441"/>
      <c r="J51" s="422"/>
      <c r="K51" s="441"/>
      <c r="L51" s="623" t="str">
        <f>'JFK LU'!I126</f>
        <v/>
      </c>
      <c r="M51" s="441">
        <f>'JFK LU'!G126</f>
        <v>1</v>
      </c>
      <c r="N51" s="623" t="str">
        <f>'JFK LU'!I127</f>
        <v/>
      </c>
      <c r="O51" s="443">
        <f>'JFK LU'!G127</f>
        <v>2</v>
      </c>
      <c r="P51" s="422"/>
      <c r="Q51" s="443"/>
      <c r="R51" s="422"/>
      <c r="S51" s="443"/>
      <c r="T51" s="422" t="str">
        <f>'JFK LU'!I128</f>
        <v/>
      </c>
      <c r="U51" s="443">
        <f>'JFK LU'!G128</f>
        <v>2</v>
      </c>
      <c r="V51" s="422"/>
      <c r="W51" s="438"/>
      <c r="X51" s="422"/>
      <c r="Y51" s="438"/>
      <c r="Z51" s="422"/>
      <c r="AA51" s="438"/>
      <c r="AB51" s="422"/>
      <c r="AC51" s="440"/>
      <c r="AD51" s="422"/>
      <c r="AE51" s="440"/>
      <c r="AF51" s="623"/>
      <c r="AG51" s="440"/>
      <c r="AH51" s="623"/>
      <c r="AI51" s="440"/>
    </row>
    <row r="52" spans="1:35" ht="20" customHeight="1">
      <c r="A52" s="627"/>
      <c r="B52" s="629" t="str">
        <f t="shared" si="0"/>
        <v>MCS - 3. White Wine Spritzer
- Small Bottles</v>
      </c>
      <c r="C52" s="444"/>
      <c r="D52" s="422" t="str">
        <f>'JFK LU'!J125</f>
        <v/>
      </c>
      <c r="E52" s="413">
        <f>'JFK LU'!G125</f>
        <v>4</v>
      </c>
      <c r="F52" s="422"/>
      <c r="G52" s="441"/>
      <c r="H52" s="422"/>
      <c r="I52" s="441"/>
      <c r="J52" s="422"/>
      <c r="K52" s="441"/>
      <c r="L52" s="623" t="str">
        <f>'JFK LU'!J126</f>
        <v/>
      </c>
      <c r="M52" s="441">
        <f>'JFK LU'!G126</f>
        <v>1</v>
      </c>
      <c r="N52" s="623" t="str">
        <f>'JFK LU'!J127</f>
        <v/>
      </c>
      <c r="O52" s="443">
        <f>'JFK LU'!G127</f>
        <v>2</v>
      </c>
      <c r="P52" s="422"/>
      <c r="Q52" s="443"/>
      <c r="R52" s="422"/>
      <c r="S52" s="443"/>
      <c r="T52" s="422" t="str">
        <f>'JFK LU'!J128</f>
        <v/>
      </c>
      <c r="U52" s="443">
        <f>'JFK LU'!G128</f>
        <v>2</v>
      </c>
      <c r="V52" s="422"/>
      <c r="W52" s="438"/>
      <c r="X52" s="422"/>
      <c r="Y52" s="438"/>
      <c r="Z52" s="422"/>
      <c r="AA52" s="438"/>
      <c r="AB52" s="422"/>
      <c r="AC52" s="440"/>
      <c r="AD52" s="422"/>
      <c r="AE52" s="440"/>
      <c r="AF52" s="623"/>
      <c r="AG52" s="440"/>
      <c r="AH52" s="623"/>
      <c r="AI52" s="440"/>
    </row>
    <row r="53" spans="1:35" ht="20" customHeight="1">
      <c r="A53" s="627"/>
      <c r="B53" s="629" t="str">
        <f t="shared" si="0"/>
        <v>MCS - 4. Wine
- Big Bottles</v>
      </c>
      <c r="C53" s="444"/>
      <c r="D53" s="422" t="str">
        <f>'JFK LU'!K125</f>
        <v/>
      </c>
      <c r="E53" s="413">
        <f>'JFK LU'!G125</f>
        <v>4</v>
      </c>
      <c r="F53" s="422"/>
      <c r="G53" s="441"/>
      <c r="H53" s="422"/>
      <c r="I53" s="441"/>
      <c r="J53" s="422"/>
      <c r="K53" s="441"/>
      <c r="L53" s="623" t="str">
        <f>'JFK LU'!K126</f>
        <v/>
      </c>
      <c r="M53" s="441">
        <f>'JFK LU'!G126</f>
        <v>1</v>
      </c>
      <c r="N53" s="623" t="str">
        <f>'JFK LU'!K127</f>
        <v/>
      </c>
      <c r="O53" s="443">
        <f>'JFK LU'!G127</f>
        <v>2</v>
      </c>
      <c r="P53" s="422"/>
      <c r="Q53" s="443"/>
      <c r="R53" s="422"/>
      <c r="S53" s="443"/>
      <c r="T53" s="422" t="str">
        <f>'JFK LU'!K128</f>
        <v/>
      </c>
      <c r="U53" s="443">
        <f>'JFK LU'!G128</f>
        <v>2</v>
      </c>
      <c r="V53" s="422"/>
      <c r="W53" s="438"/>
      <c r="X53" s="422"/>
      <c r="Y53" s="438"/>
      <c r="Z53" s="422"/>
      <c r="AA53" s="438"/>
      <c r="AB53" s="422"/>
      <c r="AC53" s="440"/>
      <c r="AD53" s="422"/>
      <c r="AE53" s="440"/>
      <c r="AF53" s="623"/>
      <c r="AG53" s="440"/>
      <c r="AH53" s="623"/>
      <c r="AI53" s="440"/>
    </row>
    <row r="54" spans="1:35" ht="20" customHeight="1">
      <c r="A54" s="627"/>
      <c r="B54" s="629" t="str">
        <f t="shared" si="0"/>
        <v>MCS - 5. Dry - White Wine Spritzer - Big Bottle of Wine</v>
      </c>
      <c r="C54" s="444"/>
      <c r="D54" s="422" t="str">
        <f>'JFK LU'!L125</f>
        <v/>
      </c>
      <c r="E54" s="413">
        <f>'JFK LU'!G125</f>
        <v>4</v>
      </c>
      <c r="F54" s="422"/>
      <c r="G54" s="441"/>
      <c r="H54" s="422"/>
      <c r="I54" s="441"/>
      <c r="J54" s="422"/>
      <c r="K54" s="441"/>
      <c r="L54" s="623" t="str">
        <f>'JFK LU'!L126</f>
        <v/>
      </c>
      <c r="M54" s="441">
        <f>'JFK LU'!G126</f>
        <v>1</v>
      </c>
      <c r="N54" s="623" t="str">
        <f>'JFK LU'!L127</f>
        <v/>
      </c>
      <c r="O54" s="443">
        <f>'JFK LU'!G127</f>
        <v>2</v>
      </c>
      <c r="P54" s="422"/>
      <c r="Q54" s="443"/>
      <c r="R54" s="422"/>
      <c r="S54" s="443"/>
      <c r="T54" s="422" t="str">
        <f>'JFK LU'!L128</f>
        <v/>
      </c>
      <c r="U54" s="443">
        <f>'JFK LU'!G128</f>
        <v>2</v>
      </c>
      <c r="V54" s="422"/>
      <c r="W54" s="438"/>
      <c r="X54" s="422"/>
      <c r="Y54" s="438"/>
      <c r="Z54" s="422"/>
      <c r="AA54" s="438"/>
      <c r="AB54" s="422"/>
      <c r="AC54" s="440"/>
      <c r="AD54" s="422"/>
      <c r="AE54" s="440"/>
      <c r="AF54" s="623"/>
      <c r="AG54" s="440"/>
      <c r="AH54" s="623"/>
      <c r="AI54" s="440"/>
    </row>
    <row r="55" spans="1:35" ht="20" customHeight="1">
      <c r="A55" s="627"/>
      <c r="B55" s="629" t="str">
        <f t="shared" si="0"/>
        <v>MCS - 6. Sweet - White Wine Spritzer- Big Bottle of Wine</v>
      </c>
      <c r="C55" s="444"/>
      <c r="D55" s="422" t="str">
        <f>'JFK LU'!M125</f>
        <v/>
      </c>
      <c r="E55" s="413">
        <f>'JFK LU'!G125</f>
        <v>4</v>
      </c>
      <c r="F55" s="422"/>
      <c r="G55" s="441"/>
      <c r="H55" s="422"/>
      <c r="I55" s="441"/>
      <c r="J55" s="422"/>
      <c r="K55" s="441"/>
      <c r="L55" s="623" t="str">
        <f>'JFK LU'!M126</f>
        <v/>
      </c>
      <c r="M55" s="441">
        <f>'JFK LU'!G126</f>
        <v>1</v>
      </c>
      <c r="N55" s="623" t="str">
        <f>'JFK LU'!M127</f>
        <v/>
      </c>
      <c r="O55" s="443">
        <f>'JFK LU'!G127</f>
        <v>2</v>
      </c>
      <c r="P55" s="422"/>
      <c r="Q55" s="443"/>
      <c r="R55" s="422"/>
      <c r="S55" s="443"/>
      <c r="T55" s="422" t="str">
        <f>'JFK LU'!M128</f>
        <v/>
      </c>
      <c r="U55" s="443">
        <f>'JFK LU'!G128</f>
        <v>2</v>
      </c>
      <c r="V55" s="422"/>
      <c r="W55" s="438"/>
      <c r="X55" s="422"/>
      <c r="Y55" s="438"/>
      <c r="Z55" s="422"/>
      <c r="AA55" s="438"/>
      <c r="AB55" s="422"/>
      <c r="AC55" s="440"/>
      <c r="AD55" s="422"/>
      <c r="AE55" s="440"/>
      <c r="AF55" s="623"/>
      <c r="AG55" s="440"/>
      <c r="AH55" s="623"/>
      <c r="AI55" s="440"/>
    </row>
    <row r="56" spans="1:35" ht="20" customHeight="1">
      <c r="A56" s="627"/>
      <c r="B56" s="629" t="str">
        <f t="shared" si="0"/>
        <v>MCS - 7. Liqueur</v>
      </c>
      <c r="C56" s="444"/>
      <c r="D56" s="422" t="str">
        <f>'JFK LU'!H175</f>
        <v/>
      </c>
      <c r="E56" s="413">
        <f>'JFK LU'!G175</f>
        <v>4</v>
      </c>
      <c r="F56" s="422"/>
      <c r="G56" s="441"/>
      <c r="H56" s="422"/>
      <c r="I56" s="441"/>
      <c r="J56" s="422"/>
      <c r="K56" s="441"/>
      <c r="L56" s="623" t="str">
        <f>'JFK LU'!H176</f>
        <v/>
      </c>
      <c r="M56" s="441">
        <f>'JFK LU'!G176</f>
        <v>1</v>
      </c>
      <c r="N56" s="623" t="str">
        <f>'JFK LU'!H177</f>
        <v/>
      </c>
      <c r="O56" s="443">
        <f>'JFK LU'!G177</f>
        <v>2</v>
      </c>
      <c r="P56" s="422"/>
      <c r="Q56" s="443"/>
      <c r="R56" s="422"/>
      <c r="S56" s="443"/>
      <c r="T56" s="422" t="str">
        <f>'JFK LU'!H178</f>
        <v/>
      </c>
      <c r="U56" s="443">
        <f>'JFK LU'!G178</f>
        <v>2</v>
      </c>
      <c r="V56" s="422"/>
      <c r="W56" s="438"/>
      <c r="X56" s="422"/>
      <c r="Y56" s="438"/>
      <c r="Z56" s="422"/>
      <c r="AA56" s="438"/>
      <c r="AB56" s="422"/>
      <c r="AC56" s="440"/>
      <c r="AD56" s="422"/>
      <c r="AE56" s="440"/>
      <c r="AF56" s="623"/>
      <c r="AG56" s="440"/>
      <c r="AH56" s="623"/>
      <c r="AI56" s="440"/>
    </row>
    <row r="57" spans="1:35" ht="20" customHeight="1">
      <c r="A57" s="627"/>
      <c r="B57" s="629" t="str">
        <f t="shared" si="0"/>
        <v>MCS - 8. Shandy</v>
      </c>
      <c r="C57" s="444"/>
      <c r="D57" s="422" t="str">
        <f>'JFK LU'!I175</f>
        <v/>
      </c>
      <c r="E57" s="413">
        <f>'JFK LU'!G175</f>
        <v>4</v>
      </c>
      <c r="F57" s="422"/>
      <c r="G57" s="441"/>
      <c r="H57" s="422"/>
      <c r="I57" s="441"/>
      <c r="J57" s="422"/>
      <c r="K57" s="441"/>
      <c r="L57" s="623" t="str">
        <f>'JFK LU'!I176</f>
        <v/>
      </c>
      <c r="M57" s="441">
        <f>'JFK LU'!G176</f>
        <v>1</v>
      </c>
      <c r="N57" s="623" t="str">
        <f>'JFK LU'!I177</f>
        <v/>
      </c>
      <c r="O57" s="443">
        <f>'JFK LU'!G177</f>
        <v>2</v>
      </c>
      <c r="P57" s="422"/>
      <c r="Q57" s="443"/>
      <c r="R57" s="422"/>
      <c r="S57" s="443"/>
      <c r="T57" s="422" t="str">
        <f>'JFK LU'!I178</f>
        <v/>
      </c>
      <c r="U57" s="443">
        <f>'JFK LU'!G178</f>
        <v>2</v>
      </c>
      <c r="V57" s="422"/>
      <c r="W57" s="438"/>
      <c r="X57" s="422"/>
      <c r="Y57" s="438"/>
      <c r="Z57" s="422"/>
      <c r="AA57" s="438"/>
      <c r="AB57" s="422"/>
      <c r="AC57" s="440"/>
      <c r="AD57" s="422"/>
      <c r="AE57" s="440"/>
      <c r="AF57" s="623"/>
      <c r="AG57" s="440"/>
      <c r="AH57" s="623"/>
      <c r="AI57" s="440"/>
    </row>
    <row r="58" spans="1:35" ht="20" customHeight="1">
      <c r="A58" s="627"/>
      <c r="B58" s="629" t="str">
        <f t="shared" si="0"/>
        <v>MCS - 9. Hot Beverage 
- Tea</v>
      </c>
      <c r="C58" s="444"/>
      <c r="D58" s="422" t="str">
        <f>'JFK LU'!J175</f>
        <v/>
      </c>
      <c r="E58" s="413">
        <f>'JFK LU'!G175</f>
        <v>4</v>
      </c>
      <c r="F58" s="422"/>
      <c r="G58" s="441"/>
      <c r="H58" s="422"/>
      <c r="I58" s="441"/>
      <c r="J58" s="422"/>
      <c r="K58" s="441"/>
      <c r="L58" s="623" t="str">
        <f>'JFK LU'!J176</f>
        <v/>
      </c>
      <c r="M58" s="441">
        <f>'JFK LU'!G176</f>
        <v>1</v>
      </c>
      <c r="N58" s="623" t="str">
        <f>'JFK LU'!J177</f>
        <v/>
      </c>
      <c r="O58" s="443">
        <f>'JFK LU'!G177</f>
        <v>2</v>
      </c>
      <c r="P58" s="422"/>
      <c r="Q58" s="443"/>
      <c r="R58" s="422"/>
      <c r="S58" s="443"/>
      <c r="T58" s="422" t="str">
        <f>'JFK LU'!J178</f>
        <v/>
      </c>
      <c r="U58" s="443">
        <f>'JFK LU'!G178</f>
        <v>2</v>
      </c>
      <c r="V58" s="422"/>
      <c r="W58" s="438"/>
      <c r="X58" s="422"/>
      <c r="Y58" s="438"/>
      <c r="Z58" s="422"/>
      <c r="AA58" s="438"/>
      <c r="AB58" s="422"/>
      <c r="AC58" s="440"/>
      <c r="AD58" s="422"/>
      <c r="AE58" s="440"/>
      <c r="AF58" s="623"/>
      <c r="AG58" s="440"/>
      <c r="AH58" s="623"/>
      <c r="AI58" s="440"/>
    </row>
    <row r="59" spans="1:35" ht="20" customHeight="1">
      <c r="A59" s="627"/>
      <c r="B59" s="629" t="str">
        <f t="shared" si="0"/>
        <v>MCS - 10. Beer</v>
      </c>
      <c r="C59" s="444"/>
      <c r="D59" s="422" t="str">
        <f>'JFK LU'!K175</f>
        <v/>
      </c>
      <c r="E59" s="413">
        <f>'JFK LU'!G175</f>
        <v>4</v>
      </c>
      <c r="F59" s="422"/>
      <c r="G59" s="441"/>
      <c r="H59" s="422"/>
      <c r="I59" s="441"/>
      <c r="J59" s="422"/>
      <c r="K59" s="441"/>
      <c r="L59" s="623" t="str">
        <f>'JFK LU'!K176</f>
        <v/>
      </c>
      <c r="M59" s="441">
        <f>'JFK LU'!G176</f>
        <v>1</v>
      </c>
      <c r="N59" s="623" t="str">
        <f>'JFK LU'!K177</f>
        <v/>
      </c>
      <c r="O59" s="443">
        <f>'JFK LU'!G177</f>
        <v>2</v>
      </c>
      <c r="P59" s="422"/>
      <c r="Q59" s="443"/>
      <c r="R59" s="422"/>
      <c r="S59" s="443"/>
      <c r="T59" s="422" t="str">
        <f>'JFK LU'!K178</f>
        <v/>
      </c>
      <c r="U59" s="443">
        <f>'JFK LU'!G178</f>
        <v>2</v>
      </c>
      <c r="V59" s="422"/>
      <c r="W59" s="438"/>
      <c r="X59" s="422"/>
      <c r="Y59" s="438"/>
      <c r="Z59" s="422"/>
      <c r="AA59" s="438"/>
      <c r="AB59" s="422"/>
      <c r="AC59" s="440"/>
      <c r="AD59" s="422"/>
      <c r="AE59" s="440"/>
      <c r="AF59" s="623"/>
      <c r="AG59" s="440"/>
      <c r="AH59" s="623"/>
      <c r="AI59" s="440"/>
    </row>
    <row r="60" spans="1:35" ht="20" customHeight="1">
      <c r="A60" s="627"/>
      <c r="B60" s="629" t="str">
        <f t="shared" si="0"/>
        <v>MCS - 11. Screwdriver</v>
      </c>
      <c r="C60" s="444"/>
      <c r="D60" s="422" t="str">
        <f>'JFK LU'!L175</f>
        <v/>
      </c>
      <c r="E60" s="413">
        <f>'JFK LU'!G175</f>
        <v>4</v>
      </c>
      <c r="F60" s="422"/>
      <c r="G60" s="441"/>
      <c r="H60" s="422"/>
      <c r="I60" s="441"/>
      <c r="J60" s="422"/>
      <c r="K60" s="441"/>
      <c r="L60" s="623" t="str">
        <f>'JFK LU'!L176</f>
        <v/>
      </c>
      <c r="M60" s="441">
        <f>'JFK LU'!G176</f>
        <v>1</v>
      </c>
      <c r="N60" s="623" t="str">
        <f>'JFK LU'!L177</f>
        <v/>
      </c>
      <c r="O60" s="443">
        <f>'JFK LU'!G177</f>
        <v>2</v>
      </c>
      <c r="P60" s="422"/>
      <c r="Q60" s="443"/>
      <c r="R60" s="422"/>
      <c r="S60" s="443"/>
      <c r="T60" s="422" t="str">
        <f>'JFK LU'!L178</f>
        <v/>
      </c>
      <c r="U60" s="443">
        <f>'JFK LU'!G178</f>
        <v>2</v>
      </c>
      <c r="V60" s="422"/>
      <c r="W60" s="438"/>
      <c r="X60" s="422"/>
      <c r="Y60" s="438"/>
      <c r="Z60" s="422"/>
      <c r="AA60" s="438"/>
      <c r="AB60" s="422"/>
      <c r="AC60" s="440"/>
      <c r="AD60" s="422"/>
      <c r="AE60" s="440"/>
      <c r="AF60" s="623"/>
      <c r="AG60" s="440"/>
      <c r="AH60" s="623"/>
      <c r="AI60" s="440"/>
    </row>
    <row r="61" spans="1:35" ht="20" customHeight="1">
      <c r="A61" s="627"/>
      <c r="B61" s="629" t="str">
        <f t="shared" si="0"/>
        <v>MCS - 12. Gin &amp; Orange Juice</v>
      </c>
      <c r="C61" s="444"/>
      <c r="D61" s="422" t="str">
        <f>'JFK LU'!M175</f>
        <v/>
      </c>
      <c r="E61" s="413">
        <f>'JFK LU'!G175</f>
        <v>4</v>
      </c>
      <c r="F61" s="422"/>
      <c r="G61" s="441"/>
      <c r="H61" s="422"/>
      <c r="I61" s="441"/>
      <c r="J61" s="422"/>
      <c r="K61" s="441"/>
      <c r="L61" s="623" t="str">
        <f>'JFK LU'!M176</f>
        <v/>
      </c>
      <c r="M61" s="441">
        <f>'JFK LU'!G176</f>
        <v>1</v>
      </c>
      <c r="N61" s="623" t="str">
        <f>'JFK LU'!M177</f>
        <v/>
      </c>
      <c r="O61" s="443">
        <f>'JFK LU'!G177</f>
        <v>2</v>
      </c>
      <c r="P61" s="422"/>
      <c r="Q61" s="443"/>
      <c r="R61" s="422"/>
      <c r="S61" s="443"/>
      <c r="T61" s="422" t="str">
        <f>'JFK LU'!M178</f>
        <v/>
      </c>
      <c r="U61" s="443">
        <f>'JFK LU'!G178</f>
        <v>2</v>
      </c>
      <c r="V61" s="422"/>
      <c r="W61" s="438"/>
      <c r="X61" s="422"/>
      <c r="Y61" s="438"/>
      <c r="Z61" s="422"/>
      <c r="AA61" s="438"/>
      <c r="AB61" s="422"/>
      <c r="AC61" s="440"/>
      <c r="AD61" s="422"/>
      <c r="AE61" s="440"/>
      <c r="AF61" s="623"/>
      <c r="AG61" s="440"/>
      <c r="AH61" s="623"/>
      <c r="AI61" s="440"/>
    </row>
    <row r="62" spans="1:35" ht="20" customHeight="1">
      <c r="A62" s="627"/>
      <c r="B62" s="629" t="str">
        <f t="shared" si="0"/>
        <v>MCS - 13. Rum &amp; Pepsi</v>
      </c>
      <c r="C62" s="444"/>
      <c r="D62" s="422" t="str">
        <f>'JFK LU'!H225</f>
        <v/>
      </c>
      <c r="E62" s="413">
        <f>'JFK LU'!G225</f>
        <v>4</v>
      </c>
      <c r="F62" s="422"/>
      <c r="G62" s="441"/>
      <c r="H62" s="422"/>
      <c r="I62" s="441"/>
      <c r="J62" s="422"/>
      <c r="K62" s="441"/>
      <c r="L62" s="623" t="str">
        <f>'JFK LU'!H226</f>
        <v/>
      </c>
      <c r="M62" s="441">
        <f>'JFK LU'!G226</f>
        <v>1</v>
      </c>
      <c r="N62" s="623" t="str">
        <f>'JFK LU'!H227</f>
        <v/>
      </c>
      <c r="O62" s="443">
        <f>'JFK LU'!G227</f>
        <v>2</v>
      </c>
      <c r="P62" s="422"/>
      <c r="Q62" s="443"/>
      <c r="R62" s="422"/>
      <c r="S62" s="443"/>
      <c r="T62" s="422" t="str">
        <f>'JFK LU'!H228</f>
        <v/>
      </c>
      <c r="U62" s="443">
        <f>'JFK LU'!G228</f>
        <v>2</v>
      </c>
      <c r="V62" s="422"/>
      <c r="W62" s="438"/>
      <c r="X62" s="422"/>
      <c r="Y62" s="438"/>
      <c r="Z62" s="422"/>
      <c r="AA62" s="438"/>
      <c r="AB62" s="422"/>
      <c r="AC62" s="440"/>
      <c r="AD62" s="422"/>
      <c r="AE62" s="440"/>
      <c r="AF62" s="623"/>
      <c r="AG62" s="440"/>
      <c r="AH62" s="623"/>
      <c r="AI62" s="440"/>
    </row>
    <row r="63" spans="1:35" ht="20" customHeight="1">
      <c r="A63" s="627"/>
      <c r="B63" s="629" t="str">
        <f t="shared" si="0"/>
        <v>MCS - 14. Gin &amp; Tonic</v>
      </c>
      <c r="C63" s="444"/>
      <c r="D63" s="422" t="str">
        <f>'JFK LU'!I225</f>
        <v/>
      </c>
      <c r="E63" s="413">
        <f>'JFK LU'!G225</f>
        <v>4</v>
      </c>
      <c r="F63" s="422"/>
      <c r="G63" s="441"/>
      <c r="H63" s="422"/>
      <c r="I63" s="441"/>
      <c r="J63" s="422"/>
      <c r="K63" s="441"/>
      <c r="L63" s="623" t="str">
        <f>'JFK LU'!I226</f>
        <v/>
      </c>
      <c r="M63" s="441">
        <f>'JFK LU'!G226</f>
        <v>1</v>
      </c>
      <c r="N63" s="623" t="str">
        <f>'JFK LU'!I227</f>
        <v/>
      </c>
      <c r="O63" s="443">
        <f>'JFK LU'!G227</f>
        <v>2</v>
      </c>
      <c r="P63" s="422"/>
      <c r="Q63" s="443"/>
      <c r="R63" s="422"/>
      <c r="S63" s="443"/>
      <c r="T63" s="422" t="str">
        <f>'JFK LU'!I228</f>
        <v/>
      </c>
      <c r="U63" s="443">
        <f>'JFK LU'!G228</f>
        <v>2</v>
      </c>
      <c r="V63" s="422"/>
      <c r="W63" s="438"/>
      <c r="X63" s="422"/>
      <c r="Y63" s="438"/>
      <c r="Z63" s="422"/>
      <c r="AA63" s="438"/>
      <c r="AB63" s="422"/>
      <c r="AC63" s="440"/>
      <c r="AD63" s="422"/>
      <c r="AE63" s="440"/>
      <c r="AF63" s="623"/>
      <c r="AG63" s="440"/>
      <c r="AH63" s="623"/>
      <c r="AI63" s="440"/>
    </row>
    <row r="64" spans="1:35" ht="20" customHeight="1">
      <c r="A64" s="627"/>
      <c r="B64" s="629" t="str">
        <f t="shared" si="0"/>
        <v>MCS - 15. Scotch &amp; Soda</v>
      </c>
      <c r="C64" s="444"/>
      <c r="D64" s="422" t="str">
        <f>'JFK LU'!J225</f>
        <v/>
      </c>
      <c r="E64" s="413">
        <f>'JFK LU'!G225</f>
        <v>4</v>
      </c>
      <c r="F64" s="422"/>
      <c r="G64" s="441"/>
      <c r="H64" s="422"/>
      <c r="I64" s="441"/>
      <c r="J64" s="422"/>
      <c r="K64" s="441"/>
      <c r="L64" s="623" t="str">
        <f>'JFK LU'!J226</f>
        <v/>
      </c>
      <c r="M64" s="441">
        <f>'JFK LU'!G226</f>
        <v>1</v>
      </c>
      <c r="N64" s="623" t="str">
        <f>'JFK LU'!J227</f>
        <v/>
      </c>
      <c r="O64" s="443">
        <f>'JFK LU'!G227</f>
        <v>2</v>
      </c>
      <c r="P64" s="422"/>
      <c r="Q64" s="443"/>
      <c r="R64" s="422"/>
      <c r="S64" s="443"/>
      <c r="T64" s="422" t="str">
        <f>'JFK LU'!J228</f>
        <v/>
      </c>
      <c r="U64" s="443">
        <f>'JFK LU'!G228</f>
        <v>2</v>
      </c>
      <c r="V64" s="422"/>
      <c r="W64" s="438"/>
      <c r="X64" s="422"/>
      <c r="Y64" s="438"/>
      <c r="Z64" s="422"/>
      <c r="AA64" s="438"/>
      <c r="AB64" s="422"/>
      <c r="AC64" s="440"/>
      <c r="AD64" s="422"/>
      <c r="AE64" s="440"/>
      <c r="AF64" s="623"/>
      <c r="AG64" s="440"/>
      <c r="AH64" s="623"/>
      <c r="AI64" s="440"/>
    </row>
    <row r="65" spans="1:35" ht="20" customHeight="1">
      <c r="A65" s="627"/>
      <c r="B65" s="629" t="str">
        <f t="shared" si="0"/>
        <v>MCS - 16. Bloody Mary</v>
      </c>
      <c r="C65" s="444"/>
      <c r="D65" s="422" t="str">
        <f>'JFK LU'!K225</f>
        <v/>
      </c>
      <c r="E65" s="413">
        <f>'JFK LU'!G225</f>
        <v>4</v>
      </c>
      <c r="F65" s="422"/>
      <c r="G65" s="441"/>
      <c r="H65" s="422"/>
      <c r="I65" s="441"/>
      <c r="J65" s="422"/>
      <c r="K65" s="441"/>
      <c r="L65" s="623" t="str">
        <f>'JFK LU'!K226</f>
        <v/>
      </c>
      <c r="M65" s="441">
        <f>'JFK LU'!G226</f>
        <v>1</v>
      </c>
      <c r="N65" s="623" t="str">
        <f>'JFK LU'!K227</f>
        <v/>
      </c>
      <c r="O65" s="443">
        <f>'JFK LU'!G227</f>
        <v>2</v>
      </c>
      <c r="P65" s="422"/>
      <c r="Q65" s="443"/>
      <c r="R65" s="422"/>
      <c r="S65" s="443"/>
      <c r="T65" s="422" t="str">
        <f>'JFK LU'!K228</f>
        <v/>
      </c>
      <c r="U65" s="443">
        <f>'JFK LU'!G228</f>
        <v>2</v>
      </c>
      <c r="V65" s="422"/>
      <c r="W65" s="438"/>
      <c r="X65" s="422"/>
      <c r="Y65" s="438"/>
      <c r="Z65" s="422"/>
      <c r="AA65" s="438"/>
      <c r="AB65" s="422"/>
      <c r="AC65" s="440"/>
      <c r="AD65" s="422"/>
      <c r="AE65" s="440"/>
      <c r="AF65" s="623"/>
      <c r="AG65" s="440"/>
      <c r="AH65" s="623"/>
      <c r="AI65" s="440"/>
    </row>
    <row r="66" spans="1:35" ht="20" customHeight="1">
      <c r="A66" s="627"/>
      <c r="B66" s="629" t="str">
        <f>"TW - "&amp;B34</f>
        <v>TW - 1. Champagne</v>
      </c>
      <c r="C66" s="444"/>
      <c r="D66" s="422"/>
      <c r="E66" s="413"/>
      <c r="F66" s="422"/>
      <c r="G66" s="441"/>
      <c r="H66" s="422"/>
      <c r="I66" s="441"/>
      <c r="J66" s="422" t="str">
        <f>'JFK LU'!H139</f>
        <v/>
      </c>
      <c r="K66" s="441">
        <f>'JFK LU'!G139</f>
        <v>1</v>
      </c>
      <c r="L66" s="623"/>
      <c r="M66" s="441"/>
      <c r="N66" s="623"/>
      <c r="O66" s="443"/>
      <c r="P66" s="422"/>
      <c r="Q66" s="443"/>
      <c r="R66" s="422"/>
      <c r="S66" s="443"/>
      <c r="T66" s="422"/>
      <c r="U66" s="443"/>
      <c r="V66" s="422" t="str">
        <f>'JFK LU'!H138</f>
        <v/>
      </c>
      <c r="W66" s="438">
        <f>'JFK LU'!G138</f>
        <v>1</v>
      </c>
      <c r="X66" s="422"/>
      <c r="Y66" s="438"/>
      <c r="Z66" s="422"/>
      <c r="AA66" s="438"/>
      <c r="AB66" s="422"/>
      <c r="AC66" s="440"/>
      <c r="AD66" s="422"/>
      <c r="AE66" s="440"/>
      <c r="AF66" s="623"/>
      <c r="AG66" s="440"/>
      <c r="AH66" s="623"/>
      <c r="AI66" s="440"/>
    </row>
    <row r="67" spans="1:35" ht="20" customHeight="1">
      <c r="A67" s="627"/>
      <c r="B67" s="629" t="str">
        <f t="shared" ref="B67:B81" si="1">"TW - "&amp;B35</f>
        <v>TW - 2. Wine 
- Small Bottles</v>
      </c>
      <c r="C67" s="444"/>
      <c r="D67" s="422"/>
      <c r="E67" s="413"/>
      <c r="F67" s="422"/>
      <c r="G67" s="441"/>
      <c r="H67" s="422"/>
      <c r="I67" s="441"/>
      <c r="J67" s="422" t="str">
        <f>'JFK LU'!I139</f>
        <v/>
      </c>
      <c r="K67" s="441">
        <f>'JFK LU'!G139</f>
        <v>1</v>
      </c>
      <c r="L67" s="623"/>
      <c r="M67" s="441"/>
      <c r="N67" s="623"/>
      <c r="O67" s="443"/>
      <c r="P67" s="422"/>
      <c r="Q67" s="443"/>
      <c r="R67" s="422"/>
      <c r="S67" s="443"/>
      <c r="T67" s="422"/>
      <c r="U67" s="443"/>
      <c r="V67" s="422" t="str">
        <f>'JFK LU'!I138</f>
        <v/>
      </c>
      <c r="W67" s="438">
        <f>'JFK LU'!G138</f>
        <v>1</v>
      </c>
      <c r="X67" s="422"/>
      <c r="Y67" s="438"/>
      <c r="Z67" s="422"/>
      <c r="AA67" s="438"/>
      <c r="AB67" s="422"/>
      <c r="AC67" s="440"/>
      <c r="AD67" s="422"/>
      <c r="AE67" s="440"/>
      <c r="AF67" s="623"/>
      <c r="AG67" s="440"/>
      <c r="AH67" s="623"/>
      <c r="AI67" s="440"/>
    </row>
    <row r="68" spans="1:35" ht="20" customHeight="1">
      <c r="A68" s="627"/>
      <c r="B68" s="629" t="str">
        <f t="shared" si="1"/>
        <v>TW - 3. White Wine Spritzer
- Small Bottles</v>
      </c>
      <c r="C68" s="444"/>
      <c r="D68" s="422"/>
      <c r="E68" s="413"/>
      <c r="F68" s="422"/>
      <c r="G68" s="441"/>
      <c r="H68" s="422"/>
      <c r="I68" s="441"/>
      <c r="J68" s="422" t="str">
        <f>'JFK LU'!J139</f>
        <v/>
      </c>
      <c r="K68" s="441">
        <f>'JFK LU'!G139</f>
        <v>1</v>
      </c>
      <c r="L68" s="623"/>
      <c r="M68" s="441"/>
      <c r="N68" s="623"/>
      <c r="O68" s="443"/>
      <c r="P68" s="422"/>
      <c r="Q68" s="443"/>
      <c r="R68" s="422"/>
      <c r="S68" s="443"/>
      <c r="T68" s="422"/>
      <c r="U68" s="443"/>
      <c r="V68" s="422" t="str">
        <f>'JFK LU'!J138</f>
        <v/>
      </c>
      <c r="W68" s="438">
        <f>'JFK LU'!G138</f>
        <v>1</v>
      </c>
      <c r="X68" s="422"/>
      <c r="Y68" s="438"/>
      <c r="Z68" s="422"/>
      <c r="AA68" s="438"/>
      <c r="AB68" s="422"/>
      <c r="AC68" s="440"/>
      <c r="AD68" s="422"/>
      <c r="AE68" s="440"/>
      <c r="AF68" s="623"/>
      <c r="AG68" s="440"/>
      <c r="AH68" s="623"/>
      <c r="AI68" s="440"/>
    </row>
    <row r="69" spans="1:35" ht="20" customHeight="1">
      <c r="A69" s="627"/>
      <c r="B69" s="629" t="str">
        <f t="shared" si="1"/>
        <v>TW - 4. Wine
- Big Bottles</v>
      </c>
      <c r="C69" s="444"/>
      <c r="D69" s="422"/>
      <c r="E69" s="413"/>
      <c r="F69" s="422"/>
      <c r="G69" s="441"/>
      <c r="H69" s="422"/>
      <c r="I69" s="441"/>
      <c r="J69" s="422" t="str">
        <f>'JFK LU'!K139</f>
        <v/>
      </c>
      <c r="K69" s="441">
        <f>'JFK LU'!G139</f>
        <v>1</v>
      </c>
      <c r="L69" s="623"/>
      <c r="M69" s="441"/>
      <c r="N69" s="623"/>
      <c r="O69" s="443"/>
      <c r="P69" s="422"/>
      <c r="Q69" s="443"/>
      <c r="R69" s="422"/>
      <c r="S69" s="443"/>
      <c r="T69" s="422"/>
      <c r="U69" s="443"/>
      <c r="V69" s="422" t="str">
        <f>'JFK LU'!K138</f>
        <v/>
      </c>
      <c r="W69" s="438">
        <f>'JFK LU'!G138</f>
        <v>1</v>
      </c>
      <c r="X69" s="422"/>
      <c r="Y69" s="438"/>
      <c r="Z69" s="422"/>
      <c r="AA69" s="438"/>
      <c r="AB69" s="422"/>
      <c r="AC69" s="440"/>
      <c r="AD69" s="422"/>
      <c r="AE69" s="440"/>
      <c r="AF69" s="623"/>
      <c r="AG69" s="440"/>
      <c r="AH69" s="623"/>
      <c r="AI69" s="440"/>
    </row>
    <row r="70" spans="1:35" ht="20" customHeight="1">
      <c r="A70" s="627"/>
      <c r="B70" s="629" t="str">
        <f t="shared" si="1"/>
        <v>TW - 5. Dry - White Wine Spritzer - Big Bottle of Wine</v>
      </c>
      <c r="C70" s="444"/>
      <c r="D70" s="422"/>
      <c r="E70" s="413"/>
      <c r="F70" s="422"/>
      <c r="G70" s="441"/>
      <c r="H70" s="422"/>
      <c r="I70" s="441"/>
      <c r="J70" s="422" t="str">
        <f>'JFK LU'!L139</f>
        <v/>
      </c>
      <c r="K70" s="441">
        <f>'JFK LU'!G139</f>
        <v>1</v>
      </c>
      <c r="L70" s="623"/>
      <c r="M70" s="441"/>
      <c r="N70" s="623"/>
      <c r="O70" s="443"/>
      <c r="P70" s="422"/>
      <c r="Q70" s="443"/>
      <c r="R70" s="422"/>
      <c r="S70" s="443"/>
      <c r="T70" s="422"/>
      <c r="U70" s="443"/>
      <c r="V70" s="422" t="str">
        <f>'JFK LU'!L138</f>
        <v/>
      </c>
      <c r="W70" s="438">
        <f>'JFK LU'!G138</f>
        <v>1</v>
      </c>
      <c r="X70" s="422"/>
      <c r="Y70" s="438"/>
      <c r="Z70" s="422"/>
      <c r="AA70" s="438"/>
      <c r="AB70" s="422"/>
      <c r="AC70" s="440"/>
      <c r="AD70" s="422"/>
      <c r="AE70" s="440"/>
      <c r="AF70" s="623"/>
      <c r="AG70" s="440"/>
      <c r="AH70" s="623"/>
      <c r="AI70" s="440"/>
    </row>
    <row r="71" spans="1:35" ht="20" customHeight="1">
      <c r="A71" s="627"/>
      <c r="B71" s="629" t="str">
        <f t="shared" si="1"/>
        <v>TW - 6. Sweet - White Wine Spritzer- Big Bottle of Wine</v>
      </c>
      <c r="C71" s="444"/>
      <c r="D71" s="422"/>
      <c r="E71" s="413"/>
      <c r="F71" s="422"/>
      <c r="G71" s="441"/>
      <c r="H71" s="422"/>
      <c r="I71" s="441"/>
      <c r="J71" s="422" t="str">
        <f>'JFK LU'!M139</f>
        <v/>
      </c>
      <c r="K71" s="441">
        <f>'JFK LU'!G139</f>
        <v>1</v>
      </c>
      <c r="L71" s="623"/>
      <c r="M71" s="441"/>
      <c r="N71" s="623"/>
      <c r="O71" s="443"/>
      <c r="P71" s="422"/>
      <c r="Q71" s="443"/>
      <c r="R71" s="422"/>
      <c r="S71" s="443"/>
      <c r="T71" s="422"/>
      <c r="U71" s="443"/>
      <c r="V71" s="422" t="str">
        <f>'JFK LU'!M138</f>
        <v/>
      </c>
      <c r="W71" s="438">
        <f>'JFK LU'!G138</f>
        <v>1</v>
      </c>
      <c r="X71" s="422"/>
      <c r="Y71" s="438"/>
      <c r="Z71" s="422"/>
      <c r="AA71" s="438"/>
      <c r="AB71" s="422"/>
      <c r="AC71" s="440"/>
      <c r="AD71" s="422"/>
      <c r="AE71" s="440"/>
      <c r="AF71" s="623"/>
      <c r="AG71" s="440"/>
      <c r="AH71" s="623"/>
      <c r="AI71" s="440"/>
    </row>
    <row r="72" spans="1:35" ht="20" customHeight="1">
      <c r="A72" s="627"/>
      <c r="B72" s="629" t="str">
        <f t="shared" si="1"/>
        <v>TW - 7. Liqueur</v>
      </c>
      <c r="C72" s="444"/>
      <c r="D72" s="422"/>
      <c r="E72" s="413"/>
      <c r="F72" s="422"/>
      <c r="G72" s="441"/>
      <c r="H72" s="422"/>
      <c r="I72" s="441"/>
      <c r="J72" s="422" t="str">
        <f>'JFK LU'!H189</f>
        <v/>
      </c>
      <c r="K72" s="441">
        <f>'JFK LU'!G189</f>
        <v>1</v>
      </c>
      <c r="L72" s="623"/>
      <c r="M72" s="441"/>
      <c r="N72" s="623"/>
      <c r="O72" s="443"/>
      <c r="P72" s="422"/>
      <c r="Q72" s="443"/>
      <c r="R72" s="422"/>
      <c r="S72" s="443"/>
      <c r="T72" s="422"/>
      <c r="U72" s="443"/>
      <c r="V72" s="422" t="str">
        <f>'JFK LU'!H188</f>
        <v/>
      </c>
      <c r="W72" s="438">
        <f>'JFK LU'!G188</f>
        <v>1</v>
      </c>
      <c r="X72" s="422"/>
      <c r="Y72" s="438"/>
      <c r="Z72" s="422"/>
      <c r="AA72" s="438"/>
      <c r="AB72" s="422"/>
      <c r="AC72" s="440"/>
      <c r="AD72" s="422"/>
      <c r="AE72" s="440"/>
      <c r="AF72" s="623"/>
      <c r="AG72" s="440"/>
      <c r="AH72" s="623"/>
      <c r="AI72" s="440"/>
    </row>
    <row r="73" spans="1:35" ht="20" customHeight="1">
      <c r="A73" s="627"/>
      <c r="B73" s="629" t="str">
        <f t="shared" si="1"/>
        <v>TW - 8. Shandy</v>
      </c>
      <c r="C73" s="444"/>
      <c r="D73" s="422"/>
      <c r="E73" s="413"/>
      <c r="F73" s="422"/>
      <c r="G73" s="441"/>
      <c r="H73" s="422"/>
      <c r="I73" s="441"/>
      <c r="J73" s="422" t="str">
        <f>'JFK LU'!I189</f>
        <v/>
      </c>
      <c r="K73" s="441">
        <f>'JFK LU'!G189</f>
        <v>1</v>
      </c>
      <c r="L73" s="623"/>
      <c r="M73" s="441"/>
      <c r="N73" s="623"/>
      <c r="O73" s="443"/>
      <c r="P73" s="422"/>
      <c r="Q73" s="443"/>
      <c r="R73" s="422"/>
      <c r="S73" s="443"/>
      <c r="T73" s="422"/>
      <c r="U73" s="443"/>
      <c r="V73" s="422" t="str">
        <f>'JFK LU'!I188</f>
        <v/>
      </c>
      <c r="W73" s="438">
        <f>'JFK LU'!G188</f>
        <v>1</v>
      </c>
      <c r="X73" s="422"/>
      <c r="Y73" s="438"/>
      <c r="Z73" s="422"/>
      <c r="AA73" s="438"/>
      <c r="AB73" s="422"/>
      <c r="AC73" s="440"/>
      <c r="AD73" s="422"/>
      <c r="AE73" s="440"/>
      <c r="AF73" s="623"/>
      <c r="AG73" s="440"/>
      <c r="AH73" s="623"/>
      <c r="AI73" s="440"/>
    </row>
    <row r="74" spans="1:35" ht="20" customHeight="1">
      <c r="A74" s="627"/>
      <c r="B74" s="629" t="str">
        <f t="shared" si="1"/>
        <v>TW - 9. Hot Beverage 
- Tea</v>
      </c>
      <c r="C74" s="444"/>
      <c r="D74" s="422"/>
      <c r="E74" s="413"/>
      <c r="F74" s="422"/>
      <c r="G74" s="441"/>
      <c r="H74" s="422"/>
      <c r="I74" s="441"/>
      <c r="J74" s="422" t="str">
        <f>'JFK LU'!J189</f>
        <v/>
      </c>
      <c r="K74" s="441">
        <f>'JFK LU'!G189</f>
        <v>1</v>
      </c>
      <c r="L74" s="623"/>
      <c r="M74" s="441"/>
      <c r="N74" s="623"/>
      <c r="O74" s="443"/>
      <c r="P74" s="422"/>
      <c r="Q74" s="443"/>
      <c r="R74" s="422"/>
      <c r="S74" s="443"/>
      <c r="T74" s="422"/>
      <c r="U74" s="443"/>
      <c r="V74" s="422" t="str">
        <f>'JFK LU'!J188</f>
        <v/>
      </c>
      <c r="W74" s="438">
        <f>'JFK LU'!G188</f>
        <v>1</v>
      </c>
      <c r="X74" s="422"/>
      <c r="Y74" s="438"/>
      <c r="Z74" s="422"/>
      <c r="AA74" s="438"/>
      <c r="AB74" s="422"/>
      <c r="AC74" s="440"/>
      <c r="AD74" s="422"/>
      <c r="AE74" s="440"/>
      <c r="AF74" s="623"/>
      <c r="AG74" s="440"/>
      <c r="AH74" s="623"/>
      <c r="AI74" s="440"/>
    </row>
    <row r="75" spans="1:35" ht="20" customHeight="1">
      <c r="A75" s="627"/>
      <c r="B75" s="629" t="str">
        <f t="shared" si="1"/>
        <v>TW - 10. Beer</v>
      </c>
      <c r="C75" s="444"/>
      <c r="D75" s="422"/>
      <c r="E75" s="413"/>
      <c r="F75" s="422"/>
      <c r="G75" s="441"/>
      <c r="H75" s="422"/>
      <c r="I75" s="441"/>
      <c r="J75" s="422" t="str">
        <f>'JFK LU'!K189</f>
        <v/>
      </c>
      <c r="K75" s="441">
        <f>'JFK LU'!G189</f>
        <v>1</v>
      </c>
      <c r="L75" s="623"/>
      <c r="M75" s="441"/>
      <c r="N75" s="623"/>
      <c r="O75" s="443"/>
      <c r="P75" s="422"/>
      <c r="Q75" s="443"/>
      <c r="R75" s="422"/>
      <c r="S75" s="443"/>
      <c r="T75" s="422"/>
      <c r="U75" s="443"/>
      <c r="V75" s="422" t="str">
        <f>'JFK LU'!K188</f>
        <v/>
      </c>
      <c r="W75" s="438">
        <f>'JFK LU'!G188</f>
        <v>1</v>
      </c>
      <c r="X75" s="422"/>
      <c r="Y75" s="438"/>
      <c r="Z75" s="422"/>
      <c r="AA75" s="438"/>
      <c r="AB75" s="422"/>
      <c r="AC75" s="440"/>
      <c r="AD75" s="422"/>
      <c r="AE75" s="440"/>
      <c r="AF75" s="623"/>
      <c r="AG75" s="440"/>
      <c r="AH75" s="623"/>
      <c r="AI75" s="440"/>
    </row>
    <row r="76" spans="1:35" ht="20" customHeight="1">
      <c r="A76" s="627"/>
      <c r="B76" s="629" t="str">
        <f t="shared" si="1"/>
        <v>TW - 11. Screwdriver</v>
      </c>
      <c r="C76" s="444"/>
      <c r="D76" s="422"/>
      <c r="E76" s="413"/>
      <c r="F76" s="422"/>
      <c r="G76" s="441"/>
      <c r="H76" s="422"/>
      <c r="I76" s="441"/>
      <c r="J76" s="422" t="str">
        <f>'JFK LU'!L189</f>
        <v/>
      </c>
      <c r="K76" s="441">
        <f>'JFK LU'!G189</f>
        <v>1</v>
      </c>
      <c r="L76" s="623"/>
      <c r="M76" s="441"/>
      <c r="N76" s="623"/>
      <c r="O76" s="443"/>
      <c r="P76" s="422"/>
      <c r="Q76" s="443"/>
      <c r="R76" s="422"/>
      <c r="S76" s="443"/>
      <c r="T76" s="422"/>
      <c r="U76" s="443"/>
      <c r="V76" s="422" t="str">
        <f>'JFK LU'!L188</f>
        <v/>
      </c>
      <c r="W76" s="438">
        <f>'JFK LU'!G188</f>
        <v>1</v>
      </c>
      <c r="X76" s="422"/>
      <c r="Y76" s="438"/>
      <c r="Z76" s="422"/>
      <c r="AA76" s="438"/>
      <c r="AB76" s="422"/>
      <c r="AC76" s="440"/>
      <c r="AD76" s="422"/>
      <c r="AE76" s="440"/>
      <c r="AF76" s="623"/>
      <c r="AG76" s="440"/>
      <c r="AH76" s="623"/>
      <c r="AI76" s="440"/>
    </row>
    <row r="77" spans="1:35" ht="20" customHeight="1">
      <c r="A77" s="627"/>
      <c r="B77" s="629" t="str">
        <f t="shared" si="1"/>
        <v>TW - 12. Gin &amp; Orange Juice</v>
      </c>
      <c r="C77" s="444"/>
      <c r="D77" s="422"/>
      <c r="E77" s="413"/>
      <c r="F77" s="422"/>
      <c r="G77" s="441"/>
      <c r="H77" s="422"/>
      <c r="I77" s="441"/>
      <c r="J77" s="422" t="str">
        <f>'JFK LU'!M189</f>
        <v/>
      </c>
      <c r="K77" s="441">
        <f>'JFK LU'!G189</f>
        <v>1</v>
      </c>
      <c r="L77" s="623"/>
      <c r="M77" s="441"/>
      <c r="N77" s="623"/>
      <c r="O77" s="443"/>
      <c r="P77" s="422"/>
      <c r="Q77" s="443"/>
      <c r="R77" s="422"/>
      <c r="S77" s="443"/>
      <c r="T77" s="422"/>
      <c r="U77" s="443"/>
      <c r="V77" s="422" t="str">
        <f>'JFK LU'!M188</f>
        <v/>
      </c>
      <c r="W77" s="438">
        <f>'JFK LU'!G188</f>
        <v>1</v>
      </c>
      <c r="X77" s="422"/>
      <c r="Y77" s="438"/>
      <c r="Z77" s="422"/>
      <c r="AA77" s="438"/>
      <c r="AB77" s="422"/>
      <c r="AC77" s="440"/>
      <c r="AD77" s="422"/>
      <c r="AE77" s="440"/>
      <c r="AF77" s="623"/>
      <c r="AG77" s="440"/>
      <c r="AH77" s="623"/>
      <c r="AI77" s="440"/>
    </row>
    <row r="78" spans="1:35" ht="20" customHeight="1">
      <c r="A78" s="627"/>
      <c r="B78" s="629" t="str">
        <f t="shared" si="1"/>
        <v>TW - 13. Rum &amp; Pepsi</v>
      </c>
      <c r="C78" s="444"/>
      <c r="D78" s="422"/>
      <c r="E78" s="413"/>
      <c r="F78" s="422"/>
      <c r="G78" s="441"/>
      <c r="H78" s="422"/>
      <c r="I78" s="441"/>
      <c r="J78" s="422" t="str">
        <f>'JFK LU'!H239</f>
        <v/>
      </c>
      <c r="K78" s="441">
        <f>'JFK LU'!G239</f>
        <v>1</v>
      </c>
      <c r="L78" s="623"/>
      <c r="M78" s="441"/>
      <c r="N78" s="623"/>
      <c r="O78" s="443"/>
      <c r="P78" s="422"/>
      <c r="Q78" s="443"/>
      <c r="R78" s="422"/>
      <c r="S78" s="443"/>
      <c r="T78" s="422"/>
      <c r="U78" s="443"/>
      <c r="V78" s="422" t="str">
        <f>'JFK LU'!H238</f>
        <v/>
      </c>
      <c r="W78" s="438">
        <f>'JFK LU'!G238</f>
        <v>1</v>
      </c>
      <c r="X78" s="422"/>
      <c r="Y78" s="438"/>
      <c r="Z78" s="422"/>
      <c r="AA78" s="438"/>
      <c r="AB78" s="422"/>
      <c r="AC78" s="440"/>
      <c r="AD78" s="422"/>
      <c r="AE78" s="440"/>
      <c r="AF78" s="623"/>
      <c r="AG78" s="440"/>
      <c r="AH78" s="623"/>
      <c r="AI78" s="440"/>
    </row>
    <row r="79" spans="1:35" ht="20" customHeight="1">
      <c r="A79" s="627"/>
      <c r="B79" s="629" t="str">
        <f t="shared" si="1"/>
        <v>TW - 14. Gin &amp; Tonic</v>
      </c>
      <c r="C79" s="444"/>
      <c r="D79" s="422"/>
      <c r="E79" s="413"/>
      <c r="F79" s="422"/>
      <c r="G79" s="441"/>
      <c r="H79" s="422"/>
      <c r="I79" s="441"/>
      <c r="J79" s="422" t="str">
        <f>'JFK LU'!I239</f>
        <v/>
      </c>
      <c r="K79" s="441">
        <f>'JFK LU'!G239</f>
        <v>1</v>
      </c>
      <c r="L79" s="623"/>
      <c r="M79" s="441"/>
      <c r="N79" s="623"/>
      <c r="O79" s="443"/>
      <c r="P79" s="422"/>
      <c r="Q79" s="443"/>
      <c r="R79" s="422"/>
      <c r="S79" s="443"/>
      <c r="T79" s="422"/>
      <c r="U79" s="443"/>
      <c r="V79" s="422" t="str">
        <f>'JFK LU'!I238</f>
        <v/>
      </c>
      <c r="W79" s="438">
        <f>'JFK LU'!G238</f>
        <v>1</v>
      </c>
      <c r="X79" s="422"/>
      <c r="Y79" s="438"/>
      <c r="Z79" s="422"/>
      <c r="AA79" s="438"/>
      <c r="AB79" s="422"/>
      <c r="AC79" s="440"/>
      <c r="AD79" s="422"/>
      <c r="AE79" s="440"/>
      <c r="AF79" s="623"/>
      <c r="AG79" s="440"/>
      <c r="AH79" s="623"/>
      <c r="AI79" s="440"/>
    </row>
    <row r="80" spans="1:35" ht="20" customHeight="1">
      <c r="A80" s="627"/>
      <c r="B80" s="629" t="str">
        <f t="shared" si="1"/>
        <v>TW - 15. Scotch &amp; Soda</v>
      </c>
      <c r="C80" s="444"/>
      <c r="D80" s="422"/>
      <c r="E80" s="413"/>
      <c r="F80" s="422"/>
      <c r="G80" s="441"/>
      <c r="H80" s="422"/>
      <c r="I80" s="441"/>
      <c r="J80" s="422" t="str">
        <f>'JFK LU'!J239</f>
        <v/>
      </c>
      <c r="K80" s="441">
        <f>'JFK LU'!G239</f>
        <v>1</v>
      </c>
      <c r="L80" s="623"/>
      <c r="M80" s="441"/>
      <c r="N80" s="623"/>
      <c r="O80" s="443"/>
      <c r="P80" s="422"/>
      <c r="Q80" s="443"/>
      <c r="R80" s="422"/>
      <c r="S80" s="443"/>
      <c r="T80" s="422"/>
      <c r="U80" s="443"/>
      <c r="V80" s="422" t="str">
        <f>'JFK LU'!J238</f>
        <v/>
      </c>
      <c r="W80" s="438">
        <f>'JFK LU'!G238</f>
        <v>1</v>
      </c>
      <c r="X80" s="422"/>
      <c r="Y80" s="438"/>
      <c r="Z80" s="422"/>
      <c r="AA80" s="438"/>
      <c r="AB80" s="422"/>
      <c r="AC80" s="440"/>
      <c r="AD80" s="422"/>
      <c r="AE80" s="440"/>
      <c r="AF80" s="623"/>
      <c r="AG80" s="440"/>
      <c r="AH80" s="623"/>
      <c r="AI80" s="440"/>
    </row>
    <row r="81" spans="1:56" ht="20" customHeight="1">
      <c r="A81" s="627"/>
      <c r="B81" s="629" t="str">
        <f t="shared" si="1"/>
        <v>TW - 16. Bloody Mary</v>
      </c>
      <c r="C81" s="444"/>
      <c r="D81" s="422"/>
      <c r="E81" s="413"/>
      <c r="F81" s="422"/>
      <c r="G81" s="441"/>
      <c r="H81" s="422"/>
      <c r="I81" s="441"/>
      <c r="J81" s="422" t="str">
        <f>'JFK LU'!K239</f>
        <v/>
      </c>
      <c r="K81" s="441">
        <f>'JFK LU'!G239</f>
        <v>1</v>
      </c>
      <c r="L81" s="623"/>
      <c r="M81" s="441"/>
      <c r="N81" s="623"/>
      <c r="O81" s="443"/>
      <c r="P81" s="422"/>
      <c r="Q81" s="443"/>
      <c r="R81" s="422"/>
      <c r="S81" s="443"/>
      <c r="T81" s="422"/>
      <c r="U81" s="443"/>
      <c r="V81" s="422" t="str">
        <f>'JFK LU'!K238</f>
        <v/>
      </c>
      <c r="W81" s="438">
        <f>'JFK LU'!G238</f>
        <v>1</v>
      </c>
      <c r="X81" s="422"/>
      <c r="Y81" s="438"/>
      <c r="Z81" s="422"/>
      <c r="AA81" s="438"/>
      <c r="AB81" s="422"/>
      <c r="AC81" s="440"/>
      <c r="AD81" s="422"/>
      <c r="AE81" s="440"/>
      <c r="AF81" s="623"/>
      <c r="AG81" s="440"/>
      <c r="AH81" s="623"/>
      <c r="AI81" s="440"/>
    </row>
    <row r="82" spans="1:56" ht="20" customHeight="1">
      <c r="A82" s="416">
        <f>SUM(D82:AI82)</f>
        <v>0</v>
      </c>
      <c r="B82" s="411" t="s">
        <v>18</v>
      </c>
      <c r="C82" s="425" t="str">
        <f t="shared" ref="C82" si="2">IF(B82=1,D82,"")</f>
        <v/>
      </c>
      <c r="D82" s="1878" t="str">
        <f>IF(D83=0,"N/A",(SUM(D5:D81)))</f>
        <v>N/A</v>
      </c>
      <c r="E82" s="1878"/>
      <c r="F82" s="1878" t="str">
        <f t="shared" ref="F82" si="3">IF(F83=0,"N/A",(SUM(F5:F81)))</f>
        <v>N/A</v>
      </c>
      <c r="G82" s="1878"/>
      <c r="H82" s="1878" t="str">
        <f t="shared" ref="H82" si="4">IF(H83=0,"N/A",(SUM(H5:H81)))</f>
        <v>N/A</v>
      </c>
      <c r="I82" s="1878"/>
      <c r="J82" s="1878" t="str">
        <f t="shared" ref="J82" si="5">IF(J83=0,"N/A",(SUM(J5:J81)))</f>
        <v>N/A</v>
      </c>
      <c r="K82" s="1878"/>
      <c r="L82" s="1878" t="str">
        <f t="shared" ref="L82" si="6">IF(L83=0,"N/A",(SUM(L5:L81)))</f>
        <v>N/A</v>
      </c>
      <c r="M82" s="1878"/>
      <c r="N82" s="1878" t="str">
        <f t="shared" ref="N82" si="7">IF(N83=0,"N/A",(SUM(N5:N81)))</f>
        <v>N/A</v>
      </c>
      <c r="O82" s="1878"/>
      <c r="P82" s="1878" t="str">
        <f t="shared" ref="P82" si="8">IF(P83=0,"N/A",(SUM(P5:P81)))</f>
        <v>N/A</v>
      </c>
      <c r="Q82" s="1878"/>
      <c r="R82" s="1878" t="str">
        <f t="shared" ref="R82" si="9">IF(R83=0,"N/A",(SUM(R5:R81)))</f>
        <v>N/A</v>
      </c>
      <c r="S82" s="1878"/>
      <c r="T82" s="1878" t="str">
        <f t="shared" ref="T82" si="10">IF(T83=0,"N/A",(SUM(T5:T81)))</f>
        <v>N/A</v>
      </c>
      <c r="U82" s="1878"/>
      <c r="V82" s="1878" t="str">
        <f t="shared" ref="V82" si="11">IF(V83=0,"N/A",(SUM(V5:V81)))</f>
        <v>N/A</v>
      </c>
      <c r="W82" s="1878"/>
      <c r="X82" s="1878" t="str">
        <f t="shared" ref="X82" si="12">IF(X83=0,"N/A",(SUM(X5:X81)))</f>
        <v>N/A</v>
      </c>
      <c r="Y82" s="1878"/>
      <c r="Z82" s="1878" t="str">
        <f t="shared" ref="Z82" si="13">IF(Z83=0,"N/A",(SUM(Z5:Z81)))</f>
        <v>N/A</v>
      </c>
      <c r="AA82" s="1878"/>
      <c r="AB82" s="1878" t="str">
        <f t="shared" ref="AB82" si="14">IF(AB83=0,"N/A",(SUM(AB5:AB81)))</f>
        <v>N/A</v>
      </c>
      <c r="AC82" s="1878"/>
      <c r="AD82" s="1878" t="str">
        <f t="shared" ref="AD82" si="15">IF(AD83=0,"N/A",(SUM(AD5:AD81)))</f>
        <v>N/A</v>
      </c>
      <c r="AE82" s="1878"/>
      <c r="AF82" s="1878" t="str">
        <f t="shared" ref="AF82" si="16">IF(AF83=0,"N/A",(SUM(AF5:AF81)))</f>
        <v>N/A</v>
      </c>
      <c r="AG82" s="1878"/>
      <c r="AH82" s="1878" t="str">
        <f t="shared" ref="AH82" si="17">IF(AH83=0,"N/A",(SUM(AH5:AH81)))</f>
        <v>N/A</v>
      </c>
      <c r="AI82" s="1878"/>
    </row>
    <row r="83" spans="1:56" ht="20" customHeight="1">
      <c r="A83" s="3">
        <f>SUM(D83:AI83)</f>
        <v>0</v>
      </c>
      <c r="B83" s="411" t="s">
        <v>19</v>
      </c>
      <c r="C83" s="431"/>
      <c r="D83" s="1879">
        <f>SUMIF(D5:D81,"&gt;=0", E5:E81)</f>
        <v>0</v>
      </c>
      <c r="E83" s="1879"/>
      <c r="F83" s="1879">
        <f t="shared" ref="F83" si="18">SUMIF(F5:F81,"&gt;=0", G5:G81)</f>
        <v>0</v>
      </c>
      <c r="G83" s="1879"/>
      <c r="H83" s="1879">
        <f t="shared" ref="H83" si="19">SUMIF(H5:H81,"&gt;=0", I5:I81)</f>
        <v>0</v>
      </c>
      <c r="I83" s="1879"/>
      <c r="J83" s="1879">
        <f t="shared" ref="J83" si="20">SUMIF(J5:J81,"&gt;=0", K5:K81)</f>
        <v>0</v>
      </c>
      <c r="K83" s="1879"/>
      <c r="L83" s="1879">
        <f t="shared" ref="L83" si="21">SUMIF(L5:L81,"&gt;=0", M5:M81)</f>
        <v>0</v>
      </c>
      <c r="M83" s="1879"/>
      <c r="N83" s="1879">
        <f t="shared" ref="N83" si="22">SUMIF(N5:N81,"&gt;=0", O5:O81)</f>
        <v>0</v>
      </c>
      <c r="O83" s="1879"/>
      <c r="P83" s="1879">
        <f t="shared" ref="P83" si="23">SUMIF(P5:P81,"&gt;=0", Q5:Q81)</f>
        <v>0</v>
      </c>
      <c r="Q83" s="1879"/>
      <c r="R83" s="1879">
        <f t="shared" ref="R83" si="24">SUMIF(R5:R81,"&gt;=0", S5:S81)</f>
        <v>0</v>
      </c>
      <c r="S83" s="1879"/>
      <c r="T83" s="1879">
        <f t="shared" ref="T83" si="25">SUMIF(T5:T81,"&gt;=0", U5:U81)</f>
        <v>0</v>
      </c>
      <c r="U83" s="1879"/>
      <c r="V83" s="1879">
        <f t="shared" ref="V83" si="26">SUMIF(V5:V81,"&gt;=0", W5:W81)</f>
        <v>0</v>
      </c>
      <c r="W83" s="1879"/>
      <c r="X83" s="1879">
        <f t="shared" ref="X83" si="27">SUMIF(X5:X81,"&gt;=0", Y5:Y81)</f>
        <v>0</v>
      </c>
      <c r="Y83" s="1879"/>
      <c r="Z83" s="1879">
        <f t="shared" ref="Z83" si="28">SUMIF(Z5:Z81,"&gt;=0", AA5:AA81)</f>
        <v>0</v>
      </c>
      <c r="AA83" s="1879"/>
      <c r="AB83" s="1879">
        <f t="shared" ref="AB83" si="29">SUMIF(AB5:AB81,"&gt;=0", AC5:AC81)</f>
        <v>0</v>
      </c>
      <c r="AC83" s="1879"/>
      <c r="AD83" s="1879">
        <f t="shared" ref="AD83" si="30">SUMIF(AD5:AD81,"&gt;=0", AE5:AE81)</f>
        <v>0</v>
      </c>
      <c r="AE83" s="1879"/>
      <c r="AF83" s="1879">
        <f t="shared" ref="AF83" si="31">SUMIF(AF5:AF81,"&gt;=0", AG5:AG81)</f>
        <v>0</v>
      </c>
      <c r="AG83" s="1879"/>
      <c r="AH83" s="1879">
        <f t="shared" ref="AH83" si="32">SUMIF(AH5:AH81,"&gt;=0", AI5:AI81)</f>
        <v>0</v>
      </c>
      <c r="AI83" s="1879"/>
      <c r="AJ83" s="1875"/>
      <c r="AK83" s="1875"/>
      <c r="AL83" s="622"/>
      <c r="AP83" s="622"/>
      <c r="AQ83" s="1875"/>
      <c r="AR83" s="1875"/>
      <c r="AS83" s="1875"/>
      <c r="AT83" s="1875"/>
      <c r="AU83" s="1875"/>
      <c r="AV83" s="1875"/>
      <c r="AW83" s="1875"/>
      <c r="AX83" s="1875"/>
      <c r="AY83" s="622"/>
      <c r="AZ83" s="1875"/>
      <c r="BA83" s="1875"/>
      <c r="BB83" s="1875"/>
      <c r="BC83" s="1875"/>
      <c r="BD83" s="1875"/>
    </row>
    <row r="84" spans="1:56" ht="20" customHeight="1" thickBot="1">
      <c r="A84" s="412"/>
      <c r="D84" s="412"/>
      <c r="E84" s="412"/>
      <c r="F84" s="412"/>
      <c r="G84" s="412"/>
      <c r="H84" s="412"/>
      <c r="I84" s="412"/>
      <c r="J84" s="412"/>
      <c r="K84" s="412"/>
      <c r="L84" s="412"/>
      <c r="M84" s="412"/>
      <c r="N84" s="412"/>
      <c r="O84" s="412"/>
      <c r="P84" s="412"/>
      <c r="Q84" s="412"/>
      <c r="R84" s="412"/>
      <c r="S84" s="412"/>
      <c r="T84" s="412"/>
      <c r="U84" s="412"/>
      <c r="V84" s="412"/>
      <c r="W84" s="412"/>
      <c r="X84" s="412"/>
      <c r="Y84" s="412"/>
      <c r="Z84" s="412"/>
      <c r="AA84" s="412"/>
      <c r="AB84" s="412"/>
      <c r="AC84" s="412"/>
      <c r="AD84" s="412"/>
      <c r="AE84" s="412"/>
      <c r="AF84" s="412"/>
      <c r="AG84" s="412"/>
      <c r="AH84" s="412"/>
      <c r="AI84" s="412"/>
      <c r="AJ84" s="412"/>
      <c r="AK84" s="412"/>
      <c r="AL84" s="412"/>
      <c r="AP84" s="623"/>
      <c r="AQ84" s="412"/>
      <c r="AR84" s="623"/>
      <c r="AS84" s="623"/>
      <c r="AT84" s="623"/>
      <c r="AU84" s="623"/>
      <c r="AV84" s="623"/>
      <c r="AW84" s="623"/>
      <c r="AX84" s="412"/>
      <c r="AY84" s="623"/>
      <c r="AZ84" s="412"/>
      <c r="BA84" s="623"/>
      <c r="BB84" s="412"/>
      <c r="BC84" s="412"/>
      <c r="BD84" s="412"/>
    </row>
    <row r="85" spans="1:56" ht="20" customHeight="1">
      <c r="A85" s="1876" t="e">
        <f>(A82/A83)*100</f>
        <v>#DIV/0!</v>
      </c>
    </row>
    <row r="86" spans="1:56" ht="20" customHeight="1" thickBot="1">
      <c r="A86" s="1877"/>
    </row>
    <row r="87" spans="1:56" ht="20" customHeight="1">
      <c r="D87" s="412"/>
      <c r="E87" s="412"/>
      <c r="F87" s="412"/>
      <c r="G87" s="412"/>
      <c r="H87" s="412"/>
      <c r="I87" s="412"/>
      <c r="J87" s="412"/>
      <c r="K87" s="412"/>
      <c r="L87" s="412"/>
      <c r="M87" s="412"/>
      <c r="N87" s="412"/>
      <c r="O87" s="412"/>
      <c r="P87" s="412"/>
      <c r="Q87" s="412"/>
      <c r="R87" s="412"/>
      <c r="S87" s="412"/>
      <c r="T87" s="412"/>
      <c r="U87" s="412"/>
      <c r="V87" s="412"/>
      <c r="W87" s="412"/>
      <c r="X87" s="412"/>
      <c r="Y87" s="412"/>
      <c r="Z87" s="412"/>
      <c r="AA87" s="412"/>
      <c r="AB87" s="412"/>
      <c r="AC87" s="412"/>
      <c r="AD87" s="412"/>
      <c r="AE87" s="412"/>
      <c r="AF87" s="412"/>
      <c r="AG87" s="412"/>
      <c r="AH87" s="412"/>
      <c r="AI87" s="412"/>
      <c r="AJ87" s="412"/>
      <c r="AK87" s="412"/>
      <c r="AL87" s="412"/>
      <c r="AM87" s="623"/>
      <c r="AN87" s="623"/>
      <c r="AO87" s="623"/>
      <c r="AP87" s="623"/>
      <c r="AQ87" s="412"/>
      <c r="AR87" s="623"/>
      <c r="AS87" s="623"/>
      <c r="AT87" s="623"/>
      <c r="AU87" s="623"/>
      <c r="AV87" s="623"/>
      <c r="AW87" s="623"/>
      <c r="AX87" s="412"/>
      <c r="AY87" s="623"/>
      <c r="AZ87" s="412"/>
      <c r="BA87" s="623"/>
      <c r="BB87" s="412"/>
      <c r="BC87" s="412"/>
      <c r="BD87" s="412"/>
    </row>
    <row r="88" spans="1:56" ht="20" customHeight="1">
      <c r="A88" s="281">
        <f>A83*84.99%</f>
        <v>0</v>
      </c>
      <c r="D88" s="412"/>
      <c r="E88" s="412"/>
      <c r="F88" s="412"/>
      <c r="G88" s="412"/>
      <c r="H88" s="412"/>
      <c r="I88" s="412"/>
      <c r="J88" s="412"/>
      <c r="K88" s="412"/>
      <c r="L88" s="412"/>
      <c r="M88" s="412"/>
      <c r="N88" s="412"/>
      <c r="O88" s="412"/>
      <c r="P88" s="412"/>
      <c r="Q88" s="412"/>
      <c r="R88" s="412"/>
      <c r="S88" s="412"/>
      <c r="T88" s="412"/>
      <c r="U88" s="412"/>
      <c r="V88" s="412"/>
      <c r="W88" s="412"/>
      <c r="X88" s="412"/>
      <c r="Y88" s="412"/>
      <c r="Z88" s="412"/>
      <c r="AA88" s="412"/>
      <c r="AB88" s="412"/>
      <c r="AC88" s="412"/>
      <c r="AD88" s="412"/>
      <c r="AE88" s="412"/>
      <c r="AF88" s="412"/>
      <c r="AG88" s="412"/>
      <c r="AH88" s="412"/>
      <c r="AI88" s="412"/>
      <c r="AJ88" s="412"/>
      <c r="AK88" s="412"/>
      <c r="AL88" s="412"/>
      <c r="AM88" s="623"/>
      <c r="AN88" s="623"/>
      <c r="AO88" s="623"/>
      <c r="AP88" s="623"/>
      <c r="AQ88" s="412"/>
      <c r="AR88" s="623"/>
      <c r="AS88" s="623"/>
      <c r="AT88" s="623"/>
      <c r="AU88" s="623"/>
      <c r="AV88" s="623"/>
      <c r="AW88" s="623"/>
      <c r="AX88" s="412"/>
      <c r="AY88" s="623"/>
      <c r="AZ88" s="412"/>
      <c r="BA88" s="623"/>
      <c r="BB88" s="412"/>
      <c r="BC88" s="412"/>
      <c r="BD88" s="412"/>
    </row>
    <row r="89" spans="1:56" ht="20" customHeight="1">
      <c r="A89" s="282">
        <f>A83*85%</f>
        <v>0</v>
      </c>
      <c r="D89" s="160" t="e">
        <f>IF((D83-D82)&gt;2,1,"")</f>
        <v>#VALUE!</v>
      </c>
      <c r="E89" s="412"/>
      <c r="F89" s="412"/>
      <c r="G89" s="412"/>
      <c r="H89" s="412"/>
      <c r="I89" s="412"/>
      <c r="J89" s="412"/>
      <c r="K89" s="412"/>
      <c r="L89" s="412"/>
      <c r="M89" s="412"/>
      <c r="N89" s="412"/>
      <c r="O89" s="412"/>
      <c r="P89" s="412"/>
      <c r="Q89" s="412"/>
      <c r="R89" s="412"/>
      <c r="S89" s="412"/>
      <c r="T89" s="412"/>
      <c r="U89" s="412"/>
      <c r="V89" s="412"/>
      <c r="W89" s="412"/>
      <c r="X89" s="412"/>
      <c r="Y89" s="412"/>
      <c r="Z89" s="412"/>
      <c r="AA89" s="412"/>
      <c r="AB89" s="412"/>
      <c r="AC89" s="412"/>
      <c r="AD89" s="412"/>
      <c r="AE89" s="412"/>
      <c r="AF89" s="412"/>
      <c r="AG89" s="412"/>
      <c r="AH89" s="412"/>
      <c r="AI89" s="412"/>
      <c r="AJ89" s="412"/>
      <c r="AK89" s="412"/>
      <c r="AL89" s="412"/>
      <c r="AM89" s="623"/>
      <c r="AN89" s="623"/>
      <c r="AO89" s="623"/>
      <c r="AP89" s="623"/>
      <c r="AQ89" s="412"/>
      <c r="AR89" s="623"/>
      <c r="AS89" s="623"/>
      <c r="AT89" s="623"/>
      <c r="AU89" s="623"/>
      <c r="AV89" s="623"/>
      <c r="AW89" s="623"/>
      <c r="AX89" s="412"/>
      <c r="AY89" s="623"/>
      <c r="AZ89" s="412"/>
      <c r="BA89" s="623"/>
      <c r="BB89" s="412"/>
      <c r="BC89" s="412"/>
      <c r="BD89" s="412"/>
    </row>
    <row r="90" spans="1:56" ht="20" customHeight="1">
      <c r="A90" s="282">
        <f>A83*89.99%</f>
        <v>0</v>
      </c>
      <c r="D90" s="412"/>
      <c r="E90" s="412"/>
      <c r="F90" s="412"/>
      <c r="G90" s="412"/>
      <c r="H90" s="412"/>
      <c r="I90" s="412"/>
      <c r="J90" s="412"/>
      <c r="K90" s="412"/>
      <c r="L90" s="412"/>
      <c r="M90" s="412"/>
      <c r="N90" s="412"/>
      <c r="O90" s="412"/>
      <c r="P90" s="412"/>
      <c r="Q90" s="412"/>
      <c r="R90" s="412"/>
      <c r="S90" s="412"/>
      <c r="T90" s="412"/>
      <c r="U90" s="412"/>
      <c r="V90" s="412"/>
      <c r="W90" s="412"/>
      <c r="X90" s="412"/>
      <c r="Y90" s="412"/>
      <c r="Z90" s="412"/>
      <c r="AA90" s="412"/>
      <c r="AB90" s="412"/>
      <c r="AC90" s="412"/>
      <c r="AD90" s="412"/>
      <c r="AE90" s="412"/>
      <c r="AF90" s="412"/>
      <c r="AG90" s="412"/>
      <c r="AH90" s="412"/>
      <c r="AI90" s="412"/>
      <c r="AJ90" s="412"/>
      <c r="AK90" s="412"/>
      <c r="AL90" s="412"/>
      <c r="AM90" s="623"/>
      <c r="AN90" s="623"/>
      <c r="AO90" s="623"/>
      <c r="AP90" s="623"/>
      <c r="AQ90" s="412"/>
      <c r="AR90" s="623"/>
      <c r="AS90" s="623"/>
      <c r="AT90" s="623"/>
      <c r="AU90" s="623"/>
      <c r="AV90" s="623"/>
      <c r="AW90" s="623"/>
      <c r="AX90" s="412"/>
      <c r="AY90" s="623"/>
      <c r="AZ90" s="412"/>
      <c r="BA90" s="623"/>
      <c r="BB90" s="412"/>
      <c r="BC90" s="412"/>
      <c r="BD90" s="412"/>
    </row>
    <row r="91" spans="1:56" ht="20" customHeight="1">
      <c r="A91" s="279">
        <f>A83*90%</f>
        <v>0</v>
      </c>
      <c r="D91" s="412"/>
      <c r="E91" s="412"/>
      <c r="F91" s="412"/>
      <c r="G91" s="412"/>
      <c r="H91" s="412"/>
      <c r="I91" s="412"/>
      <c r="J91" s="412"/>
      <c r="K91" s="412"/>
      <c r="L91" s="412"/>
      <c r="M91" s="412"/>
      <c r="N91" s="412"/>
      <c r="O91" s="412"/>
      <c r="P91" s="412"/>
      <c r="Q91" s="412"/>
      <c r="R91" s="412"/>
      <c r="S91" s="412"/>
      <c r="T91" s="412"/>
      <c r="U91" s="412"/>
      <c r="V91" s="412"/>
      <c r="W91" s="412"/>
      <c r="X91" s="412"/>
      <c r="Y91" s="412"/>
      <c r="Z91" s="412"/>
      <c r="AA91" s="412"/>
      <c r="AB91" s="412"/>
      <c r="AC91" s="412"/>
      <c r="AD91" s="412"/>
      <c r="AE91" s="412"/>
      <c r="AF91" s="412"/>
      <c r="AG91" s="412"/>
      <c r="AH91" s="412"/>
      <c r="AI91" s="412"/>
      <c r="AJ91" s="412"/>
      <c r="AK91" s="412"/>
      <c r="AL91" s="412"/>
      <c r="AM91" s="623"/>
      <c r="AN91" s="623"/>
      <c r="AO91" s="623"/>
      <c r="AP91" s="623"/>
      <c r="AQ91" s="412"/>
      <c r="AR91" s="623"/>
      <c r="AS91" s="623"/>
      <c r="AT91" s="623"/>
      <c r="AU91" s="623"/>
      <c r="AV91" s="623"/>
      <c r="AW91" s="623"/>
      <c r="AX91" s="412"/>
      <c r="AY91" s="623"/>
      <c r="AZ91" s="412"/>
      <c r="BA91" s="623"/>
      <c r="BB91" s="412"/>
      <c r="BC91" s="412"/>
      <c r="BD91" s="412"/>
    </row>
    <row r="92" spans="1:56" ht="20" customHeight="1">
      <c r="A92" s="279">
        <f>A83*98.99%</f>
        <v>0</v>
      </c>
      <c r="D92" s="412"/>
      <c r="E92" s="412"/>
      <c r="F92" s="412"/>
      <c r="G92" s="412"/>
      <c r="H92" s="412"/>
      <c r="I92" s="412"/>
      <c r="J92" s="412"/>
      <c r="K92" s="412"/>
      <c r="L92" s="412"/>
      <c r="M92" s="412"/>
      <c r="N92" s="412"/>
      <c r="O92" s="412"/>
      <c r="P92" s="412"/>
      <c r="Q92" s="412"/>
      <c r="R92" s="412"/>
      <c r="S92" s="412"/>
      <c r="T92" s="412"/>
      <c r="U92" s="412"/>
      <c r="V92" s="412"/>
      <c r="W92" s="412"/>
      <c r="X92" s="412"/>
      <c r="Y92" s="412"/>
      <c r="Z92" s="412"/>
      <c r="AA92" s="412"/>
      <c r="AB92" s="412"/>
      <c r="AC92" s="412"/>
      <c r="AD92" s="412"/>
      <c r="AE92" s="412"/>
      <c r="AF92" s="412"/>
      <c r="AG92" s="412"/>
      <c r="AH92" s="412"/>
      <c r="AI92" s="412"/>
      <c r="AJ92" s="412"/>
      <c r="AK92" s="412"/>
      <c r="AL92" s="412"/>
      <c r="AM92" s="623"/>
      <c r="AN92" s="623"/>
      <c r="AO92" s="623"/>
      <c r="AP92" s="623"/>
      <c r="AQ92" s="412"/>
      <c r="AR92" s="623"/>
      <c r="AS92" s="623"/>
      <c r="AT92" s="623"/>
      <c r="AU92" s="623"/>
      <c r="AV92" s="623"/>
      <c r="AW92" s="623"/>
      <c r="AX92" s="412"/>
      <c r="AY92" s="623"/>
      <c r="AZ92" s="412"/>
      <c r="BA92" s="623"/>
      <c r="BB92" s="412"/>
      <c r="BC92" s="412"/>
      <c r="BD92" s="412"/>
    </row>
    <row r="93" spans="1:56" ht="20" customHeight="1">
      <c r="A93" s="280">
        <f>A83*99%</f>
        <v>0</v>
      </c>
      <c r="D93" s="412"/>
      <c r="E93" s="412"/>
      <c r="F93" s="412"/>
      <c r="G93" s="412"/>
      <c r="H93" s="412"/>
      <c r="I93" s="412"/>
      <c r="J93" s="412"/>
      <c r="K93" s="412"/>
      <c r="L93" s="412"/>
      <c r="M93" s="412"/>
      <c r="N93" s="412"/>
      <c r="O93" s="412"/>
      <c r="P93" s="412"/>
      <c r="Q93" s="412"/>
      <c r="R93" s="412"/>
      <c r="S93" s="412"/>
      <c r="T93" s="412"/>
      <c r="U93" s="412"/>
      <c r="V93" s="412"/>
      <c r="W93" s="412"/>
      <c r="X93" s="412"/>
      <c r="Y93" s="412"/>
      <c r="Z93" s="412"/>
      <c r="AA93" s="412"/>
      <c r="AB93" s="412"/>
      <c r="AC93" s="412"/>
      <c r="AD93" s="412"/>
      <c r="AE93" s="412"/>
      <c r="AF93" s="412"/>
      <c r="AG93" s="412"/>
      <c r="AH93" s="412"/>
      <c r="AI93" s="412"/>
      <c r="AJ93" s="412"/>
      <c r="AK93" s="412"/>
      <c r="AL93" s="412"/>
      <c r="AM93" s="623"/>
      <c r="AN93" s="623"/>
      <c r="AO93" s="623"/>
      <c r="AP93" s="623"/>
      <c r="AQ93" s="412"/>
      <c r="AR93" s="623"/>
      <c r="AS93" s="623"/>
      <c r="AT93" s="623"/>
      <c r="AU93" s="623"/>
      <c r="AV93" s="623"/>
      <c r="AW93" s="623"/>
      <c r="AX93" s="412"/>
      <c r="AY93" s="623"/>
      <c r="AZ93" s="412"/>
      <c r="BA93" s="623"/>
      <c r="BB93" s="412"/>
      <c r="BC93" s="412"/>
      <c r="BD93" s="412"/>
    </row>
    <row r="94" spans="1:56" ht="20" customHeight="1">
      <c r="A94" s="280">
        <f>A83</f>
        <v>0</v>
      </c>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623"/>
      <c r="AN94" s="623"/>
      <c r="AO94" s="623"/>
      <c r="AP94" s="623"/>
      <c r="AQ94" s="412"/>
      <c r="AR94" s="623"/>
      <c r="AS94" s="623"/>
      <c r="AT94" s="623"/>
      <c r="AU94" s="623"/>
      <c r="AV94" s="623"/>
      <c r="AW94" s="623"/>
      <c r="AX94" s="412"/>
      <c r="AY94" s="623"/>
      <c r="AZ94" s="412"/>
      <c r="BA94" s="623"/>
      <c r="BB94" s="412"/>
      <c r="BC94" s="412"/>
      <c r="BD94" s="412"/>
    </row>
    <row r="95" spans="1:56" ht="20" customHeight="1">
      <c r="D95" s="412"/>
      <c r="E95" s="412"/>
      <c r="F95" s="412"/>
      <c r="G95" s="412"/>
      <c r="H95" s="412"/>
      <c r="I95" s="412"/>
      <c r="J95" s="412"/>
      <c r="K95" s="412"/>
      <c r="L95" s="412"/>
      <c r="M95" s="412"/>
      <c r="N95" s="412"/>
      <c r="O95" s="412"/>
      <c r="P95" s="412"/>
      <c r="Q95" s="412"/>
      <c r="R95" s="412"/>
      <c r="S95" s="412"/>
      <c r="T95" s="412"/>
      <c r="U95" s="412"/>
      <c r="V95" s="412"/>
      <c r="W95" s="412"/>
      <c r="X95" s="412"/>
      <c r="Y95" s="412"/>
      <c r="Z95" s="412"/>
      <c r="AA95" s="412"/>
      <c r="AB95" s="412"/>
      <c r="AC95" s="412"/>
      <c r="AD95" s="412"/>
      <c r="AE95" s="412"/>
      <c r="AF95" s="412"/>
      <c r="AG95" s="412"/>
      <c r="AH95" s="412"/>
      <c r="AI95" s="412"/>
      <c r="AJ95" s="412"/>
      <c r="AK95" s="412"/>
      <c r="AL95" s="412"/>
      <c r="AM95" s="623"/>
      <c r="AN95" s="623"/>
      <c r="AO95" s="623"/>
      <c r="AP95" s="623"/>
      <c r="AQ95" s="412"/>
      <c r="AR95" s="623"/>
      <c r="AS95" s="623"/>
      <c r="AT95" s="623"/>
      <c r="AU95" s="623"/>
      <c r="AV95" s="623"/>
      <c r="AW95" s="623"/>
      <c r="AX95" s="412"/>
      <c r="AY95" s="623"/>
      <c r="AZ95" s="412"/>
      <c r="BA95" s="623"/>
      <c r="BB95" s="412"/>
      <c r="BC95" s="412"/>
      <c r="BD95" s="412"/>
    </row>
    <row r="96" spans="1:56" ht="20" customHeight="1">
      <c r="D96" s="412"/>
      <c r="E96" s="412"/>
      <c r="F96" s="412"/>
      <c r="G96" s="412"/>
      <c r="H96" s="412"/>
      <c r="I96" s="412"/>
      <c r="J96" s="412"/>
      <c r="K96" s="412"/>
      <c r="L96" s="412"/>
      <c r="M96" s="412"/>
      <c r="N96" s="412"/>
      <c r="O96" s="412"/>
      <c r="P96" s="412"/>
      <c r="Q96" s="412"/>
      <c r="R96" s="412"/>
      <c r="S96" s="412"/>
      <c r="T96" s="412"/>
      <c r="U96" s="412"/>
      <c r="V96" s="412"/>
      <c r="W96" s="412"/>
      <c r="X96" s="412"/>
      <c r="Y96" s="412"/>
      <c r="Z96" s="412"/>
      <c r="AA96" s="412"/>
      <c r="AB96" s="412"/>
      <c r="AC96" s="412"/>
      <c r="AD96" s="412"/>
      <c r="AE96" s="412"/>
      <c r="AF96" s="412"/>
      <c r="AG96" s="412"/>
      <c r="AH96" s="412"/>
      <c r="AI96" s="412"/>
      <c r="AJ96" s="412"/>
      <c r="AK96" s="412"/>
      <c r="AL96" s="412"/>
      <c r="AM96" s="623"/>
      <c r="AN96" s="623"/>
      <c r="AO96" s="623"/>
      <c r="AP96" s="623"/>
      <c r="AQ96" s="412"/>
      <c r="AR96" s="623"/>
      <c r="AS96" s="623"/>
      <c r="AT96" s="623"/>
      <c r="AU96" s="623"/>
      <c r="AV96" s="623"/>
      <c r="AW96" s="623"/>
      <c r="AX96" s="412"/>
      <c r="AY96" s="623"/>
      <c r="AZ96" s="412"/>
      <c r="BA96" s="623"/>
      <c r="BB96" s="412"/>
      <c r="BC96" s="412"/>
      <c r="BD96" s="412"/>
    </row>
    <row r="97" spans="4:56" ht="20" customHeight="1">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623"/>
      <c r="AN97" s="623"/>
      <c r="AO97" s="623"/>
      <c r="AP97" s="623"/>
      <c r="AQ97" s="412"/>
      <c r="AR97" s="623"/>
      <c r="AS97" s="623"/>
      <c r="AT97" s="623"/>
      <c r="AU97" s="623"/>
      <c r="AV97" s="623"/>
      <c r="AW97" s="623"/>
      <c r="AX97" s="412"/>
      <c r="AY97" s="623"/>
      <c r="AZ97" s="412"/>
      <c r="BA97" s="623"/>
      <c r="BB97" s="412"/>
      <c r="BC97" s="412"/>
      <c r="BD97" s="412"/>
    </row>
    <row r="98" spans="4:56" ht="20" customHeight="1">
      <c r="D98" s="412"/>
      <c r="E98" s="412"/>
      <c r="F98" s="412"/>
      <c r="G98" s="412"/>
      <c r="H98" s="412"/>
      <c r="I98" s="412"/>
      <c r="J98" s="412"/>
      <c r="K98" s="412"/>
      <c r="L98" s="412"/>
      <c r="M98" s="412"/>
      <c r="N98" s="412"/>
      <c r="O98" s="412"/>
      <c r="P98" s="412"/>
      <c r="Q98" s="412"/>
      <c r="R98" s="412"/>
      <c r="S98" s="412"/>
      <c r="T98" s="412"/>
      <c r="U98" s="412"/>
      <c r="V98" s="412"/>
      <c r="W98" s="412"/>
      <c r="X98" s="412"/>
      <c r="Y98" s="412"/>
      <c r="Z98" s="412"/>
      <c r="AA98" s="412"/>
      <c r="AB98" s="412"/>
      <c r="AC98" s="412"/>
      <c r="AD98" s="412"/>
      <c r="AE98" s="412"/>
      <c r="AF98" s="412"/>
      <c r="AG98" s="412"/>
      <c r="AH98" s="412"/>
      <c r="AI98" s="412"/>
      <c r="AJ98" s="412"/>
      <c r="AK98" s="412"/>
      <c r="AL98" s="412"/>
      <c r="AM98" s="623"/>
      <c r="AN98" s="623"/>
      <c r="AO98" s="623"/>
      <c r="AP98" s="623"/>
      <c r="AQ98" s="412"/>
      <c r="AR98" s="623"/>
      <c r="AS98" s="623"/>
      <c r="AT98" s="623"/>
      <c r="AU98" s="623"/>
      <c r="AV98" s="623"/>
      <c r="AW98" s="623"/>
      <c r="AX98" s="412"/>
      <c r="AY98" s="623"/>
      <c r="AZ98" s="412"/>
      <c r="BA98" s="623"/>
      <c r="BB98" s="412"/>
      <c r="BC98" s="412"/>
      <c r="BD98" s="412"/>
    </row>
    <row r="99" spans="4:56" ht="20" customHeight="1">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623"/>
      <c r="AN99" s="623"/>
      <c r="AO99" s="623"/>
      <c r="AP99" s="623"/>
      <c r="AQ99" s="412"/>
      <c r="AR99" s="623"/>
      <c r="AS99" s="623"/>
      <c r="AT99" s="623"/>
      <c r="AU99" s="623"/>
      <c r="AV99" s="623"/>
      <c r="AW99" s="623"/>
      <c r="AX99" s="412"/>
      <c r="AY99" s="623"/>
      <c r="AZ99" s="412"/>
      <c r="BA99" s="623"/>
      <c r="BB99" s="412"/>
      <c r="BC99" s="412"/>
      <c r="BD99" s="412"/>
    </row>
    <row r="100" spans="4:56" ht="20" customHeight="1"/>
    <row r="101" spans="4:56" ht="20" customHeight="1"/>
    <row r="102" spans="4:56" ht="20" customHeight="1"/>
    <row r="103" spans="4:56" ht="20" customHeight="1"/>
    <row r="104" spans="4:56" ht="20" customHeight="1"/>
    <row r="105" spans="4:56" ht="20" customHeight="1"/>
    <row r="106" spans="4:56" ht="20" customHeight="1"/>
    <row r="107" spans="4:56" ht="20" customHeight="1"/>
    <row r="108" spans="4:56" ht="20" customHeight="1"/>
    <row r="109" spans="4:56" ht="20" customHeight="1"/>
    <row r="110" spans="4:56" ht="20" customHeight="1"/>
    <row r="111" spans="4:56" ht="20" customHeight="1"/>
    <row r="112" spans="4:56" ht="20" customHeight="1"/>
    <row r="113" ht="20" customHeight="1"/>
    <row r="114" ht="20" customHeight="1"/>
    <row r="115" ht="20" customHeight="1"/>
    <row r="116" ht="20" customHeight="1"/>
    <row r="117" ht="20" customHeight="1"/>
    <row r="118" ht="20" customHeight="1"/>
    <row r="119" ht="20" customHeight="1"/>
    <row r="120" ht="20" customHeight="1"/>
    <row r="121" ht="20" customHeight="1"/>
    <row r="122" ht="20" customHeight="1"/>
    <row r="123" ht="20" customHeight="1"/>
    <row r="124" ht="20" customHeight="1"/>
    <row r="125" ht="20" customHeight="1"/>
  </sheetData>
  <sheetProtection sheet="1" objects="1" scenarios="1" selectLockedCells="1"/>
  <customSheetViews>
    <customSheetView guid="{B4419C5D-1877-4ABB-A46F-9E0AFFC75B59}" scale="85" showGridLines="0" fitToPage="1" hiddenColumns="1" state="hidden">
      <pane ySplit="4" topLeftCell="A38" activePane="bottomLeft" state="frozen"/>
      <selection pane="bottomLeft" activeCell="C8" sqref="C8"/>
      <pageMargins left="0.7" right="0.7" top="0.75" bottom="0.75" header="0.3" footer="0.3"/>
      <pageSetup scale="41" fitToHeight="0" orientation="landscape" r:id="rId1"/>
    </customSheetView>
  </customSheetViews>
  <mergeCells count="63">
    <mergeCell ref="AJ3:AK3"/>
    <mergeCell ref="AL3:BD3"/>
    <mergeCell ref="A15:A32"/>
    <mergeCell ref="P4:Q4"/>
    <mergeCell ref="R4:S4"/>
    <mergeCell ref="T4:U4"/>
    <mergeCell ref="V4:W4"/>
    <mergeCell ref="D4:E4"/>
    <mergeCell ref="F4:G4"/>
    <mergeCell ref="H4:I4"/>
    <mergeCell ref="J4:K4"/>
    <mergeCell ref="L4:M4"/>
    <mergeCell ref="N4:O4"/>
    <mergeCell ref="B3:C4"/>
    <mergeCell ref="D3:M3"/>
    <mergeCell ref="N3:U3"/>
    <mergeCell ref="V3:AA3"/>
    <mergeCell ref="AB4:AC4"/>
    <mergeCell ref="AD4:AE4"/>
    <mergeCell ref="AF4:AG4"/>
    <mergeCell ref="AB3:AI3"/>
    <mergeCell ref="AH4:AI4"/>
    <mergeCell ref="A5:A13"/>
    <mergeCell ref="X4:Y4"/>
    <mergeCell ref="Z4:AA4"/>
    <mergeCell ref="V82:W82"/>
    <mergeCell ref="Z82:AA82"/>
    <mergeCell ref="A34:A49"/>
    <mergeCell ref="D82:E82"/>
    <mergeCell ref="F82:G82"/>
    <mergeCell ref="H82:I82"/>
    <mergeCell ref="J82:K82"/>
    <mergeCell ref="L82:M82"/>
    <mergeCell ref="AB82:AC82"/>
    <mergeCell ref="AD82:AE82"/>
    <mergeCell ref="AF82:AG82"/>
    <mergeCell ref="AH82:AI82"/>
    <mergeCell ref="D83:E83"/>
    <mergeCell ref="F83:G83"/>
    <mergeCell ref="H83:I83"/>
    <mergeCell ref="J83:K83"/>
    <mergeCell ref="L83:M83"/>
    <mergeCell ref="N83:O83"/>
    <mergeCell ref="N82:O82"/>
    <mergeCell ref="P82:Q82"/>
    <mergeCell ref="R82:S82"/>
    <mergeCell ref="T82:U82"/>
    <mergeCell ref="AZ83:BB83"/>
    <mergeCell ref="BC83:BD83"/>
    <mergeCell ref="A85:A86"/>
    <mergeCell ref="X82:Y82"/>
    <mergeCell ref="X83:Y83"/>
    <mergeCell ref="AD83:AE83"/>
    <mergeCell ref="AF83:AG83"/>
    <mergeCell ref="AH83:AI83"/>
    <mergeCell ref="AJ83:AK83"/>
    <mergeCell ref="AQ83:AX83"/>
    <mergeCell ref="P83:Q83"/>
    <mergeCell ref="R83:S83"/>
    <mergeCell ref="T83:U83"/>
    <mergeCell ref="V83:W83"/>
    <mergeCell ref="Z83:AA83"/>
    <mergeCell ref="AB83:AC83"/>
  </mergeCells>
  <conditionalFormatting sqref="A85:A86">
    <cfRule type="cellIs" dxfId="372" priority="154" operator="between">
      <formula>99.01</formula>
      <formula>100</formula>
    </cfRule>
    <cfRule type="cellIs" dxfId="371" priority="155" operator="between">
      <formula>90.01</formula>
      <formula>99</formula>
    </cfRule>
    <cfRule type="cellIs" dxfId="370" priority="156" operator="between">
      <formula>85.01</formula>
      <formula>90</formula>
    </cfRule>
    <cfRule type="cellIs" dxfId="369" priority="157" operator="lessThanOrEqual">
      <formula>85</formula>
    </cfRule>
  </conditionalFormatting>
  <conditionalFormatting sqref="D4 F4 H4 J4 L4 N4 P4 R4 T4 V4 AF4 AH4 AZ14:BB14 BB15:BB17">
    <cfRule type="cellIs" dxfId="368" priority="137" operator="equal">
      <formula>4.4</formula>
    </cfRule>
    <cfRule type="cellIs" dxfId="367" priority="138" operator="equal">
      <formula>4.3</formula>
    </cfRule>
    <cfRule type="cellIs" dxfId="366" priority="139" operator="equal">
      <formula>4.2</formula>
    </cfRule>
    <cfRule type="cellIs" dxfId="365" priority="140" operator="equal">
      <formula>4.1</formula>
    </cfRule>
    <cfRule type="cellIs" dxfId="364" priority="141" operator="equal">
      <formula>3.4</formula>
    </cfRule>
    <cfRule type="cellIs" dxfId="363" priority="142" operator="equal">
      <formula>3.3</formula>
    </cfRule>
    <cfRule type="cellIs" dxfId="362" priority="143" operator="equal">
      <formula>3.2</formula>
    </cfRule>
    <cfRule type="cellIs" dxfId="361" priority="144" operator="equal">
      <formula>3.1</formula>
    </cfRule>
    <cfRule type="cellIs" dxfId="360" priority="145" operator="equal">
      <formula>2.4</formula>
    </cfRule>
    <cfRule type="cellIs" dxfId="359" priority="146" operator="equal">
      <formula>2.3</formula>
    </cfRule>
    <cfRule type="cellIs" dxfId="358" priority="147" operator="equal">
      <formula>2.2</formula>
    </cfRule>
    <cfRule type="cellIs" dxfId="357" priority="148" operator="equal">
      <formula>2.1</formula>
    </cfRule>
    <cfRule type="cellIs" dxfId="356" priority="149" operator="equal">
      <formula>1.5</formula>
    </cfRule>
    <cfRule type="cellIs" dxfId="355" priority="150" operator="equal">
      <formula>1.4</formula>
    </cfRule>
    <cfRule type="cellIs" dxfId="354" priority="151" operator="equal">
      <formula>1.3</formula>
    </cfRule>
    <cfRule type="cellIs" dxfId="353" priority="152" operator="equal">
      <formula>1.2</formula>
    </cfRule>
    <cfRule type="containsText" dxfId="352" priority="153" operator="containsText" text="1.1">
      <formula>NOT(ISERROR(SEARCH("1.1",D4)))</formula>
    </cfRule>
  </conditionalFormatting>
  <conditionalFormatting sqref="X4">
    <cfRule type="cellIs" dxfId="351" priority="103" operator="equal">
      <formula>4.4</formula>
    </cfRule>
    <cfRule type="cellIs" dxfId="350" priority="104" operator="equal">
      <formula>4.3</formula>
    </cfRule>
    <cfRule type="cellIs" dxfId="349" priority="105" operator="equal">
      <formula>4.2</formula>
    </cfRule>
    <cfRule type="cellIs" dxfId="348" priority="106" operator="equal">
      <formula>4.1</formula>
    </cfRule>
    <cfRule type="cellIs" dxfId="347" priority="107" operator="equal">
      <formula>3.4</formula>
    </cfRule>
    <cfRule type="cellIs" dxfId="346" priority="108" operator="equal">
      <formula>3.3</formula>
    </cfRule>
    <cfRule type="cellIs" dxfId="345" priority="109" operator="equal">
      <formula>3.2</formula>
    </cfRule>
    <cfRule type="cellIs" dxfId="344" priority="110" operator="equal">
      <formula>3.1</formula>
    </cfRule>
    <cfRule type="cellIs" dxfId="343" priority="111" operator="equal">
      <formula>2.4</formula>
    </cfRule>
    <cfRule type="cellIs" dxfId="342" priority="112" operator="equal">
      <formula>2.3</formula>
    </cfRule>
    <cfRule type="cellIs" dxfId="341" priority="113" operator="equal">
      <formula>2.2</formula>
    </cfRule>
    <cfRule type="cellIs" dxfId="340" priority="114" operator="equal">
      <formula>2.1</formula>
    </cfRule>
    <cfRule type="cellIs" dxfId="339" priority="115" operator="equal">
      <formula>1.5</formula>
    </cfRule>
    <cfRule type="cellIs" dxfId="338" priority="116" operator="equal">
      <formula>1.4</formula>
    </cfRule>
    <cfRule type="cellIs" dxfId="337" priority="117" operator="equal">
      <formula>1.3</formula>
    </cfRule>
    <cfRule type="cellIs" dxfId="336" priority="118" operator="equal">
      <formula>1.2</formula>
    </cfRule>
    <cfRule type="containsText" dxfId="335" priority="119" operator="containsText" text="1.1">
      <formula>NOT(ISERROR(SEARCH("1.1",X4)))</formula>
    </cfRule>
  </conditionalFormatting>
  <conditionalFormatting sqref="Z4">
    <cfRule type="cellIs" dxfId="334" priority="120" operator="equal">
      <formula>4.4</formula>
    </cfRule>
    <cfRule type="cellIs" dxfId="333" priority="121" operator="equal">
      <formula>4.3</formula>
    </cfRule>
    <cfRule type="cellIs" dxfId="332" priority="122" operator="equal">
      <formula>4.2</formula>
    </cfRule>
    <cfRule type="cellIs" dxfId="331" priority="123" operator="equal">
      <formula>4.1</formula>
    </cfRule>
    <cfRule type="cellIs" dxfId="330" priority="124" operator="equal">
      <formula>3.4</formula>
    </cfRule>
    <cfRule type="cellIs" dxfId="329" priority="125" operator="equal">
      <formula>3.3</formula>
    </cfRule>
    <cfRule type="cellIs" dxfId="328" priority="126" operator="equal">
      <formula>3.2</formula>
    </cfRule>
    <cfRule type="cellIs" dxfId="327" priority="127" operator="equal">
      <formula>3.1</formula>
    </cfRule>
    <cfRule type="cellIs" dxfId="326" priority="128" operator="equal">
      <formula>2.4</formula>
    </cfRule>
    <cfRule type="cellIs" dxfId="325" priority="129" operator="equal">
      <formula>2.3</formula>
    </cfRule>
    <cfRule type="cellIs" dxfId="324" priority="130" operator="equal">
      <formula>2.2</formula>
    </cfRule>
    <cfRule type="cellIs" dxfId="323" priority="131" operator="equal">
      <formula>2.1</formula>
    </cfRule>
    <cfRule type="cellIs" dxfId="322" priority="132" operator="equal">
      <formula>1.5</formula>
    </cfRule>
    <cfRule type="cellIs" dxfId="321" priority="133" operator="equal">
      <formula>1.4</formula>
    </cfRule>
    <cfRule type="cellIs" dxfId="320" priority="134" operator="equal">
      <formula>1.3</formula>
    </cfRule>
    <cfRule type="cellIs" dxfId="319" priority="135" operator="equal">
      <formula>1.2</formula>
    </cfRule>
    <cfRule type="containsText" dxfId="318" priority="136" operator="containsText" text="1.1">
      <formula>NOT(ISERROR(SEARCH("1.1",Z4)))</formula>
    </cfRule>
  </conditionalFormatting>
  <conditionalFormatting sqref="AB4 AD4">
    <cfRule type="cellIs" dxfId="317" priority="86" operator="equal">
      <formula>4.4</formula>
    </cfRule>
    <cfRule type="cellIs" dxfId="316" priority="87" operator="equal">
      <formula>4.3</formula>
    </cfRule>
    <cfRule type="cellIs" dxfId="315" priority="88" operator="equal">
      <formula>4.2</formula>
    </cfRule>
    <cfRule type="cellIs" dxfId="314" priority="89" operator="equal">
      <formula>4.1</formula>
    </cfRule>
    <cfRule type="cellIs" dxfId="313" priority="90" operator="equal">
      <formula>3.4</formula>
    </cfRule>
    <cfRule type="cellIs" dxfId="312" priority="91" operator="equal">
      <formula>3.3</formula>
    </cfRule>
    <cfRule type="cellIs" dxfId="311" priority="92" operator="equal">
      <formula>3.2</formula>
    </cfRule>
    <cfRule type="cellIs" dxfId="310" priority="93" operator="equal">
      <formula>3.1</formula>
    </cfRule>
    <cfRule type="cellIs" dxfId="309" priority="94" operator="equal">
      <formula>2.4</formula>
    </cfRule>
    <cfRule type="cellIs" dxfId="308" priority="95" operator="equal">
      <formula>2.3</formula>
    </cfRule>
    <cfRule type="cellIs" dxfId="307" priority="96" operator="equal">
      <formula>2.2</formula>
    </cfRule>
    <cfRule type="cellIs" dxfId="306" priority="97" operator="equal">
      <formula>2.1</formula>
    </cfRule>
    <cfRule type="cellIs" dxfId="305" priority="98" operator="equal">
      <formula>1.5</formula>
    </cfRule>
    <cfRule type="cellIs" dxfId="304" priority="99" operator="equal">
      <formula>1.4</formula>
    </cfRule>
    <cfRule type="cellIs" dxfId="303" priority="100" operator="equal">
      <formula>1.3</formula>
    </cfRule>
    <cfRule type="cellIs" dxfId="302" priority="101" operator="equal">
      <formula>1.2</formula>
    </cfRule>
    <cfRule type="containsText" dxfId="301" priority="102" operator="containsText" text="1.1">
      <formula>NOT(ISERROR(SEARCH("1.1",AB4)))</formula>
    </cfRule>
  </conditionalFormatting>
  <conditionalFormatting sqref="B1:B2">
    <cfRule type="cellIs" dxfId="300" priority="18" operator="equal">
      <formula>4.4</formula>
    </cfRule>
    <cfRule type="cellIs" dxfId="299" priority="19" operator="equal">
      <formula>4.3</formula>
    </cfRule>
    <cfRule type="cellIs" dxfId="298" priority="20" operator="equal">
      <formula>4.2</formula>
    </cfRule>
    <cfRule type="cellIs" dxfId="297" priority="21" operator="equal">
      <formula>4.1</formula>
    </cfRule>
    <cfRule type="cellIs" dxfId="296" priority="22" operator="equal">
      <formula>3.4</formula>
    </cfRule>
    <cfRule type="cellIs" dxfId="295" priority="23" operator="equal">
      <formula>3.3</formula>
    </cfRule>
    <cfRule type="cellIs" dxfId="294" priority="24" operator="equal">
      <formula>3.2</formula>
    </cfRule>
    <cfRule type="cellIs" dxfId="293" priority="25" operator="equal">
      <formula>3.1</formula>
    </cfRule>
    <cfRule type="cellIs" dxfId="292" priority="26" operator="equal">
      <formula>2.4</formula>
    </cfRule>
    <cfRule type="cellIs" dxfId="291" priority="27" operator="equal">
      <formula>2.3</formula>
    </cfRule>
    <cfRule type="cellIs" dxfId="290" priority="28" operator="equal">
      <formula>2.2</formula>
    </cfRule>
    <cfRule type="cellIs" dxfId="289" priority="29" operator="equal">
      <formula>2.1</formula>
    </cfRule>
    <cfRule type="cellIs" dxfId="288" priority="30" operator="equal">
      <formula>1.5</formula>
    </cfRule>
    <cfRule type="cellIs" dxfId="287" priority="31" operator="equal">
      <formula>1.4</formula>
    </cfRule>
    <cfRule type="cellIs" dxfId="286" priority="32" operator="equal">
      <formula>1.3</formula>
    </cfRule>
    <cfRule type="cellIs" dxfId="285" priority="33" operator="equal">
      <formula>1.2</formula>
    </cfRule>
    <cfRule type="containsText" dxfId="284" priority="34" operator="containsText" text="1.1">
      <formula>NOT(ISERROR(SEARCH("1.1",B1)))</formula>
    </cfRule>
  </conditionalFormatting>
  <conditionalFormatting sqref="AD1:AE2">
    <cfRule type="cellIs" dxfId="283" priority="1" operator="equal">
      <formula>4.4</formula>
    </cfRule>
    <cfRule type="cellIs" dxfId="282" priority="2" operator="equal">
      <formula>4.3</formula>
    </cfRule>
    <cfRule type="cellIs" dxfId="281" priority="3" operator="equal">
      <formula>4.2</formula>
    </cfRule>
    <cfRule type="cellIs" dxfId="280" priority="4" operator="equal">
      <formula>4.1</formula>
    </cfRule>
    <cfRule type="cellIs" dxfId="279" priority="5" operator="equal">
      <formula>3.4</formula>
    </cfRule>
    <cfRule type="cellIs" dxfId="278" priority="6" operator="equal">
      <formula>3.3</formula>
    </cfRule>
    <cfRule type="cellIs" dxfId="277" priority="7" operator="equal">
      <formula>3.2</formula>
    </cfRule>
    <cfRule type="cellIs" dxfId="276" priority="8" operator="equal">
      <formula>3.1</formula>
    </cfRule>
    <cfRule type="cellIs" dxfId="275" priority="9" operator="equal">
      <formula>2.4</formula>
    </cfRule>
    <cfRule type="cellIs" dxfId="274" priority="10" operator="equal">
      <formula>2.3</formula>
    </cfRule>
    <cfRule type="cellIs" dxfId="273" priority="11" operator="equal">
      <formula>2.2</formula>
    </cfRule>
    <cfRule type="cellIs" dxfId="272" priority="12" operator="equal">
      <formula>2.1</formula>
    </cfRule>
    <cfRule type="cellIs" dxfId="271" priority="13" operator="equal">
      <formula>1.5</formula>
    </cfRule>
    <cfRule type="cellIs" dxfId="270" priority="14" operator="equal">
      <formula>1.4</formula>
    </cfRule>
    <cfRule type="cellIs" dxfId="269" priority="15" operator="equal">
      <formula>1.3</formula>
    </cfRule>
    <cfRule type="cellIs" dxfId="268" priority="16" operator="equal">
      <formula>1.2</formula>
    </cfRule>
    <cfRule type="containsText" dxfId="267" priority="17" operator="containsText" text="1.1">
      <formula>NOT(ISERROR(SEARCH("1.1",AD1)))</formula>
    </cfRule>
  </conditionalFormatting>
  <hyperlinks>
    <hyperlink ref="A3" location="'D3 to D14'!R3" tooltip="Back" display="D3 to D14'!A1" xr:uid="{00000000-0004-0000-1300-000000000000}"/>
  </hyperlinks>
  <pageMargins left="0.7" right="0.7" top="0.75" bottom="0.75" header="0.3" footer="0.3"/>
  <pageSetup scale="41" fitToHeight="0" orientation="landscape"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2">
    <pageSetUpPr fitToPage="1"/>
  </sheetPr>
  <dimension ref="A1:BG114"/>
  <sheetViews>
    <sheetView zoomScale="75" zoomScaleNormal="75" workbookViewId="0"/>
  </sheetViews>
  <sheetFormatPr baseColWidth="10" defaultColWidth="9.1640625" defaultRowHeight="15"/>
  <cols>
    <col min="1" max="1" width="9.1640625" style="32" customWidth="1"/>
    <col min="2" max="2" width="50" style="32" bestFit="1" customWidth="1"/>
    <col min="3" max="3" width="7.5" style="32" customWidth="1"/>
    <col min="4" max="59" width="5.6640625" style="32" customWidth="1"/>
    <col min="60" max="60" width="2.6640625" style="32" customWidth="1"/>
    <col min="61" max="16384" width="9.1640625" style="32"/>
  </cols>
  <sheetData>
    <row r="1" spans="1:59" ht="20" customHeight="1">
      <c r="A1" s="156"/>
      <c r="B1" s="507" t="s">
        <v>768</v>
      </c>
      <c r="C1" s="419"/>
      <c r="D1" s="427"/>
      <c r="E1" s="427"/>
      <c r="F1" s="427"/>
      <c r="G1" s="427"/>
      <c r="H1" s="427"/>
      <c r="I1" s="427"/>
      <c r="J1" s="427"/>
      <c r="K1" s="427"/>
      <c r="L1" s="427"/>
      <c r="M1" s="427"/>
      <c r="N1" s="427"/>
      <c r="O1" s="427"/>
      <c r="P1" s="427"/>
      <c r="Q1" s="427"/>
      <c r="R1" s="427"/>
      <c r="S1" s="427"/>
      <c r="T1" s="427"/>
      <c r="U1" s="427"/>
      <c r="V1" s="427"/>
      <c r="W1" s="427"/>
      <c r="X1" s="427"/>
      <c r="Y1" s="427"/>
      <c r="Z1" s="427"/>
      <c r="AA1" s="427"/>
      <c r="AB1" s="427"/>
      <c r="AC1" s="427"/>
      <c r="AD1" s="507" t="s">
        <v>767</v>
      </c>
      <c r="AE1" s="507"/>
      <c r="AF1" s="520"/>
      <c r="AG1" s="520"/>
      <c r="AH1" s="520"/>
      <c r="AI1" s="521"/>
      <c r="AJ1" s="428"/>
      <c r="AK1" s="428"/>
      <c r="AL1" s="428"/>
      <c r="AM1" s="428"/>
      <c r="AN1" s="428"/>
      <c r="AO1" s="428"/>
      <c r="AP1" s="428"/>
      <c r="AQ1" s="428"/>
      <c r="AR1" s="428"/>
      <c r="AS1" s="428"/>
      <c r="AT1" s="428"/>
      <c r="AU1" s="428"/>
      <c r="AV1" s="428"/>
      <c r="AW1" s="428"/>
      <c r="AX1" s="428"/>
      <c r="AY1" s="428"/>
      <c r="AZ1" s="428"/>
      <c r="BA1" s="428"/>
      <c r="BB1" s="428"/>
      <c r="BC1" s="428"/>
      <c r="BD1" s="428"/>
      <c r="BE1" s="428"/>
      <c r="BF1" s="428"/>
      <c r="BG1" s="428"/>
    </row>
    <row r="2" spans="1:59" ht="20" customHeight="1" thickBot="1">
      <c r="A2" s="157"/>
      <c r="B2" s="507" t="s">
        <v>769</v>
      </c>
      <c r="C2" s="420"/>
      <c r="D2" s="426"/>
      <c r="E2" s="426"/>
      <c r="F2" s="426"/>
      <c r="G2" s="426"/>
      <c r="H2" s="426"/>
      <c r="I2" s="426"/>
      <c r="J2" s="426"/>
      <c r="K2" s="426"/>
      <c r="L2" s="426"/>
      <c r="M2" s="426"/>
      <c r="N2" s="426"/>
      <c r="O2" s="426"/>
      <c r="P2" s="426"/>
      <c r="Q2" s="426"/>
      <c r="R2" s="426"/>
      <c r="S2" s="426"/>
      <c r="T2" s="426"/>
      <c r="U2" s="426"/>
      <c r="V2" s="426"/>
      <c r="W2" s="426"/>
      <c r="X2" s="426"/>
      <c r="Y2" s="426"/>
      <c r="Z2" s="426"/>
      <c r="AA2" s="426"/>
      <c r="AB2" s="426"/>
      <c r="AC2" s="426"/>
      <c r="AD2" s="241" t="s">
        <v>766</v>
      </c>
      <c r="AE2" s="241"/>
      <c r="AF2" s="522"/>
      <c r="AG2" s="522"/>
      <c r="AH2" s="522"/>
      <c r="AI2" s="523"/>
      <c r="AJ2" s="428"/>
      <c r="AK2" s="428"/>
      <c r="AL2" s="428"/>
      <c r="AM2" s="428"/>
      <c r="AN2" s="428"/>
      <c r="AO2" s="428"/>
      <c r="AP2" s="428"/>
      <c r="AQ2" s="428"/>
      <c r="AR2" s="428"/>
      <c r="AS2" s="428"/>
      <c r="AT2" s="428"/>
      <c r="AU2" s="428"/>
      <c r="AV2" s="428"/>
      <c r="AW2" s="428"/>
      <c r="AX2" s="428"/>
      <c r="AY2" s="428"/>
      <c r="AZ2" s="428"/>
      <c r="BA2" s="428"/>
      <c r="BB2" s="428"/>
      <c r="BC2" s="428"/>
      <c r="BD2" s="428"/>
      <c r="BE2" s="428"/>
      <c r="BF2" s="428"/>
      <c r="BG2" s="428"/>
    </row>
    <row r="3" spans="1:59" ht="30.75" customHeight="1" thickBot="1">
      <c r="A3" s="64" t="s">
        <v>102</v>
      </c>
      <c r="B3" s="1880"/>
      <c r="C3" s="1881"/>
      <c r="D3" s="1858" t="str">
        <f>'Rubric (.)'!A1</f>
        <v>1. My Professionalism</v>
      </c>
      <c r="E3" s="1859"/>
      <c r="F3" s="1859"/>
      <c r="G3" s="1859"/>
      <c r="H3" s="1859"/>
      <c r="I3" s="1859"/>
      <c r="J3" s="1859"/>
      <c r="K3" s="1859"/>
      <c r="L3" s="1859"/>
      <c r="M3" s="1860"/>
      <c r="N3" s="1861" t="str">
        <f>'Rubric (.)'!A12</f>
        <v>2. My Customer Service</v>
      </c>
      <c r="O3" s="1862"/>
      <c r="P3" s="1862"/>
      <c r="Q3" s="1862"/>
      <c r="R3" s="1862"/>
      <c r="S3" s="1862"/>
      <c r="T3" s="1862"/>
      <c r="U3" s="1863"/>
      <c r="V3" s="1864" t="str">
        <f>'Rubric (.)'!A21</f>
        <v>3. My Teamwork</v>
      </c>
      <c r="W3" s="1865"/>
      <c r="X3" s="1865"/>
      <c r="Y3" s="1865"/>
      <c r="Z3" s="1865"/>
      <c r="AA3" s="1866"/>
      <c r="AB3" s="1867" t="str">
        <f>'Rubric (.)'!A28</f>
        <v>4. My Knowledge and Professional Image</v>
      </c>
      <c r="AC3" s="1868"/>
      <c r="AD3" s="1868"/>
      <c r="AE3" s="1868"/>
      <c r="AF3" s="1868"/>
      <c r="AG3" s="1868"/>
      <c r="AH3" s="1868"/>
      <c r="AI3" s="1869"/>
      <c r="AJ3" s="428"/>
      <c r="AK3" s="428"/>
      <c r="AL3" s="428"/>
      <c r="AM3" s="428"/>
      <c r="AN3" s="428"/>
      <c r="AO3" s="428"/>
      <c r="AP3" s="428"/>
      <c r="AQ3" s="428"/>
      <c r="AR3" s="428"/>
      <c r="AS3" s="428"/>
      <c r="AT3" s="428"/>
      <c r="AU3" s="428"/>
      <c r="AV3" s="428"/>
      <c r="AW3" s="428"/>
      <c r="AX3" s="428"/>
      <c r="AY3" s="428"/>
      <c r="AZ3" s="428"/>
      <c r="BA3" s="428"/>
      <c r="BB3" s="428"/>
      <c r="BC3" s="428"/>
      <c r="BD3" s="428"/>
      <c r="BE3" s="428"/>
      <c r="BF3" s="428"/>
      <c r="BG3" s="428"/>
    </row>
    <row r="4" spans="1:59" ht="20" customHeight="1">
      <c r="A4" s="421" t="s">
        <v>727</v>
      </c>
      <c r="B4" s="1882"/>
      <c r="C4" s="1883"/>
      <c r="D4" s="1855">
        <v>1.1000000000000001</v>
      </c>
      <c r="E4" s="1856"/>
      <c r="F4" s="1855">
        <v>1.2</v>
      </c>
      <c r="G4" s="1856"/>
      <c r="H4" s="1855">
        <v>1.3</v>
      </c>
      <c r="I4" s="1856"/>
      <c r="J4" s="1855">
        <v>1.4</v>
      </c>
      <c r="K4" s="1856"/>
      <c r="L4" s="1855">
        <v>1.5</v>
      </c>
      <c r="M4" s="1856"/>
      <c r="N4" s="1855">
        <v>2.1</v>
      </c>
      <c r="O4" s="1856"/>
      <c r="P4" s="1855">
        <v>2.2000000000000002</v>
      </c>
      <c r="Q4" s="1856"/>
      <c r="R4" s="1855">
        <v>2.2999999999999998</v>
      </c>
      <c r="S4" s="1856"/>
      <c r="T4" s="1855">
        <v>2.4</v>
      </c>
      <c r="U4" s="1856"/>
      <c r="V4" s="1855">
        <v>3.1</v>
      </c>
      <c r="W4" s="1856"/>
      <c r="X4" s="1855">
        <v>3.2</v>
      </c>
      <c r="Y4" s="1856"/>
      <c r="Z4" s="1855">
        <v>3.3</v>
      </c>
      <c r="AA4" s="1856"/>
      <c r="AB4" s="1855">
        <v>4.0999999999999996</v>
      </c>
      <c r="AC4" s="1856"/>
      <c r="AD4" s="1855">
        <v>4.2</v>
      </c>
      <c r="AE4" s="1856"/>
      <c r="AF4" s="1855">
        <v>4.3</v>
      </c>
      <c r="AG4" s="1856"/>
      <c r="AH4" s="1855">
        <v>4.4000000000000004</v>
      </c>
      <c r="AI4" s="1856"/>
      <c r="AJ4" s="428"/>
      <c r="AK4" s="428"/>
      <c r="AL4" s="428"/>
      <c r="AM4" s="428"/>
      <c r="AN4" s="428"/>
      <c r="AO4" s="428"/>
      <c r="AP4" s="428"/>
      <c r="AQ4" s="428"/>
      <c r="AR4" s="428"/>
      <c r="AS4" s="428"/>
      <c r="AT4" s="428"/>
      <c r="AU4" s="428"/>
      <c r="AV4" s="428"/>
      <c r="AW4" s="428"/>
      <c r="AX4" s="428"/>
      <c r="AY4" s="428"/>
      <c r="AZ4" s="428"/>
      <c r="BA4" s="428"/>
      <c r="BB4" s="428"/>
      <c r="BC4" s="428"/>
      <c r="BD4" s="428"/>
      <c r="BE4" s="428"/>
      <c r="BF4" s="428"/>
      <c r="BG4" s="428"/>
    </row>
    <row r="5" spans="1:59" ht="20" customHeight="1">
      <c r="A5" s="1871" t="s">
        <v>15</v>
      </c>
      <c r="B5" s="410" t="s">
        <v>662</v>
      </c>
      <c r="C5" s="444"/>
      <c r="D5" s="422"/>
      <c r="E5" s="413"/>
      <c r="F5" s="422"/>
      <c r="G5" s="441"/>
      <c r="H5" s="422"/>
      <c r="I5" s="441"/>
      <c r="J5" s="422"/>
      <c r="K5" s="441"/>
      <c r="L5" s="32" t="str">
        <f>'JFK LB | BF'!T32</f>
        <v/>
      </c>
      <c r="M5" s="441">
        <f>'JFK LB | BF'!S32</f>
        <v>2</v>
      </c>
      <c r="O5" s="443"/>
      <c r="P5" s="422"/>
      <c r="Q5" s="443"/>
      <c r="R5" s="422"/>
      <c r="S5" s="443"/>
      <c r="T5" s="422"/>
      <c r="U5" s="443"/>
      <c r="V5" s="422"/>
      <c r="W5" s="438"/>
      <c r="X5" s="422"/>
      <c r="Y5" s="438"/>
      <c r="Z5" s="422"/>
      <c r="AA5" s="438"/>
      <c r="AB5" s="422"/>
      <c r="AC5" s="440"/>
      <c r="AD5" s="422"/>
      <c r="AE5" s="440"/>
      <c r="AF5" s="32" t="str">
        <f>'JFK LB | BF'!T33</f>
        <v/>
      </c>
      <c r="AG5" s="440">
        <f>'JFK LB | BF'!S33</f>
        <v>2</v>
      </c>
      <c r="AH5" s="32" t="str">
        <f>'JFK LB | BF'!T34</f>
        <v/>
      </c>
      <c r="AI5" s="440">
        <f>'JFK LB | BF'!S34</f>
        <v>3</v>
      </c>
      <c r="AJ5" s="428"/>
      <c r="BE5" s="428"/>
      <c r="BF5" s="428"/>
      <c r="BG5" s="428"/>
    </row>
    <row r="6" spans="1:59" ht="20" customHeight="1">
      <c r="A6" s="1871"/>
      <c r="B6" s="410" t="s">
        <v>677</v>
      </c>
      <c r="C6" s="444"/>
      <c r="D6" s="422"/>
      <c r="E6" s="413"/>
      <c r="F6" s="422"/>
      <c r="G6" s="441"/>
      <c r="H6" s="422"/>
      <c r="I6" s="441"/>
      <c r="J6" s="422"/>
      <c r="K6" s="441"/>
      <c r="L6" s="32" t="str">
        <f>'JFK LB | BF'!AD41</f>
        <v/>
      </c>
      <c r="M6" s="441">
        <f>'JFK LB | BF'!AC41</f>
        <v>1</v>
      </c>
      <c r="O6" s="443"/>
      <c r="P6" s="422"/>
      <c r="Q6" s="443"/>
      <c r="R6" s="422"/>
      <c r="S6" s="443"/>
      <c r="T6" s="422" t="str">
        <f>'JFK LB | BF'!AD42</f>
        <v/>
      </c>
      <c r="U6" s="443">
        <f>'JFK LB | BF'!AC42</f>
        <v>2</v>
      </c>
      <c r="V6" s="422"/>
      <c r="W6" s="438"/>
      <c r="X6" s="422"/>
      <c r="Y6" s="438"/>
      <c r="Z6" s="422"/>
      <c r="AA6" s="438"/>
      <c r="AB6" s="422"/>
      <c r="AC6" s="440"/>
      <c r="AD6" s="422"/>
      <c r="AE6" s="440"/>
      <c r="AF6" s="32" t="str">
        <f>'JFK LB | BF'!AD43</f>
        <v/>
      </c>
      <c r="AG6" s="440">
        <f>'JFK LB | BF'!AC43</f>
        <v>1</v>
      </c>
      <c r="AH6" s="32" t="str">
        <f>'JFK LB | BF'!AD44</f>
        <v/>
      </c>
      <c r="AI6" s="440">
        <f>'JFK LB | BF'!AC44</f>
        <v>6</v>
      </c>
      <c r="AJ6" s="428"/>
      <c r="BE6" s="428"/>
      <c r="BF6" s="428"/>
      <c r="BG6" s="428"/>
    </row>
    <row r="7" spans="1:59" ht="20" customHeight="1">
      <c r="A7" s="1871"/>
      <c r="B7" s="410" t="s">
        <v>678</v>
      </c>
      <c r="C7" s="444"/>
      <c r="D7" s="422"/>
      <c r="E7" s="413"/>
      <c r="F7" s="422"/>
      <c r="G7" s="441"/>
      <c r="H7" s="422"/>
      <c r="I7" s="441"/>
      <c r="J7" s="422"/>
      <c r="K7" s="441"/>
      <c r="L7" s="32" t="str">
        <f>'JFK LB | BF'!AN29</f>
        <v/>
      </c>
      <c r="M7" s="441">
        <f>'JFK LB | BF'!AM29</f>
        <v>1</v>
      </c>
      <c r="O7" s="443"/>
      <c r="P7" s="422"/>
      <c r="Q7" s="443"/>
      <c r="R7" s="422"/>
      <c r="S7" s="443"/>
      <c r="T7" s="422"/>
      <c r="U7" s="443"/>
      <c r="V7" s="422"/>
      <c r="W7" s="438"/>
      <c r="X7" s="422"/>
      <c r="Y7" s="438"/>
      <c r="Z7" s="422"/>
      <c r="AA7" s="438"/>
      <c r="AB7" s="422"/>
      <c r="AC7" s="440"/>
      <c r="AD7" s="422"/>
      <c r="AE7" s="440"/>
      <c r="AF7" s="32" t="str">
        <f>'JFK LB | BF'!AN30</f>
        <v/>
      </c>
      <c r="AG7" s="440">
        <f>'JFK LB | BF'!AM30</f>
        <v>1</v>
      </c>
      <c r="AH7" s="32" t="str">
        <f>'JFK LB | BF'!AN31</f>
        <v/>
      </c>
      <c r="AI7" s="440">
        <f>'JFK LB | BF'!AM31</f>
        <v>4</v>
      </c>
      <c r="AJ7" s="428"/>
      <c r="BE7" s="428"/>
      <c r="BF7" s="428"/>
      <c r="BG7" s="428"/>
    </row>
    <row r="8" spans="1:59" ht="20" customHeight="1">
      <c r="A8" s="1871"/>
      <c r="B8" s="410" t="s">
        <v>697</v>
      </c>
      <c r="C8" s="444"/>
      <c r="D8" s="422" t="str">
        <f>'JFK LB | BF'!I32</f>
        <v/>
      </c>
      <c r="E8" s="413">
        <f>'JFK LB | BF'!H32</f>
        <v>4</v>
      </c>
      <c r="F8" s="422"/>
      <c r="G8" s="441"/>
      <c r="H8" s="422"/>
      <c r="I8" s="441"/>
      <c r="J8" s="422"/>
      <c r="K8" s="441"/>
      <c r="L8" s="32" t="str">
        <f>'JFK LB | BF'!I33</f>
        <v/>
      </c>
      <c r="M8" s="441">
        <f>'JFK LB | BF'!H33</f>
        <v>1</v>
      </c>
      <c r="N8" s="32" t="str">
        <f>'JFK LB | BF'!I34</f>
        <v/>
      </c>
      <c r="O8" s="443">
        <f>'JFK LB | BF'!H34</f>
        <v>1</v>
      </c>
      <c r="P8" s="422"/>
      <c r="Q8" s="443"/>
      <c r="R8" s="422"/>
      <c r="S8" s="443"/>
      <c r="T8" s="422" t="str">
        <f>'JFK LB | BF'!I35</f>
        <v/>
      </c>
      <c r="U8" s="443">
        <f>'JFK LB | BF'!H35</f>
        <v>1</v>
      </c>
      <c r="V8" s="422"/>
      <c r="W8" s="438"/>
      <c r="X8" s="422"/>
      <c r="Y8" s="438"/>
      <c r="Z8" s="422"/>
      <c r="AA8" s="438"/>
      <c r="AB8" s="422"/>
      <c r="AC8" s="440"/>
      <c r="AD8" s="422"/>
      <c r="AE8" s="440"/>
      <c r="AG8" s="440"/>
      <c r="AI8" s="440"/>
    </row>
    <row r="9" spans="1:59" ht="20" customHeight="1">
      <c r="A9" s="1871"/>
      <c r="B9" s="410" t="s">
        <v>698</v>
      </c>
      <c r="C9" s="444"/>
      <c r="D9" s="422" t="str">
        <f>'JFK LB | BF'!J32</f>
        <v/>
      </c>
      <c r="E9" s="413">
        <f>'JFK LB | BF'!H32</f>
        <v>4</v>
      </c>
      <c r="F9" s="422"/>
      <c r="G9" s="441"/>
      <c r="H9" s="422"/>
      <c r="I9" s="441"/>
      <c r="J9" s="422"/>
      <c r="K9" s="441"/>
      <c r="L9" s="32" t="str">
        <f>'JFK LB | BF'!J33</f>
        <v/>
      </c>
      <c r="M9" s="441">
        <f>'JFK LB | BF'!H33</f>
        <v>1</v>
      </c>
      <c r="N9" s="32" t="str">
        <f>'JFK LB | BF'!J34</f>
        <v/>
      </c>
      <c r="O9" s="443">
        <f>'JFK LB | BF'!H34</f>
        <v>1</v>
      </c>
      <c r="P9" s="422"/>
      <c r="Q9" s="443"/>
      <c r="R9" s="422"/>
      <c r="S9" s="443"/>
      <c r="T9" s="422" t="str">
        <f>'JFK LB | BF'!J35</f>
        <v/>
      </c>
      <c r="U9" s="443">
        <f>'JFK LB | BF'!H35</f>
        <v>1</v>
      </c>
      <c r="V9" s="422"/>
      <c r="W9" s="438"/>
      <c r="X9" s="422"/>
      <c r="Y9" s="438"/>
      <c r="Z9" s="422"/>
      <c r="AA9" s="438"/>
      <c r="AB9" s="422"/>
      <c r="AC9" s="440"/>
      <c r="AD9" s="422"/>
      <c r="AE9" s="440"/>
      <c r="AG9" s="440"/>
      <c r="AI9" s="440"/>
    </row>
    <row r="10" spans="1:59" ht="20" customHeight="1">
      <c r="A10" s="1871"/>
      <c r="B10" s="410" t="s">
        <v>726</v>
      </c>
      <c r="C10" s="444"/>
      <c r="D10" s="422" t="str">
        <f>'JFK LB | BF'!K32</f>
        <v/>
      </c>
      <c r="E10" s="413">
        <f>'JFK LB | BF'!H32</f>
        <v>4</v>
      </c>
      <c r="F10" s="422"/>
      <c r="G10" s="441"/>
      <c r="H10" s="422"/>
      <c r="I10" s="441"/>
      <c r="J10" s="422"/>
      <c r="K10" s="441"/>
      <c r="L10" s="32" t="str">
        <f>'JFK LB | BF'!K33</f>
        <v/>
      </c>
      <c r="M10" s="441">
        <f>'JFK LB | BF'!H33</f>
        <v>1</v>
      </c>
      <c r="N10" s="32" t="str">
        <f>'JFK LB | BF'!K34</f>
        <v/>
      </c>
      <c r="O10" s="443">
        <f>'JFK LB | BF'!H34</f>
        <v>1</v>
      </c>
      <c r="P10" s="422"/>
      <c r="Q10" s="443"/>
      <c r="R10" s="422"/>
      <c r="S10" s="443"/>
      <c r="T10" s="422" t="str">
        <f>'JFK LB | BF'!K35</f>
        <v/>
      </c>
      <c r="U10" s="443">
        <f>'JFK LB | BF'!H35</f>
        <v>1</v>
      </c>
      <c r="V10" s="422"/>
      <c r="W10" s="438"/>
      <c r="X10" s="422"/>
      <c r="Y10" s="438"/>
      <c r="Z10" s="422"/>
      <c r="AA10" s="438"/>
      <c r="AB10" s="422"/>
      <c r="AC10" s="440"/>
      <c r="AD10" s="422"/>
      <c r="AE10" s="440"/>
      <c r="AG10" s="440"/>
      <c r="AI10" s="440"/>
    </row>
    <row r="11" spans="1:59" ht="20" customHeight="1">
      <c r="A11" s="1871"/>
      <c r="B11" s="410" t="s">
        <v>716</v>
      </c>
      <c r="C11" s="444"/>
      <c r="D11" s="422"/>
      <c r="E11" s="413"/>
      <c r="F11" s="422"/>
      <c r="G11" s="441"/>
      <c r="H11" s="422"/>
      <c r="I11" s="441"/>
      <c r="J11" s="422"/>
      <c r="K11" s="441"/>
      <c r="M11" s="441"/>
      <c r="O11" s="443"/>
      <c r="P11" s="422"/>
      <c r="Q11" s="443"/>
      <c r="R11" s="422"/>
      <c r="S11" s="443"/>
      <c r="T11" s="422"/>
      <c r="U11" s="443"/>
      <c r="V11" s="422" t="str">
        <f>'JFK LB | BF'!I42</f>
        <v/>
      </c>
      <c r="W11" s="438">
        <f>'JFK LB | BF'!H42</f>
        <v>1</v>
      </c>
      <c r="X11" s="422"/>
      <c r="Y11" s="438"/>
      <c r="Z11" s="422"/>
      <c r="AA11" s="438"/>
      <c r="AB11" s="422"/>
      <c r="AC11" s="440"/>
      <c r="AD11" s="422"/>
      <c r="AE11" s="440"/>
      <c r="AG11" s="440"/>
      <c r="AI11" s="440"/>
    </row>
    <row r="12" spans="1:59" ht="20" customHeight="1">
      <c r="A12" s="1871"/>
      <c r="B12" s="410" t="s">
        <v>717</v>
      </c>
      <c r="C12" s="444"/>
      <c r="D12" s="422"/>
      <c r="E12" s="413"/>
      <c r="F12" s="422"/>
      <c r="G12" s="441"/>
      <c r="H12" s="422"/>
      <c r="I12" s="441"/>
      <c r="J12" s="422"/>
      <c r="K12" s="441"/>
      <c r="M12" s="441"/>
      <c r="O12" s="443"/>
      <c r="P12" s="422"/>
      <c r="Q12" s="443"/>
      <c r="R12" s="422"/>
      <c r="S12" s="443"/>
      <c r="T12" s="422"/>
      <c r="U12" s="443"/>
      <c r="V12" s="422" t="str">
        <f>'JFK LB | BF'!J42</f>
        <v/>
      </c>
      <c r="W12" s="438">
        <f>'JFK LB | BF'!H42</f>
        <v>1</v>
      </c>
      <c r="X12" s="422"/>
      <c r="Y12" s="438"/>
      <c r="Z12" s="422"/>
      <c r="AA12" s="438"/>
      <c r="AB12" s="422"/>
      <c r="AC12" s="440"/>
      <c r="AD12" s="422"/>
      <c r="AE12" s="440"/>
      <c r="AG12" s="440"/>
      <c r="AI12" s="440"/>
    </row>
    <row r="13" spans="1:59" ht="20" customHeight="1">
      <c r="A13" s="1871"/>
      <c r="B13" s="410" t="s">
        <v>725</v>
      </c>
      <c r="C13" s="444"/>
      <c r="D13" s="422"/>
      <c r="E13" s="413"/>
      <c r="F13" s="422"/>
      <c r="G13" s="441"/>
      <c r="H13" s="422"/>
      <c r="I13" s="441"/>
      <c r="J13" s="422"/>
      <c r="K13" s="441"/>
      <c r="M13" s="441"/>
      <c r="O13" s="443"/>
      <c r="P13" s="422"/>
      <c r="Q13" s="443"/>
      <c r="R13" s="422"/>
      <c r="S13" s="443"/>
      <c r="T13" s="422"/>
      <c r="U13" s="443"/>
      <c r="V13" s="422" t="str">
        <f>'JFK LB | BF'!K42</f>
        <v/>
      </c>
      <c r="W13" s="438">
        <f>'JFK LB | BF'!H42</f>
        <v>1</v>
      </c>
      <c r="X13" s="422"/>
      <c r="Y13" s="438"/>
      <c r="Z13" s="422"/>
      <c r="AA13" s="438"/>
      <c r="AB13" s="422"/>
      <c r="AC13" s="440"/>
      <c r="AD13" s="422"/>
      <c r="AE13" s="440"/>
      <c r="AG13" s="440"/>
      <c r="AI13" s="440"/>
    </row>
    <row r="14" spans="1:59" ht="20" customHeight="1">
      <c r="A14" s="423"/>
      <c r="B14" s="424"/>
      <c r="C14" s="429"/>
      <c r="D14" s="429"/>
      <c r="E14" s="429" t="str">
        <f>""</f>
        <v/>
      </c>
      <c r="F14" s="429" t="str">
        <f>""</f>
        <v/>
      </c>
      <c r="G14" s="429" t="str">
        <f>""</f>
        <v/>
      </c>
      <c r="H14" s="429" t="str">
        <f>""</f>
        <v/>
      </c>
      <c r="I14" s="429" t="str">
        <f>""</f>
        <v/>
      </c>
      <c r="J14" s="429" t="str">
        <f>""</f>
        <v/>
      </c>
      <c r="K14" s="429" t="str">
        <f>""</f>
        <v/>
      </c>
      <c r="L14" s="429"/>
      <c r="M14" s="429" t="str">
        <f>""</f>
        <v/>
      </c>
      <c r="N14" s="429"/>
      <c r="O14" s="429" t="str">
        <f>""</f>
        <v/>
      </c>
      <c r="P14" s="429"/>
      <c r="Q14" s="429" t="str">
        <f>""</f>
        <v/>
      </c>
      <c r="R14" s="429" t="str">
        <f>""</f>
        <v/>
      </c>
      <c r="S14" s="429" t="str">
        <f>""</f>
        <v/>
      </c>
      <c r="T14" s="429"/>
      <c r="U14" s="429" t="str">
        <f>""</f>
        <v/>
      </c>
      <c r="V14" s="429"/>
      <c r="W14" s="429" t="str">
        <f>""</f>
        <v/>
      </c>
      <c r="X14" s="429" t="str">
        <f>""</f>
        <v/>
      </c>
      <c r="Y14" s="429" t="str">
        <f>""</f>
        <v/>
      </c>
      <c r="Z14" s="429" t="str">
        <f>""</f>
        <v/>
      </c>
      <c r="AA14" s="429" t="str">
        <f>""</f>
        <v/>
      </c>
      <c r="AB14" s="429" t="str">
        <f>""</f>
        <v/>
      </c>
      <c r="AC14" s="429" t="str">
        <f>""</f>
        <v/>
      </c>
      <c r="AD14" s="429" t="str">
        <f>""</f>
        <v/>
      </c>
      <c r="AE14" s="429" t="str">
        <f>""</f>
        <v/>
      </c>
      <c r="AF14" s="429"/>
      <c r="AG14" s="429" t="str">
        <f>""</f>
        <v/>
      </c>
      <c r="AH14" s="429"/>
      <c r="AI14" s="429" t="str">
        <f>""</f>
        <v/>
      </c>
      <c r="BD14" s="415"/>
      <c r="BE14" s="52"/>
    </row>
    <row r="15" spans="1:59" ht="20" customHeight="1">
      <c r="A15" s="1871" t="s">
        <v>646</v>
      </c>
      <c r="B15" s="410" t="s">
        <v>647</v>
      </c>
      <c r="C15" s="444"/>
      <c r="D15" s="422"/>
      <c r="E15" s="413"/>
      <c r="F15" s="422"/>
      <c r="G15" s="441"/>
      <c r="H15" s="422"/>
      <c r="I15" s="441"/>
      <c r="J15" s="422"/>
      <c r="K15" s="441"/>
      <c r="L15" s="32" t="str">
        <f>'JFK LB | BF'!U65</f>
        <v/>
      </c>
      <c r="M15" s="441">
        <f>'JFK LB | BF'!T65</f>
        <v>1</v>
      </c>
      <c r="N15" s="32" t="str">
        <f>'JFK LB | BF'!U66</f>
        <v/>
      </c>
      <c r="O15" s="443">
        <f>'JFK LB | BF'!T66</f>
        <v>1</v>
      </c>
      <c r="P15" s="422"/>
      <c r="Q15" s="443"/>
      <c r="R15" s="422"/>
      <c r="S15" s="443"/>
      <c r="T15" s="422"/>
      <c r="U15" s="443"/>
      <c r="V15" s="422"/>
      <c r="W15" s="438"/>
      <c r="X15" s="422"/>
      <c r="Y15" s="438"/>
      <c r="Z15" s="422"/>
      <c r="AA15" s="438"/>
      <c r="AB15" s="422"/>
      <c r="AC15" s="440"/>
      <c r="AD15" s="422"/>
      <c r="AE15" s="440"/>
      <c r="AF15" s="32" t="str">
        <f>'JFK LB | BF'!U67</f>
        <v/>
      </c>
      <c r="AG15" s="440">
        <f>'JFK LB | BF'!T67</f>
        <v>1</v>
      </c>
      <c r="AH15" s="32" t="str">
        <f>'JFK LB | BF'!U68</f>
        <v/>
      </c>
      <c r="AI15" s="440">
        <f>'JFK LB | BF'!T68</f>
        <v>2</v>
      </c>
      <c r="BD15" s="415"/>
      <c r="BE15" s="52"/>
    </row>
    <row r="16" spans="1:59" ht="20" customHeight="1">
      <c r="A16" s="1871"/>
      <c r="B16" s="410" t="s">
        <v>648</v>
      </c>
      <c r="C16" s="444"/>
      <c r="D16" s="422"/>
      <c r="E16" s="413"/>
      <c r="F16" s="422"/>
      <c r="G16" s="441"/>
      <c r="H16" s="422"/>
      <c r="I16" s="441"/>
      <c r="J16" s="422"/>
      <c r="K16" s="441"/>
      <c r="L16" s="32" t="str">
        <f>'JFK LB | BF'!AC89</f>
        <v/>
      </c>
      <c r="M16" s="441">
        <f>'JFK LB | BF'!AB89</f>
        <v>1</v>
      </c>
      <c r="O16" s="443"/>
      <c r="P16" s="422"/>
      <c r="Q16" s="443"/>
      <c r="R16" s="422"/>
      <c r="S16" s="443"/>
      <c r="T16" s="422" t="str">
        <f>'JFK LB | BF'!AC90</f>
        <v/>
      </c>
      <c r="U16" s="443">
        <f>'JFK LB | BF'!AB90</f>
        <v>3</v>
      </c>
      <c r="V16" s="422"/>
      <c r="W16" s="438"/>
      <c r="X16" s="422"/>
      <c r="Y16" s="438"/>
      <c r="Z16" s="422"/>
      <c r="AA16" s="438"/>
      <c r="AB16" s="422"/>
      <c r="AC16" s="440"/>
      <c r="AD16" s="422"/>
      <c r="AE16" s="440"/>
      <c r="AF16" s="32" t="str">
        <f>'JFK LB | BF'!AC91</f>
        <v/>
      </c>
      <c r="AG16" s="440">
        <f>'JFK LB | BF'!AB91</f>
        <v>6</v>
      </c>
      <c r="AH16" s="32" t="str">
        <f>'JFK LB | BF'!AC92</f>
        <v/>
      </c>
      <c r="AI16" s="440">
        <f>'JFK LB | BF'!AB92</f>
        <v>3</v>
      </c>
      <c r="BD16" s="415"/>
      <c r="BE16" s="52"/>
    </row>
    <row r="17" spans="1:57" ht="20" customHeight="1">
      <c r="A17" s="1871"/>
      <c r="B17" s="410" t="s">
        <v>652</v>
      </c>
      <c r="C17" s="444"/>
      <c r="D17" s="422"/>
      <c r="E17" s="413"/>
      <c r="F17" s="422"/>
      <c r="G17" s="441"/>
      <c r="H17" s="422"/>
      <c r="I17" s="441"/>
      <c r="J17" s="422"/>
      <c r="K17" s="441"/>
      <c r="M17" s="441"/>
      <c r="O17" s="443"/>
      <c r="P17" s="422"/>
      <c r="Q17" s="443"/>
      <c r="R17" s="422"/>
      <c r="S17" s="443"/>
      <c r="T17" s="422" t="str">
        <f>'JFK LB | BF'!AK77</f>
        <v/>
      </c>
      <c r="U17" s="443">
        <f>'JFK LB | BF'!AJ77</f>
        <v>4</v>
      </c>
      <c r="V17" s="422"/>
      <c r="W17" s="438"/>
      <c r="X17" s="422"/>
      <c r="Y17" s="438"/>
      <c r="Z17" s="422"/>
      <c r="AA17" s="438"/>
      <c r="AB17" s="422"/>
      <c r="AC17" s="440"/>
      <c r="AD17" s="422"/>
      <c r="AE17" s="440"/>
      <c r="AF17" s="32" t="str">
        <f>'JFK LB | BF'!AK78</f>
        <v/>
      </c>
      <c r="AG17" s="440">
        <f>'JFK LB | BF'!AJ78</f>
        <v>2</v>
      </c>
      <c r="AH17" s="32" t="str">
        <f>'JFK LB | BF'!AK79</f>
        <v/>
      </c>
      <c r="AI17" s="440">
        <f>'JFK LB | BF'!AJ79</f>
        <v>3</v>
      </c>
      <c r="BD17" s="415"/>
      <c r="BE17" s="52"/>
    </row>
    <row r="18" spans="1:57" ht="20" customHeight="1">
      <c r="A18" s="1871"/>
      <c r="B18" s="410" t="s">
        <v>669</v>
      </c>
      <c r="C18" s="444"/>
      <c r="D18" s="422"/>
      <c r="E18" s="413"/>
      <c r="F18" s="422"/>
      <c r="G18" s="441"/>
      <c r="H18" s="422"/>
      <c r="I18" s="441"/>
      <c r="J18" s="422"/>
      <c r="K18" s="441"/>
      <c r="M18" s="441"/>
      <c r="O18" s="443"/>
      <c r="P18" s="422"/>
      <c r="Q18" s="443"/>
      <c r="R18" s="422"/>
      <c r="S18" s="443"/>
      <c r="T18" s="422" t="str">
        <f>'JFK LB | BF'!AS71</f>
        <v/>
      </c>
      <c r="U18" s="443">
        <f>'JFK LB | BF'!AR71</f>
        <v>2</v>
      </c>
      <c r="V18" s="422"/>
      <c r="W18" s="438"/>
      <c r="X18" s="422"/>
      <c r="Y18" s="438"/>
      <c r="Z18" s="422"/>
      <c r="AA18" s="438"/>
      <c r="AB18" s="422"/>
      <c r="AC18" s="440"/>
      <c r="AD18" s="422"/>
      <c r="AE18" s="440"/>
      <c r="AF18" s="32" t="str">
        <f>'JFK LB | BF'!AS72</f>
        <v/>
      </c>
      <c r="AG18" s="440">
        <f>'JFK LB | BF'!AR72</f>
        <v>1</v>
      </c>
      <c r="AH18" s="32" t="str">
        <f>'JFK LB | BF'!AS73</f>
        <v/>
      </c>
      <c r="AI18" s="440">
        <f>'JFK LB | BF'!AR73</f>
        <v>4</v>
      </c>
    </row>
    <row r="19" spans="1:57" ht="20" customHeight="1">
      <c r="A19" s="1871"/>
      <c r="B19" s="410" t="s">
        <v>728</v>
      </c>
      <c r="C19" s="444"/>
      <c r="D19" s="422" t="str">
        <f>'JFK LB | BF'!H77</f>
        <v/>
      </c>
      <c r="E19" s="413">
        <f>'JFK LB | BF'!G77</f>
        <v>4</v>
      </c>
      <c r="F19" s="422"/>
      <c r="G19" s="441"/>
      <c r="H19" s="422"/>
      <c r="I19" s="441"/>
      <c r="J19" s="422"/>
      <c r="K19" s="441"/>
      <c r="L19" s="32" t="str">
        <f>'JFK LB | BF'!H78</f>
        <v/>
      </c>
      <c r="M19" s="441">
        <f>'JFK LB | BF'!G78</f>
        <v>1</v>
      </c>
      <c r="N19" s="32" t="str">
        <f>'JFK LB | BF'!H79</f>
        <v/>
      </c>
      <c r="O19" s="443">
        <f>'JFK LB | BF'!G79</f>
        <v>2</v>
      </c>
      <c r="P19" s="422"/>
      <c r="Q19" s="443"/>
      <c r="R19" s="422"/>
      <c r="S19" s="443"/>
      <c r="T19" s="422" t="str">
        <f>'JFK LB | BF'!H80</f>
        <v/>
      </c>
      <c r="U19" s="443">
        <f>'JFK LB | BF'!G80</f>
        <v>2</v>
      </c>
      <c r="V19" s="422"/>
      <c r="W19" s="438"/>
      <c r="X19" s="422"/>
      <c r="Y19" s="438"/>
      <c r="Z19" s="422"/>
      <c r="AA19" s="438"/>
      <c r="AB19" s="422"/>
      <c r="AC19" s="440"/>
      <c r="AD19" s="422"/>
      <c r="AE19" s="440"/>
      <c r="AG19" s="440"/>
      <c r="AI19" s="440"/>
    </row>
    <row r="20" spans="1:57" ht="20" customHeight="1">
      <c r="A20" s="1871"/>
      <c r="B20" s="410" t="s">
        <v>729</v>
      </c>
      <c r="C20" s="444"/>
      <c r="D20" s="422" t="str">
        <f>'JFK LB | BF'!I77</f>
        <v/>
      </c>
      <c r="E20" s="413">
        <f>'JFK LB | BF'!G77</f>
        <v>4</v>
      </c>
      <c r="F20" s="422"/>
      <c r="G20" s="441"/>
      <c r="H20" s="422"/>
      <c r="I20" s="441"/>
      <c r="J20" s="422"/>
      <c r="K20" s="441"/>
      <c r="L20" s="32" t="str">
        <f>'JFK LB | BF'!I78</f>
        <v/>
      </c>
      <c r="M20" s="441">
        <f>'JFK LB | BF'!G78</f>
        <v>1</v>
      </c>
      <c r="N20" s="32" t="str">
        <f>'JFK LB | BF'!I79</f>
        <v/>
      </c>
      <c r="O20" s="443">
        <f>'JFK LB | BF'!G79</f>
        <v>2</v>
      </c>
      <c r="P20" s="422"/>
      <c r="Q20" s="443"/>
      <c r="R20" s="422"/>
      <c r="S20" s="443"/>
      <c r="T20" s="422" t="str">
        <f>'JFK LB | BF'!I80</f>
        <v/>
      </c>
      <c r="U20" s="443">
        <f>'JFK LB | BF'!G80</f>
        <v>2</v>
      </c>
      <c r="V20" s="422"/>
      <c r="W20" s="438"/>
      <c r="X20" s="422"/>
      <c r="Y20" s="438"/>
      <c r="Z20" s="422"/>
      <c r="AA20" s="438"/>
      <c r="AB20" s="422"/>
      <c r="AC20" s="440"/>
      <c r="AD20" s="422"/>
      <c r="AE20" s="440"/>
      <c r="AG20" s="440"/>
      <c r="AI20" s="440"/>
    </row>
    <row r="21" spans="1:57" ht="20" customHeight="1">
      <c r="A21" s="1871"/>
      <c r="B21" s="410" t="s">
        <v>730</v>
      </c>
      <c r="C21" s="444"/>
      <c r="D21" s="422" t="str">
        <f>'JFK LB | BF'!J77</f>
        <v/>
      </c>
      <c r="E21" s="413">
        <f>'JFK LB | BF'!G77</f>
        <v>4</v>
      </c>
      <c r="F21" s="422"/>
      <c r="G21" s="441"/>
      <c r="H21" s="422"/>
      <c r="I21" s="441"/>
      <c r="J21" s="422"/>
      <c r="K21" s="441"/>
      <c r="L21" s="32" t="str">
        <f>'JFK LB | BF'!J78</f>
        <v/>
      </c>
      <c r="M21" s="441">
        <f>'JFK LB | BF'!G78</f>
        <v>1</v>
      </c>
      <c r="N21" s="32" t="str">
        <f>'JFK LB | BF'!J79</f>
        <v/>
      </c>
      <c r="O21" s="443">
        <f>'JFK LB | BF'!G79</f>
        <v>2</v>
      </c>
      <c r="P21" s="422"/>
      <c r="Q21" s="443"/>
      <c r="R21" s="422"/>
      <c r="S21" s="443"/>
      <c r="T21" s="422" t="str">
        <f>'JFK LB | BF'!J80</f>
        <v/>
      </c>
      <c r="U21" s="443">
        <f>'JFK LB | BF'!G80</f>
        <v>2</v>
      </c>
      <c r="V21" s="422"/>
      <c r="W21" s="438"/>
      <c r="X21" s="422"/>
      <c r="Y21" s="438"/>
      <c r="Z21" s="422"/>
      <c r="AA21" s="438"/>
      <c r="AB21" s="422"/>
      <c r="AC21" s="440"/>
      <c r="AD21" s="422"/>
      <c r="AE21" s="440"/>
      <c r="AG21" s="440"/>
      <c r="AI21" s="440"/>
    </row>
    <row r="22" spans="1:57" ht="20" customHeight="1">
      <c r="A22" s="1871"/>
      <c r="B22" s="410" t="s">
        <v>731</v>
      </c>
      <c r="C22" s="444"/>
      <c r="D22" s="422" t="str">
        <f>'JFK LB | BF'!K77</f>
        <v/>
      </c>
      <c r="E22" s="413">
        <f>'JFK LB | BF'!G77</f>
        <v>4</v>
      </c>
      <c r="F22" s="422"/>
      <c r="G22" s="441"/>
      <c r="H22" s="422"/>
      <c r="I22" s="441"/>
      <c r="J22" s="422"/>
      <c r="K22" s="441"/>
      <c r="L22" s="32" t="str">
        <f>'JFK LB | BF'!K78</f>
        <v/>
      </c>
      <c r="M22" s="441">
        <f>'JFK LB | BF'!G78</f>
        <v>1</v>
      </c>
      <c r="N22" s="32" t="str">
        <f>'JFK LB | BF'!K79</f>
        <v/>
      </c>
      <c r="O22" s="443">
        <f>'JFK LB | BF'!G79</f>
        <v>2</v>
      </c>
      <c r="P22" s="422"/>
      <c r="Q22" s="443"/>
      <c r="R22" s="422"/>
      <c r="S22" s="443"/>
      <c r="T22" s="422" t="str">
        <f>'JFK LB | BF'!K80</f>
        <v/>
      </c>
      <c r="U22" s="443">
        <f>'JFK LB | BF'!G80</f>
        <v>2</v>
      </c>
      <c r="V22" s="422"/>
      <c r="W22" s="438"/>
      <c r="X22" s="422"/>
      <c r="Y22" s="438"/>
      <c r="Z22" s="422"/>
      <c r="AA22" s="438"/>
      <c r="AB22" s="422"/>
      <c r="AC22" s="440"/>
      <c r="AD22" s="422"/>
      <c r="AE22" s="440"/>
      <c r="AG22" s="440"/>
      <c r="AI22" s="440"/>
    </row>
    <row r="23" spans="1:57" ht="20" customHeight="1">
      <c r="A23" s="1871"/>
      <c r="B23" s="410" t="s">
        <v>732</v>
      </c>
      <c r="C23" s="444"/>
      <c r="D23" s="422"/>
      <c r="E23" s="413"/>
      <c r="F23" s="422"/>
      <c r="G23" s="441"/>
      <c r="H23" s="422"/>
      <c r="I23" s="441"/>
      <c r="J23" s="422" t="str">
        <f>'JFK LB | BF'!H91</f>
        <v/>
      </c>
      <c r="K23" s="441">
        <f>'JFK LB | BF'!G91</f>
        <v>1</v>
      </c>
      <c r="M23" s="441"/>
      <c r="O23" s="443"/>
      <c r="P23" s="422"/>
      <c r="Q23" s="443"/>
      <c r="R23" s="422"/>
      <c r="S23" s="443"/>
      <c r="T23" s="422"/>
      <c r="U23" s="443"/>
      <c r="V23" s="422" t="str">
        <f>'JFK LB | BF'!H90</f>
        <v/>
      </c>
      <c r="W23" s="438">
        <f>'JFK LB | BF'!G90</f>
        <v>1</v>
      </c>
      <c r="X23" s="422"/>
      <c r="Y23" s="438"/>
      <c r="Z23" s="422"/>
      <c r="AA23" s="438"/>
      <c r="AB23" s="422"/>
      <c r="AC23" s="440"/>
      <c r="AD23" s="422"/>
      <c r="AE23" s="440"/>
      <c r="AG23" s="440"/>
      <c r="AI23" s="440"/>
    </row>
    <row r="24" spans="1:57" ht="20" customHeight="1">
      <c r="A24" s="1871"/>
      <c r="B24" s="410" t="s">
        <v>733</v>
      </c>
      <c r="C24" s="444"/>
      <c r="D24" s="422"/>
      <c r="E24" s="413"/>
      <c r="F24" s="422"/>
      <c r="G24" s="441"/>
      <c r="H24" s="422"/>
      <c r="I24" s="441"/>
      <c r="J24" s="422" t="str">
        <f>'JFK LB | BF'!I91</f>
        <v/>
      </c>
      <c r="K24" s="441">
        <f>'JFK LB | BF'!G91</f>
        <v>1</v>
      </c>
      <c r="M24" s="441"/>
      <c r="O24" s="443"/>
      <c r="P24" s="422"/>
      <c r="Q24" s="443"/>
      <c r="R24" s="422"/>
      <c r="S24" s="443"/>
      <c r="T24" s="422"/>
      <c r="U24" s="443"/>
      <c r="V24" s="422" t="str">
        <f>'JFK LB | BF'!I90</f>
        <v/>
      </c>
      <c r="W24" s="438">
        <f>'JFK LB | BF'!G90</f>
        <v>1</v>
      </c>
      <c r="X24" s="422"/>
      <c r="Y24" s="438"/>
      <c r="Z24" s="422"/>
      <c r="AA24" s="438"/>
      <c r="AB24" s="422"/>
      <c r="AC24" s="440"/>
      <c r="AD24" s="422"/>
      <c r="AE24" s="440"/>
      <c r="AG24" s="440"/>
      <c r="AI24" s="440"/>
    </row>
    <row r="25" spans="1:57" ht="20" customHeight="1">
      <c r="A25" s="1871"/>
      <c r="B25" s="410" t="s">
        <v>734</v>
      </c>
      <c r="C25" s="444"/>
      <c r="D25" s="422"/>
      <c r="E25" s="413"/>
      <c r="F25" s="422"/>
      <c r="G25" s="441"/>
      <c r="H25" s="422"/>
      <c r="I25" s="441"/>
      <c r="J25" s="422" t="str">
        <f>'JFK LB | BF'!J91</f>
        <v/>
      </c>
      <c r="K25" s="441">
        <f>'JFK LB | BF'!G91</f>
        <v>1</v>
      </c>
      <c r="M25" s="441"/>
      <c r="O25" s="443"/>
      <c r="P25" s="422"/>
      <c r="Q25" s="443"/>
      <c r="R25" s="422"/>
      <c r="S25" s="443"/>
      <c r="T25" s="422"/>
      <c r="U25" s="443"/>
      <c r="V25" s="422" t="str">
        <f>'JFK LB | BF'!J90</f>
        <v/>
      </c>
      <c r="W25" s="438">
        <f>'JFK LB | BF'!G90</f>
        <v>1</v>
      </c>
      <c r="X25" s="422"/>
      <c r="Y25" s="438"/>
      <c r="Z25" s="422"/>
      <c r="AA25" s="438"/>
      <c r="AB25" s="422"/>
      <c r="AC25" s="440"/>
      <c r="AD25" s="422"/>
      <c r="AE25" s="440"/>
      <c r="AG25" s="440"/>
      <c r="AI25" s="440"/>
    </row>
    <row r="26" spans="1:57" ht="20" customHeight="1">
      <c r="A26" s="1871"/>
      <c r="B26" s="410" t="s">
        <v>735</v>
      </c>
      <c r="C26" s="444"/>
      <c r="D26" s="422"/>
      <c r="E26" s="413"/>
      <c r="F26" s="422"/>
      <c r="G26" s="441"/>
      <c r="H26" s="422"/>
      <c r="I26" s="441"/>
      <c r="J26" s="422" t="str">
        <f>'JFK LB | BF'!K91</f>
        <v/>
      </c>
      <c r="K26" s="441">
        <f>'JFK LB | BF'!G91</f>
        <v>1</v>
      </c>
      <c r="M26" s="441"/>
      <c r="O26" s="443"/>
      <c r="P26" s="422"/>
      <c r="Q26" s="443"/>
      <c r="R26" s="422"/>
      <c r="S26" s="443"/>
      <c r="T26" s="422"/>
      <c r="U26" s="443"/>
      <c r="V26" s="422" t="str">
        <f>'JFK LB | BF'!K90</f>
        <v/>
      </c>
      <c r="W26" s="438">
        <f>'JFK LB | BF'!G90</f>
        <v>1</v>
      </c>
      <c r="X26" s="422"/>
      <c r="Y26" s="438"/>
      <c r="Z26" s="422"/>
      <c r="AA26" s="438"/>
      <c r="AB26" s="422"/>
      <c r="AC26" s="440"/>
      <c r="AD26" s="422"/>
      <c r="AE26" s="440"/>
      <c r="AG26" s="440"/>
      <c r="AI26" s="440"/>
    </row>
    <row r="27" spans="1:57" ht="20" customHeight="1">
      <c r="A27" s="423"/>
      <c r="B27" s="424"/>
      <c r="C27" s="429"/>
      <c r="D27" s="429"/>
      <c r="E27" s="429"/>
      <c r="F27" s="429"/>
      <c r="G27" s="429"/>
      <c r="H27" s="429"/>
      <c r="I27" s="429"/>
      <c r="J27" s="429"/>
      <c r="K27" s="429"/>
      <c r="L27" s="429"/>
      <c r="M27" s="429"/>
      <c r="N27" s="429"/>
      <c r="O27" s="429"/>
      <c r="P27" s="429"/>
      <c r="Q27" s="429"/>
      <c r="R27" s="429"/>
      <c r="S27" s="429"/>
      <c r="T27" s="429"/>
      <c r="U27" s="429"/>
      <c r="V27" s="429"/>
      <c r="W27" s="429"/>
      <c r="X27" s="429"/>
      <c r="Y27" s="429"/>
      <c r="Z27" s="429"/>
      <c r="AA27" s="429"/>
      <c r="AB27" s="429"/>
      <c r="AC27" s="429"/>
      <c r="AD27" s="429"/>
      <c r="AE27" s="429"/>
      <c r="AF27" s="429"/>
      <c r="AG27" s="429"/>
      <c r="AH27" s="429"/>
      <c r="AI27" s="429"/>
    </row>
    <row r="28" spans="1:57" ht="20" customHeight="1">
      <c r="A28" s="1871" t="s">
        <v>653</v>
      </c>
      <c r="B28" s="410" t="s">
        <v>654</v>
      </c>
      <c r="C28" s="444"/>
      <c r="D28" s="422"/>
      <c r="E28" s="413"/>
      <c r="F28" s="422"/>
      <c r="G28" s="441"/>
      <c r="H28" s="422"/>
      <c r="I28" s="441"/>
      <c r="J28" s="422"/>
      <c r="K28" s="441"/>
      <c r="M28" s="441"/>
      <c r="O28" s="443"/>
      <c r="P28" s="422"/>
      <c r="Q28" s="443"/>
      <c r="R28" s="422"/>
      <c r="S28" s="443"/>
      <c r="T28" s="422" t="str">
        <f>'JFK LB | BF'!U128</f>
        <v/>
      </c>
      <c r="U28" s="443">
        <f>'JFK LB | BF'!T128</f>
        <v>3</v>
      </c>
      <c r="V28" s="422"/>
      <c r="W28" s="438"/>
      <c r="X28" s="422"/>
      <c r="Y28" s="438"/>
      <c r="Z28" s="422"/>
      <c r="AA28" s="438"/>
      <c r="AB28" s="422"/>
      <c r="AC28" s="440"/>
      <c r="AD28" s="422"/>
      <c r="AE28" s="440"/>
      <c r="AF28" s="32" t="str">
        <f>'JFK LB | BF'!U129</f>
        <v/>
      </c>
      <c r="AG28" s="440">
        <f>'JFK LB | BF'!T129</f>
        <v>3</v>
      </c>
      <c r="AH28" s="32" t="str">
        <f>'JFK LB | BF'!U130</f>
        <v/>
      </c>
      <c r="AI28" s="440">
        <f>'JFK LB | BF'!T130</f>
        <v>4</v>
      </c>
    </row>
    <row r="29" spans="1:57" ht="20" customHeight="1">
      <c r="A29" s="1871"/>
      <c r="B29" s="410" t="s">
        <v>655</v>
      </c>
      <c r="C29" s="444"/>
      <c r="D29" s="422"/>
      <c r="E29" s="413"/>
      <c r="F29" s="422"/>
      <c r="G29" s="441"/>
      <c r="H29" s="422"/>
      <c r="I29" s="441"/>
      <c r="J29" s="422"/>
      <c r="K29" s="441"/>
      <c r="L29" s="32" t="str">
        <f>'JFK LB | BF'!AC113</f>
        <v/>
      </c>
      <c r="M29" s="441">
        <f>'JFK LB | BF'!AB113</f>
        <v>1</v>
      </c>
      <c r="N29" s="32" t="str">
        <f>'JFK LB | BF'!AC114</f>
        <v/>
      </c>
      <c r="O29" s="443">
        <f>'JFK LB | BF'!AB114</f>
        <v>1</v>
      </c>
      <c r="P29" s="422"/>
      <c r="Q29" s="443"/>
      <c r="R29" s="422"/>
      <c r="S29" s="443"/>
      <c r="T29" s="422"/>
      <c r="U29" s="443"/>
      <c r="V29" s="422"/>
      <c r="W29" s="438"/>
      <c r="X29" s="422"/>
      <c r="Y29" s="438"/>
      <c r="Z29" s="422"/>
      <c r="AA29" s="438"/>
      <c r="AB29" s="422"/>
      <c r="AC29" s="440"/>
      <c r="AD29" s="422"/>
      <c r="AE29" s="440"/>
      <c r="AF29" s="32" t="str">
        <f>'JFK LB | BF'!AC115</f>
        <v/>
      </c>
      <c r="AG29" s="440">
        <f>'JFK LB | BF'!AB115</f>
        <v>1</v>
      </c>
      <c r="AH29" s="32" t="str">
        <f>'JFK LB | BF'!AC116</f>
        <v/>
      </c>
      <c r="AI29" s="440">
        <f>'JFK LB | BF'!AB116</f>
        <v>2</v>
      </c>
    </row>
    <row r="30" spans="1:57" ht="20" customHeight="1">
      <c r="A30" s="1871"/>
      <c r="B30" s="410" t="s">
        <v>656</v>
      </c>
      <c r="C30" s="444"/>
      <c r="D30" s="422"/>
      <c r="E30" s="413"/>
      <c r="F30" s="422"/>
      <c r="G30" s="441"/>
      <c r="H30" s="422"/>
      <c r="I30" s="441"/>
      <c r="J30" s="422"/>
      <c r="K30" s="441"/>
      <c r="M30" s="441"/>
      <c r="O30" s="443"/>
      <c r="P30" s="422"/>
      <c r="Q30" s="443"/>
      <c r="R30" s="422"/>
      <c r="S30" s="443"/>
      <c r="T30" s="422" t="str">
        <f>'JFK LB | BF'!AK125</f>
        <v/>
      </c>
      <c r="U30" s="443">
        <f>'JFK LB | BF'!AJ125</f>
        <v>3</v>
      </c>
      <c r="V30" s="422"/>
      <c r="W30" s="438"/>
      <c r="X30" s="422"/>
      <c r="Y30" s="438"/>
      <c r="Z30" s="422"/>
      <c r="AA30" s="438"/>
      <c r="AB30" s="422"/>
      <c r="AC30" s="440"/>
      <c r="AD30" s="422"/>
      <c r="AE30" s="440"/>
      <c r="AF30" s="32" t="str">
        <f>'JFK LB | BF'!AK126</f>
        <v/>
      </c>
      <c r="AG30" s="440">
        <f>'JFK LB | BF'!AJ126</f>
        <v>5</v>
      </c>
      <c r="AH30" s="32" t="str">
        <f>'JFK LB | BF'!AK127</f>
        <v/>
      </c>
      <c r="AI30" s="440">
        <f>'JFK LB | BF'!AJ127</f>
        <v>1</v>
      </c>
    </row>
    <row r="31" spans="1:57" ht="20" customHeight="1">
      <c r="A31" s="1871"/>
      <c r="B31" s="410" t="s">
        <v>657</v>
      </c>
      <c r="C31" s="444"/>
      <c r="D31" s="422"/>
      <c r="E31" s="413"/>
      <c r="F31" s="422"/>
      <c r="G31" s="441"/>
      <c r="H31" s="422"/>
      <c r="I31" s="441"/>
      <c r="J31" s="422"/>
      <c r="K31" s="441"/>
      <c r="M31" s="441"/>
      <c r="O31" s="443"/>
      <c r="P31" s="422"/>
      <c r="Q31" s="443"/>
      <c r="R31" s="422"/>
      <c r="S31" s="443"/>
      <c r="T31" s="422" t="str">
        <f>'JFK LB | BF'!AS125</f>
        <v/>
      </c>
      <c r="U31" s="443">
        <f>'JFK LB | BF'!AR125</f>
        <v>2</v>
      </c>
      <c r="V31" s="422"/>
      <c r="W31" s="438"/>
      <c r="X31" s="422"/>
      <c r="Y31" s="438"/>
      <c r="Z31" s="422"/>
      <c r="AA31" s="438"/>
      <c r="AB31" s="422"/>
      <c r="AC31" s="440"/>
      <c r="AD31" s="422"/>
      <c r="AE31" s="440"/>
      <c r="AF31" s="32" t="str">
        <f>'JFK LB | BF'!AS126</f>
        <v/>
      </c>
      <c r="AG31" s="440">
        <f>'JFK LB | BF'!AR126</f>
        <v>4</v>
      </c>
      <c r="AH31" s="32" t="str">
        <f>'JFK LB | BF'!AS127</f>
        <v/>
      </c>
      <c r="AI31" s="440">
        <f>'JFK LB | BF'!AR127</f>
        <v>3</v>
      </c>
    </row>
    <row r="32" spans="1:57" ht="20" customHeight="1">
      <c r="A32" s="1871"/>
      <c r="B32" s="410" t="s">
        <v>676</v>
      </c>
      <c r="C32" s="444"/>
      <c r="D32" s="422"/>
      <c r="E32" s="413"/>
      <c r="F32" s="422"/>
      <c r="G32" s="441"/>
      <c r="H32" s="422"/>
      <c r="I32" s="441"/>
      <c r="J32" s="422"/>
      <c r="K32" s="441"/>
      <c r="M32" s="441"/>
      <c r="O32" s="443"/>
      <c r="P32" s="422"/>
      <c r="Q32" s="443"/>
      <c r="R32" s="422"/>
      <c r="S32" s="443"/>
      <c r="T32" s="422" t="str">
        <f>'JFK LB | BF'!BA125</f>
        <v/>
      </c>
      <c r="U32" s="443">
        <f>'JFK LB | BF'!AZ125</f>
        <v>3</v>
      </c>
      <c r="V32" s="422"/>
      <c r="W32" s="438"/>
      <c r="X32" s="422"/>
      <c r="Y32" s="438"/>
      <c r="Z32" s="422"/>
      <c r="AA32" s="438"/>
      <c r="AB32" s="422"/>
      <c r="AC32" s="440"/>
      <c r="AD32" s="422"/>
      <c r="AE32" s="440"/>
      <c r="AF32" s="32" t="str">
        <f>'JFK LB | BF'!BA126</f>
        <v/>
      </c>
      <c r="AG32" s="440">
        <f>'JFK LB | BF'!AZ126</f>
        <v>4</v>
      </c>
      <c r="AH32" s="32" t="str">
        <f>'JFK LB | BF'!BA127</f>
        <v/>
      </c>
      <c r="AI32" s="440">
        <f>'JFK LB | BF'!AZ127</f>
        <v>2</v>
      </c>
    </row>
    <row r="33" spans="1:35" ht="20" customHeight="1">
      <c r="A33" s="1871"/>
      <c r="B33" s="410" t="s">
        <v>660</v>
      </c>
      <c r="C33" s="444"/>
      <c r="D33" s="422"/>
      <c r="E33" s="413"/>
      <c r="F33" s="422"/>
      <c r="G33" s="441"/>
      <c r="H33" s="422"/>
      <c r="I33" s="441"/>
      <c r="J33" s="422"/>
      <c r="K33" s="441"/>
      <c r="M33" s="441"/>
      <c r="O33" s="443"/>
      <c r="P33" s="422"/>
      <c r="Q33" s="443"/>
      <c r="R33" s="422"/>
      <c r="S33" s="443"/>
      <c r="T33" s="422" t="str">
        <f>'JFK LB | BF'!BI122</f>
        <v/>
      </c>
      <c r="U33" s="443">
        <f>'JFK LB | BF'!BH122</f>
        <v>4</v>
      </c>
      <c r="V33" s="422"/>
      <c r="W33" s="438"/>
      <c r="X33" s="422"/>
      <c r="Y33" s="438"/>
      <c r="Z33" s="422"/>
      <c r="AA33" s="438"/>
      <c r="AB33" s="422"/>
      <c r="AC33" s="440"/>
      <c r="AD33" s="422"/>
      <c r="AE33" s="440"/>
      <c r="AF33" s="32" t="str">
        <f>'JFK LB | BF'!BI123</f>
        <v/>
      </c>
      <c r="AG33" s="440">
        <f>'JFK LB | BF'!BH123</f>
        <v>1</v>
      </c>
      <c r="AH33" s="32" t="str">
        <f>'JFK LB | BF'!BI124</f>
        <v/>
      </c>
      <c r="AI33" s="440">
        <f>'JFK LB | BF'!BH124</f>
        <v>3</v>
      </c>
    </row>
    <row r="34" spans="1:35" ht="20" customHeight="1">
      <c r="A34" s="1871"/>
      <c r="B34" s="410" t="s">
        <v>661</v>
      </c>
      <c r="C34" s="444"/>
      <c r="D34" s="422"/>
      <c r="E34" s="413"/>
      <c r="F34" s="422"/>
      <c r="G34" s="441"/>
      <c r="H34" s="422"/>
      <c r="I34" s="441"/>
      <c r="J34" s="422"/>
      <c r="K34" s="441"/>
      <c r="M34" s="441"/>
      <c r="O34" s="443"/>
      <c r="P34" s="422"/>
      <c r="Q34" s="443"/>
      <c r="R34" s="422"/>
      <c r="S34" s="443"/>
      <c r="T34" s="422" t="str">
        <f>'JFK LB | BF'!U166</f>
        <v/>
      </c>
      <c r="U34" s="443">
        <f>'JFK LB | BF'!T166</f>
        <v>4</v>
      </c>
      <c r="V34" s="422"/>
      <c r="W34" s="438"/>
      <c r="X34" s="422"/>
      <c r="Y34" s="438"/>
      <c r="Z34" s="422"/>
      <c r="AA34" s="438"/>
      <c r="AB34" s="422"/>
      <c r="AC34" s="440"/>
      <c r="AD34" s="422"/>
      <c r="AE34" s="440"/>
      <c r="AF34" s="32" t="str">
        <f>'JFK LB | BF'!U167</f>
        <v/>
      </c>
      <c r="AG34" s="440">
        <f>'JFK LB | BF'!T167</f>
        <v>2</v>
      </c>
      <c r="AH34" s="32" t="str">
        <f>'JFK LB | BF'!U168</f>
        <v/>
      </c>
      <c r="AI34" s="440">
        <f>'JFK LB | BF'!T168</f>
        <v>1</v>
      </c>
    </row>
    <row r="35" spans="1:35" ht="20" customHeight="1">
      <c r="A35" s="1871"/>
      <c r="B35" s="410" t="s">
        <v>658</v>
      </c>
      <c r="C35" s="444"/>
      <c r="D35" s="422"/>
      <c r="E35" s="413"/>
      <c r="F35" s="422"/>
      <c r="G35" s="441"/>
      <c r="H35" s="422"/>
      <c r="I35" s="441"/>
      <c r="J35" s="422"/>
      <c r="K35" s="441"/>
      <c r="M35" s="441"/>
      <c r="O35" s="443"/>
      <c r="P35" s="422"/>
      <c r="Q35" s="443"/>
      <c r="R35" s="422"/>
      <c r="S35" s="443"/>
      <c r="T35" s="422" t="str">
        <f>'JFK LB | BF'!AC175</f>
        <v/>
      </c>
      <c r="U35" s="443">
        <f>'JFK LB | BF'!AB175</f>
        <v>3</v>
      </c>
      <c r="V35" s="422"/>
      <c r="W35" s="438"/>
      <c r="X35" s="422"/>
      <c r="Y35" s="438"/>
      <c r="Z35" s="422"/>
      <c r="AA35" s="438"/>
      <c r="AB35" s="422"/>
      <c r="AC35" s="440"/>
      <c r="AD35" s="422"/>
      <c r="AE35" s="440"/>
      <c r="AF35" s="32" t="str">
        <f>'JFK LB | BF'!AC176</f>
        <v/>
      </c>
      <c r="AG35" s="440">
        <f>'JFK LB | BF'!AB176</f>
        <v>3</v>
      </c>
      <c r="AH35" s="32" t="str">
        <f>'JFK LB | BF'!AC177</f>
        <v/>
      </c>
      <c r="AI35" s="440">
        <f>'JFK LB | BF'!AB177</f>
        <v>4</v>
      </c>
    </row>
    <row r="36" spans="1:35" ht="20" customHeight="1">
      <c r="A36" s="1871"/>
      <c r="B36" s="410" t="s">
        <v>736</v>
      </c>
      <c r="C36" s="444"/>
      <c r="D36" s="422" t="str">
        <f>'JFK LB | BF'!H125</f>
        <v/>
      </c>
      <c r="E36" s="413">
        <f>'JFK LB | BF'!G125</f>
        <v>4</v>
      </c>
      <c r="F36" s="422"/>
      <c r="G36" s="441"/>
      <c r="H36" s="422"/>
      <c r="I36" s="441"/>
      <c r="J36" s="422"/>
      <c r="K36" s="441"/>
      <c r="L36" s="32" t="str">
        <f>'JFK LB | BF'!H126</f>
        <v/>
      </c>
      <c r="M36" s="441">
        <f>'JFK LB | BF'!G126</f>
        <v>1</v>
      </c>
      <c r="N36" s="32" t="str">
        <f>'JFK LB | BF'!H127</f>
        <v/>
      </c>
      <c r="O36" s="443">
        <f>'JFK LB | BF'!G127</f>
        <v>2</v>
      </c>
      <c r="P36" s="422"/>
      <c r="Q36" s="443"/>
      <c r="R36" s="422"/>
      <c r="S36" s="443"/>
      <c r="T36" s="422" t="str">
        <f>'JFK LB | BF'!H128</f>
        <v/>
      </c>
      <c r="U36" s="443">
        <f>'JFK LB | BF'!G128</f>
        <v>2</v>
      </c>
      <c r="V36" s="422"/>
      <c r="W36" s="438"/>
      <c r="X36" s="422"/>
      <c r="Y36" s="438"/>
      <c r="Z36" s="422"/>
      <c r="AA36" s="438"/>
      <c r="AB36" s="422"/>
      <c r="AC36" s="440"/>
      <c r="AD36" s="422"/>
      <c r="AE36" s="440"/>
      <c r="AG36" s="440"/>
      <c r="AI36" s="440"/>
    </row>
    <row r="37" spans="1:35" ht="20" customHeight="1">
      <c r="A37" s="1871"/>
      <c r="B37" s="410" t="s">
        <v>737</v>
      </c>
      <c r="C37" s="444"/>
      <c r="D37" s="422" t="str">
        <f>'JFK LB | BF'!I125</f>
        <v/>
      </c>
      <c r="E37" s="413">
        <f>'JFK LB | BF'!G125</f>
        <v>4</v>
      </c>
      <c r="F37" s="422"/>
      <c r="G37" s="441"/>
      <c r="H37" s="422"/>
      <c r="I37" s="441"/>
      <c r="J37" s="422"/>
      <c r="K37" s="441"/>
      <c r="L37" s="32" t="str">
        <f>'JFK LB | BF'!I126</f>
        <v/>
      </c>
      <c r="M37" s="441">
        <f>'JFK LB | BF'!G126</f>
        <v>1</v>
      </c>
      <c r="N37" s="32" t="str">
        <f>'JFK LB | BF'!I127</f>
        <v/>
      </c>
      <c r="O37" s="443">
        <f>'JFK LB | BF'!G127</f>
        <v>2</v>
      </c>
      <c r="P37" s="422"/>
      <c r="Q37" s="443"/>
      <c r="R37" s="422"/>
      <c r="S37" s="443"/>
      <c r="T37" s="422" t="str">
        <f>'JFK LB | BF'!I128</f>
        <v/>
      </c>
      <c r="U37" s="443">
        <f>'JFK LB | BF'!G128</f>
        <v>2</v>
      </c>
      <c r="V37" s="422"/>
      <c r="W37" s="438"/>
      <c r="X37" s="422"/>
      <c r="Y37" s="438"/>
      <c r="Z37" s="422"/>
      <c r="AA37" s="438"/>
      <c r="AB37" s="422"/>
      <c r="AC37" s="440"/>
      <c r="AD37" s="422"/>
      <c r="AE37" s="440"/>
      <c r="AG37" s="440"/>
      <c r="AI37" s="440"/>
    </row>
    <row r="38" spans="1:35" ht="20" customHeight="1">
      <c r="A38" s="1871"/>
      <c r="B38" s="410" t="s">
        <v>738</v>
      </c>
      <c r="C38" s="444"/>
      <c r="D38" s="422" t="str">
        <f>'JFK LB | BF'!J125</f>
        <v/>
      </c>
      <c r="E38" s="413">
        <f>'JFK LB | BF'!G125</f>
        <v>4</v>
      </c>
      <c r="F38" s="422"/>
      <c r="G38" s="441"/>
      <c r="H38" s="422"/>
      <c r="I38" s="441"/>
      <c r="J38" s="422"/>
      <c r="K38" s="441"/>
      <c r="L38" s="32" t="str">
        <f>'JFK LB | BF'!J126</f>
        <v/>
      </c>
      <c r="M38" s="441">
        <f>'JFK LB | BF'!G126</f>
        <v>1</v>
      </c>
      <c r="N38" s="32" t="str">
        <f>'JFK LB | BF'!J127</f>
        <v/>
      </c>
      <c r="O38" s="443">
        <f>'JFK LB | BF'!G127</f>
        <v>2</v>
      </c>
      <c r="P38" s="422"/>
      <c r="Q38" s="443"/>
      <c r="R38" s="422"/>
      <c r="S38" s="443"/>
      <c r="T38" s="422" t="str">
        <f>'JFK LB | BF'!J128</f>
        <v/>
      </c>
      <c r="U38" s="443">
        <f>'JFK LB | BF'!G128</f>
        <v>2</v>
      </c>
      <c r="V38" s="422"/>
      <c r="W38" s="438"/>
      <c r="X38" s="422"/>
      <c r="Y38" s="438"/>
      <c r="Z38" s="422"/>
      <c r="AA38" s="438"/>
      <c r="AB38" s="422"/>
      <c r="AC38" s="440"/>
      <c r="AD38" s="422"/>
      <c r="AE38" s="440"/>
      <c r="AG38" s="440"/>
      <c r="AI38" s="440"/>
    </row>
    <row r="39" spans="1:35" ht="20" customHeight="1">
      <c r="A39" s="1871"/>
      <c r="B39" s="410" t="s">
        <v>739</v>
      </c>
      <c r="C39" s="444"/>
      <c r="D39" s="422" t="str">
        <f>'JFK LB | BF'!K125</f>
        <v/>
      </c>
      <c r="E39" s="413">
        <f>'JFK LB | BF'!G125</f>
        <v>4</v>
      </c>
      <c r="F39" s="422"/>
      <c r="G39" s="441"/>
      <c r="H39" s="422"/>
      <c r="I39" s="441"/>
      <c r="J39" s="422"/>
      <c r="K39" s="441"/>
      <c r="L39" s="32" t="str">
        <f>'JFK LB | BF'!K126</f>
        <v/>
      </c>
      <c r="M39" s="441">
        <f>'JFK LB | BF'!G126</f>
        <v>1</v>
      </c>
      <c r="N39" s="32" t="str">
        <f>'JFK LB | BF'!K127</f>
        <v/>
      </c>
      <c r="O39" s="443">
        <f>'JFK LB | BF'!G127</f>
        <v>2</v>
      </c>
      <c r="P39" s="422"/>
      <c r="Q39" s="443"/>
      <c r="R39" s="422"/>
      <c r="S39" s="443"/>
      <c r="T39" s="422" t="str">
        <f>'JFK LB | BF'!K128</f>
        <v/>
      </c>
      <c r="U39" s="443">
        <f>'JFK LB | BF'!G128</f>
        <v>2</v>
      </c>
      <c r="V39" s="422"/>
      <c r="W39" s="438"/>
      <c r="X39" s="422"/>
      <c r="Y39" s="438"/>
      <c r="Z39" s="422"/>
      <c r="AA39" s="438"/>
      <c r="AB39" s="422"/>
      <c r="AC39" s="440"/>
      <c r="AD39" s="422"/>
      <c r="AE39" s="440"/>
      <c r="AG39" s="440"/>
      <c r="AI39" s="440"/>
    </row>
    <row r="40" spans="1:35" ht="20" customHeight="1">
      <c r="A40" s="1871"/>
      <c r="B40" s="410" t="s">
        <v>740</v>
      </c>
      <c r="C40" s="444"/>
      <c r="D40" s="422" t="str">
        <f>'JFK LB | BF'!L125</f>
        <v/>
      </c>
      <c r="E40" s="413">
        <f>'JFK LB | BF'!G125</f>
        <v>4</v>
      </c>
      <c r="F40" s="422"/>
      <c r="G40" s="441"/>
      <c r="H40" s="422"/>
      <c r="I40" s="441"/>
      <c r="J40" s="422"/>
      <c r="K40" s="441"/>
      <c r="L40" s="32" t="str">
        <f>'JFK LB | BF'!L126</f>
        <v/>
      </c>
      <c r="M40" s="441">
        <f>'JFK LB | BF'!G126</f>
        <v>1</v>
      </c>
      <c r="N40" s="32" t="str">
        <f>'JFK LB | BF'!L127</f>
        <v/>
      </c>
      <c r="O40" s="443">
        <f>'JFK LB | BF'!G127</f>
        <v>2</v>
      </c>
      <c r="P40" s="422"/>
      <c r="Q40" s="443"/>
      <c r="R40" s="422"/>
      <c r="S40" s="443"/>
      <c r="T40" s="422" t="str">
        <f>'JFK LB | BF'!L128</f>
        <v/>
      </c>
      <c r="U40" s="443">
        <f>'JFK LB | BF'!G128</f>
        <v>2</v>
      </c>
      <c r="V40" s="422"/>
      <c r="W40" s="438"/>
      <c r="X40" s="422"/>
      <c r="Y40" s="438"/>
      <c r="Z40" s="422"/>
      <c r="AA40" s="438"/>
      <c r="AB40" s="422"/>
      <c r="AC40" s="440"/>
      <c r="AD40" s="422"/>
      <c r="AE40" s="440"/>
      <c r="AG40" s="440"/>
      <c r="AI40" s="440"/>
    </row>
    <row r="41" spans="1:35" ht="20" customHeight="1">
      <c r="A41" s="1871"/>
      <c r="B41" s="410" t="s">
        <v>741</v>
      </c>
      <c r="C41" s="444"/>
      <c r="D41" s="422" t="str">
        <f>'JFK LB | BF'!M125</f>
        <v/>
      </c>
      <c r="E41" s="413">
        <f>'JFK LB | BF'!G125</f>
        <v>4</v>
      </c>
      <c r="F41" s="422"/>
      <c r="G41" s="441"/>
      <c r="H41" s="422"/>
      <c r="I41" s="441"/>
      <c r="J41" s="422"/>
      <c r="K41" s="441"/>
      <c r="L41" s="32" t="str">
        <f>'JFK LB | BF'!M126</f>
        <v/>
      </c>
      <c r="M41" s="441">
        <f>'JFK LB | BF'!G126</f>
        <v>1</v>
      </c>
      <c r="N41" s="32" t="str">
        <f>'JFK LB | BF'!M127</f>
        <v/>
      </c>
      <c r="O41" s="443">
        <f>'JFK LB | BF'!G127</f>
        <v>2</v>
      </c>
      <c r="P41" s="422"/>
      <c r="Q41" s="443"/>
      <c r="R41" s="422"/>
      <c r="S41" s="443"/>
      <c r="T41" s="422" t="str">
        <f>'JFK LB | BF'!M128</f>
        <v/>
      </c>
      <c r="U41" s="443">
        <f>'JFK LB | BF'!G128</f>
        <v>2</v>
      </c>
      <c r="V41" s="422"/>
      <c r="W41" s="438"/>
      <c r="X41" s="422"/>
      <c r="Y41" s="438"/>
      <c r="Z41" s="422"/>
      <c r="AA41" s="438"/>
      <c r="AB41" s="422"/>
      <c r="AC41" s="440"/>
      <c r="AD41" s="422"/>
      <c r="AE41" s="440"/>
      <c r="AG41" s="440"/>
      <c r="AI41" s="440"/>
    </row>
    <row r="42" spans="1:35" ht="20" customHeight="1">
      <c r="A42" s="1871"/>
      <c r="B42" s="410" t="s">
        <v>742</v>
      </c>
      <c r="C42" s="444"/>
      <c r="D42" s="422" t="str">
        <f>'JFK LB | BF'!H172</f>
        <v/>
      </c>
      <c r="E42" s="413">
        <f>'JFK LB | BF'!G172</f>
        <v>4</v>
      </c>
      <c r="F42" s="422"/>
      <c r="G42" s="441"/>
      <c r="H42" s="422"/>
      <c r="I42" s="441"/>
      <c r="J42" s="422"/>
      <c r="K42" s="441"/>
      <c r="L42" s="32" t="str">
        <f>'JFK LB | BF'!H173</f>
        <v/>
      </c>
      <c r="M42" s="441">
        <f>'JFK LB | BF'!G173</f>
        <v>1</v>
      </c>
      <c r="N42" s="32" t="str">
        <f>'JFK LB | BF'!H174</f>
        <v/>
      </c>
      <c r="O42" s="443">
        <f>'JFK LB | BF'!G174</f>
        <v>2</v>
      </c>
      <c r="P42" s="422"/>
      <c r="Q42" s="443"/>
      <c r="R42" s="422"/>
      <c r="S42" s="443"/>
      <c r="T42" s="422" t="str">
        <f>'JFK LB | BF'!H175</f>
        <v/>
      </c>
      <c r="U42" s="443">
        <f>'JFK LB | BF'!G175</f>
        <v>2</v>
      </c>
      <c r="V42" s="422"/>
      <c r="W42" s="438"/>
      <c r="X42" s="422"/>
      <c r="Y42" s="438"/>
      <c r="Z42" s="422"/>
      <c r="AA42" s="438"/>
      <c r="AB42" s="422"/>
      <c r="AC42" s="440"/>
      <c r="AD42" s="422"/>
      <c r="AE42" s="440"/>
      <c r="AG42" s="440"/>
      <c r="AI42" s="440"/>
    </row>
    <row r="43" spans="1:35" ht="20" customHeight="1">
      <c r="A43" s="1871"/>
      <c r="B43" s="410" t="s">
        <v>743</v>
      </c>
      <c r="C43" s="444"/>
      <c r="D43" s="422" t="str">
        <f>'JFK LB | BF'!I172</f>
        <v/>
      </c>
      <c r="E43" s="413">
        <f>'JFK LB | BF'!G172</f>
        <v>4</v>
      </c>
      <c r="F43" s="422"/>
      <c r="G43" s="441"/>
      <c r="H43" s="422"/>
      <c r="I43" s="441"/>
      <c r="J43" s="422"/>
      <c r="K43" s="441"/>
      <c r="L43" s="32" t="str">
        <f>'JFK LB | BF'!I173</f>
        <v/>
      </c>
      <c r="M43" s="441">
        <f>'JFK LB | BF'!G173</f>
        <v>1</v>
      </c>
      <c r="N43" s="32" t="str">
        <f>'JFK LB | BF'!I174</f>
        <v/>
      </c>
      <c r="O43" s="443">
        <f>'JFK LB | BF'!G174</f>
        <v>2</v>
      </c>
      <c r="P43" s="422"/>
      <c r="Q43" s="443"/>
      <c r="R43" s="422"/>
      <c r="S43" s="443"/>
      <c r="T43" s="422" t="str">
        <f>'JFK LB | BF'!I175</f>
        <v/>
      </c>
      <c r="U43" s="443">
        <f>'JFK LB | BF'!G175</f>
        <v>2</v>
      </c>
      <c r="V43" s="422"/>
      <c r="W43" s="438"/>
      <c r="X43" s="422"/>
      <c r="Y43" s="438"/>
      <c r="Z43" s="422"/>
      <c r="AA43" s="438"/>
      <c r="AB43" s="422"/>
      <c r="AC43" s="440"/>
      <c r="AD43" s="422"/>
      <c r="AE43" s="440"/>
      <c r="AG43" s="440"/>
      <c r="AI43" s="440"/>
    </row>
    <row r="44" spans="1:35" ht="20" customHeight="1">
      <c r="A44" s="1871"/>
      <c r="B44" s="410" t="s">
        <v>744</v>
      </c>
      <c r="C44" s="444"/>
      <c r="D44" s="422"/>
      <c r="E44" s="413"/>
      <c r="F44" s="422"/>
      <c r="G44" s="441"/>
      <c r="H44" s="422"/>
      <c r="I44" s="441"/>
      <c r="J44" s="422" t="str">
        <f>'JFK LB | BF'!H139</f>
        <v/>
      </c>
      <c r="K44" s="441">
        <f>'JFK LB | BF'!G139</f>
        <v>1</v>
      </c>
      <c r="M44" s="441"/>
      <c r="O44" s="443"/>
      <c r="P44" s="422"/>
      <c r="Q44" s="443"/>
      <c r="R44" s="422"/>
      <c r="S44" s="443"/>
      <c r="T44" s="422"/>
      <c r="U44" s="443"/>
      <c r="V44" s="422" t="str">
        <f>'JFK LB | BF'!H138</f>
        <v/>
      </c>
      <c r="W44" s="438">
        <f>'JFK LB | BF'!G138</f>
        <v>1</v>
      </c>
      <c r="X44" s="422"/>
      <c r="Y44" s="438"/>
      <c r="Z44" s="422"/>
      <c r="AA44" s="438"/>
      <c r="AB44" s="422"/>
      <c r="AC44" s="440"/>
      <c r="AD44" s="422"/>
      <c r="AE44" s="440"/>
      <c r="AG44" s="440"/>
      <c r="AI44" s="440"/>
    </row>
    <row r="45" spans="1:35" ht="20" customHeight="1">
      <c r="A45" s="1871"/>
      <c r="B45" s="410" t="s">
        <v>745</v>
      </c>
      <c r="C45" s="444"/>
      <c r="D45" s="422"/>
      <c r="E45" s="413"/>
      <c r="F45" s="422"/>
      <c r="G45" s="441"/>
      <c r="H45" s="422"/>
      <c r="I45" s="441"/>
      <c r="J45" s="422" t="str">
        <f>'JFK LB | BF'!I139</f>
        <v/>
      </c>
      <c r="K45" s="441">
        <f>'JFK LB | BF'!G139</f>
        <v>1</v>
      </c>
      <c r="M45" s="441"/>
      <c r="O45" s="443"/>
      <c r="P45" s="422"/>
      <c r="Q45" s="443"/>
      <c r="R45" s="422"/>
      <c r="S45" s="443"/>
      <c r="T45" s="422"/>
      <c r="U45" s="443"/>
      <c r="V45" s="422" t="str">
        <f>'JFK LB | BF'!I138</f>
        <v/>
      </c>
      <c r="W45" s="438">
        <f>'JFK LB | BF'!G138</f>
        <v>1</v>
      </c>
      <c r="X45" s="422"/>
      <c r="Y45" s="438"/>
      <c r="Z45" s="422"/>
      <c r="AA45" s="438"/>
      <c r="AB45" s="422"/>
      <c r="AC45" s="440"/>
      <c r="AD45" s="422"/>
      <c r="AE45" s="440"/>
      <c r="AG45" s="440"/>
      <c r="AI45" s="440"/>
    </row>
    <row r="46" spans="1:35" ht="20" customHeight="1">
      <c r="A46" s="1871"/>
      <c r="B46" s="410" t="s">
        <v>746</v>
      </c>
      <c r="C46" s="444"/>
      <c r="D46" s="422"/>
      <c r="E46" s="413"/>
      <c r="F46" s="422"/>
      <c r="G46" s="441"/>
      <c r="H46" s="422"/>
      <c r="I46" s="441"/>
      <c r="J46" s="422" t="str">
        <f>'JFK LB | BF'!J139</f>
        <v/>
      </c>
      <c r="K46" s="441">
        <f>'JFK LB | BF'!G139</f>
        <v>1</v>
      </c>
      <c r="M46" s="441"/>
      <c r="O46" s="443"/>
      <c r="P46" s="422"/>
      <c r="Q46" s="443"/>
      <c r="R46" s="422"/>
      <c r="S46" s="443"/>
      <c r="T46" s="422"/>
      <c r="U46" s="443"/>
      <c r="V46" s="422" t="str">
        <f>'JFK LB | BF'!J138</f>
        <v/>
      </c>
      <c r="W46" s="438">
        <f>'JFK LB | BF'!G138</f>
        <v>1</v>
      </c>
      <c r="X46" s="422"/>
      <c r="Y46" s="438"/>
      <c r="Z46" s="422"/>
      <c r="AA46" s="438"/>
      <c r="AB46" s="422"/>
      <c r="AC46" s="440"/>
      <c r="AD46" s="422"/>
      <c r="AE46" s="440"/>
      <c r="AG46" s="440"/>
      <c r="AI46" s="440"/>
    </row>
    <row r="47" spans="1:35" ht="20" customHeight="1">
      <c r="A47" s="1871"/>
      <c r="B47" s="410" t="s">
        <v>747</v>
      </c>
      <c r="C47" s="444"/>
      <c r="D47" s="422"/>
      <c r="E47" s="413"/>
      <c r="F47" s="422"/>
      <c r="G47" s="441"/>
      <c r="H47" s="422"/>
      <c r="I47" s="441"/>
      <c r="J47" s="422" t="str">
        <f>'JFK LB | BF'!K139</f>
        <v/>
      </c>
      <c r="K47" s="441">
        <f>'JFK LB | BF'!G139</f>
        <v>1</v>
      </c>
      <c r="M47" s="441"/>
      <c r="O47" s="443"/>
      <c r="P47" s="422"/>
      <c r="Q47" s="443"/>
      <c r="R47" s="422"/>
      <c r="S47" s="443"/>
      <c r="T47" s="422"/>
      <c r="U47" s="443"/>
      <c r="V47" s="422" t="str">
        <f>'JFK LB | BF'!K138</f>
        <v/>
      </c>
      <c r="W47" s="438">
        <f>'JFK LB | BF'!G138</f>
        <v>1</v>
      </c>
      <c r="X47" s="422"/>
      <c r="Y47" s="438"/>
      <c r="Z47" s="422"/>
      <c r="AA47" s="438"/>
      <c r="AB47" s="422"/>
      <c r="AC47" s="440"/>
      <c r="AD47" s="422"/>
      <c r="AE47" s="440"/>
      <c r="AG47" s="440"/>
      <c r="AI47" s="440"/>
    </row>
    <row r="48" spans="1:35" ht="20" customHeight="1">
      <c r="A48" s="1871"/>
      <c r="B48" s="410" t="s">
        <v>748</v>
      </c>
      <c r="C48" s="444"/>
      <c r="D48" s="422"/>
      <c r="E48" s="413"/>
      <c r="F48" s="422"/>
      <c r="G48" s="441"/>
      <c r="H48" s="422"/>
      <c r="I48" s="441"/>
      <c r="J48" s="422" t="str">
        <f>'JFK LB | BF'!L139</f>
        <v/>
      </c>
      <c r="K48" s="441">
        <f>'JFK LB | BF'!G139</f>
        <v>1</v>
      </c>
      <c r="M48" s="441"/>
      <c r="O48" s="443"/>
      <c r="P48" s="422"/>
      <c r="Q48" s="443"/>
      <c r="R48" s="422"/>
      <c r="S48" s="443"/>
      <c r="T48" s="422"/>
      <c r="U48" s="443"/>
      <c r="V48" s="422" t="str">
        <f>'JFK LB | BF'!L138</f>
        <v/>
      </c>
      <c r="W48" s="438">
        <f>'JFK LB | BF'!G138</f>
        <v>1</v>
      </c>
      <c r="X48" s="422"/>
      <c r="Y48" s="438"/>
      <c r="Z48" s="422"/>
      <c r="AA48" s="438"/>
      <c r="AB48" s="422"/>
      <c r="AC48" s="440"/>
      <c r="AD48" s="422"/>
      <c r="AE48" s="440"/>
      <c r="AG48" s="440"/>
      <c r="AI48" s="440"/>
    </row>
    <row r="49" spans="1:35" ht="20" customHeight="1">
      <c r="A49" s="1871"/>
      <c r="B49" s="410" t="s">
        <v>749</v>
      </c>
      <c r="C49" s="444"/>
      <c r="D49" s="422"/>
      <c r="E49" s="413"/>
      <c r="F49" s="422"/>
      <c r="G49" s="441"/>
      <c r="H49" s="422"/>
      <c r="I49" s="441"/>
      <c r="J49" s="422" t="str">
        <f>'JFK LB | BF'!M139</f>
        <v/>
      </c>
      <c r="K49" s="441">
        <f>'JFK LB | BF'!G139</f>
        <v>1</v>
      </c>
      <c r="M49" s="441"/>
      <c r="O49" s="443"/>
      <c r="P49" s="422"/>
      <c r="Q49" s="443"/>
      <c r="R49" s="422"/>
      <c r="S49" s="443"/>
      <c r="T49" s="422"/>
      <c r="U49" s="443"/>
      <c r="V49" s="422" t="str">
        <f>'JFK LB | BF'!M138</f>
        <v/>
      </c>
      <c r="W49" s="438">
        <f>'JFK LB | BF'!G138</f>
        <v>1</v>
      </c>
      <c r="X49" s="422"/>
      <c r="Y49" s="438"/>
      <c r="Z49" s="422"/>
      <c r="AA49" s="438"/>
      <c r="AB49" s="422"/>
      <c r="AC49" s="440"/>
      <c r="AD49" s="422"/>
      <c r="AE49" s="440"/>
      <c r="AG49" s="440"/>
      <c r="AI49" s="440"/>
    </row>
    <row r="50" spans="1:35" ht="20" customHeight="1">
      <c r="A50" s="1871"/>
      <c r="B50" s="410" t="s">
        <v>750</v>
      </c>
      <c r="C50" s="444"/>
      <c r="D50" s="422"/>
      <c r="E50" s="413"/>
      <c r="F50" s="422"/>
      <c r="G50" s="441"/>
      <c r="H50" s="422"/>
      <c r="I50" s="441"/>
      <c r="J50" s="422" t="str">
        <f>'JFK LB | BF'!H187</f>
        <v/>
      </c>
      <c r="K50" s="441">
        <f>'JFK LB | BF'!G187</f>
        <v>1</v>
      </c>
      <c r="M50" s="441"/>
      <c r="O50" s="443"/>
      <c r="P50" s="422"/>
      <c r="Q50" s="443"/>
      <c r="R50" s="422"/>
      <c r="S50" s="443"/>
      <c r="T50" s="422"/>
      <c r="U50" s="443"/>
      <c r="V50" s="422" t="str">
        <f>'JFK LB | BF'!H186</f>
        <v/>
      </c>
      <c r="W50" s="438">
        <f>'JFK LB | BF'!G186</f>
        <v>1</v>
      </c>
      <c r="X50" s="422"/>
      <c r="Y50" s="438"/>
      <c r="Z50" s="422"/>
      <c r="AA50" s="438"/>
      <c r="AB50" s="422"/>
      <c r="AC50" s="440"/>
      <c r="AD50" s="422"/>
      <c r="AE50" s="440"/>
      <c r="AG50" s="440"/>
      <c r="AI50" s="440"/>
    </row>
    <row r="51" spans="1:35" ht="20" customHeight="1">
      <c r="A51" s="1871"/>
      <c r="B51" s="410" t="s">
        <v>751</v>
      </c>
      <c r="C51" s="444"/>
      <c r="D51" s="422"/>
      <c r="E51" s="413"/>
      <c r="F51" s="422"/>
      <c r="G51" s="441"/>
      <c r="H51" s="422"/>
      <c r="I51" s="441"/>
      <c r="J51" s="422" t="str">
        <f>'JFK LB | BF'!I187</f>
        <v/>
      </c>
      <c r="K51" s="441">
        <f>'JFK LB | BF'!G187</f>
        <v>1</v>
      </c>
      <c r="M51" s="441"/>
      <c r="O51" s="443"/>
      <c r="P51" s="422"/>
      <c r="Q51" s="443"/>
      <c r="R51" s="422"/>
      <c r="S51" s="443"/>
      <c r="T51" s="422"/>
      <c r="U51" s="443"/>
      <c r="V51" s="422" t="str">
        <f>'JFK LB | BF'!I186</f>
        <v/>
      </c>
      <c r="W51" s="438">
        <f>'JFK LB | BF'!G186</f>
        <v>1</v>
      </c>
      <c r="X51" s="422"/>
      <c r="Y51" s="438"/>
      <c r="Z51" s="422"/>
      <c r="AA51" s="438"/>
      <c r="AB51" s="422"/>
      <c r="AC51" s="440"/>
      <c r="AD51" s="422"/>
      <c r="AE51" s="440"/>
      <c r="AG51" s="440"/>
      <c r="AI51" s="440"/>
    </row>
    <row r="52" spans="1:35" ht="20" customHeight="1">
      <c r="A52" s="423"/>
      <c r="B52" s="424"/>
      <c r="C52" s="429"/>
      <c r="D52" s="429"/>
      <c r="E52" s="429"/>
      <c r="F52" s="429"/>
      <c r="G52" s="429"/>
      <c r="H52" s="429"/>
      <c r="I52" s="429"/>
      <c r="J52" s="429"/>
      <c r="K52" s="429"/>
      <c r="L52" s="429"/>
      <c r="M52" s="429"/>
      <c r="N52" s="429"/>
      <c r="O52" s="429"/>
      <c r="P52" s="429"/>
      <c r="Q52" s="429"/>
      <c r="R52" s="429"/>
      <c r="S52" s="429"/>
      <c r="T52" s="429"/>
      <c r="U52" s="429"/>
      <c r="V52" s="429"/>
      <c r="W52" s="429"/>
      <c r="X52" s="429"/>
      <c r="Y52" s="429"/>
      <c r="Z52" s="429"/>
      <c r="AA52" s="429"/>
      <c r="AB52" s="429"/>
      <c r="AC52" s="429"/>
      <c r="AD52" s="429"/>
      <c r="AE52" s="429"/>
      <c r="AF52" s="429"/>
      <c r="AG52" s="429"/>
      <c r="AH52" s="429"/>
      <c r="AI52" s="429"/>
    </row>
    <row r="53" spans="1:35" ht="20" customHeight="1">
      <c r="A53" s="1871" t="s">
        <v>17</v>
      </c>
      <c r="B53" s="410" t="str">
        <f>'JFK LB | BF'!O190</f>
        <v>1. Champagne</v>
      </c>
      <c r="C53" s="444"/>
      <c r="D53" s="422"/>
      <c r="E53" s="413"/>
      <c r="F53" s="422"/>
      <c r="G53" s="441"/>
      <c r="H53" s="422"/>
      <c r="I53" s="441"/>
      <c r="J53" s="422"/>
      <c r="K53" s="441"/>
      <c r="L53" s="32" t="str">
        <f>'JFK LB | BF'!U229</f>
        <v/>
      </c>
      <c r="M53" s="441">
        <f>'JFK LB | BF'!T229</f>
        <v>1</v>
      </c>
      <c r="O53" s="443"/>
      <c r="P53" s="422"/>
      <c r="Q53" s="443"/>
      <c r="R53" s="422"/>
      <c r="S53" s="443"/>
      <c r="T53" s="422"/>
      <c r="U53" s="443"/>
      <c r="V53" s="422"/>
      <c r="W53" s="438"/>
      <c r="X53" s="422"/>
      <c r="Y53" s="438"/>
      <c r="Z53" s="422"/>
      <c r="AA53" s="438"/>
      <c r="AB53" s="422"/>
      <c r="AC53" s="440"/>
      <c r="AD53" s="422"/>
      <c r="AE53" s="440"/>
      <c r="AF53" s="32" t="str">
        <f>'JFK LB | BF'!U230</f>
        <v/>
      </c>
      <c r="AG53" s="440">
        <f>'JFK LB | BF'!T230</f>
        <v>3</v>
      </c>
      <c r="AH53" s="32" t="str">
        <f>'JFK LB | BF'!U231</f>
        <v/>
      </c>
      <c r="AI53" s="440">
        <f>'JFK LB | BF'!T231</f>
        <v>8</v>
      </c>
    </row>
    <row r="54" spans="1:35" ht="20" customHeight="1">
      <c r="A54" s="1871"/>
      <c r="B54" s="410" t="str">
        <f>'JFK LB | BF'!W190</f>
        <v>2. Wine 
- Small Bottles</v>
      </c>
      <c r="C54" s="444"/>
      <c r="D54" s="422"/>
      <c r="E54" s="413"/>
      <c r="F54" s="422"/>
      <c r="G54" s="441"/>
      <c r="H54" s="422"/>
      <c r="I54" s="441"/>
      <c r="J54" s="422"/>
      <c r="K54" s="441"/>
      <c r="L54" s="32" t="str">
        <f>'JFK LB | BF'!AC226</f>
        <v/>
      </c>
      <c r="M54" s="441">
        <f>'JFK LB | BF'!AB226</f>
        <v>1</v>
      </c>
      <c r="O54" s="443"/>
      <c r="P54" s="422"/>
      <c r="Q54" s="443"/>
      <c r="R54" s="422"/>
      <c r="S54" s="443"/>
      <c r="T54" s="422"/>
      <c r="U54" s="443"/>
      <c r="V54" s="422"/>
      <c r="W54" s="438"/>
      <c r="X54" s="422"/>
      <c r="Y54" s="438"/>
      <c r="Z54" s="422"/>
      <c r="AA54" s="438"/>
      <c r="AB54" s="422"/>
      <c r="AC54" s="440"/>
      <c r="AD54" s="422"/>
      <c r="AE54" s="440"/>
      <c r="AF54" s="32" t="str">
        <f>'JFK LB | BF'!AC227</f>
        <v/>
      </c>
      <c r="AG54" s="440">
        <f>'JFK LB | BF'!AB227</f>
        <v>4</v>
      </c>
      <c r="AH54" s="32" t="str">
        <f>'JFK LB | BF'!AC228</f>
        <v/>
      </c>
      <c r="AI54" s="440">
        <f>'JFK LB | BF'!AB228</f>
        <v>6</v>
      </c>
    </row>
    <row r="55" spans="1:35" ht="20" customHeight="1">
      <c r="A55" s="1871"/>
      <c r="B55" s="410" t="str">
        <f>'JFK LB | BF'!AE190</f>
        <v>3. White Wine Spritzer
- Small Bottles</v>
      </c>
      <c r="C55" s="444"/>
      <c r="D55" s="422"/>
      <c r="E55" s="413"/>
      <c r="F55" s="422"/>
      <c r="G55" s="441"/>
      <c r="H55" s="422"/>
      <c r="I55" s="441"/>
      <c r="J55" s="422"/>
      <c r="K55" s="441"/>
      <c r="L55" s="32" t="str">
        <f>'JFK LB | BF'!AK235</f>
        <v/>
      </c>
      <c r="M55" s="441">
        <f>'JFK LB | BF'!AJ235</f>
        <v>1</v>
      </c>
      <c r="O55" s="443"/>
      <c r="P55" s="422"/>
      <c r="Q55" s="443"/>
      <c r="R55" s="422"/>
      <c r="S55" s="443"/>
      <c r="T55" s="422"/>
      <c r="U55" s="443"/>
      <c r="V55" s="422"/>
      <c r="W55" s="438"/>
      <c r="X55" s="422"/>
      <c r="Y55" s="438"/>
      <c r="Z55" s="422"/>
      <c r="AA55" s="438"/>
      <c r="AB55" s="422"/>
      <c r="AC55" s="440"/>
      <c r="AD55" s="422"/>
      <c r="AE55" s="440"/>
      <c r="AF55" s="32" t="str">
        <f>'JFK LB | BF'!AK236</f>
        <v/>
      </c>
      <c r="AG55" s="440">
        <f>'JFK LB | BF'!AJ236</f>
        <v>6</v>
      </c>
      <c r="AH55" s="32" t="str">
        <f>'JFK LB | BF'!AK237</f>
        <v/>
      </c>
      <c r="AI55" s="440">
        <f>'JFK LB | BF'!AJ237</f>
        <v>7</v>
      </c>
    </row>
    <row r="56" spans="1:35" ht="20" customHeight="1">
      <c r="A56" s="1871"/>
      <c r="B56" s="410" t="str">
        <f>'JFK LB | BF'!AM190</f>
        <v>4. Wine
- Big Bottles</v>
      </c>
      <c r="C56" s="444"/>
      <c r="D56" s="422"/>
      <c r="E56" s="413"/>
      <c r="F56" s="422"/>
      <c r="G56" s="441"/>
      <c r="H56" s="422"/>
      <c r="I56" s="441"/>
      <c r="J56" s="422"/>
      <c r="K56" s="441"/>
      <c r="L56" s="32" t="str">
        <f>'JFK LB | BF'!AS232</f>
        <v/>
      </c>
      <c r="M56" s="441">
        <f>'JFK LB | BF'!AR232</f>
        <v>1</v>
      </c>
      <c r="O56" s="443"/>
      <c r="P56" s="422"/>
      <c r="Q56" s="443"/>
      <c r="R56" s="422"/>
      <c r="S56" s="443"/>
      <c r="T56" s="422"/>
      <c r="U56" s="443"/>
      <c r="V56" s="422"/>
      <c r="W56" s="438"/>
      <c r="X56" s="422"/>
      <c r="Y56" s="438"/>
      <c r="Z56" s="422"/>
      <c r="AA56" s="438"/>
      <c r="AB56" s="422"/>
      <c r="AC56" s="440"/>
      <c r="AD56" s="422"/>
      <c r="AE56" s="440"/>
      <c r="AF56" s="32" t="str">
        <f>'JFK LB | BF'!AS233</f>
        <v/>
      </c>
      <c r="AG56" s="440">
        <f>'JFK LB | BF'!AR233</f>
        <v>4</v>
      </c>
      <c r="AH56" s="32" t="str">
        <f>'JFK LB | BF'!AS234</f>
        <v/>
      </c>
      <c r="AI56" s="440">
        <f>'JFK LB | BF'!AR234</f>
        <v>8</v>
      </c>
    </row>
    <row r="57" spans="1:35" ht="20" customHeight="1">
      <c r="A57" s="1871"/>
      <c r="B57" s="410" t="str">
        <f>'JFK LB | BF'!AU190</f>
        <v>5. Dry - White Wine Spritzer - Big Bottle of Wine</v>
      </c>
      <c r="C57" s="444"/>
      <c r="D57" s="422"/>
      <c r="E57" s="413"/>
      <c r="F57" s="422"/>
      <c r="G57" s="441"/>
      <c r="H57" s="422"/>
      <c r="I57" s="441"/>
      <c r="J57" s="422"/>
      <c r="K57" s="441"/>
      <c r="L57" s="32" t="str">
        <f>'JFK LB | BF'!BA235</f>
        <v/>
      </c>
      <c r="M57" s="441">
        <f>'JFK LB | BF'!AZ235</f>
        <v>1</v>
      </c>
      <c r="O57" s="443"/>
      <c r="P57" s="422"/>
      <c r="Q57" s="443"/>
      <c r="R57" s="422"/>
      <c r="S57" s="443"/>
      <c r="T57" s="422"/>
      <c r="U57" s="443"/>
      <c r="V57" s="422"/>
      <c r="W57" s="438"/>
      <c r="X57" s="422"/>
      <c r="Y57" s="438"/>
      <c r="Z57" s="422"/>
      <c r="AA57" s="438"/>
      <c r="AB57" s="422"/>
      <c r="AC57" s="440"/>
      <c r="AD57" s="422"/>
      <c r="AE57" s="440"/>
      <c r="AF57" s="32" t="str">
        <f>'JFK LB | BF'!BA236</f>
        <v/>
      </c>
      <c r="AG57" s="440">
        <f>'JFK LB | BF'!AZ236</f>
        <v>6</v>
      </c>
      <c r="AH57" s="32" t="str">
        <f>'JFK LB | BF'!BA237</f>
        <v/>
      </c>
      <c r="AI57" s="440">
        <f>'JFK LB | BF'!AZ237</f>
        <v>7</v>
      </c>
    </row>
    <row r="58" spans="1:35" ht="20" customHeight="1">
      <c r="A58" s="1871"/>
      <c r="B58" s="410" t="str">
        <f>'JFK LB | BF'!BC190</f>
        <v>6. Sweet - White Wine Spritzer- Big Bottle of Wine</v>
      </c>
      <c r="C58" s="444"/>
      <c r="D58" s="422"/>
      <c r="E58" s="413"/>
      <c r="F58" s="422"/>
      <c r="G58" s="441"/>
      <c r="H58" s="422"/>
      <c r="I58" s="441"/>
      <c r="J58" s="422"/>
      <c r="K58" s="441"/>
      <c r="L58" s="32" t="str">
        <f>'JFK LB | BF'!BI235</f>
        <v/>
      </c>
      <c r="M58" s="441">
        <f>'JFK LB | BF'!BH235</f>
        <v>1</v>
      </c>
      <c r="O58" s="443"/>
      <c r="P58" s="422"/>
      <c r="Q58" s="443"/>
      <c r="R58" s="422"/>
      <c r="S58" s="443"/>
      <c r="T58" s="422"/>
      <c r="U58" s="443"/>
      <c r="V58" s="422"/>
      <c r="W58" s="438"/>
      <c r="X58" s="422"/>
      <c r="Y58" s="438"/>
      <c r="Z58" s="422"/>
      <c r="AA58" s="438"/>
      <c r="AB58" s="422"/>
      <c r="AC58" s="440"/>
      <c r="AD58" s="422"/>
      <c r="AE58" s="440"/>
      <c r="AF58" s="32" t="str">
        <f>'JFK LB | BF'!BI236</f>
        <v/>
      </c>
      <c r="AG58" s="440">
        <f>'JFK LB | BF'!BH236</f>
        <v>6</v>
      </c>
      <c r="AH58" s="32" t="str">
        <f>'JFK LB | BF'!BI237</f>
        <v/>
      </c>
      <c r="AI58" s="440">
        <f>'JFK LB | BF'!BH237</f>
        <v>7</v>
      </c>
    </row>
    <row r="59" spans="1:35" ht="20" customHeight="1">
      <c r="A59" s="1871"/>
      <c r="B59" s="410" t="str">
        <f>'JFK LB | BF'!O240</f>
        <v>7. Liqueur</v>
      </c>
      <c r="C59" s="444"/>
      <c r="D59" s="422"/>
      <c r="E59" s="413"/>
      <c r="F59" s="422"/>
      <c r="G59" s="441"/>
      <c r="H59" s="422"/>
      <c r="I59" s="441"/>
      <c r="J59" s="422"/>
      <c r="K59" s="441"/>
      <c r="L59" s="32" t="str">
        <f>'JFK LB | BF'!U276</f>
        <v/>
      </c>
      <c r="M59" s="441">
        <f>'JFK LB | BF'!T276</f>
        <v>1</v>
      </c>
      <c r="O59" s="443"/>
      <c r="P59" s="422"/>
      <c r="Q59" s="443"/>
      <c r="R59" s="422"/>
      <c r="S59" s="443"/>
      <c r="T59" s="422"/>
      <c r="U59" s="443"/>
      <c r="V59" s="422"/>
      <c r="W59" s="438"/>
      <c r="X59" s="422"/>
      <c r="Y59" s="438"/>
      <c r="Z59" s="422"/>
      <c r="AA59" s="438"/>
      <c r="AB59" s="422"/>
      <c r="AC59" s="440"/>
      <c r="AD59" s="422"/>
      <c r="AE59" s="440"/>
      <c r="AF59" s="32" t="str">
        <f>'JFK LB | BF'!U277</f>
        <v/>
      </c>
      <c r="AG59" s="440">
        <f>'JFK LB | BF'!T277</f>
        <v>4</v>
      </c>
      <c r="AH59" s="32" t="str">
        <f>'JFK LB | BF'!U278</f>
        <v/>
      </c>
      <c r="AI59" s="440">
        <f>'JFK LB | BF'!T278</f>
        <v>6</v>
      </c>
    </row>
    <row r="60" spans="1:35" ht="20" customHeight="1">
      <c r="A60" s="1871"/>
      <c r="B60" s="410" t="str">
        <f>'JFK LB | BF'!W240</f>
        <v>8. Shandy</v>
      </c>
      <c r="C60" s="444"/>
      <c r="D60" s="422"/>
      <c r="E60" s="413"/>
      <c r="F60" s="422"/>
      <c r="G60" s="441"/>
      <c r="H60" s="422"/>
      <c r="I60" s="441"/>
      <c r="J60" s="422"/>
      <c r="K60" s="441"/>
      <c r="L60" s="32" t="str">
        <f>'JFK LB | BF'!AC273</f>
        <v/>
      </c>
      <c r="M60" s="441">
        <f>'JFK LB | BF'!AB273</f>
        <v>1</v>
      </c>
      <c r="O60" s="443"/>
      <c r="P60" s="422"/>
      <c r="Q60" s="443"/>
      <c r="R60" s="422"/>
      <c r="S60" s="443"/>
      <c r="T60" s="422"/>
      <c r="U60" s="443"/>
      <c r="V60" s="422"/>
      <c r="W60" s="438"/>
      <c r="X60" s="422"/>
      <c r="Y60" s="438"/>
      <c r="Z60" s="422"/>
      <c r="AA60" s="438"/>
      <c r="AB60" s="422"/>
      <c r="AC60" s="440"/>
      <c r="AD60" s="422"/>
      <c r="AE60" s="440"/>
      <c r="AF60" s="32" t="str">
        <f>'JFK LB | BF'!AC274</f>
        <v/>
      </c>
      <c r="AG60" s="440">
        <f>'JFK LB | BF'!AB274</f>
        <v>3</v>
      </c>
      <c r="AH60" s="32" t="str">
        <f>'JFK LB | BF'!AC275</f>
        <v/>
      </c>
      <c r="AI60" s="440">
        <f>'JFK LB | BF'!AB275</f>
        <v>6</v>
      </c>
    </row>
    <row r="61" spans="1:35" ht="20" customHeight="1">
      <c r="A61" s="1871"/>
      <c r="B61" s="410" t="str">
        <f>'JFK LB | BF'!AE240</f>
        <v>9. Hot Beverage 
- Tea</v>
      </c>
      <c r="C61" s="444"/>
      <c r="D61" s="422"/>
      <c r="E61" s="413"/>
      <c r="F61" s="422"/>
      <c r="G61" s="441"/>
      <c r="H61" s="422"/>
      <c r="I61" s="441"/>
      <c r="J61" s="422"/>
      <c r="K61" s="441"/>
      <c r="L61" s="32" t="str">
        <f>'JFK LB | BF'!AK273</f>
        <v/>
      </c>
      <c r="M61" s="441">
        <f>'JFK LB | BF'!AJ273</f>
        <v>1</v>
      </c>
      <c r="O61" s="443"/>
      <c r="P61" s="422"/>
      <c r="Q61" s="443"/>
      <c r="R61" s="422"/>
      <c r="S61" s="443"/>
      <c r="T61" s="422"/>
      <c r="U61" s="443"/>
      <c r="V61" s="422"/>
      <c r="W61" s="438"/>
      <c r="X61" s="422"/>
      <c r="Y61" s="438"/>
      <c r="Z61" s="422"/>
      <c r="AA61" s="438"/>
      <c r="AB61" s="422"/>
      <c r="AC61" s="440"/>
      <c r="AD61" s="422"/>
      <c r="AE61" s="440"/>
      <c r="AF61" s="32" t="str">
        <f>'JFK LB | BF'!AK274</f>
        <v/>
      </c>
      <c r="AG61" s="440">
        <f>'JFK LB | BF'!AJ274</f>
        <v>2</v>
      </c>
      <c r="AH61" s="32" t="str">
        <f>'JFK LB | BF'!AK275</f>
        <v/>
      </c>
      <c r="AI61" s="440">
        <f>'JFK LB | BF'!AJ275</f>
        <v>7</v>
      </c>
    </row>
    <row r="62" spans="1:35" ht="20" customHeight="1">
      <c r="A62" s="1871"/>
      <c r="B62" s="410" t="str">
        <f>'JFK LB | BF'!AM240</f>
        <v>10. Beer</v>
      </c>
      <c r="C62" s="444"/>
      <c r="D62" s="422"/>
      <c r="E62" s="413"/>
      <c r="F62" s="422"/>
      <c r="G62" s="441"/>
      <c r="H62" s="422"/>
      <c r="I62" s="441"/>
      <c r="J62" s="422"/>
      <c r="K62" s="441"/>
      <c r="L62" s="32" t="str">
        <f>'JFK LB | BF'!AS270</f>
        <v/>
      </c>
      <c r="M62" s="441">
        <f>'JFK LB | BF'!AR270</f>
        <v>1</v>
      </c>
      <c r="O62" s="443"/>
      <c r="P62" s="422"/>
      <c r="Q62" s="443"/>
      <c r="R62" s="422"/>
      <c r="S62" s="443"/>
      <c r="T62" s="422"/>
      <c r="U62" s="443"/>
      <c r="V62" s="422"/>
      <c r="W62" s="438"/>
      <c r="X62" s="422"/>
      <c r="Y62" s="438"/>
      <c r="Z62" s="422"/>
      <c r="AA62" s="438"/>
      <c r="AB62" s="422"/>
      <c r="AC62" s="440"/>
      <c r="AD62" s="422"/>
      <c r="AE62" s="440"/>
      <c r="AF62" s="32" t="str">
        <f>'JFK LB | BF'!AS271</f>
        <v/>
      </c>
      <c r="AG62" s="440">
        <f>'JFK LB | BF'!AR271</f>
        <v>2</v>
      </c>
      <c r="AH62" s="32" t="str">
        <f>'JFK LB | BF'!AS272</f>
        <v/>
      </c>
      <c r="AI62" s="440">
        <f>'JFK LB | BF'!AR272</f>
        <v>6</v>
      </c>
    </row>
    <row r="63" spans="1:35" ht="20" customHeight="1">
      <c r="A63" s="1871"/>
      <c r="B63" s="410" t="str">
        <f>'JFK LB | BF'!AU240</f>
        <v>11. Screwdriver</v>
      </c>
      <c r="C63" s="444"/>
      <c r="D63" s="422"/>
      <c r="E63" s="413"/>
      <c r="F63" s="422"/>
      <c r="G63" s="441"/>
      <c r="H63" s="422"/>
      <c r="I63" s="441"/>
      <c r="J63" s="422"/>
      <c r="K63" s="441"/>
      <c r="L63" s="32" t="str">
        <f>'JFK LB | BF'!BA285</f>
        <v/>
      </c>
      <c r="M63" s="441">
        <f>'JFK LB | BF'!AZ285</f>
        <v>1</v>
      </c>
      <c r="O63" s="443"/>
      <c r="P63" s="422"/>
      <c r="Q63" s="443"/>
      <c r="R63" s="422"/>
      <c r="S63" s="443"/>
      <c r="T63" s="422"/>
      <c r="U63" s="443"/>
      <c r="V63" s="422"/>
      <c r="W63" s="438"/>
      <c r="X63" s="422"/>
      <c r="Y63" s="438"/>
      <c r="Z63" s="422"/>
      <c r="AA63" s="438"/>
      <c r="AB63" s="422"/>
      <c r="AC63" s="440"/>
      <c r="AD63" s="422"/>
      <c r="AE63" s="440"/>
      <c r="AF63" s="32" t="str">
        <f>'JFK LB | BF'!BA286</f>
        <v/>
      </c>
      <c r="AG63" s="440">
        <f>'JFK LB | BF'!AZ286</f>
        <v>4</v>
      </c>
      <c r="AH63" s="32" t="str">
        <f>'JFK LB | BF'!BA287</f>
        <v/>
      </c>
      <c r="AI63" s="440">
        <f>'JFK LB | BF'!AZ287</f>
        <v>9</v>
      </c>
    </row>
    <row r="64" spans="1:35" ht="20" customHeight="1">
      <c r="A64" s="1871"/>
      <c r="B64" s="410" t="str">
        <f>'JFK LB | BF'!BC240</f>
        <v>12. Gin &amp; Orange Juice</v>
      </c>
      <c r="C64" s="444"/>
      <c r="D64" s="422"/>
      <c r="E64" s="413"/>
      <c r="F64" s="422"/>
      <c r="G64" s="441"/>
      <c r="H64" s="422"/>
      <c r="I64" s="441"/>
      <c r="J64" s="422"/>
      <c r="K64" s="441"/>
      <c r="L64" s="32" t="str">
        <f>'JFK LB | BF'!BI285</f>
        <v/>
      </c>
      <c r="M64" s="441">
        <f>'JFK LB | BF'!BH285</f>
        <v>1</v>
      </c>
      <c r="O64" s="443"/>
      <c r="P64" s="422"/>
      <c r="Q64" s="443"/>
      <c r="R64" s="422"/>
      <c r="S64" s="443"/>
      <c r="T64" s="422"/>
      <c r="U64" s="443"/>
      <c r="V64" s="422"/>
      <c r="W64" s="438"/>
      <c r="X64" s="422"/>
      <c r="Y64" s="438"/>
      <c r="Z64" s="422"/>
      <c r="AA64" s="438"/>
      <c r="AB64" s="422"/>
      <c r="AC64" s="440"/>
      <c r="AD64" s="422"/>
      <c r="AE64" s="440"/>
      <c r="AF64" s="32" t="str">
        <f>'JFK LB | BF'!BI286</f>
        <v/>
      </c>
      <c r="AG64" s="440">
        <f>'JFK LB | BF'!BH286</f>
        <v>5</v>
      </c>
      <c r="AH64" s="32" t="str">
        <f>'JFK LB | BF'!BI287</f>
        <v/>
      </c>
      <c r="AI64" s="440">
        <f>'JFK LB | BF'!BH287</f>
        <v>8</v>
      </c>
    </row>
    <row r="65" spans="1:35" ht="20" customHeight="1">
      <c r="A65" s="1871"/>
      <c r="B65" s="410" t="str">
        <f>'JFK LB | BF'!O290</f>
        <v>13. Rum &amp; Pepsi</v>
      </c>
      <c r="C65" s="444"/>
      <c r="D65" s="422"/>
      <c r="E65" s="413"/>
      <c r="F65" s="422"/>
      <c r="G65" s="441"/>
      <c r="H65" s="422"/>
      <c r="I65" s="441"/>
      <c r="J65" s="422"/>
      <c r="K65" s="441"/>
      <c r="L65" s="32" t="str">
        <f>'JFK LB | BF'!U332</f>
        <v/>
      </c>
      <c r="M65" s="441">
        <f>'JFK LB | BF'!T332</f>
        <v>1</v>
      </c>
      <c r="O65" s="443"/>
      <c r="P65" s="422"/>
      <c r="Q65" s="443"/>
      <c r="R65" s="422"/>
      <c r="S65" s="443"/>
      <c r="T65" s="422"/>
      <c r="U65" s="443"/>
      <c r="V65" s="422"/>
      <c r="W65" s="438"/>
      <c r="X65" s="422"/>
      <c r="Y65" s="438"/>
      <c r="Z65" s="422"/>
      <c r="AA65" s="438"/>
      <c r="AB65" s="422"/>
      <c r="AC65" s="440"/>
      <c r="AD65" s="422"/>
      <c r="AE65" s="440"/>
      <c r="AF65" s="32" t="str">
        <f>'JFK LB | BF'!U333</f>
        <v/>
      </c>
      <c r="AG65" s="440">
        <f>'JFK LB | BF'!T333</f>
        <v>5</v>
      </c>
      <c r="AH65" s="32" t="str">
        <f>'JFK LB | BF'!U334</f>
        <v/>
      </c>
      <c r="AI65" s="440">
        <f>'JFK LB | BF'!T334</f>
        <v>7</v>
      </c>
    </row>
    <row r="66" spans="1:35" ht="20" customHeight="1">
      <c r="A66" s="1871"/>
      <c r="B66" s="410" t="str">
        <f>'JFK LB | BF'!W290</f>
        <v>14. Gin &amp; Tonic</v>
      </c>
      <c r="C66" s="444"/>
      <c r="D66" s="422"/>
      <c r="E66" s="413"/>
      <c r="F66" s="422"/>
      <c r="G66" s="441"/>
      <c r="H66" s="422"/>
      <c r="I66" s="441"/>
      <c r="J66" s="422"/>
      <c r="K66" s="441"/>
      <c r="L66" s="32" t="str">
        <f>'JFK LB | BF'!AC332</f>
        <v/>
      </c>
      <c r="M66" s="441">
        <f>'JFK LB | BF'!AB332</f>
        <v>1</v>
      </c>
      <c r="O66" s="443"/>
      <c r="P66" s="422"/>
      <c r="Q66" s="443"/>
      <c r="R66" s="422"/>
      <c r="S66" s="443"/>
      <c r="T66" s="422"/>
      <c r="U66" s="443"/>
      <c r="V66" s="422"/>
      <c r="W66" s="438"/>
      <c r="X66" s="422"/>
      <c r="Y66" s="438"/>
      <c r="Z66" s="422"/>
      <c r="AA66" s="438"/>
      <c r="AB66" s="422"/>
      <c r="AC66" s="440"/>
      <c r="AD66" s="422"/>
      <c r="AE66" s="440"/>
      <c r="AF66" s="32" t="str">
        <f>'JFK LB | BF'!AC333</f>
        <v/>
      </c>
      <c r="AG66" s="440">
        <f>'JFK LB | BF'!AB333</f>
        <v>6</v>
      </c>
      <c r="AH66" s="32" t="str">
        <f>'JFK LB | BF'!AC334</f>
        <v/>
      </c>
      <c r="AI66" s="440">
        <f>'JFK LB | BF'!AB334</f>
        <v>6</v>
      </c>
    </row>
    <row r="67" spans="1:35" ht="20" customHeight="1">
      <c r="A67" s="1871"/>
      <c r="B67" s="410" t="str">
        <f>'JFK LB | BF'!AE290</f>
        <v>15. Scotch &amp; Soda</v>
      </c>
      <c r="C67" s="444"/>
      <c r="D67" s="422"/>
      <c r="E67" s="413"/>
      <c r="F67" s="422"/>
      <c r="G67" s="441"/>
      <c r="H67" s="422"/>
      <c r="I67" s="441"/>
      <c r="J67" s="422"/>
      <c r="K67" s="441"/>
      <c r="L67" s="32" t="str">
        <f>'JFK LB | BF'!AK329</f>
        <v/>
      </c>
      <c r="M67" s="441">
        <f>'JFK LB | BF'!AJ329</f>
        <v>1</v>
      </c>
      <c r="O67" s="443"/>
      <c r="P67" s="422"/>
      <c r="Q67" s="443"/>
      <c r="R67" s="422"/>
      <c r="S67" s="443"/>
      <c r="T67" s="422"/>
      <c r="U67" s="443"/>
      <c r="V67" s="422"/>
      <c r="W67" s="438"/>
      <c r="X67" s="422"/>
      <c r="Y67" s="438"/>
      <c r="Z67" s="422"/>
      <c r="AA67" s="438"/>
      <c r="AB67" s="422"/>
      <c r="AC67" s="440"/>
      <c r="AD67" s="422"/>
      <c r="AE67" s="440"/>
      <c r="AF67" s="32" t="str">
        <f>'JFK LB | BF'!AK330</f>
        <v/>
      </c>
      <c r="AG67" s="440">
        <f>'JFK LB | BF'!AJ330</f>
        <v>4</v>
      </c>
      <c r="AH67" s="32" t="str">
        <f>'JFK LB | BF'!AK331</f>
        <v/>
      </c>
      <c r="AI67" s="440">
        <f>'JFK LB | BF'!AJ331</f>
        <v>7</v>
      </c>
    </row>
    <row r="68" spans="1:35" ht="20" customHeight="1">
      <c r="A68" s="1871"/>
      <c r="B68" s="410" t="str">
        <f>'JFK LB | BF'!AM290</f>
        <v>16. Bloody Mary</v>
      </c>
      <c r="C68" s="444"/>
      <c r="D68" s="422"/>
      <c r="E68" s="413"/>
      <c r="F68" s="422"/>
      <c r="G68" s="441"/>
      <c r="H68" s="422"/>
      <c r="I68" s="441"/>
      <c r="J68" s="422"/>
      <c r="K68" s="441"/>
      <c r="L68" s="32" t="str">
        <f>'JFK LB | BF'!AS341</f>
        <v/>
      </c>
      <c r="M68" s="441">
        <f>'JFK LB | BF'!AR341</f>
        <v>1</v>
      </c>
      <c r="O68" s="443"/>
      <c r="P68" s="422"/>
      <c r="Q68" s="443"/>
      <c r="R68" s="422"/>
      <c r="S68" s="443"/>
      <c r="T68" s="422"/>
      <c r="U68" s="443"/>
      <c r="V68" s="422"/>
      <c r="W68" s="438"/>
      <c r="X68" s="422"/>
      <c r="Y68" s="438"/>
      <c r="Z68" s="422"/>
      <c r="AA68" s="438"/>
      <c r="AB68" s="422"/>
      <c r="AC68" s="440"/>
      <c r="AD68" s="422"/>
      <c r="AE68" s="440"/>
      <c r="AF68" s="32" t="str">
        <f>'JFK LB | BF'!AS342</f>
        <v/>
      </c>
      <c r="AG68" s="440">
        <f>'JFK LB | BF'!AR342</f>
        <v>6</v>
      </c>
      <c r="AH68" s="32" t="str">
        <f>'JFK LB | BF'!AS343</f>
        <v/>
      </c>
      <c r="AI68" s="440">
        <f>'JFK LB | BF'!AR343</f>
        <v>9</v>
      </c>
    </row>
    <row r="69" spans="1:35" ht="20" customHeight="1">
      <c r="A69" s="627"/>
      <c r="B69" s="629" t="str">
        <f>"MCS - "&amp;B53</f>
        <v>MCS - 1. Champagne</v>
      </c>
      <c r="C69" s="444"/>
      <c r="D69" s="422" t="str">
        <f>'JFK LB | BF'!H220</f>
        <v/>
      </c>
      <c r="E69" s="413">
        <f>'JFK LB | BF'!G220</f>
        <v>4</v>
      </c>
      <c r="F69" s="422"/>
      <c r="G69" s="441"/>
      <c r="H69" s="422"/>
      <c r="I69" s="441"/>
      <c r="J69" s="422"/>
      <c r="K69" s="441"/>
      <c r="L69" s="32" t="str">
        <f>'JFK LB | BF'!H221</f>
        <v/>
      </c>
      <c r="M69" s="441">
        <f>'JFK LB | BF'!G221</f>
        <v>1</v>
      </c>
      <c r="N69" s="32" t="str">
        <f>'JFK LB | BF'!H222</f>
        <v/>
      </c>
      <c r="O69" s="443">
        <f>'JFK LB | BF'!G222</f>
        <v>2</v>
      </c>
      <c r="P69" s="422"/>
      <c r="Q69" s="443"/>
      <c r="R69" s="422"/>
      <c r="S69" s="443"/>
      <c r="T69" s="422" t="str">
        <f>'JFK LB | BF'!H223</f>
        <v/>
      </c>
      <c r="U69" s="443">
        <f>'JFK LB | BF'!G223</f>
        <v>2</v>
      </c>
      <c r="V69" s="422"/>
      <c r="W69" s="438"/>
      <c r="X69" s="422"/>
      <c r="Y69" s="438"/>
      <c r="Z69" s="422"/>
      <c r="AA69" s="438"/>
      <c r="AB69" s="422"/>
      <c r="AC69" s="440"/>
      <c r="AD69" s="422"/>
      <c r="AE69" s="440"/>
      <c r="AG69" s="440"/>
      <c r="AI69" s="440"/>
    </row>
    <row r="70" spans="1:35" ht="20" customHeight="1">
      <c r="A70" s="627"/>
      <c r="B70" s="629" t="str">
        <f t="shared" ref="B70:B84" si="0">"MCS - "&amp;B54</f>
        <v>MCS - 2. Wine 
- Small Bottles</v>
      </c>
      <c r="C70" s="444"/>
      <c r="D70" s="422" t="str">
        <f>'JFK LB | BF'!I220</f>
        <v/>
      </c>
      <c r="E70" s="413">
        <f>'JFK LB | BF'!G220</f>
        <v>4</v>
      </c>
      <c r="F70" s="422"/>
      <c r="G70" s="441"/>
      <c r="H70" s="422"/>
      <c r="I70" s="441"/>
      <c r="J70" s="422"/>
      <c r="K70" s="441"/>
      <c r="L70" s="32" t="str">
        <f>'JFK LB | BF'!I221</f>
        <v/>
      </c>
      <c r="M70" s="441">
        <f>'JFK LB | BF'!G221</f>
        <v>1</v>
      </c>
      <c r="N70" s="32" t="str">
        <f>'JFK LB | BF'!I222</f>
        <v/>
      </c>
      <c r="O70" s="443">
        <f>'JFK LB | BF'!G222</f>
        <v>2</v>
      </c>
      <c r="P70" s="422"/>
      <c r="Q70" s="443"/>
      <c r="R70" s="422"/>
      <c r="S70" s="443"/>
      <c r="T70" s="422" t="str">
        <f>'JFK LB | BF'!I223</f>
        <v/>
      </c>
      <c r="U70" s="443">
        <f>'JFK LB | BF'!G223</f>
        <v>2</v>
      </c>
      <c r="V70" s="422"/>
      <c r="W70" s="438"/>
      <c r="X70" s="422"/>
      <c r="Y70" s="438"/>
      <c r="Z70" s="422"/>
      <c r="AA70" s="438"/>
      <c r="AB70" s="422"/>
      <c r="AC70" s="440"/>
      <c r="AD70" s="422"/>
      <c r="AE70" s="440"/>
      <c r="AG70" s="440"/>
      <c r="AI70" s="440"/>
    </row>
    <row r="71" spans="1:35" ht="20" customHeight="1">
      <c r="A71" s="627"/>
      <c r="B71" s="629" t="str">
        <f t="shared" si="0"/>
        <v>MCS - 3. White Wine Spritzer
- Small Bottles</v>
      </c>
      <c r="C71" s="444"/>
      <c r="D71" s="422" t="str">
        <f>'JFK LB | BF'!J220</f>
        <v/>
      </c>
      <c r="E71" s="413">
        <f>'JFK LB | BF'!G220</f>
        <v>4</v>
      </c>
      <c r="F71" s="422"/>
      <c r="G71" s="441"/>
      <c r="H71" s="422"/>
      <c r="I71" s="441"/>
      <c r="J71" s="422"/>
      <c r="K71" s="441"/>
      <c r="L71" s="32" t="str">
        <f>'JFK LB | BF'!J221</f>
        <v/>
      </c>
      <c r="M71" s="441">
        <f>'JFK LB | BF'!G221</f>
        <v>1</v>
      </c>
      <c r="N71" s="32" t="str">
        <f>'JFK LB | BF'!J222</f>
        <v/>
      </c>
      <c r="O71" s="443">
        <f>'JFK LB | BF'!G222</f>
        <v>2</v>
      </c>
      <c r="P71" s="422"/>
      <c r="Q71" s="443"/>
      <c r="R71" s="422"/>
      <c r="S71" s="443"/>
      <c r="T71" s="422" t="str">
        <f>'JFK LB | BF'!J223</f>
        <v/>
      </c>
      <c r="U71" s="443">
        <f>'JFK LB | BF'!G223</f>
        <v>2</v>
      </c>
      <c r="V71" s="422"/>
      <c r="W71" s="438"/>
      <c r="X71" s="422"/>
      <c r="Y71" s="438"/>
      <c r="Z71" s="422"/>
      <c r="AA71" s="438"/>
      <c r="AB71" s="422"/>
      <c r="AC71" s="440"/>
      <c r="AD71" s="422"/>
      <c r="AE71" s="440"/>
      <c r="AG71" s="440"/>
      <c r="AI71" s="440"/>
    </row>
    <row r="72" spans="1:35" ht="20" customHeight="1">
      <c r="A72" s="627"/>
      <c r="B72" s="629" t="str">
        <f t="shared" si="0"/>
        <v>MCS - 4. Wine
- Big Bottles</v>
      </c>
      <c r="C72" s="444"/>
      <c r="D72" s="422" t="str">
        <f>'JFK LB | BF'!K220</f>
        <v/>
      </c>
      <c r="E72" s="413">
        <f>'JFK LB | BF'!G220</f>
        <v>4</v>
      </c>
      <c r="F72" s="422"/>
      <c r="G72" s="441"/>
      <c r="H72" s="422"/>
      <c r="I72" s="441"/>
      <c r="J72" s="422"/>
      <c r="K72" s="441"/>
      <c r="L72" s="32" t="str">
        <f>'JFK LB | BF'!K221</f>
        <v/>
      </c>
      <c r="M72" s="441">
        <f>'JFK LB | BF'!G221</f>
        <v>1</v>
      </c>
      <c r="N72" s="32" t="str">
        <f>'JFK LB | BF'!K222</f>
        <v/>
      </c>
      <c r="O72" s="443">
        <f>'JFK LB | BF'!G222</f>
        <v>2</v>
      </c>
      <c r="P72" s="422"/>
      <c r="Q72" s="443"/>
      <c r="R72" s="422"/>
      <c r="S72" s="443"/>
      <c r="T72" s="422" t="str">
        <f>'JFK LB | BF'!K223</f>
        <v/>
      </c>
      <c r="U72" s="443">
        <f>'JFK LB | BF'!G223</f>
        <v>2</v>
      </c>
      <c r="V72" s="422"/>
      <c r="W72" s="438"/>
      <c r="X72" s="422"/>
      <c r="Y72" s="438"/>
      <c r="Z72" s="422"/>
      <c r="AA72" s="438"/>
      <c r="AB72" s="422"/>
      <c r="AC72" s="440"/>
      <c r="AD72" s="422"/>
      <c r="AE72" s="440"/>
      <c r="AG72" s="440"/>
      <c r="AI72" s="440"/>
    </row>
    <row r="73" spans="1:35" ht="20" customHeight="1">
      <c r="A73" s="627"/>
      <c r="B73" s="629" t="str">
        <f t="shared" si="0"/>
        <v>MCS - 5. Dry - White Wine Spritzer - Big Bottle of Wine</v>
      </c>
      <c r="C73" s="444"/>
      <c r="D73" s="422" t="str">
        <f>'JFK LB | BF'!L220</f>
        <v/>
      </c>
      <c r="E73" s="413">
        <f>'JFK LB | BF'!G220</f>
        <v>4</v>
      </c>
      <c r="F73" s="422"/>
      <c r="G73" s="441"/>
      <c r="H73" s="422"/>
      <c r="I73" s="441"/>
      <c r="J73" s="422"/>
      <c r="K73" s="441"/>
      <c r="L73" s="32" t="str">
        <f>'JFK LB | BF'!L221</f>
        <v/>
      </c>
      <c r="M73" s="441">
        <f>'JFK LB | BF'!G221</f>
        <v>1</v>
      </c>
      <c r="N73" s="32" t="str">
        <f>'JFK LB | BF'!L222</f>
        <v/>
      </c>
      <c r="O73" s="443">
        <f>'JFK LB | BF'!G222</f>
        <v>2</v>
      </c>
      <c r="P73" s="422"/>
      <c r="Q73" s="443"/>
      <c r="R73" s="422"/>
      <c r="S73" s="443"/>
      <c r="T73" s="422" t="str">
        <f>'JFK LB | BF'!L223</f>
        <v/>
      </c>
      <c r="U73" s="443">
        <f>'JFK LB | BF'!G223</f>
        <v>2</v>
      </c>
      <c r="V73" s="422"/>
      <c r="W73" s="438"/>
      <c r="X73" s="422"/>
      <c r="Y73" s="438"/>
      <c r="Z73" s="422"/>
      <c r="AA73" s="438"/>
      <c r="AB73" s="422"/>
      <c r="AC73" s="440"/>
      <c r="AD73" s="422"/>
      <c r="AE73" s="440"/>
      <c r="AG73" s="440"/>
      <c r="AI73" s="440"/>
    </row>
    <row r="74" spans="1:35" ht="20" customHeight="1">
      <c r="A74" s="627"/>
      <c r="B74" s="629" t="str">
        <f t="shared" si="0"/>
        <v>MCS - 6. Sweet - White Wine Spritzer- Big Bottle of Wine</v>
      </c>
      <c r="C74" s="444"/>
      <c r="D74" s="422" t="str">
        <f>'JFK LB | BF'!M220</f>
        <v/>
      </c>
      <c r="E74" s="413">
        <f>'JFK LB | BF'!G220</f>
        <v>4</v>
      </c>
      <c r="F74" s="422"/>
      <c r="G74" s="441"/>
      <c r="H74" s="422"/>
      <c r="I74" s="441"/>
      <c r="J74" s="422"/>
      <c r="K74" s="441"/>
      <c r="L74" s="32" t="str">
        <f>'JFK LB | BF'!M221</f>
        <v/>
      </c>
      <c r="M74" s="441">
        <f>'JFK LB | BF'!G221</f>
        <v>1</v>
      </c>
      <c r="N74" s="32" t="str">
        <f>'JFK LB | BF'!M222</f>
        <v/>
      </c>
      <c r="O74" s="443">
        <f>'JFK LB | BF'!G222</f>
        <v>2</v>
      </c>
      <c r="P74" s="422"/>
      <c r="Q74" s="443"/>
      <c r="R74" s="422"/>
      <c r="S74" s="443"/>
      <c r="T74" s="422" t="str">
        <f>'JFK LB | BF'!M223</f>
        <v/>
      </c>
      <c r="U74" s="443">
        <f>'JFK LB | BF'!G223</f>
        <v>2</v>
      </c>
      <c r="V74" s="422"/>
      <c r="W74" s="438"/>
      <c r="X74" s="422"/>
      <c r="Y74" s="438"/>
      <c r="Z74" s="422"/>
      <c r="AA74" s="438"/>
      <c r="AB74" s="422"/>
      <c r="AC74" s="440"/>
      <c r="AD74" s="422"/>
      <c r="AE74" s="440"/>
      <c r="AG74" s="440"/>
      <c r="AI74" s="440"/>
    </row>
    <row r="75" spans="1:35" ht="20" customHeight="1">
      <c r="A75" s="627"/>
      <c r="B75" s="629" t="str">
        <f t="shared" si="0"/>
        <v>MCS - 7. Liqueur</v>
      </c>
      <c r="C75" s="444"/>
      <c r="D75" s="422" t="str">
        <f>'JFK LB | BF'!H270</f>
        <v/>
      </c>
      <c r="E75" s="413">
        <f>'JFK LB | BF'!G270</f>
        <v>4</v>
      </c>
      <c r="F75" s="422"/>
      <c r="G75" s="441"/>
      <c r="H75" s="422"/>
      <c r="I75" s="441"/>
      <c r="J75" s="422"/>
      <c r="K75" s="441"/>
      <c r="L75" s="32" t="str">
        <f>'JFK LB | BF'!H271</f>
        <v/>
      </c>
      <c r="M75" s="441">
        <f>'JFK LB | BF'!G271</f>
        <v>1</v>
      </c>
      <c r="N75" s="32" t="str">
        <f>'JFK LB | BF'!H272</f>
        <v/>
      </c>
      <c r="O75" s="443">
        <f>'JFK LB | BF'!G272</f>
        <v>2</v>
      </c>
      <c r="P75" s="422"/>
      <c r="Q75" s="443"/>
      <c r="R75" s="422"/>
      <c r="S75" s="443"/>
      <c r="T75" s="422" t="str">
        <f>'JFK LB | BF'!H273</f>
        <v/>
      </c>
      <c r="U75" s="443">
        <f>'JFK LB | BF'!G273</f>
        <v>2</v>
      </c>
      <c r="V75" s="422"/>
      <c r="W75" s="438"/>
      <c r="X75" s="422"/>
      <c r="Y75" s="438"/>
      <c r="Z75" s="422"/>
      <c r="AA75" s="438"/>
      <c r="AB75" s="422"/>
      <c r="AC75" s="440"/>
      <c r="AD75" s="422"/>
      <c r="AE75" s="440"/>
      <c r="AG75" s="440"/>
      <c r="AI75" s="440"/>
    </row>
    <row r="76" spans="1:35" ht="20" customHeight="1">
      <c r="A76" s="627"/>
      <c r="B76" s="629" t="str">
        <f t="shared" si="0"/>
        <v>MCS - 8. Shandy</v>
      </c>
      <c r="C76" s="444"/>
      <c r="D76" s="422" t="str">
        <f>'JFK LB | BF'!I270</f>
        <v/>
      </c>
      <c r="E76" s="413">
        <f>'JFK LB | BF'!G270</f>
        <v>4</v>
      </c>
      <c r="F76" s="422"/>
      <c r="G76" s="441"/>
      <c r="H76" s="422"/>
      <c r="I76" s="441"/>
      <c r="J76" s="422"/>
      <c r="K76" s="441"/>
      <c r="L76" s="32" t="str">
        <f>'JFK LB | BF'!I271</f>
        <v/>
      </c>
      <c r="M76" s="441">
        <f>'JFK LB | BF'!G271</f>
        <v>1</v>
      </c>
      <c r="N76" s="32" t="str">
        <f>'JFK LB | BF'!I272</f>
        <v/>
      </c>
      <c r="O76" s="443">
        <f>'JFK LB | BF'!G272</f>
        <v>2</v>
      </c>
      <c r="P76" s="422"/>
      <c r="Q76" s="443"/>
      <c r="R76" s="422"/>
      <c r="S76" s="443"/>
      <c r="T76" s="422" t="str">
        <f>'JFK LB | BF'!I273</f>
        <v/>
      </c>
      <c r="U76" s="443">
        <f>'JFK LB | BF'!G273</f>
        <v>2</v>
      </c>
      <c r="V76" s="422"/>
      <c r="W76" s="438"/>
      <c r="X76" s="422"/>
      <c r="Y76" s="438"/>
      <c r="Z76" s="422"/>
      <c r="AA76" s="438"/>
      <c r="AB76" s="422"/>
      <c r="AC76" s="440"/>
      <c r="AD76" s="422"/>
      <c r="AE76" s="440"/>
      <c r="AG76" s="440"/>
      <c r="AI76" s="440"/>
    </row>
    <row r="77" spans="1:35" ht="20" customHeight="1">
      <c r="A77" s="627"/>
      <c r="B77" s="629" t="str">
        <f t="shared" si="0"/>
        <v>MCS - 9. Hot Beverage 
- Tea</v>
      </c>
      <c r="C77" s="444"/>
      <c r="D77" s="422" t="str">
        <f>'JFK LB | BF'!J270</f>
        <v/>
      </c>
      <c r="E77" s="413">
        <f>'JFK LB | BF'!G270</f>
        <v>4</v>
      </c>
      <c r="F77" s="422"/>
      <c r="G77" s="441"/>
      <c r="H77" s="422"/>
      <c r="I77" s="441"/>
      <c r="J77" s="422"/>
      <c r="K77" s="441"/>
      <c r="L77" s="32" t="str">
        <f>'JFK LB | BF'!J271</f>
        <v/>
      </c>
      <c r="M77" s="441">
        <f>'JFK LB | BF'!G271</f>
        <v>1</v>
      </c>
      <c r="N77" s="32" t="str">
        <f>'JFK LB | BF'!J272</f>
        <v/>
      </c>
      <c r="O77" s="443">
        <f>'JFK LB | BF'!G272</f>
        <v>2</v>
      </c>
      <c r="P77" s="422"/>
      <c r="Q77" s="443"/>
      <c r="R77" s="422"/>
      <c r="S77" s="443"/>
      <c r="T77" s="422" t="str">
        <f>'JFK LB | BF'!J273</f>
        <v/>
      </c>
      <c r="U77" s="443">
        <f>'JFK LB | BF'!G273</f>
        <v>2</v>
      </c>
      <c r="V77" s="422"/>
      <c r="W77" s="438"/>
      <c r="X77" s="422"/>
      <c r="Y77" s="438"/>
      <c r="Z77" s="422"/>
      <c r="AA77" s="438"/>
      <c r="AB77" s="422"/>
      <c r="AC77" s="440"/>
      <c r="AD77" s="422"/>
      <c r="AE77" s="440"/>
      <c r="AG77" s="440"/>
      <c r="AI77" s="440"/>
    </row>
    <row r="78" spans="1:35" ht="20" customHeight="1">
      <c r="A78" s="627"/>
      <c r="B78" s="629" t="str">
        <f t="shared" si="0"/>
        <v>MCS - 10. Beer</v>
      </c>
      <c r="C78" s="444"/>
      <c r="D78" s="422" t="str">
        <f>'JFK LB | BF'!K270</f>
        <v/>
      </c>
      <c r="E78" s="413">
        <f>'JFK LB | BF'!G270</f>
        <v>4</v>
      </c>
      <c r="F78" s="422"/>
      <c r="G78" s="441"/>
      <c r="H78" s="422"/>
      <c r="I78" s="441"/>
      <c r="J78" s="422"/>
      <c r="K78" s="441"/>
      <c r="L78" s="32" t="str">
        <f>'JFK LB | BF'!K271</f>
        <v/>
      </c>
      <c r="M78" s="441">
        <f>'JFK LB | BF'!G271</f>
        <v>1</v>
      </c>
      <c r="N78" s="32" t="str">
        <f>'JFK LB | BF'!K272</f>
        <v/>
      </c>
      <c r="O78" s="443">
        <f>'JFK LB | BF'!G272</f>
        <v>2</v>
      </c>
      <c r="P78" s="422"/>
      <c r="Q78" s="443"/>
      <c r="R78" s="422"/>
      <c r="S78" s="443"/>
      <c r="T78" s="422" t="str">
        <f>'JFK LB | BF'!K273</f>
        <v/>
      </c>
      <c r="U78" s="443">
        <f>'JFK LB | BF'!G273</f>
        <v>2</v>
      </c>
      <c r="V78" s="422"/>
      <c r="W78" s="438"/>
      <c r="X78" s="422"/>
      <c r="Y78" s="438"/>
      <c r="Z78" s="422"/>
      <c r="AA78" s="438"/>
      <c r="AB78" s="422"/>
      <c r="AC78" s="440"/>
      <c r="AD78" s="422"/>
      <c r="AE78" s="440"/>
      <c r="AG78" s="440"/>
      <c r="AI78" s="440"/>
    </row>
    <row r="79" spans="1:35" ht="20" customHeight="1">
      <c r="A79" s="627"/>
      <c r="B79" s="629" t="str">
        <f t="shared" si="0"/>
        <v>MCS - 11. Screwdriver</v>
      </c>
      <c r="C79" s="444"/>
      <c r="D79" s="422" t="str">
        <f>'JFK LB | BF'!L270</f>
        <v/>
      </c>
      <c r="E79" s="413">
        <f>'JFK LB | BF'!G270</f>
        <v>4</v>
      </c>
      <c r="F79" s="422"/>
      <c r="G79" s="441"/>
      <c r="H79" s="422"/>
      <c r="I79" s="441"/>
      <c r="J79" s="422"/>
      <c r="K79" s="441"/>
      <c r="L79" s="32" t="str">
        <f>'JFK LB | BF'!L271</f>
        <v/>
      </c>
      <c r="M79" s="441">
        <f>'JFK LB | BF'!G271</f>
        <v>1</v>
      </c>
      <c r="N79" s="32" t="str">
        <f>'JFK LB | BF'!L272</f>
        <v/>
      </c>
      <c r="O79" s="443">
        <f>'JFK LB | BF'!G272</f>
        <v>2</v>
      </c>
      <c r="P79" s="422"/>
      <c r="Q79" s="443"/>
      <c r="R79" s="422"/>
      <c r="S79" s="443"/>
      <c r="T79" s="422" t="str">
        <f>'JFK LB | BF'!L273</f>
        <v/>
      </c>
      <c r="U79" s="443">
        <f>'JFK LB | BF'!G273</f>
        <v>2</v>
      </c>
      <c r="V79" s="422"/>
      <c r="W79" s="438"/>
      <c r="X79" s="422"/>
      <c r="Y79" s="438"/>
      <c r="Z79" s="422"/>
      <c r="AA79" s="438"/>
      <c r="AB79" s="422"/>
      <c r="AC79" s="440"/>
      <c r="AD79" s="422"/>
      <c r="AE79" s="440"/>
      <c r="AG79" s="440"/>
      <c r="AI79" s="440"/>
    </row>
    <row r="80" spans="1:35" ht="20" customHeight="1">
      <c r="A80" s="627"/>
      <c r="B80" s="629" t="str">
        <f t="shared" si="0"/>
        <v>MCS - 12. Gin &amp; Orange Juice</v>
      </c>
      <c r="C80" s="444"/>
      <c r="D80" s="422" t="str">
        <f>'JFK LB | BF'!M270</f>
        <v/>
      </c>
      <c r="E80" s="413">
        <f>'JFK LB | BF'!G270</f>
        <v>4</v>
      </c>
      <c r="F80" s="422"/>
      <c r="G80" s="441"/>
      <c r="H80" s="422"/>
      <c r="I80" s="441"/>
      <c r="J80" s="422"/>
      <c r="K80" s="441"/>
      <c r="L80" s="32" t="str">
        <f>'JFK LB | BF'!M271</f>
        <v/>
      </c>
      <c r="M80" s="441">
        <f>'JFK LB | BF'!G271</f>
        <v>1</v>
      </c>
      <c r="N80" s="32" t="str">
        <f>'JFK LB | BF'!M272</f>
        <v/>
      </c>
      <c r="O80" s="443">
        <f>'JFK LB | BF'!G272</f>
        <v>2</v>
      </c>
      <c r="P80" s="422"/>
      <c r="Q80" s="443"/>
      <c r="R80" s="422"/>
      <c r="S80" s="443"/>
      <c r="T80" s="422" t="str">
        <f>'JFK LB | BF'!M273</f>
        <v/>
      </c>
      <c r="U80" s="443">
        <f>'JFK LB | BF'!G273</f>
        <v>2</v>
      </c>
      <c r="V80" s="422"/>
      <c r="W80" s="438"/>
      <c r="X80" s="422"/>
      <c r="Y80" s="438"/>
      <c r="Z80" s="422"/>
      <c r="AA80" s="438"/>
      <c r="AB80" s="422"/>
      <c r="AC80" s="440"/>
      <c r="AD80" s="422"/>
      <c r="AE80" s="440"/>
      <c r="AG80" s="440"/>
      <c r="AI80" s="440"/>
    </row>
    <row r="81" spans="1:35" ht="20" customHeight="1">
      <c r="A81" s="627"/>
      <c r="B81" s="629" t="str">
        <f t="shared" si="0"/>
        <v>MCS - 13. Rum &amp; Pepsi</v>
      </c>
      <c r="C81" s="444"/>
      <c r="D81" s="422" t="str">
        <f>'JFK LB | BF'!H320</f>
        <v/>
      </c>
      <c r="E81" s="413">
        <f>'JFK LB | BF'!G320</f>
        <v>4</v>
      </c>
      <c r="F81" s="422"/>
      <c r="G81" s="441"/>
      <c r="H81" s="422"/>
      <c r="I81" s="441"/>
      <c r="J81" s="422"/>
      <c r="K81" s="441"/>
      <c r="L81" s="32" t="str">
        <f>'JFK LB | BF'!H321</f>
        <v/>
      </c>
      <c r="M81" s="441">
        <f>'JFK LB | BF'!G321</f>
        <v>1</v>
      </c>
      <c r="N81" s="32" t="str">
        <f>'JFK LB | BF'!H322</f>
        <v/>
      </c>
      <c r="O81" s="443">
        <f>'JFK LB | BF'!G322</f>
        <v>2</v>
      </c>
      <c r="P81" s="422"/>
      <c r="Q81" s="443"/>
      <c r="R81" s="422"/>
      <c r="S81" s="443"/>
      <c r="T81" s="422" t="str">
        <f>'JFK LB | BF'!H323</f>
        <v/>
      </c>
      <c r="U81" s="443">
        <f>'JFK LB | BF'!G323</f>
        <v>2</v>
      </c>
      <c r="V81" s="422"/>
      <c r="W81" s="438"/>
      <c r="X81" s="422"/>
      <c r="Y81" s="438"/>
      <c r="Z81" s="422"/>
      <c r="AA81" s="438"/>
      <c r="AB81" s="422"/>
      <c r="AC81" s="440"/>
      <c r="AD81" s="422"/>
      <c r="AE81" s="440"/>
      <c r="AG81" s="440"/>
      <c r="AI81" s="440"/>
    </row>
    <row r="82" spans="1:35" ht="20" customHeight="1">
      <c r="A82" s="627"/>
      <c r="B82" s="629" t="str">
        <f t="shared" si="0"/>
        <v>MCS - 14. Gin &amp; Tonic</v>
      </c>
      <c r="C82" s="444"/>
      <c r="D82" s="422" t="str">
        <f>'JFK LB | BF'!I320</f>
        <v/>
      </c>
      <c r="E82" s="413">
        <f>'JFK LB | BF'!G320</f>
        <v>4</v>
      </c>
      <c r="F82" s="422"/>
      <c r="G82" s="441"/>
      <c r="H82" s="422"/>
      <c r="I82" s="441"/>
      <c r="J82" s="422"/>
      <c r="K82" s="441"/>
      <c r="L82" s="32" t="str">
        <f>'JFK LB | BF'!I321</f>
        <v/>
      </c>
      <c r="M82" s="441">
        <f>'JFK LB | BF'!G321</f>
        <v>1</v>
      </c>
      <c r="N82" s="32" t="str">
        <f>'JFK LB | BF'!I322</f>
        <v/>
      </c>
      <c r="O82" s="443">
        <f>'JFK LB | BF'!G322</f>
        <v>2</v>
      </c>
      <c r="P82" s="422"/>
      <c r="Q82" s="443"/>
      <c r="R82" s="422"/>
      <c r="S82" s="443"/>
      <c r="T82" s="422" t="str">
        <f>'JFK LB | BF'!I323</f>
        <v/>
      </c>
      <c r="U82" s="443">
        <f>'JFK LB | BF'!G323</f>
        <v>2</v>
      </c>
      <c r="V82" s="422"/>
      <c r="W82" s="438"/>
      <c r="X82" s="422"/>
      <c r="Y82" s="438"/>
      <c r="Z82" s="422"/>
      <c r="AA82" s="438"/>
      <c r="AB82" s="422"/>
      <c r="AC82" s="440"/>
      <c r="AD82" s="422"/>
      <c r="AE82" s="440"/>
      <c r="AG82" s="440"/>
      <c r="AI82" s="440"/>
    </row>
    <row r="83" spans="1:35" ht="20" customHeight="1">
      <c r="A83" s="627"/>
      <c r="B83" s="629" t="str">
        <f t="shared" si="0"/>
        <v>MCS - 15. Scotch &amp; Soda</v>
      </c>
      <c r="C83" s="444"/>
      <c r="D83" s="422" t="str">
        <f>'JFK LB | BF'!J320</f>
        <v/>
      </c>
      <c r="E83" s="413">
        <f>'JFK LB | BF'!G320</f>
        <v>4</v>
      </c>
      <c r="F83" s="422"/>
      <c r="G83" s="441"/>
      <c r="H83" s="422"/>
      <c r="I83" s="441"/>
      <c r="J83" s="422"/>
      <c r="K83" s="441"/>
      <c r="L83" s="32" t="str">
        <f>'JFK LB | BF'!J321</f>
        <v/>
      </c>
      <c r="M83" s="441">
        <f>'JFK LB | BF'!G321</f>
        <v>1</v>
      </c>
      <c r="N83" s="32" t="str">
        <f>'JFK LB | BF'!J322</f>
        <v/>
      </c>
      <c r="O83" s="443">
        <f>'JFK LB | BF'!G322</f>
        <v>2</v>
      </c>
      <c r="P83" s="422"/>
      <c r="Q83" s="443"/>
      <c r="R83" s="422"/>
      <c r="S83" s="443"/>
      <c r="T83" s="422" t="str">
        <f>'JFK LB | BF'!J323</f>
        <v/>
      </c>
      <c r="U83" s="443">
        <f>'JFK LB | BF'!G323</f>
        <v>2</v>
      </c>
      <c r="V83" s="422"/>
      <c r="W83" s="438"/>
      <c r="X83" s="422"/>
      <c r="Y83" s="438"/>
      <c r="Z83" s="422"/>
      <c r="AA83" s="438"/>
      <c r="AB83" s="422"/>
      <c r="AC83" s="440"/>
      <c r="AD83" s="422"/>
      <c r="AE83" s="440"/>
      <c r="AG83" s="440"/>
      <c r="AI83" s="440"/>
    </row>
    <row r="84" spans="1:35" ht="20" customHeight="1">
      <c r="A84" s="627"/>
      <c r="B84" s="629" t="str">
        <f t="shared" si="0"/>
        <v>MCS - 16. Bloody Mary</v>
      </c>
      <c r="C84" s="444"/>
      <c r="D84" s="422" t="str">
        <f>'JFK LB | BF'!K320</f>
        <v/>
      </c>
      <c r="E84" s="413">
        <f>'JFK LB | BF'!G320</f>
        <v>4</v>
      </c>
      <c r="F84" s="422"/>
      <c r="G84" s="441"/>
      <c r="H84" s="422"/>
      <c r="I84" s="441"/>
      <c r="J84" s="422"/>
      <c r="K84" s="441"/>
      <c r="L84" s="32" t="str">
        <f>'JFK LB | BF'!K321</f>
        <v/>
      </c>
      <c r="M84" s="441">
        <f>'JFK LB | BF'!G321</f>
        <v>1</v>
      </c>
      <c r="N84" s="32" t="str">
        <f>'JFK LB | BF'!K322</f>
        <v/>
      </c>
      <c r="O84" s="443">
        <f>'JFK LB | BF'!G322</f>
        <v>2</v>
      </c>
      <c r="P84" s="422"/>
      <c r="Q84" s="443"/>
      <c r="R84" s="422"/>
      <c r="S84" s="443"/>
      <c r="T84" s="422" t="str">
        <f>'JFK LB | BF'!K323</f>
        <v/>
      </c>
      <c r="U84" s="443">
        <f>'JFK LB | BF'!G323</f>
        <v>2</v>
      </c>
      <c r="V84" s="422"/>
      <c r="W84" s="438"/>
      <c r="X84" s="422"/>
      <c r="Y84" s="438"/>
      <c r="Z84" s="422"/>
      <c r="AA84" s="438"/>
      <c r="AB84" s="422"/>
      <c r="AC84" s="440"/>
      <c r="AD84" s="422"/>
      <c r="AE84" s="440"/>
      <c r="AG84" s="440"/>
      <c r="AI84" s="440"/>
    </row>
    <row r="85" spans="1:35" ht="20" customHeight="1">
      <c r="A85" s="627"/>
      <c r="B85" s="629" t="str">
        <f>"TW - "&amp;B53</f>
        <v>TW - 1. Champagne</v>
      </c>
      <c r="C85" s="444"/>
      <c r="D85" s="422"/>
      <c r="E85" s="413"/>
      <c r="F85" s="422"/>
      <c r="G85" s="441"/>
      <c r="H85" s="422"/>
      <c r="I85" s="441"/>
      <c r="J85" s="422" t="str">
        <f>'JFK LB | BF'!H234</f>
        <v/>
      </c>
      <c r="K85" s="441">
        <f>'JFK LB | BF'!G234</f>
        <v>1</v>
      </c>
      <c r="M85" s="441"/>
      <c r="O85" s="443"/>
      <c r="P85" s="422"/>
      <c r="Q85" s="443"/>
      <c r="R85" s="422"/>
      <c r="S85" s="443"/>
      <c r="T85" s="422"/>
      <c r="U85" s="443"/>
      <c r="V85" s="422" t="str">
        <f>'JFK LB | BF'!H233</f>
        <v/>
      </c>
      <c r="W85" s="438">
        <f>'JFK LB | BF'!G233</f>
        <v>1</v>
      </c>
      <c r="X85" s="422"/>
      <c r="Y85" s="438"/>
      <c r="Z85" s="422"/>
      <c r="AA85" s="438"/>
      <c r="AB85" s="422"/>
      <c r="AC85" s="440"/>
      <c r="AD85" s="422"/>
      <c r="AE85" s="440"/>
      <c r="AG85" s="440"/>
      <c r="AI85" s="440"/>
    </row>
    <row r="86" spans="1:35" ht="20" customHeight="1">
      <c r="A86" s="627"/>
      <c r="B86" s="629" t="str">
        <f t="shared" ref="B86:B100" si="1">"TW - "&amp;B54</f>
        <v>TW - 2. Wine 
- Small Bottles</v>
      </c>
      <c r="C86" s="444"/>
      <c r="D86" s="422"/>
      <c r="E86" s="413"/>
      <c r="F86" s="422"/>
      <c r="G86" s="441"/>
      <c r="H86" s="422"/>
      <c r="I86" s="441"/>
      <c r="J86" s="422" t="str">
        <f>'JFK LB | BF'!I234</f>
        <v/>
      </c>
      <c r="K86" s="441">
        <f>'JFK LB | BF'!G234</f>
        <v>1</v>
      </c>
      <c r="M86" s="441"/>
      <c r="O86" s="443"/>
      <c r="P86" s="422"/>
      <c r="Q86" s="443"/>
      <c r="R86" s="422"/>
      <c r="S86" s="443"/>
      <c r="T86" s="422"/>
      <c r="U86" s="443"/>
      <c r="V86" s="422" t="str">
        <f>'JFK LB | BF'!I233</f>
        <v/>
      </c>
      <c r="W86" s="438">
        <f>'JFK LB | BF'!G233</f>
        <v>1</v>
      </c>
      <c r="X86" s="422"/>
      <c r="Y86" s="438"/>
      <c r="Z86" s="422"/>
      <c r="AA86" s="438"/>
      <c r="AB86" s="422"/>
      <c r="AC86" s="440"/>
      <c r="AD86" s="422"/>
      <c r="AE86" s="440"/>
      <c r="AG86" s="440"/>
      <c r="AI86" s="440"/>
    </row>
    <row r="87" spans="1:35" ht="20" customHeight="1">
      <c r="A87" s="627"/>
      <c r="B87" s="629" t="str">
        <f t="shared" si="1"/>
        <v>TW - 3. White Wine Spritzer
- Small Bottles</v>
      </c>
      <c r="C87" s="444"/>
      <c r="D87" s="422"/>
      <c r="E87" s="413"/>
      <c r="F87" s="422"/>
      <c r="G87" s="441"/>
      <c r="H87" s="422"/>
      <c r="I87" s="441"/>
      <c r="J87" s="422" t="str">
        <f>'JFK LB | BF'!J234</f>
        <v/>
      </c>
      <c r="K87" s="441">
        <f>'JFK LB | BF'!G234</f>
        <v>1</v>
      </c>
      <c r="M87" s="441"/>
      <c r="O87" s="443"/>
      <c r="P87" s="422"/>
      <c r="Q87" s="443"/>
      <c r="R87" s="422"/>
      <c r="S87" s="443"/>
      <c r="T87" s="422"/>
      <c r="U87" s="443"/>
      <c r="V87" s="422" t="str">
        <f>'JFK LB | BF'!J233</f>
        <v/>
      </c>
      <c r="W87" s="438">
        <f>'JFK LB | BF'!G233</f>
        <v>1</v>
      </c>
      <c r="X87" s="422"/>
      <c r="Y87" s="438"/>
      <c r="Z87" s="422"/>
      <c r="AA87" s="438"/>
      <c r="AB87" s="422"/>
      <c r="AC87" s="440"/>
      <c r="AD87" s="422"/>
      <c r="AE87" s="440"/>
      <c r="AG87" s="440"/>
      <c r="AI87" s="440"/>
    </row>
    <row r="88" spans="1:35" ht="20" customHeight="1">
      <c r="A88" s="627"/>
      <c r="B88" s="629" t="str">
        <f t="shared" si="1"/>
        <v>TW - 4. Wine
- Big Bottles</v>
      </c>
      <c r="C88" s="444"/>
      <c r="D88" s="422"/>
      <c r="E88" s="413"/>
      <c r="F88" s="422"/>
      <c r="G88" s="441"/>
      <c r="H88" s="422"/>
      <c r="I88" s="441"/>
      <c r="J88" s="422" t="str">
        <f>'JFK LB | BF'!K234</f>
        <v/>
      </c>
      <c r="K88" s="441">
        <f>'JFK LB | BF'!G234</f>
        <v>1</v>
      </c>
      <c r="M88" s="441"/>
      <c r="O88" s="443"/>
      <c r="P88" s="422"/>
      <c r="Q88" s="443"/>
      <c r="R88" s="422"/>
      <c r="S88" s="443"/>
      <c r="T88" s="422"/>
      <c r="U88" s="443"/>
      <c r="V88" s="422" t="str">
        <f>'JFK LB | BF'!K233</f>
        <v/>
      </c>
      <c r="W88" s="438">
        <f>'JFK LB | BF'!G233</f>
        <v>1</v>
      </c>
      <c r="X88" s="422"/>
      <c r="Y88" s="438"/>
      <c r="Z88" s="422"/>
      <c r="AA88" s="438"/>
      <c r="AB88" s="422"/>
      <c r="AC88" s="440"/>
      <c r="AD88" s="422"/>
      <c r="AE88" s="440"/>
      <c r="AG88" s="440"/>
      <c r="AI88" s="440"/>
    </row>
    <row r="89" spans="1:35" ht="20" customHeight="1">
      <c r="A89" s="627"/>
      <c r="B89" s="629" t="str">
        <f t="shared" si="1"/>
        <v>TW - 5. Dry - White Wine Spritzer - Big Bottle of Wine</v>
      </c>
      <c r="C89" s="444"/>
      <c r="D89" s="422"/>
      <c r="E89" s="413"/>
      <c r="F89" s="422"/>
      <c r="G89" s="441"/>
      <c r="H89" s="422"/>
      <c r="I89" s="441"/>
      <c r="J89" s="422" t="str">
        <f>'JFK LB | BF'!L234</f>
        <v/>
      </c>
      <c r="K89" s="441">
        <f>'JFK LB | BF'!G234</f>
        <v>1</v>
      </c>
      <c r="M89" s="441"/>
      <c r="O89" s="443"/>
      <c r="P89" s="422"/>
      <c r="Q89" s="443"/>
      <c r="R89" s="422"/>
      <c r="S89" s="443"/>
      <c r="T89" s="422"/>
      <c r="U89" s="443"/>
      <c r="V89" s="422" t="str">
        <f>'JFK LB | BF'!L233</f>
        <v/>
      </c>
      <c r="W89" s="438">
        <f>'JFK LB | BF'!G233</f>
        <v>1</v>
      </c>
      <c r="X89" s="422"/>
      <c r="Y89" s="438"/>
      <c r="Z89" s="422"/>
      <c r="AA89" s="438"/>
      <c r="AB89" s="422"/>
      <c r="AC89" s="440"/>
      <c r="AD89" s="422"/>
      <c r="AE89" s="440"/>
      <c r="AG89" s="440"/>
      <c r="AI89" s="440"/>
    </row>
    <row r="90" spans="1:35" ht="20" customHeight="1">
      <c r="A90" s="627"/>
      <c r="B90" s="629" t="str">
        <f t="shared" si="1"/>
        <v>TW - 6. Sweet - White Wine Spritzer- Big Bottle of Wine</v>
      </c>
      <c r="C90" s="444"/>
      <c r="D90" s="422"/>
      <c r="E90" s="413"/>
      <c r="F90" s="422"/>
      <c r="G90" s="441"/>
      <c r="H90" s="422"/>
      <c r="I90" s="441"/>
      <c r="J90" s="422" t="str">
        <f>'JFK LB | BF'!M234</f>
        <v/>
      </c>
      <c r="K90" s="441">
        <f>'JFK LB | BF'!G234</f>
        <v>1</v>
      </c>
      <c r="M90" s="441"/>
      <c r="O90" s="443"/>
      <c r="P90" s="422"/>
      <c r="Q90" s="443"/>
      <c r="R90" s="422"/>
      <c r="S90" s="443"/>
      <c r="T90" s="422"/>
      <c r="U90" s="443"/>
      <c r="V90" s="422" t="str">
        <f>'JFK LB | BF'!M233</f>
        <v/>
      </c>
      <c r="W90" s="438">
        <f>'JFK LB | BF'!G233</f>
        <v>1</v>
      </c>
      <c r="X90" s="422"/>
      <c r="Y90" s="438"/>
      <c r="Z90" s="422"/>
      <c r="AA90" s="438"/>
      <c r="AB90" s="422"/>
      <c r="AC90" s="440"/>
      <c r="AD90" s="422"/>
      <c r="AE90" s="440"/>
      <c r="AG90" s="440"/>
      <c r="AI90" s="440"/>
    </row>
    <row r="91" spans="1:35" ht="20" customHeight="1">
      <c r="A91" s="627"/>
      <c r="B91" s="629" t="str">
        <f t="shared" si="1"/>
        <v>TW - 7. Liqueur</v>
      </c>
      <c r="C91" s="444"/>
      <c r="D91" s="422"/>
      <c r="E91" s="413"/>
      <c r="F91" s="422"/>
      <c r="G91" s="441"/>
      <c r="H91" s="422"/>
      <c r="I91" s="441"/>
      <c r="J91" s="422" t="str">
        <f>'JFK LB | BF'!H284</f>
        <v/>
      </c>
      <c r="K91" s="441">
        <f>'JFK LB | BF'!G284</f>
        <v>1</v>
      </c>
      <c r="M91" s="441"/>
      <c r="O91" s="443"/>
      <c r="P91" s="422"/>
      <c r="Q91" s="443"/>
      <c r="R91" s="422"/>
      <c r="S91" s="443"/>
      <c r="T91" s="422"/>
      <c r="U91" s="443"/>
      <c r="V91" s="422" t="str">
        <f>'JFK LB | BF'!H283</f>
        <v/>
      </c>
      <c r="W91" s="438">
        <f>'JFK LB | BF'!G283</f>
        <v>1</v>
      </c>
      <c r="X91" s="422"/>
      <c r="Y91" s="438"/>
      <c r="Z91" s="422"/>
      <c r="AA91" s="438"/>
      <c r="AB91" s="422"/>
      <c r="AC91" s="440"/>
      <c r="AD91" s="422"/>
      <c r="AE91" s="440"/>
      <c r="AG91" s="440"/>
      <c r="AI91" s="440"/>
    </row>
    <row r="92" spans="1:35" ht="20" customHeight="1">
      <c r="A92" s="627"/>
      <c r="B92" s="629" t="str">
        <f t="shared" si="1"/>
        <v>TW - 8. Shandy</v>
      </c>
      <c r="C92" s="444"/>
      <c r="D92" s="422"/>
      <c r="E92" s="413"/>
      <c r="F92" s="422"/>
      <c r="G92" s="441"/>
      <c r="H92" s="422"/>
      <c r="I92" s="441"/>
      <c r="J92" s="422" t="str">
        <f>'JFK LB | BF'!I284</f>
        <v/>
      </c>
      <c r="K92" s="441">
        <f>'JFK LB | BF'!G284</f>
        <v>1</v>
      </c>
      <c r="M92" s="441"/>
      <c r="O92" s="443"/>
      <c r="P92" s="422"/>
      <c r="Q92" s="443"/>
      <c r="R92" s="422"/>
      <c r="S92" s="443"/>
      <c r="T92" s="422"/>
      <c r="U92" s="443"/>
      <c r="V92" s="422" t="str">
        <f>'JFK LB | BF'!I283</f>
        <v/>
      </c>
      <c r="W92" s="438">
        <f>'JFK LB | BF'!G283</f>
        <v>1</v>
      </c>
      <c r="X92" s="422"/>
      <c r="Y92" s="438"/>
      <c r="Z92" s="422"/>
      <c r="AA92" s="438"/>
      <c r="AB92" s="422"/>
      <c r="AC92" s="440"/>
      <c r="AD92" s="422"/>
      <c r="AE92" s="440"/>
      <c r="AG92" s="440"/>
      <c r="AI92" s="440"/>
    </row>
    <row r="93" spans="1:35" ht="20" customHeight="1">
      <c r="A93" s="627"/>
      <c r="B93" s="629" t="str">
        <f t="shared" si="1"/>
        <v>TW - 9. Hot Beverage 
- Tea</v>
      </c>
      <c r="C93" s="444"/>
      <c r="D93" s="422"/>
      <c r="E93" s="413"/>
      <c r="F93" s="422"/>
      <c r="G93" s="441"/>
      <c r="H93" s="422"/>
      <c r="I93" s="441"/>
      <c r="J93" s="422" t="str">
        <f>'JFK LB | BF'!J284</f>
        <v/>
      </c>
      <c r="K93" s="441">
        <f>'JFK LB | BF'!G284</f>
        <v>1</v>
      </c>
      <c r="M93" s="441"/>
      <c r="O93" s="443"/>
      <c r="P93" s="422"/>
      <c r="Q93" s="443"/>
      <c r="R93" s="422"/>
      <c r="S93" s="443"/>
      <c r="T93" s="422"/>
      <c r="U93" s="443"/>
      <c r="V93" s="422" t="str">
        <f>'JFK LB | BF'!J283</f>
        <v/>
      </c>
      <c r="W93" s="438">
        <f>'JFK LB | BF'!G283</f>
        <v>1</v>
      </c>
      <c r="X93" s="422"/>
      <c r="Y93" s="438"/>
      <c r="Z93" s="422"/>
      <c r="AA93" s="438"/>
      <c r="AB93" s="422"/>
      <c r="AC93" s="440"/>
      <c r="AD93" s="422"/>
      <c r="AE93" s="440"/>
      <c r="AG93" s="440"/>
      <c r="AI93" s="440"/>
    </row>
    <row r="94" spans="1:35" ht="20" customHeight="1">
      <c r="A94" s="627"/>
      <c r="B94" s="629" t="str">
        <f t="shared" si="1"/>
        <v>TW - 10. Beer</v>
      </c>
      <c r="C94" s="444"/>
      <c r="D94" s="422"/>
      <c r="E94" s="413"/>
      <c r="F94" s="422"/>
      <c r="G94" s="441"/>
      <c r="H94" s="422"/>
      <c r="I94" s="441"/>
      <c r="J94" s="422" t="str">
        <f>'JFK LB | BF'!K284</f>
        <v/>
      </c>
      <c r="K94" s="441">
        <f>'JFK LB | BF'!G284</f>
        <v>1</v>
      </c>
      <c r="M94" s="441"/>
      <c r="O94" s="443"/>
      <c r="P94" s="422"/>
      <c r="Q94" s="443"/>
      <c r="R94" s="422"/>
      <c r="S94" s="443"/>
      <c r="T94" s="422"/>
      <c r="U94" s="443"/>
      <c r="V94" s="422" t="str">
        <f>'JFK LB | BF'!K283</f>
        <v/>
      </c>
      <c r="W94" s="438">
        <f>'JFK LB | BF'!G283</f>
        <v>1</v>
      </c>
      <c r="X94" s="422"/>
      <c r="Y94" s="438"/>
      <c r="Z94" s="422"/>
      <c r="AA94" s="438"/>
      <c r="AB94" s="422"/>
      <c r="AC94" s="440"/>
      <c r="AD94" s="422"/>
      <c r="AE94" s="440"/>
      <c r="AG94" s="440"/>
      <c r="AI94" s="440"/>
    </row>
    <row r="95" spans="1:35" ht="20" customHeight="1">
      <c r="A95" s="627"/>
      <c r="B95" s="629" t="str">
        <f t="shared" si="1"/>
        <v>TW - 11. Screwdriver</v>
      </c>
      <c r="C95" s="444"/>
      <c r="D95" s="422"/>
      <c r="E95" s="413"/>
      <c r="F95" s="422"/>
      <c r="G95" s="441"/>
      <c r="H95" s="422"/>
      <c r="I95" s="441"/>
      <c r="J95" s="422" t="str">
        <f>'JFK LB | BF'!L284</f>
        <v/>
      </c>
      <c r="K95" s="441">
        <f>'JFK LB | BF'!G284</f>
        <v>1</v>
      </c>
      <c r="M95" s="441"/>
      <c r="O95" s="443"/>
      <c r="P95" s="422"/>
      <c r="Q95" s="443"/>
      <c r="R95" s="422"/>
      <c r="S95" s="443"/>
      <c r="T95" s="422"/>
      <c r="U95" s="443"/>
      <c r="V95" s="422" t="str">
        <f>'JFK LB | BF'!L283</f>
        <v/>
      </c>
      <c r="W95" s="438">
        <f>'JFK LB | BF'!G283</f>
        <v>1</v>
      </c>
      <c r="X95" s="422"/>
      <c r="Y95" s="438"/>
      <c r="Z95" s="422"/>
      <c r="AA95" s="438"/>
      <c r="AB95" s="422"/>
      <c r="AC95" s="440"/>
      <c r="AD95" s="422"/>
      <c r="AE95" s="440"/>
      <c r="AG95" s="440"/>
      <c r="AI95" s="440"/>
    </row>
    <row r="96" spans="1:35" ht="20" customHeight="1">
      <c r="A96" s="627"/>
      <c r="B96" s="629" t="str">
        <f t="shared" si="1"/>
        <v>TW - 12. Gin &amp; Orange Juice</v>
      </c>
      <c r="C96" s="444"/>
      <c r="D96" s="422"/>
      <c r="E96" s="413"/>
      <c r="F96" s="422"/>
      <c r="G96" s="441"/>
      <c r="H96" s="422"/>
      <c r="I96" s="441"/>
      <c r="J96" s="422" t="str">
        <f>'JFK LB | BF'!M284</f>
        <v/>
      </c>
      <c r="K96" s="441">
        <f>'JFK LB | BF'!G284</f>
        <v>1</v>
      </c>
      <c r="M96" s="441"/>
      <c r="O96" s="443"/>
      <c r="P96" s="422"/>
      <c r="Q96" s="443"/>
      <c r="R96" s="422"/>
      <c r="S96" s="443"/>
      <c r="T96" s="422"/>
      <c r="U96" s="443"/>
      <c r="V96" s="422" t="str">
        <f>'JFK LB | BF'!M283</f>
        <v/>
      </c>
      <c r="W96" s="438">
        <f>'JFK LB | BF'!G283</f>
        <v>1</v>
      </c>
      <c r="X96" s="422"/>
      <c r="Y96" s="438"/>
      <c r="Z96" s="422"/>
      <c r="AA96" s="438"/>
      <c r="AB96" s="422"/>
      <c r="AC96" s="440"/>
      <c r="AD96" s="422"/>
      <c r="AE96" s="440"/>
      <c r="AG96" s="440"/>
      <c r="AI96" s="440"/>
    </row>
    <row r="97" spans="1:59" ht="20" customHeight="1">
      <c r="A97" s="627"/>
      <c r="B97" s="629" t="str">
        <f t="shared" si="1"/>
        <v>TW - 13. Rum &amp; Pepsi</v>
      </c>
      <c r="C97" s="444"/>
      <c r="D97" s="422"/>
      <c r="E97" s="413"/>
      <c r="F97" s="422"/>
      <c r="G97" s="441"/>
      <c r="H97" s="422"/>
      <c r="I97" s="441"/>
      <c r="J97" s="422" t="str">
        <f>'JFK LB | BF'!H334</f>
        <v/>
      </c>
      <c r="K97" s="441">
        <f>'JFK LB | BF'!G334</f>
        <v>1</v>
      </c>
      <c r="M97" s="441"/>
      <c r="O97" s="443"/>
      <c r="P97" s="422"/>
      <c r="Q97" s="443"/>
      <c r="R97" s="422"/>
      <c r="S97" s="443"/>
      <c r="T97" s="422"/>
      <c r="U97" s="443"/>
      <c r="V97" s="422" t="str">
        <f>'JFK LB | BF'!H333</f>
        <v/>
      </c>
      <c r="W97" s="438">
        <f>'JFK LB | BF'!G333</f>
        <v>1</v>
      </c>
      <c r="X97" s="422"/>
      <c r="Y97" s="438"/>
      <c r="Z97" s="422"/>
      <c r="AA97" s="438"/>
      <c r="AB97" s="422"/>
      <c r="AC97" s="440"/>
      <c r="AD97" s="422"/>
      <c r="AE97" s="440"/>
      <c r="AG97" s="440"/>
      <c r="AI97" s="440"/>
    </row>
    <row r="98" spans="1:59" ht="20" customHeight="1">
      <c r="A98" s="627"/>
      <c r="B98" s="629" t="str">
        <f t="shared" si="1"/>
        <v>TW - 14. Gin &amp; Tonic</v>
      </c>
      <c r="C98" s="444"/>
      <c r="D98" s="422"/>
      <c r="E98" s="413"/>
      <c r="F98" s="422"/>
      <c r="G98" s="441"/>
      <c r="H98" s="422"/>
      <c r="I98" s="441"/>
      <c r="J98" s="422" t="str">
        <f>'JFK LB | BF'!I334</f>
        <v/>
      </c>
      <c r="K98" s="441">
        <f>'JFK LB | BF'!G334</f>
        <v>1</v>
      </c>
      <c r="M98" s="441"/>
      <c r="O98" s="443"/>
      <c r="P98" s="422"/>
      <c r="Q98" s="443"/>
      <c r="R98" s="422"/>
      <c r="S98" s="443"/>
      <c r="T98" s="422"/>
      <c r="U98" s="443"/>
      <c r="V98" s="422" t="str">
        <f>'JFK LB | BF'!I333</f>
        <v/>
      </c>
      <c r="W98" s="438">
        <f>'JFK LB | BF'!G333</f>
        <v>1</v>
      </c>
      <c r="X98" s="422"/>
      <c r="Y98" s="438"/>
      <c r="Z98" s="422"/>
      <c r="AA98" s="438"/>
      <c r="AB98" s="422"/>
      <c r="AC98" s="440"/>
      <c r="AD98" s="422"/>
      <c r="AE98" s="440"/>
      <c r="AG98" s="440"/>
      <c r="AI98" s="440"/>
    </row>
    <row r="99" spans="1:59" ht="20" customHeight="1">
      <c r="A99" s="627"/>
      <c r="B99" s="629" t="str">
        <f t="shared" si="1"/>
        <v>TW - 15. Scotch &amp; Soda</v>
      </c>
      <c r="C99" s="444"/>
      <c r="D99" s="422"/>
      <c r="E99" s="413"/>
      <c r="F99" s="422"/>
      <c r="G99" s="441"/>
      <c r="H99" s="422"/>
      <c r="I99" s="441"/>
      <c r="J99" s="422" t="str">
        <f>'JFK LB | BF'!J334</f>
        <v/>
      </c>
      <c r="K99" s="441">
        <f>'JFK LB | BF'!G334</f>
        <v>1</v>
      </c>
      <c r="M99" s="441"/>
      <c r="O99" s="443"/>
      <c r="P99" s="422"/>
      <c r="Q99" s="443"/>
      <c r="R99" s="422"/>
      <c r="S99" s="443"/>
      <c r="T99" s="422"/>
      <c r="U99" s="443"/>
      <c r="V99" s="422" t="str">
        <f>'JFK LB | BF'!J333</f>
        <v/>
      </c>
      <c r="W99" s="438">
        <f>'JFK LB | BF'!G333</f>
        <v>1</v>
      </c>
      <c r="X99" s="422"/>
      <c r="Y99" s="438"/>
      <c r="Z99" s="422"/>
      <c r="AA99" s="438"/>
      <c r="AB99" s="422"/>
      <c r="AC99" s="440"/>
      <c r="AD99" s="422"/>
      <c r="AE99" s="440"/>
      <c r="AG99" s="440"/>
      <c r="AI99" s="440"/>
    </row>
    <row r="100" spans="1:59" ht="20" customHeight="1">
      <c r="A100" s="627"/>
      <c r="B100" s="629" t="str">
        <f t="shared" si="1"/>
        <v>TW - 16. Bloody Mary</v>
      </c>
      <c r="C100" s="444"/>
      <c r="D100" s="422"/>
      <c r="E100" s="413"/>
      <c r="F100" s="422"/>
      <c r="G100" s="441"/>
      <c r="H100" s="422"/>
      <c r="I100" s="441"/>
      <c r="J100" s="422" t="str">
        <f>'JFK LB | BF'!K334</f>
        <v/>
      </c>
      <c r="K100" s="441">
        <f>'JFK LB | BF'!G334</f>
        <v>1</v>
      </c>
      <c r="M100" s="441"/>
      <c r="O100" s="443"/>
      <c r="P100" s="422"/>
      <c r="Q100" s="443"/>
      <c r="R100" s="422"/>
      <c r="S100" s="443"/>
      <c r="T100" s="422"/>
      <c r="U100" s="443"/>
      <c r="V100" s="422" t="str">
        <f>'JFK LB | BF'!K333</f>
        <v/>
      </c>
      <c r="W100" s="438">
        <f>'JFK LB | BF'!G333</f>
        <v>1</v>
      </c>
      <c r="X100" s="422"/>
      <c r="Y100" s="438"/>
      <c r="Z100" s="422"/>
      <c r="AA100" s="438"/>
      <c r="AB100" s="422"/>
      <c r="AC100" s="440"/>
      <c r="AD100" s="422"/>
      <c r="AE100" s="440"/>
      <c r="AG100" s="440"/>
      <c r="AI100" s="440"/>
    </row>
    <row r="101" spans="1:59" ht="20" customHeight="1">
      <c r="A101" s="412">
        <f>SUM(D101:AI101)</f>
        <v>0</v>
      </c>
      <c r="B101" s="411" t="s">
        <v>18</v>
      </c>
      <c r="C101" s="425" t="str">
        <f t="shared" ref="C101" si="2">IF(B101=1,D101,"")</f>
        <v/>
      </c>
      <c r="D101" s="1878" t="str">
        <f>IF(D102=0,"N/A",(SUM(D5:D100)))</f>
        <v>N/A</v>
      </c>
      <c r="E101" s="1878"/>
      <c r="F101" s="1878" t="str">
        <f t="shared" ref="F101" si="3">IF(F102=0,"N/A",(SUM(F5:F100)))</f>
        <v>N/A</v>
      </c>
      <c r="G101" s="1878"/>
      <c r="H101" s="1878" t="str">
        <f t="shared" ref="H101" si="4">IF(H102=0,"N/A",(SUM(H5:H100)))</f>
        <v>N/A</v>
      </c>
      <c r="I101" s="1878"/>
      <c r="J101" s="1878" t="str">
        <f>IF(J102=0,"N/A",(SUM(J5:J100)))</f>
        <v>N/A</v>
      </c>
      <c r="K101" s="1878"/>
      <c r="L101" s="1878" t="str">
        <f>IF(L102=0,"N/A",(SUM(L5:L100)))</f>
        <v>N/A</v>
      </c>
      <c r="M101" s="1878"/>
      <c r="N101" s="1878" t="str">
        <f t="shared" ref="N101" si="5">IF(N102=0,"N/A",(SUM(N5:N100)))</f>
        <v>N/A</v>
      </c>
      <c r="O101" s="1878"/>
      <c r="P101" s="1878" t="str">
        <f t="shared" ref="P101" si="6">IF(P102=0,"N/A",(SUM(P5:P100)))</f>
        <v>N/A</v>
      </c>
      <c r="Q101" s="1878"/>
      <c r="R101" s="1878" t="str">
        <f t="shared" ref="R101" si="7">IF(R102=0,"N/A",(SUM(R5:R100)))</f>
        <v>N/A</v>
      </c>
      <c r="S101" s="1878"/>
      <c r="T101" s="1878" t="str">
        <f t="shared" ref="T101" si="8">IF(T102=0,"N/A",(SUM(T5:T100)))</f>
        <v>N/A</v>
      </c>
      <c r="U101" s="1878"/>
      <c r="V101" s="1878" t="str">
        <f>IF(V102=0,"N/A",(SUM(V5:V100)))</f>
        <v>N/A</v>
      </c>
      <c r="W101" s="1878"/>
      <c r="X101" s="1878" t="str">
        <f t="shared" ref="X101" si="9">IF(X102=0,"N/A",(SUM(X5:X100)))</f>
        <v>N/A</v>
      </c>
      <c r="Y101" s="1878"/>
      <c r="Z101" s="1878" t="str">
        <f t="shared" ref="Z101" si="10">IF(Z102=0,"N/A",(SUM(Z5:Z100)))</f>
        <v>N/A</v>
      </c>
      <c r="AA101" s="1878"/>
      <c r="AB101" s="1878" t="str">
        <f t="shared" ref="AB101" si="11">IF(AB102=0,"N/A",(SUM(AB5:AB100)))</f>
        <v>N/A</v>
      </c>
      <c r="AC101" s="1878"/>
      <c r="AD101" s="1878" t="str">
        <f t="shared" ref="AD101" si="12">IF(AD102=0,"N/A",(SUM(AD5:AD100)))</f>
        <v>N/A</v>
      </c>
      <c r="AE101" s="1878"/>
      <c r="AF101" s="1878" t="str">
        <f>IF(AF102=0,"N/A",(SUM(AF5:AF100)))</f>
        <v>N/A</v>
      </c>
      <c r="AG101" s="1878"/>
      <c r="AH101" s="1878" t="str">
        <f>IF(AH102=0,"N/A",(SUM(AH5:AH100)))</f>
        <v>N/A</v>
      </c>
      <c r="AI101" s="1878"/>
    </row>
    <row r="102" spans="1:59" ht="20" customHeight="1">
      <c r="A102" s="3">
        <f>SUM(D102:AI102)</f>
        <v>0</v>
      </c>
      <c r="B102" s="411" t="s">
        <v>19</v>
      </c>
      <c r="C102" s="411"/>
      <c r="D102" s="1879">
        <f>SUMIF(D5:D100,"&gt;=0", E5:E100)</f>
        <v>0</v>
      </c>
      <c r="E102" s="1879"/>
      <c r="F102" s="1879">
        <f t="shared" ref="F102" si="13">SUMIF(F5:F100,"&gt;=0", G5:G100)</f>
        <v>0</v>
      </c>
      <c r="G102" s="1879"/>
      <c r="H102" s="1879">
        <f t="shared" ref="H102" si="14">SUMIF(H5:H100,"&gt;=0", I5:I100)</f>
        <v>0</v>
      </c>
      <c r="I102" s="1879"/>
      <c r="J102" s="1879">
        <f>SUMIF(J5:J100,"&gt;=0", K5:K100)</f>
        <v>0</v>
      </c>
      <c r="K102" s="1879"/>
      <c r="L102" s="1879">
        <f>SUMIF(L5:L100,"&gt;=0", M5:M100)</f>
        <v>0</v>
      </c>
      <c r="M102" s="1879"/>
      <c r="N102" s="1879">
        <f t="shared" ref="N102" si="15">SUMIF(N5:N100,"&gt;=0", O5:O100)</f>
        <v>0</v>
      </c>
      <c r="O102" s="1879"/>
      <c r="P102" s="1879">
        <f t="shared" ref="P102" si="16">SUMIF(P5:P100,"&gt;=0", Q5:Q100)</f>
        <v>0</v>
      </c>
      <c r="Q102" s="1879"/>
      <c r="R102" s="1879">
        <f t="shared" ref="R102" si="17">SUMIF(R5:R100,"&gt;=0", S5:S100)</f>
        <v>0</v>
      </c>
      <c r="S102" s="1879"/>
      <c r="T102" s="1879">
        <f t="shared" ref="T102" si="18">SUMIF(T5:T100,"&gt;=0", U5:U100)</f>
        <v>0</v>
      </c>
      <c r="U102" s="1879"/>
      <c r="V102" s="1879">
        <f>SUMIF(V5:V100,"&gt;=0", W5:W100)</f>
        <v>0</v>
      </c>
      <c r="W102" s="1879"/>
      <c r="X102" s="1879">
        <f t="shared" ref="X102" si="19">SUMIF(X5:X100,"&gt;=0", Y5:Y100)</f>
        <v>0</v>
      </c>
      <c r="Y102" s="1879"/>
      <c r="Z102" s="1879">
        <f t="shared" ref="Z102" si="20">SUMIF(Z5:Z100,"&gt;=0", AA5:AA100)</f>
        <v>0</v>
      </c>
      <c r="AA102" s="1879"/>
      <c r="AB102" s="1879">
        <f t="shared" ref="AB102" si="21">SUMIF(AB5:AB100,"&gt;=0", AC5:AC100)</f>
        <v>0</v>
      </c>
      <c r="AC102" s="1879"/>
      <c r="AD102" s="1879">
        <f t="shared" ref="AD102" si="22">SUMIF(AD5:AD100,"&gt;=0", AE5:AE100)</f>
        <v>0</v>
      </c>
      <c r="AE102" s="1879"/>
      <c r="AF102" s="1879">
        <f>SUMIF(AF5:AF100,"&gt;=0", AG5:AG100)</f>
        <v>0</v>
      </c>
      <c r="AG102" s="1879"/>
      <c r="AH102" s="1879">
        <f>SUMIF(AH5:AH100,"&gt;=0", AI5:AI100)</f>
        <v>0</v>
      </c>
      <c r="AI102" s="1879"/>
      <c r="AJ102" s="1875"/>
      <c r="AK102" s="1875"/>
      <c r="AL102" s="622"/>
      <c r="AM102" s="622"/>
      <c r="AP102" s="622"/>
      <c r="AQ102" s="622"/>
      <c r="AR102" s="622"/>
      <c r="AS102" s="622"/>
      <c r="AT102" s="622"/>
      <c r="AU102" s="622"/>
      <c r="AV102" s="622"/>
      <c r="AW102" s="622"/>
      <c r="AX102" s="622"/>
      <c r="AY102" s="1875"/>
      <c r="AZ102" s="1875"/>
      <c r="BA102" s="1875"/>
      <c r="BB102" s="1875"/>
      <c r="BC102" s="1875"/>
      <c r="BD102" s="1875"/>
      <c r="BE102" s="1875"/>
      <c r="BF102" s="1875"/>
      <c r="BG102" s="1875"/>
    </row>
    <row r="103" spans="1:59" ht="20" customHeight="1" thickBot="1">
      <c r="A103" s="412"/>
      <c r="D103" s="412"/>
      <c r="E103" s="412"/>
      <c r="F103" s="412"/>
      <c r="G103" s="412"/>
      <c r="H103" s="412"/>
      <c r="I103" s="412"/>
      <c r="J103" s="412"/>
      <c r="K103" s="412"/>
      <c r="L103" s="412"/>
      <c r="M103" s="412"/>
      <c r="N103" s="412"/>
      <c r="O103" s="412"/>
      <c r="P103" s="412"/>
      <c r="Q103" s="412"/>
      <c r="R103" s="412"/>
      <c r="S103" s="412"/>
      <c r="T103" s="412"/>
      <c r="U103" s="412"/>
      <c r="V103" s="412"/>
      <c r="W103" s="412"/>
      <c r="X103" s="412"/>
      <c r="Y103" s="412"/>
      <c r="Z103" s="412"/>
      <c r="AA103" s="412"/>
      <c r="AB103" s="412"/>
      <c r="AC103" s="412"/>
      <c r="AD103" s="412"/>
      <c r="AE103" s="412"/>
      <c r="AF103" s="412"/>
      <c r="AG103" s="412"/>
      <c r="AH103" s="412"/>
      <c r="AI103" s="412"/>
      <c r="AJ103" s="412"/>
      <c r="AK103" s="412"/>
      <c r="AL103" s="412"/>
      <c r="AM103" s="623"/>
      <c r="AP103" s="623"/>
      <c r="AQ103" s="623"/>
      <c r="AR103" s="623"/>
      <c r="AS103" s="623"/>
      <c r="AT103" s="623"/>
      <c r="AU103" s="623"/>
      <c r="AV103" s="623"/>
      <c r="AW103" s="623"/>
      <c r="AX103" s="623"/>
      <c r="AY103" s="412"/>
      <c r="AZ103" s="623"/>
      <c r="BA103" s="623"/>
      <c r="BB103" s="623"/>
      <c r="BC103" s="412"/>
      <c r="BD103" s="412"/>
      <c r="BE103" s="412"/>
      <c r="BF103" s="412"/>
      <c r="BG103" s="412"/>
    </row>
    <row r="104" spans="1:59" ht="20" customHeight="1">
      <c r="A104" s="1876" t="e">
        <f>(A101/A102)*100</f>
        <v>#DIV/0!</v>
      </c>
    </row>
    <row r="105" spans="1:59" ht="20" customHeight="1" thickBot="1">
      <c r="A105" s="1877"/>
    </row>
    <row r="106" spans="1:59" ht="20" customHeight="1">
      <c r="D106" s="412"/>
      <c r="E106" s="412"/>
      <c r="F106" s="412"/>
      <c r="G106" s="412"/>
      <c r="H106" s="412"/>
      <c r="I106" s="412"/>
      <c r="J106" s="412"/>
      <c r="K106" s="412"/>
      <c r="L106" s="412"/>
      <c r="M106" s="412"/>
      <c r="N106" s="412"/>
      <c r="O106" s="412"/>
      <c r="P106" s="412"/>
      <c r="Q106" s="412"/>
      <c r="R106" s="412"/>
      <c r="S106" s="412"/>
      <c r="T106" s="412"/>
      <c r="U106" s="412"/>
      <c r="V106" s="412"/>
      <c r="W106" s="412"/>
      <c r="X106" s="412"/>
      <c r="Y106" s="412"/>
      <c r="Z106" s="412"/>
      <c r="AA106" s="412"/>
      <c r="AB106" s="412"/>
      <c r="AC106" s="412"/>
      <c r="AD106" s="412"/>
      <c r="AE106" s="412"/>
      <c r="AF106" s="412"/>
      <c r="AG106" s="412"/>
      <c r="AH106" s="412"/>
      <c r="AI106" s="412"/>
      <c r="AJ106" s="412"/>
      <c r="AK106" s="412"/>
      <c r="AL106" s="412"/>
      <c r="AM106" s="623"/>
      <c r="AN106" s="623"/>
      <c r="AO106" s="623"/>
      <c r="AP106" s="623"/>
      <c r="AQ106" s="623"/>
      <c r="AR106" s="623"/>
      <c r="AS106" s="623"/>
      <c r="AT106" s="623"/>
      <c r="AU106" s="623"/>
      <c r="AV106" s="623"/>
      <c r="AW106" s="623"/>
      <c r="AX106" s="623"/>
      <c r="AY106" s="412"/>
      <c r="AZ106" s="623"/>
      <c r="BA106" s="623"/>
      <c r="BB106" s="623"/>
      <c r="BC106" s="412"/>
      <c r="BD106" s="412"/>
      <c r="BE106" s="412"/>
      <c r="BF106" s="412"/>
      <c r="BG106" s="412"/>
    </row>
    <row r="107" spans="1:59" ht="20" customHeight="1">
      <c r="A107" s="281">
        <f>A102*84.99%</f>
        <v>0</v>
      </c>
      <c r="D107" s="412"/>
      <c r="E107" s="412"/>
      <c r="F107" s="412"/>
      <c r="G107" s="412"/>
      <c r="H107" s="412"/>
      <c r="I107" s="412"/>
      <c r="J107" s="412"/>
      <c r="K107" s="412"/>
      <c r="L107" s="412"/>
      <c r="M107" s="412"/>
      <c r="N107" s="412"/>
      <c r="O107" s="412"/>
      <c r="P107" s="412"/>
      <c r="Q107" s="412"/>
      <c r="R107" s="412"/>
      <c r="S107" s="412"/>
      <c r="T107" s="412"/>
      <c r="U107" s="412"/>
      <c r="V107" s="412"/>
      <c r="W107" s="412"/>
      <c r="X107" s="412"/>
      <c r="Y107" s="412"/>
      <c r="Z107" s="412"/>
      <c r="AA107" s="412"/>
      <c r="AB107" s="412"/>
      <c r="AC107" s="412"/>
      <c r="AD107" s="412"/>
      <c r="AE107" s="412"/>
      <c r="AF107" s="412"/>
      <c r="AG107" s="412"/>
      <c r="AH107" s="412"/>
      <c r="AI107" s="412"/>
      <c r="AJ107" s="412"/>
      <c r="AK107" s="412"/>
      <c r="AL107" s="412"/>
      <c r="AM107" s="623"/>
      <c r="AN107" s="623"/>
      <c r="AO107" s="623"/>
      <c r="AP107" s="623"/>
      <c r="AQ107" s="623"/>
      <c r="AR107" s="623"/>
      <c r="AS107" s="623"/>
      <c r="AT107" s="623"/>
      <c r="AU107" s="623"/>
      <c r="AV107" s="623"/>
      <c r="AW107" s="623"/>
      <c r="AX107" s="623"/>
      <c r="AY107" s="412"/>
      <c r="AZ107" s="623"/>
      <c r="BA107" s="623"/>
      <c r="BB107" s="623"/>
      <c r="BC107" s="412"/>
      <c r="BD107" s="412"/>
      <c r="BE107" s="412"/>
      <c r="BF107" s="412"/>
      <c r="BG107" s="412"/>
    </row>
    <row r="108" spans="1:59" ht="20" customHeight="1">
      <c r="A108" s="282">
        <f>A102*85%</f>
        <v>0</v>
      </c>
      <c r="D108" s="160" t="e">
        <f>IF((D102-D101)&gt;2,1,"")</f>
        <v>#VALUE!</v>
      </c>
      <c r="E108" s="412"/>
      <c r="F108" s="412"/>
      <c r="G108" s="412"/>
      <c r="H108" s="412"/>
      <c r="I108" s="412"/>
      <c r="J108" s="412"/>
      <c r="K108" s="412"/>
      <c r="L108" s="412"/>
      <c r="M108" s="412"/>
      <c r="N108" s="412"/>
      <c r="O108" s="412"/>
      <c r="P108" s="412"/>
      <c r="Q108" s="412"/>
      <c r="R108" s="412"/>
      <c r="S108" s="412"/>
      <c r="T108" s="412"/>
      <c r="U108" s="412"/>
      <c r="V108" s="412"/>
      <c r="W108" s="412"/>
      <c r="X108" s="412"/>
      <c r="Y108" s="412"/>
      <c r="Z108" s="412"/>
      <c r="AA108" s="412"/>
      <c r="AB108" s="412"/>
      <c r="AC108" s="412"/>
      <c r="AD108" s="412"/>
      <c r="AE108" s="412"/>
      <c r="AF108" s="412"/>
      <c r="AG108" s="412"/>
      <c r="AH108" s="412"/>
      <c r="AI108" s="412"/>
      <c r="AJ108" s="412"/>
      <c r="AK108" s="412"/>
      <c r="AL108" s="412"/>
      <c r="AM108" s="623"/>
      <c r="AN108" s="623"/>
      <c r="AO108" s="623"/>
      <c r="AP108" s="623"/>
      <c r="AQ108" s="623"/>
      <c r="AR108" s="623"/>
      <c r="AS108" s="623"/>
      <c r="AT108" s="623"/>
      <c r="AU108" s="623"/>
      <c r="AV108" s="623"/>
      <c r="AW108" s="623"/>
      <c r="AX108" s="623"/>
      <c r="AY108" s="412"/>
      <c r="AZ108" s="623"/>
      <c r="BA108" s="623"/>
      <c r="BB108" s="623"/>
      <c r="BC108" s="412"/>
      <c r="BD108" s="412"/>
      <c r="BE108" s="412"/>
      <c r="BF108" s="412"/>
      <c r="BG108" s="412"/>
    </row>
    <row r="109" spans="1:59" ht="20" customHeight="1">
      <c r="A109" s="282">
        <f>A102*89.99%</f>
        <v>0</v>
      </c>
      <c r="D109" s="412"/>
      <c r="E109" s="412"/>
      <c r="F109" s="412"/>
      <c r="G109" s="412"/>
      <c r="H109" s="412"/>
      <c r="I109" s="412"/>
      <c r="J109" s="412"/>
      <c r="K109" s="412"/>
      <c r="L109" s="412"/>
      <c r="M109" s="412"/>
      <c r="N109" s="412"/>
      <c r="O109" s="412"/>
      <c r="P109" s="412"/>
      <c r="Q109" s="412"/>
      <c r="R109" s="412"/>
      <c r="S109" s="412"/>
      <c r="T109" s="412"/>
      <c r="U109" s="412"/>
      <c r="V109" s="412"/>
      <c r="W109" s="412"/>
      <c r="X109" s="412"/>
      <c r="Y109" s="412"/>
      <c r="Z109" s="412"/>
      <c r="AA109" s="412"/>
      <c r="AB109" s="412"/>
      <c r="AC109" s="412"/>
      <c r="AD109" s="412"/>
      <c r="AE109" s="412"/>
      <c r="AF109" s="412"/>
      <c r="AG109" s="412"/>
      <c r="AH109" s="412"/>
      <c r="AI109" s="412"/>
      <c r="AJ109" s="412"/>
      <c r="AK109" s="412"/>
      <c r="AL109" s="412"/>
      <c r="AM109" s="623"/>
      <c r="AN109" s="623"/>
      <c r="AO109" s="623"/>
      <c r="AP109" s="623"/>
      <c r="AQ109" s="623"/>
      <c r="AR109" s="623"/>
      <c r="AS109" s="623"/>
      <c r="AT109" s="623"/>
      <c r="AU109" s="623"/>
      <c r="AV109" s="623"/>
      <c r="AW109" s="623"/>
      <c r="AX109" s="623"/>
      <c r="AY109" s="412"/>
      <c r="AZ109" s="623"/>
      <c r="BA109" s="623"/>
      <c r="BB109" s="623"/>
      <c r="BC109" s="412"/>
      <c r="BD109" s="412"/>
      <c r="BE109" s="412"/>
      <c r="BF109" s="412"/>
      <c r="BG109" s="412"/>
    </row>
    <row r="110" spans="1:59" ht="20" customHeight="1">
      <c r="A110" s="279">
        <f>A102*90%</f>
        <v>0</v>
      </c>
      <c r="D110" s="412"/>
      <c r="E110" s="412"/>
      <c r="F110" s="412"/>
      <c r="G110" s="412"/>
      <c r="H110" s="412"/>
      <c r="I110" s="412"/>
      <c r="J110" s="412"/>
      <c r="K110" s="412"/>
      <c r="L110" s="412"/>
      <c r="M110" s="412"/>
      <c r="N110" s="412"/>
      <c r="O110" s="412"/>
      <c r="P110" s="412"/>
      <c r="Q110" s="412"/>
      <c r="R110" s="412"/>
      <c r="S110" s="412"/>
      <c r="T110" s="412"/>
      <c r="U110" s="412"/>
      <c r="V110" s="412"/>
      <c r="W110" s="412"/>
      <c r="X110" s="412"/>
      <c r="Y110" s="412"/>
      <c r="Z110" s="412"/>
      <c r="AA110" s="412"/>
      <c r="AB110" s="412"/>
      <c r="AC110" s="412"/>
      <c r="AD110" s="412"/>
      <c r="AE110" s="412"/>
      <c r="AF110" s="412"/>
      <c r="AG110" s="412"/>
      <c r="AH110" s="412"/>
      <c r="AI110" s="412"/>
      <c r="AJ110" s="412"/>
      <c r="AK110" s="412"/>
      <c r="AL110" s="412"/>
      <c r="AM110" s="623"/>
      <c r="AN110" s="623"/>
      <c r="AO110" s="623"/>
      <c r="AP110" s="623"/>
      <c r="AQ110" s="623"/>
      <c r="AR110" s="623"/>
      <c r="AS110" s="623"/>
      <c r="AT110" s="623"/>
      <c r="AU110" s="623"/>
      <c r="AV110" s="623"/>
      <c r="AW110" s="623"/>
      <c r="AX110" s="623"/>
      <c r="AY110" s="412"/>
      <c r="AZ110" s="623"/>
      <c r="BA110" s="623"/>
      <c r="BB110" s="623"/>
      <c r="BC110" s="412"/>
      <c r="BD110" s="412"/>
      <c r="BE110" s="412"/>
      <c r="BF110" s="412"/>
      <c r="BG110" s="412"/>
    </row>
    <row r="111" spans="1:59" ht="20" customHeight="1">
      <c r="A111" s="279">
        <f>A102*98.99%</f>
        <v>0</v>
      </c>
      <c r="D111" s="412"/>
      <c r="E111" s="412"/>
      <c r="F111" s="412"/>
      <c r="G111" s="412"/>
      <c r="H111" s="412"/>
      <c r="I111" s="412"/>
      <c r="J111" s="412"/>
      <c r="K111" s="412"/>
      <c r="L111" s="412"/>
      <c r="M111" s="412"/>
      <c r="N111" s="412"/>
      <c r="O111" s="412"/>
      <c r="P111" s="412"/>
      <c r="Q111" s="412"/>
      <c r="R111" s="412"/>
      <c r="S111" s="412"/>
      <c r="T111" s="412"/>
      <c r="U111" s="412"/>
      <c r="V111" s="412"/>
      <c r="W111" s="412"/>
      <c r="X111" s="412"/>
      <c r="Y111" s="412"/>
      <c r="Z111" s="412"/>
      <c r="AA111" s="412"/>
      <c r="AB111" s="412"/>
      <c r="AC111" s="412"/>
      <c r="AD111" s="412"/>
      <c r="AE111" s="412"/>
      <c r="AF111" s="412"/>
      <c r="AG111" s="412"/>
      <c r="AH111" s="412"/>
      <c r="AI111" s="412"/>
      <c r="AJ111" s="412"/>
      <c r="AK111" s="412"/>
      <c r="AL111" s="412"/>
      <c r="AM111" s="623"/>
      <c r="AN111" s="623"/>
      <c r="AO111" s="623"/>
      <c r="AP111" s="623"/>
      <c r="AQ111" s="623"/>
      <c r="AR111" s="623"/>
      <c r="AS111" s="623"/>
      <c r="AT111" s="623"/>
      <c r="AU111" s="623"/>
      <c r="AV111" s="623"/>
      <c r="AW111" s="623"/>
      <c r="AX111" s="623"/>
      <c r="AY111" s="412"/>
      <c r="AZ111" s="623"/>
      <c r="BA111" s="623"/>
      <c r="BB111" s="623"/>
      <c r="BC111" s="412"/>
      <c r="BD111" s="412"/>
      <c r="BE111" s="412"/>
      <c r="BF111" s="412"/>
      <c r="BG111" s="412"/>
    </row>
    <row r="112" spans="1:59" ht="20" customHeight="1">
      <c r="A112" s="280">
        <f>A102*99%</f>
        <v>0</v>
      </c>
      <c r="D112" s="412"/>
      <c r="E112" s="412"/>
      <c r="F112" s="412"/>
      <c r="G112" s="412"/>
      <c r="H112" s="412"/>
      <c r="I112" s="412"/>
      <c r="J112" s="412"/>
      <c r="K112" s="412"/>
      <c r="L112" s="412"/>
      <c r="M112" s="412"/>
      <c r="N112" s="412"/>
      <c r="O112" s="412"/>
      <c r="P112" s="412"/>
      <c r="Q112" s="412"/>
      <c r="R112" s="412"/>
      <c r="S112" s="412"/>
      <c r="T112" s="412"/>
      <c r="U112" s="412"/>
      <c r="V112" s="412"/>
      <c r="W112" s="412"/>
      <c r="X112" s="412"/>
      <c r="Y112" s="412"/>
      <c r="Z112" s="412"/>
      <c r="AA112" s="412"/>
      <c r="AB112" s="412"/>
      <c r="AC112" s="412"/>
      <c r="AD112" s="412"/>
      <c r="AE112" s="412"/>
      <c r="AF112" s="412"/>
      <c r="AG112" s="412"/>
      <c r="AH112" s="412"/>
      <c r="AI112" s="412"/>
      <c r="AJ112" s="412"/>
      <c r="AK112" s="412"/>
      <c r="AL112" s="412"/>
      <c r="AM112" s="623"/>
      <c r="AN112" s="623"/>
      <c r="AO112" s="623"/>
      <c r="AP112" s="623"/>
      <c r="AQ112" s="623"/>
      <c r="AR112" s="623"/>
      <c r="AS112" s="623"/>
      <c r="AT112" s="623"/>
      <c r="AU112" s="623"/>
      <c r="AV112" s="623"/>
      <c r="AW112" s="623"/>
      <c r="AX112" s="623"/>
      <c r="AY112" s="412"/>
      <c r="AZ112" s="623"/>
      <c r="BA112" s="623"/>
      <c r="BB112" s="623"/>
      <c r="BC112" s="412"/>
      <c r="BD112" s="412"/>
      <c r="BE112" s="412"/>
      <c r="BF112" s="412"/>
      <c r="BG112" s="412"/>
    </row>
    <row r="113" spans="1:59" ht="20" customHeight="1">
      <c r="A113" s="280">
        <f>A102</f>
        <v>0</v>
      </c>
      <c r="D113" s="412"/>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623"/>
      <c r="AN113" s="623"/>
      <c r="AO113" s="623"/>
      <c r="AP113" s="623"/>
      <c r="AQ113" s="623"/>
      <c r="AR113" s="623"/>
      <c r="AS113" s="623"/>
      <c r="AT113" s="623"/>
      <c r="AU113" s="623"/>
      <c r="AV113" s="623"/>
      <c r="AW113" s="623"/>
      <c r="AX113" s="623"/>
      <c r="AY113" s="412"/>
      <c r="AZ113" s="623"/>
      <c r="BA113" s="623"/>
      <c r="BB113" s="623"/>
      <c r="BC113" s="412"/>
      <c r="BD113" s="412"/>
      <c r="BE113" s="412"/>
      <c r="BF113" s="412"/>
      <c r="BG113" s="412"/>
    </row>
    <row r="114" spans="1:59" ht="20" customHeight="1">
      <c r="D114" s="412"/>
      <c r="E114" s="412"/>
      <c r="F114" s="412"/>
      <c r="G114" s="412"/>
      <c r="H114" s="412"/>
      <c r="I114" s="412"/>
      <c r="J114" s="412"/>
      <c r="K114" s="412"/>
      <c r="L114" s="412"/>
      <c r="M114" s="412"/>
      <c r="N114" s="412"/>
      <c r="O114" s="412"/>
      <c r="P114" s="412"/>
      <c r="Q114" s="412"/>
      <c r="R114" s="412"/>
      <c r="S114" s="412"/>
      <c r="T114" s="412"/>
      <c r="U114" s="412"/>
      <c r="V114" s="412"/>
      <c r="W114" s="412"/>
      <c r="X114" s="412"/>
      <c r="Y114" s="412"/>
      <c r="Z114" s="412"/>
      <c r="AA114" s="412"/>
      <c r="AB114" s="412"/>
      <c r="AC114" s="412"/>
      <c r="AD114" s="412"/>
      <c r="AE114" s="412"/>
      <c r="AF114" s="412"/>
      <c r="AG114" s="412"/>
      <c r="AH114" s="412"/>
      <c r="AI114" s="412"/>
      <c r="AJ114" s="412"/>
      <c r="AK114" s="412"/>
      <c r="AL114" s="412"/>
      <c r="AM114" s="623"/>
      <c r="AN114" s="623"/>
      <c r="AO114" s="623"/>
      <c r="AP114" s="623"/>
      <c r="AQ114" s="623"/>
      <c r="AR114" s="623"/>
      <c r="AS114" s="623"/>
      <c r="AT114" s="623"/>
      <c r="AU114" s="623"/>
      <c r="AV114" s="623"/>
      <c r="AW114" s="623"/>
      <c r="AX114" s="623"/>
      <c r="AY114" s="412"/>
      <c r="AZ114" s="623"/>
      <c r="BA114" s="623"/>
      <c r="BB114" s="623"/>
      <c r="BC114" s="412"/>
      <c r="BD114" s="412"/>
      <c r="BE114" s="412"/>
      <c r="BF114" s="412"/>
      <c r="BG114" s="412"/>
    </row>
  </sheetData>
  <sheetProtection sheet="1" objects="1" scenarios="1" selectLockedCells="1"/>
  <customSheetViews>
    <customSheetView guid="{B4419C5D-1877-4ABB-A46F-9E0AFFC75B59}" scale="85" showGridLines="0" fitToPage="1" hiddenColumns="1" state="hidden">
      <pane ySplit="4" topLeftCell="A47" activePane="bottomLeft" state="frozen"/>
      <selection pane="bottomLeft" activeCell="C8" sqref="C8"/>
      <pageMargins left="0.7" right="0.7" top="0.75" bottom="0.75" header="0.3" footer="0.3"/>
      <pageSetup scale="41" fitToHeight="0" orientation="landscape" r:id="rId1"/>
    </customSheetView>
  </customSheetViews>
  <mergeCells count="62">
    <mergeCell ref="AB3:AI3"/>
    <mergeCell ref="A15:A26"/>
    <mergeCell ref="P4:Q4"/>
    <mergeCell ref="R4:S4"/>
    <mergeCell ref="T4:U4"/>
    <mergeCell ref="V4:W4"/>
    <mergeCell ref="D4:E4"/>
    <mergeCell ref="F4:G4"/>
    <mergeCell ref="H4:I4"/>
    <mergeCell ref="J4:K4"/>
    <mergeCell ref="L4:M4"/>
    <mergeCell ref="N4:O4"/>
    <mergeCell ref="B3:C4"/>
    <mergeCell ref="D3:M3"/>
    <mergeCell ref="N3:U3"/>
    <mergeCell ref="V3:AA3"/>
    <mergeCell ref="AB4:AC4"/>
    <mergeCell ref="AD4:AE4"/>
    <mergeCell ref="AF4:AG4"/>
    <mergeCell ref="AH4:AI4"/>
    <mergeCell ref="A5:A13"/>
    <mergeCell ref="X4:Y4"/>
    <mergeCell ref="Z4:AA4"/>
    <mergeCell ref="X101:Y101"/>
    <mergeCell ref="A53:A68"/>
    <mergeCell ref="D101:E101"/>
    <mergeCell ref="F101:G101"/>
    <mergeCell ref="H101:I101"/>
    <mergeCell ref="J101:K101"/>
    <mergeCell ref="L101:M101"/>
    <mergeCell ref="A104:A105"/>
    <mergeCell ref="Z102:AA102"/>
    <mergeCell ref="AB102:AC102"/>
    <mergeCell ref="AD102:AE102"/>
    <mergeCell ref="AF102:AG102"/>
    <mergeCell ref="N102:O102"/>
    <mergeCell ref="P102:Q102"/>
    <mergeCell ref="R102:S102"/>
    <mergeCell ref="T102:U102"/>
    <mergeCell ref="V102:W102"/>
    <mergeCell ref="X102:Y102"/>
    <mergeCell ref="D102:E102"/>
    <mergeCell ref="F102:G102"/>
    <mergeCell ref="H102:I102"/>
    <mergeCell ref="J102:K102"/>
    <mergeCell ref="L102:M102"/>
    <mergeCell ref="A28:A51"/>
    <mergeCell ref="AY102:BC102"/>
    <mergeCell ref="BD102:BE102"/>
    <mergeCell ref="BF102:BG102"/>
    <mergeCell ref="AH102:AI102"/>
    <mergeCell ref="AJ102:AK102"/>
    <mergeCell ref="Z101:AA101"/>
    <mergeCell ref="AB101:AC101"/>
    <mergeCell ref="AD101:AE101"/>
    <mergeCell ref="AF101:AG101"/>
    <mergeCell ref="AH101:AI101"/>
    <mergeCell ref="N101:O101"/>
    <mergeCell ref="P101:Q101"/>
    <mergeCell ref="R101:S101"/>
    <mergeCell ref="T101:U101"/>
    <mergeCell ref="V101:W101"/>
  </mergeCells>
  <conditionalFormatting sqref="A104:A105">
    <cfRule type="cellIs" dxfId="266" priority="273" operator="between">
      <formula>99.01</formula>
      <formula>100</formula>
    </cfRule>
    <cfRule type="cellIs" dxfId="265" priority="274" operator="between">
      <formula>90.01</formula>
      <formula>99</formula>
    </cfRule>
    <cfRule type="cellIs" dxfId="264" priority="275" operator="between">
      <formula>85.01</formula>
      <formula>90</formula>
    </cfRule>
    <cfRule type="cellIs" dxfId="263" priority="276" operator="lessThanOrEqual">
      <formula>85</formula>
    </cfRule>
  </conditionalFormatting>
  <conditionalFormatting sqref="D4 F4 H4 J4 L4 N4 P4 R4 T4 V4 AF4 AH4 BD15:BE17">
    <cfRule type="cellIs" dxfId="262" priority="256" operator="equal">
      <formula>4.4</formula>
    </cfRule>
    <cfRule type="cellIs" dxfId="261" priority="257" operator="equal">
      <formula>4.3</formula>
    </cfRule>
    <cfRule type="cellIs" dxfId="260" priority="258" operator="equal">
      <formula>4.2</formula>
    </cfRule>
    <cfRule type="cellIs" dxfId="259" priority="259" operator="equal">
      <formula>4.1</formula>
    </cfRule>
    <cfRule type="cellIs" dxfId="258" priority="260" operator="equal">
      <formula>3.4</formula>
    </cfRule>
    <cfRule type="cellIs" dxfId="257" priority="261" operator="equal">
      <formula>3.3</formula>
    </cfRule>
    <cfRule type="cellIs" dxfId="256" priority="262" operator="equal">
      <formula>3.2</formula>
    </cfRule>
    <cfRule type="cellIs" dxfId="255" priority="263" operator="equal">
      <formula>3.1</formula>
    </cfRule>
    <cfRule type="cellIs" dxfId="254" priority="264" operator="equal">
      <formula>2.4</formula>
    </cfRule>
    <cfRule type="cellIs" dxfId="253" priority="265" operator="equal">
      <formula>2.3</formula>
    </cfRule>
    <cfRule type="cellIs" dxfId="252" priority="266" operator="equal">
      <formula>2.2</formula>
    </cfRule>
    <cfRule type="cellIs" dxfId="251" priority="267" operator="equal">
      <formula>2.1</formula>
    </cfRule>
    <cfRule type="cellIs" dxfId="250" priority="268" operator="equal">
      <formula>1.5</formula>
    </cfRule>
    <cfRule type="cellIs" dxfId="249" priority="269" operator="equal">
      <formula>1.4</formula>
    </cfRule>
    <cfRule type="cellIs" dxfId="248" priority="270" operator="equal">
      <formula>1.3</formula>
    </cfRule>
    <cfRule type="cellIs" dxfId="247" priority="271" operator="equal">
      <formula>1.2</formula>
    </cfRule>
    <cfRule type="containsText" dxfId="246" priority="272" operator="containsText" text="1.1">
      <formula>NOT(ISERROR(SEARCH("1.1",D4)))</formula>
    </cfRule>
  </conditionalFormatting>
  <conditionalFormatting sqref="X4">
    <cfRule type="cellIs" dxfId="245" priority="222" operator="equal">
      <formula>4.4</formula>
    </cfRule>
    <cfRule type="cellIs" dxfId="244" priority="223" operator="equal">
      <formula>4.3</formula>
    </cfRule>
    <cfRule type="cellIs" dxfId="243" priority="224" operator="equal">
      <formula>4.2</formula>
    </cfRule>
    <cfRule type="cellIs" dxfId="242" priority="225" operator="equal">
      <formula>4.1</formula>
    </cfRule>
    <cfRule type="cellIs" dxfId="241" priority="226" operator="equal">
      <formula>3.4</formula>
    </cfRule>
    <cfRule type="cellIs" dxfId="240" priority="227" operator="equal">
      <formula>3.3</formula>
    </cfRule>
    <cfRule type="cellIs" dxfId="239" priority="228" operator="equal">
      <formula>3.2</formula>
    </cfRule>
    <cfRule type="cellIs" dxfId="238" priority="229" operator="equal">
      <formula>3.1</formula>
    </cfRule>
    <cfRule type="cellIs" dxfId="237" priority="230" operator="equal">
      <formula>2.4</formula>
    </cfRule>
    <cfRule type="cellIs" dxfId="236" priority="231" operator="equal">
      <formula>2.3</formula>
    </cfRule>
    <cfRule type="cellIs" dxfId="235" priority="232" operator="equal">
      <formula>2.2</formula>
    </cfRule>
    <cfRule type="cellIs" dxfId="234" priority="233" operator="equal">
      <formula>2.1</formula>
    </cfRule>
    <cfRule type="cellIs" dxfId="233" priority="234" operator="equal">
      <formula>1.5</formula>
    </cfRule>
    <cfRule type="cellIs" dxfId="232" priority="235" operator="equal">
      <formula>1.4</formula>
    </cfRule>
    <cfRule type="cellIs" dxfId="231" priority="236" operator="equal">
      <formula>1.3</formula>
    </cfRule>
    <cfRule type="cellIs" dxfId="230" priority="237" operator="equal">
      <formula>1.2</formula>
    </cfRule>
    <cfRule type="containsText" dxfId="229" priority="238" operator="containsText" text="1.1">
      <formula>NOT(ISERROR(SEARCH("1.1",X4)))</formula>
    </cfRule>
  </conditionalFormatting>
  <conditionalFormatting sqref="Z4">
    <cfRule type="cellIs" dxfId="228" priority="239" operator="equal">
      <formula>4.4</formula>
    </cfRule>
    <cfRule type="cellIs" dxfId="227" priority="240" operator="equal">
      <formula>4.3</formula>
    </cfRule>
    <cfRule type="cellIs" dxfId="226" priority="241" operator="equal">
      <formula>4.2</formula>
    </cfRule>
    <cfRule type="cellIs" dxfId="225" priority="242" operator="equal">
      <formula>4.1</formula>
    </cfRule>
    <cfRule type="cellIs" dxfId="224" priority="243" operator="equal">
      <formula>3.4</formula>
    </cfRule>
    <cfRule type="cellIs" dxfId="223" priority="244" operator="equal">
      <formula>3.3</formula>
    </cfRule>
    <cfRule type="cellIs" dxfId="222" priority="245" operator="equal">
      <formula>3.2</formula>
    </cfRule>
    <cfRule type="cellIs" dxfId="221" priority="246" operator="equal">
      <formula>3.1</formula>
    </cfRule>
    <cfRule type="cellIs" dxfId="220" priority="247" operator="equal">
      <formula>2.4</formula>
    </cfRule>
    <cfRule type="cellIs" dxfId="219" priority="248" operator="equal">
      <formula>2.3</formula>
    </cfRule>
    <cfRule type="cellIs" dxfId="218" priority="249" operator="equal">
      <formula>2.2</formula>
    </cfRule>
    <cfRule type="cellIs" dxfId="217" priority="250" operator="equal">
      <formula>2.1</formula>
    </cfRule>
    <cfRule type="cellIs" dxfId="216" priority="251" operator="equal">
      <formula>1.5</formula>
    </cfRule>
    <cfRule type="cellIs" dxfId="215" priority="252" operator="equal">
      <formula>1.4</formula>
    </cfRule>
    <cfRule type="cellIs" dxfId="214" priority="253" operator="equal">
      <formula>1.3</formula>
    </cfRule>
    <cfRule type="cellIs" dxfId="213" priority="254" operator="equal">
      <formula>1.2</formula>
    </cfRule>
    <cfRule type="containsText" dxfId="212" priority="255" operator="containsText" text="1.1">
      <formula>NOT(ISERROR(SEARCH("1.1",Z4)))</formula>
    </cfRule>
  </conditionalFormatting>
  <conditionalFormatting sqref="AB4 AD4">
    <cfRule type="cellIs" dxfId="211" priority="205" operator="equal">
      <formula>4.4</formula>
    </cfRule>
    <cfRule type="cellIs" dxfId="210" priority="206" operator="equal">
      <formula>4.3</formula>
    </cfRule>
    <cfRule type="cellIs" dxfId="209" priority="207" operator="equal">
      <formula>4.2</formula>
    </cfRule>
    <cfRule type="cellIs" dxfId="208" priority="208" operator="equal">
      <formula>4.1</formula>
    </cfRule>
    <cfRule type="cellIs" dxfId="207" priority="209" operator="equal">
      <formula>3.4</formula>
    </cfRule>
    <cfRule type="cellIs" dxfId="206" priority="210" operator="equal">
      <formula>3.3</formula>
    </cfRule>
    <cfRule type="cellIs" dxfId="205" priority="211" operator="equal">
      <formula>3.2</formula>
    </cfRule>
    <cfRule type="cellIs" dxfId="204" priority="212" operator="equal">
      <formula>3.1</formula>
    </cfRule>
    <cfRule type="cellIs" dxfId="203" priority="213" operator="equal">
      <formula>2.4</formula>
    </cfRule>
    <cfRule type="cellIs" dxfId="202" priority="214" operator="equal">
      <formula>2.3</formula>
    </cfRule>
    <cfRule type="cellIs" dxfId="201" priority="215" operator="equal">
      <formula>2.2</formula>
    </cfRule>
    <cfRule type="cellIs" dxfId="200" priority="216" operator="equal">
      <formula>2.1</formula>
    </cfRule>
    <cfRule type="cellIs" dxfId="199" priority="217" operator="equal">
      <formula>1.5</formula>
    </cfRule>
    <cfRule type="cellIs" dxfId="198" priority="218" operator="equal">
      <formula>1.4</formula>
    </cfRule>
    <cfRule type="cellIs" dxfId="197" priority="219" operator="equal">
      <formula>1.3</formula>
    </cfRule>
    <cfRule type="cellIs" dxfId="196" priority="220" operator="equal">
      <formula>1.2</formula>
    </cfRule>
    <cfRule type="containsText" dxfId="195" priority="221" operator="containsText" text="1.1">
      <formula>NOT(ISERROR(SEARCH("1.1",AB4)))</formula>
    </cfRule>
  </conditionalFormatting>
  <conditionalFormatting sqref="BD14:BE14">
    <cfRule type="cellIs" dxfId="194" priority="188" operator="equal">
      <formula>4.4</formula>
    </cfRule>
    <cfRule type="cellIs" dxfId="193" priority="189" operator="equal">
      <formula>4.3</formula>
    </cfRule>
    <cfRule type="cellIs" dxfId="192" priority="190" operator="equal">
      <formula>4.2</formula>
    </cfRule>
    <cfRule type="cellIs" dxfId="191" priority="191" operator="equal">
      <formula>4.1</formula>
    </cfRule>
    <cfRule type="cellIs" dxfId="190" priority="192" operator="equal">
      <formula>3.4</formula>
    </cfRule>
    <cfRule type="cellIs" dxfId="189" priority="193" operator="equal">
      <formula>3.3</formula>
    </cfRule>
    <cfRule type="cellIs" dxfId="188" priority="194" operator="equal">
      <formula>3.2</formula>
    </cfRule>
    <cfRule type="cellIs" dxfId="187" priority="195" operator="equal">
      <formula>3.1</formula>
    </cfRule>
    <cfRule type="cellIs" dxfId="186" priority="196" operator="equal">
      <formula>2.4</formula>
    </cfRule>
    <cfRule type="cellIs" dxfId="185" priority="197" operator="equal">
      <formula>2.3</formula>
    </cfRule>
    <cfRule type="cellIs" dxfId="184" priority="198" operator="equal">
      <formula>2.2</formula>
    </cfRule>
    <cfRule type="cellIs" dxfId="183" priority="199" operator="equal">
      <formula>2.1</formula>
    </cfRule>
    <cfRule type="cellIs" dxfId="182" priority="200" operator="equal">
      <formula>1.5</formula>
    </cfRule>
    <cfRule type="cellIs" dxfId="181" priority="201" operator="equal">
      <formula>1.4</formula>
    </cfRule>
    <cfRule type="cellIs" dxfId="180" priority="202" operator="equal">
      <formula>1.3</formula>
    </cfRule>
    <cfRule type="cellIs" dxfId="179" priority="203" operator="equal">
      <formula>1.2</formula>
    </cfRule>
    <cfRule type="containsText" dxfId="178" priority="204" operator="containsText" text="1.1">
      <formula>NOT(ISERROR(SEARCH("1.1",BD14)))</formula>
    </cfRule>
  </conditionalFormatting>
  <conditionalFormatting sqref="B1:B2">
    <cfRule type="cellIs" dxfId="177" priority="18" operator="equal">
      <formula>4.4</formula>
    </cfRule>
    <cfRule type="cellIs" dxfId="176" priority="19" operator="equal">
      <formula>4.3</formula>
    </cfRule>
    <cfRule type="cellIs" dxfId="175" priority="20" operator="equal">
      <formula>4.2</formula>
    </cfRule>
    <cfRule type="cellIs" dxfId="174" priority="21" operator="equal">
      <formula>4.1</formula>
    </cfRule>
    <cfRule type="cellIs" dxfId="173" priority="22" operator="equal">
      <formula>3.4</formula>
    </cfRule>
    <cfRule type="cellIs" dxfId="172" priority="23" operator="equal">
      <formula>3.3</formula>
    </cfRule>
    <cfRule type="cellIs" dxfId="171" priority="24" operator="equal">
      <formula>3.2</formula>
    </cfRule>
    <cfRule type="cellIs" dxfId="170" priority="25" operator="equal">
      <formula>3.1</formula>
    </cfRule>
    <cfRule type="cellIs" dxfId="169" priority="26" operator="equal">
      <formula>2.4</formula>
    </cfRule>
    <cfRule type="cellIs" dxfId="168" priority="27" operator="equal">
      <formula>2.3</formula>
    </cfRule>
    <cfRule type="cellIs" dxfId="167" priority="28" operator="equal">
      <formula>2.2</formula>
    </cfRule>
    <cfRule type="cellIs" dxfId="166" priority="29" operator="equal">
      <formula>2.1</formula>
    </cfRule>
    <cfRule type="cellIs" dxfId="165" priority="30" operator="equal">
      <formula>1.5</formula>
    </cfRule>
    <cfRule type="cellIs" dxfId="164" priority="31" operator="equal">
      <formula>1.4</formula>
    </cfRule>
    <cfRule type="cellIs" dxfId="163" priority="32" operator="equal">
      <formula>1.3</formula>
    </cfRule>
    <cfRule type="cellIs" dxfId="162" priority="33" operator="equal">
      <formula>1.2</formula>
    </cfRule>
    <cfRule type="containsText" dxfId="161" priority="34" operator="containsText" text="1.1">
      <formula>NOT(ISERROR(SEARCH("1.1",B1)))</formula>
    </cfRule>
  </conditionalFormatting>
  <conditionalFormatting sqref="AD1:AE2">
    <cfRule type="cellIs" dxfId="160" priority="1" operator="equal">
      <formula>4.4</formula>
    </cfRule>
    <cfRule type="cellIs" dxfId="159" priority="2" operator="equal">
      <formula>4.3</formula>
    </cfRule>
    <cfRule type="cellIs" dxfId="158" priority="3" operator="equal">
      <formula>4.2</formula>
    </cfRule>
    <cfRule type="cellIs" dxfId="157" priority="4" operator="equal">
      <formula>4.1</formula>
    </cfRule>
    <cfRule type="cellIs" dxfId="156" priority="5" operator="equal">
      <formula>3.4</formula>
    </cfRule>
    <cfRule type="cellIs" dxfId="155" priority="6" operator="equal">
      <formula>3.3</formula>
    </cfRule>
    <cfRule type="cellIs" dxfId="154" priority="7" operator="equal">
      <formula>3.2</formula>
    </cfRule>
    <cfRule type="cellIs" dxfId="153" priority="8" operator="equal">
      <formula>3.1</formula>
    </cfRule>
    <cfRule type="cellIs" dxfId="152" priority="9" operator="equal">
      <formula>2.4</formula>
    </cfRule>
    <cfRule type="cellIs" dxfId="151" priority="10" operator="equal">
      <formula>2.3</formula>
    </cfRule>
    <cfRule type="cellIs" dxfId="150" priority="11" operator="equal">
      <formula>2.2</formula>
    </cfRule>
    <cfRule type="cellIs" dxfId="149" priority="12" operator="equal">
      <formula>2.1</formula>
    </cfRule>
    <cfRule type="cellIs" dxfId="148" priority="13" operator="equal">
      <formula>1.5</formula>
    </cfRule>
    <cfRule type="cellIs" dxfId="147" priority="14" operator="equal">
      <formula>1.4</formula>
    </cfRule>
    <cfRule type="cellIs" dxfId="146" priority="15" operator="equal">
      <formula>1.3</formula>
    </cfRule>
    <cfRule type="cellIs" dxfId="145" priority="16" operator="equal">
      <formula>1.2</formula>
    </cfRule>
    <cfRule type="containsText" dxfId="144" priority="17" operator="containsText" text="1.1">
      <formula>NOT(ISERROR(SEARCH("1.1",AD1)))</formula>
    </cfRule>
  </conditionalFormatting>
  <hyperlinks>
    <hyperlink ref="A3" location="'D3 to D14'!R3" tooltip="Back" display="D3 to D14'!A1" xr:uid="{00000000-0004-0000-1400-000000000000}"/>
  </hyperlinks>
  <pageMargins left="0.7" right="0.7" top="0.75" bottom="0.75" header="0.3" footer="0.3"/>
  <pageSetup scale="41" fitToHeight="0" orientation="landscape"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EV161"/>
  <sheetViews>
    <sheetView showGridLines="0" view="pageBreakPreview" zoomScale="85" zoomScaleNormal="85" zoomScaleSheetLayoutView="85" workbookViewId="0">
      <selection activeCell="AP16" sqref="AP16:AU18"/>
    </sheetView>
  </sheetViews>
  <sheetFormatPr baseColWidth="10" defaultColWidth="2.6640625" defaultRowHeight="15" customHeight="1"/>
  <cols>
    <col min="1" max="1" width="3" style="242" bestFit="1" customWidth="1"/>
    <col min="2" max="5" width="2.6640625" style="52"/>
    <col min="6" max="7" width="2.83203125" style="52" bestFit="1" customWidth="1"/>
    <col min="8" max="8" width="3" style="52" bestFit="1" customWidth="1"/>
    <col min="9" max="10" width="2.6640625" style="52" customWidth="1"/>
    <col min="11" max="13" width="3.1640625" style="52" bestFit="1" customWidth="1"/>
    <col min="14" max="14" width="2.83203125" style="52" bestFit="1" customWidth="1"/>
    <col min="15" max="15" width="2.83203125" style="242" bestFit="1" customWidth="1"/>
    <col min="16" max="16" width="2.83203125" style="52" bestFit="1" customWidth="1"/>
    <col min="17" max="22" width="3" style="52" bestFit="1" customWidth="1"/>
    <col min="23" max="23" width="3" style="242" bestFit="1" customWidth="1"/>
    <col min="24" max="24" width="2.6640625" style="52"/>
    <col min="25" max="25" width="2.83203125" style="52" bestFit="1" customWidth="1"/>
    <col min="26" max="28" width="2.6640625" style="52"/>
    <col min="29" max="29" width="2.6640625" style="52" customWidth="1"/>
    <col min="30" max="31" width="2.83203125" style="52" bestFit="1" customWidth="1"/>
    <col min="32" max="32" width="2.6640625" style="242"/>
    <col min="33" max="33" width="2.83203125" style="52" bestFit="1" customWidth="1"/>
    <col min="34" max="37" width="2.6640625" style="52"/>
    <col min="38" max="39" width="2.83203125" style="52" bestFit="1" customWidth="1"/>
    <col min="40" max="40" width="2.6640625" style="52"/>
    <col min="41" max="41" width="2.83203125" style="242" bestFit="1" customWidth="1"/>
    <col min="42" max="45" width="2.6640625" style="52"/>
    <col min="46" max="47" width="2.83203125" style="52" bestFit="1" customWidth="1"/>
    <col min="48" max="48" width="2.6640625" style="52"/>
    <col min="49" max="49" width="2.83203125" style="52" bestFit="1" customWidth="1"/>
    <col min="50" max="53" width="2.6640625" style="52"/>
    <col min="54" max="55" width="2.83203125" style="52" bestFit="1" customWidth="1"/>
    <col min="56" max="56" width="2.6640625" style="52"/>
    <col min="57" max="57" width="2.83203125" style="52" bestFit="1" customWidth="1"/>
    <col min="58" max="61" width="2.6640625" style="52"/>
    <col min="62" max="63" width="2.83203125" style="52" bestFit="1" customWidth="1"/>
    <col min="64" max="64" width="2.6640625" style="52"/>
    <col min="65" max="65" width="2.83203125" style="52" bestFit="1" customWidth="1"/>
    <col min="66" max="69" width="2.6640625" style="52"/>
    <col min="70" max="70" width="2.83203125" style="52" bestFit="1" customWidth="1"/>
    <col min="71" max="71" width="3" style="52" bestFit="1" customWidth="1"/>
    <col min="72" max="72" width="2.6640625" style="52"/>
    <col min="73" max="73" width="2.83203125" style="52" bestFit="1" customWidth="1"/>
    <col min="74" max="75" width="2.6640625" style="52"/>
    <col min="76" max="77" width="2.83203125" style="52" bestFit="1" customWidth="1"/>
    <col min="78" max="79" width="3" style="52" bestFit="1" customWidth="1"/>
    <col min="80" max="80" width="2.83203125" style="52" bestFit="1" customWidth="1"/>
    <col min="81" max="81" width="3" style="52" bestFit="1" customWidth="1"/>
    <col min="82" max="85" width="2.83203125" style="52" bestFit="1" customWidth="1"/>
    <col min="86" max="86" width="3" style="52" bestFit="1" customWidth="1"/>
    <col min="87" max="87" width="3.1640625" style="52" bestFit="1" customWidth="1"/>
    <col min="88" max="88" width="3" style="52" bestFit="1" customWidth="1"/>
    <col min="89" max="89" width="3.1640625" style="52" bestFit="1" customWidth="1"/>
    <col min="90" max="93" width="3" style="52" bestFit="1" customWidth="1"/>
    <col min="94" max="94" width="2.83203125" style="52" bestFit="1" customWidth="1"/>
    <col min="95" max="95" width="3" style="52" bestFit="1" customWidth="1"/>
    <col min="96" max="96" width="2.6640625" style="52"/>
    <col min="97" max="97" width="2.83203125" style="52" bestFit="1" customWidth="1"/>
    <col min="98" max="99" width="2.6640625" style="52"/>
    <col min="100" max="102" width="2.83203125" style="52" bestFit="1" customWidth="1"/>
    <col min="103" max="103" width="3" style="52" bestFit="1" customWidth="1"/>
    <col min="104" max="104" width="2.6640625" style="52"/>
    <col min="105" max="105" width="2.83203125" style="52" bestFit="1" customWidth="1"/>
    <col min="106" max="107" width="2.6640625" style="52"/>
    <col min="108" max="110" width="2.83203125" style="52" bestFit="1" customWidth="1"/>
    <col min="111" max="111" width="3" style="52" bestFit="1" customWidth="1"/>
    <col min="112" max="112" width="2.6640625" style="52"/>
    <col min="113" max="113" width="2.83203125" style="52" bestFit="1" customWidth="1"/>
    <col min="114" max="115" width="2.6640625" style="52"/>
    <col min="116" max="118" width="2.83203125" style="52" bestFit="1" customWidth="1"/>
    <col min="119" max="119" width="3" style="52" bestFit="1" customWidth="1"/>
    <col min="120" max="120" width="2.6640625" style="52"/>
    <col min="121" max="121" width="2.83203125" style="52" bestFit="1" customWidth="1"/>
    <col min="122" max="123" width="2.6640625" style="52"/>
    <col min="124" max="126" width="2.83203125" style="52" bestFit="1" customWidth="1"/>
    <col min="127" max="127" width="3" style="52" bestFit="1" customWidth="1"/>
    <col min="128" max="128" width="2.6640625" style="52"/>
    <col min="129" max="129" width="2.83203125" style="52" bestFit="1" customWidth="1"/>
    <col min="130" max="131" width="2.6640625" style="52"/>
    <col min="132" max="134" width="2.83203125" style="52" bestFit="1" customWidth="1"/>
    <col min="135" max="135" width="3" style="52" bestFit="1" customWidth="1"/>
    <col min="136" max="136" width="2.6640625" style="52"/>
    <col min="137" max="137" width="2.83203125" style="52" bestFit="1" customWidth="1"/>
    <col min="138" max="139" width="2.6640625" style="52"/>
    <col min="140" max="141" width="2.83203125" style="52" bestFit="1" customWidth="1"/>
    <col min="142" max="142" width="2.6640625" style="52"/>
    <col min="143" max="143" width="2.83203125" style="52" bestFit="1" customWidth="1"/>
    <col min="144" max="16384" width="2.6640625" style="52"/>
  </cols>
  <sheetData>
    <row r="1" spans="1:152" ht="15" customHeight="1">
      <c r="A1" s="575" t="str">
        <f>"Name : "&amp;Name</f>
        <v xml:space="preserve">Name : </v>
      </c>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575" t="str">
        <f>"Abinitio No : "&amp;Group</f>
        <v xml:space="preserve">Abinitio No : </v>
      </c>
      <c r="AB1" s="259"/>
      <c r="AC1" s="259"/>
      <c r="AD1" s="259"/>
      <c r="AE1" s="259"/>
      <c r="AF1" s="259"/>
      <c r="AG1" s="259"/>
      <c r="AH1" s="259"/>
      <c r="AI1" s="259"/>
      <c r="AJ1" s="259"/>
      <c r="AK1" s="259"/>
      <c r="AL1" s="259"/>
      <c r="AM1" s="259"/>
      <c r="AN1" s="259"/>
      <c r="AO1" s="259"/>
      <c r="AP1" s="259"/>
      <c r="AQ1" s="259"/>
      <c r="AR1" s="575" t="str">
        <f>"Hospitality &amp; Customer Service Assessment"</f>
        <v>Hospitality &amp; Customer Service Assessment</v>
      </c>
      <c r="AS1" s="259"/>
      <c r="AT1" s="259"/>
      <c r="AU1" s="259"/>
      <c r="AV1" s="259"/>
      <c r="AW1" s="259"/>
      <c r="AX1" s="259"/>
      <c r="AY1" s="259"/>
      <c r="AZ1" s="259"/>
      <c r="BA1" s="259"/>
      <c r="BB1" s="259"/>
      <c r="BC1" s="259"/>
      <c r="BD1" s="259"/>
      <c r="BE1" s="259"/>
      <c r="BF1" s="259"/>
      <c r="BG1" s="259"/>
      <c r="BH1" s="259"/>
      <c r="BI1" s="259"/>
      <c r="BJ1" s="259"/>
      <c r="BK1" s="1219" t="str">
        <f>CustomerProfiles</f>
        <v>Customers Profiles</v>
      </c>
      <c r="BL1" s="1220"/>
      <c r="BM1" s="1221"/>
      <c r="BN1" s="1219" t="str">
        <f>CustomerScenariors</f>
        <v>Customer Scenariors</v>
      </c>
      <c r="BO1" s="1220" t="str">
        <f>CustomerScenariors</f>
        <v>Customer Scenariors</v>
      </c>
      <c r="BP1" s="1221"/>
    </row>
    <row r="2" spans="1:152" ht="15" customHeight="1">
      <c r="A2" s="575" t="str">
        <f>"Staff No : "&amp;StaffNumber</f>
        <v xml:space="preserve">Staff No : </v>
      </c>
      <c r="B2" s="259"/>
      <c r="C2" s="259"/>
      <c r="D2" s="259"/>
      <c r="E2" s="259"/>
      <c r="F2" s="259"/>
      <c r="G2" s="259"/>
      <c r="H2" s="259"/>
      <c r="I2" s="259"/>
      <c r="J2" s="259"/>
      <c r="K2" s="259"/>
      <c r="L2" s="259"/>
      <c r="M2" s="259"/>
      <c r="N2" s="259"/>
      <c r="O2" s="259"/>
      <c r="P2" s="259"/>
      <c r="Q2" s="259"/>
      <c r="R2" s="259"/>
      <c r="S2" s="259"/>
      <c r="T2" s="259"/>
      <c r="U2" s="259"/>
      <c r="V2" s="259"/>
      <c r="W2" s="259"/>
      <c r="X2" s="259"/>
      <c r="Y2" s="259"/>
      <c r="Z2" s="259"/>
      <c r="AA2" s="241" t="str">
        <f>"Course Dates : "&amp;Date</f>
        <v xml:space="preserve">Course Dates : </v>
      </c>
      <c r="AB2" s="259"/>
      <c r="AC2" s="259"/>
      <c r="AD2" s="259"/>
      <c r="AE2" s="259"/>
      <c r="AF2" s="259"/>
      <c r="AG2" s="259"/>
      <c r="AH2" s="259"/>
      <c r="AI2" s="259"/>
      <c r="AJ2" s="259"/>
      <c r="AK2" s="259"/>
      <c r="AL2" s="259"/>
      <c r="AM2" s="259"/>
      <c r="AN2" s="259"/>
      <c r="AO2" s="259"/>
      <c r="AP2" s="259"/>
      <c r="AQ2" s="259"/>
      <c r="AR2" s="246" t="s">
        <v>872</v>
      </c>
      <c r="AS2" s="259"/>
      <c r="AT2" s="259"/>
      <c r="AU2" s="259"/>
      <c r="AV2" s="259"/>
      <c r="AW2" s="259"/>
      <c r="AX2" s="575" t="str">
        <f>"Group : "&amp;Rotation</f>
        <v xml:space="preserve">Group : </v>
      </c>
      <c r="AY2" s="259"/>
      <c r="AZ2" s="259"/>
      <c r="BA2" s="259"/>
      <c r="BB2" s="259"/>
      <c r="BC2" s="259"/>
      <c r="BD2" s="259"/>
      <c r="BE2" s="259"/>
      <c r="BF2" s="259"/>
      <c r="BG2" s="259"/>
      <c r="BH2" s="259"/>
      <c r="BI2" s="259"/>
      <c r="BJ2" s="259"/>
      <c r="BK2" s="1222"/>
      <c r="BL2" s="1223"/>
      <c r="BM2" s="1224"/>
      <c r="BN2" s="1222"/>
      <c r="BO2" s="1223"/>
      <c r="BP2" s="1224"/>
    </row>
    <row r="3" spans="1:152" ht="15" customHeight="1">
      <c r="A3" s="1219" t="str">
        <f>Z7</f>
        <v>1. Champagne</v>
      </c>
      <c r="B3" s="1220"/>
      <c r="C3" s="1221"/>
      <c r="D3" s="1225"/>
      <c r="E3" s="1219" t="str">
        <f>AH7</f>
        <v>2. Wine 
- Small Bottles</v>
      </c>
      <c r="F3" s="1220"/>
      <c r="G3" s="1221"/>
      <c r="H3" s="1225"/>
      <c r="I3" s="1219" t="str">
        <f>AP7</f>
        <v>3. White Wine Spritzer
- Small Bottles</v>
      </c>
      <c r="J3" s="1220"/>
      <c r="K3" s="1221"/>
      <c r="L3" s="1225"/>
      <c r="M3" s="1219" t="str">
        <f>AX7</f>
        <v>4. Wine
- Big Bottles</v>
      </c>
      <c r="N3" s="1220"/>
      <c r="O3" s="1221"/>
      <c r="P3" s="1225"/>
      <c r="Q3" s="1219" t="str">
        <f>BF7</f>
        <v>5. Dry - White Wine Spritzer - Big Bottle of Wine</v>
      </c>
      <c r="R3" s="1220"/>
      <c r="S3" s="1221"/>
      <c r="T3" s="1225"/>
      <c r="U3" s="1219" t="str">
        <f>BN7</f>
        <v>6. Sweet - White Wine Spritzer- Big Bottle of Wine</v>
      </c>
      <c r="V3" s="1220"/>
      <c r="W3" s="1221"/>
      <c r="X3" s="1225"/>
      <c r="Y3" s="1219" t="str">
        <f>BV7</f>
        <v>7. Liqueur</v>
      </c>
      <c r="Z3" s="1220"/>
      <c r="AA3" s="1221"/>
      <c r="AB3" s="1225"/>
      <c r="AC3" s="1219" t="str">
        <f>CD7</f>
        <v>8. Shandy</v>
      </c>
      <c r="AD3" s="1220"/>
      <c r="AE3" s="1221"/>
      <c r="AF3" s="1225"/>
      <c r="AG3" s="1219" t="str">
        <f>CL7</f>
        <v>9. Hot Beverage 
- Tea</v>
      </c>
      <c r="AH3" s="1220"/>
      <c r="AI3" s="1221"/>
      <c r="AJ3" s="1225"/>
      <c r="AK3" s="1219" t="str">
        <f>CT7</f>
        <v>10. Beer</v>
      </c>
      <c r="AL3" s="1220"/>
      <c r="AM3" s="1221"/>
      <c r="AN3" s="1225"/>
      <c r="AO3" s="1219" t="str">
        <f>DB7</f>
        <v>11. Screwdriver</v>
      </c>
      <c r="AP3" s="1220"/>
      <c r="AQ3" s="1221"/>
      <c r="AR3" s="1225"/>
      <c r="AS3" s="1219" t="str">
        <f>DJ7</f>
        <v>12. Gin &amp; Orange Juice</v>
      </c>
      <c r="AT3" s="1220"/>
      <c r="AU3" s="1221"/>
      <c r="AV3" s="1225"/>
      <c r="AW3" s="1219" t="str">
        <f>DR7</f>
        <v>13. Rum &amp; Pepsi</v>
      </c>
      <c r="AX3" s="1220"/>
      <c r="AY3" s="1221"/>
      <c r="AZ3" s="1225"/>
      <c r="BA3" s="1219" t="str">
        <f>DZ7</f>
        <v>14. Gin &amp; Tonic</v>
      </c>
      <c r="BB3" s="1220"/>
      <c r="BC3" s="1221"/>
      <c r="BD3" s="1225"/>
      <c r="BE3" s="1219" t="str">
        <f>EH7</f>
        <v>15. Scotch &amp; Soda</v>
      </c>
      <c r="BF3" s="1220"/>
      <c r="BG3" s="1221"/>
      <c r="BH3" s="1225"/>
      <c r="BI3" s="1219" t="str">
        <f>EP7</f>
        <v>16. Bloody Mary</v>
      </c>
      <c r="BJ3" s="1220"/>
      <c r="BK3" s="1221"/>
      <c r="BL3" s="1225"/>
      <c r="BM3" s="379"/>
      <c r="BN3" s="379"/>
    </row>
    <row r="4" spans="1:152" ht="15" customHeight="1">
      <c r="A4" s="1337"/>
      <c r="B4" s="1338"/>
      <c r="C4" s="1339"/>
      <c r="D4" s="1906"/>
      <c r="E4" s="1337"/>
      <c r="F4" s="1338"/>
      <c r="G4" s="1339"/>
      <c r="H4" s="1906"/>
      <c r="I4" s="1337"/>
      <c r="J4" s="1338"/>
      <c r="K4" s="1339"/>
      <c r="L4" s="1906"/>
      <c r="M4" s="1337"/>
      <c r="N4" s="1338"/>
      <c r="O4" s="1339"/>
      <c r="P4" s="1906"/>
      <c r="Q4" s="1337"/>
      <c r="R4" s="1338"/>
      <c r="S4" s="1339"/>
      <c r="T4" s="1906"/>
      <c r="U4" s="1337"/>
      <c r="V4" s="1338"/>
      <c r="W4" s="1339"/>
      <c r="X4" s="1906"/>
      <c r="Y4" s="1337"/>
      <c r="Z4" s="1338"/>
      <c r="AA4" s="1339"/>
      <c r="AB4" s="1906"/>
      <c r="AC4" s="1337"/>
      <c r="AD4" s="1338"/>
      <c r="AE4" s="1339"/>
      <c r="AF4" s="1906"/>
      <c r="AG4" s="1337"/>
      <c r="AH4" s="1338"/>
      <c r="AI4" s="1339"/>
      <c r="AJ4" s="1906"/>
      <c r="AK4" s="1337"/>
      <c r="AL4" s="1338"/>
      <c r="AM4" s="1339"/>
      <c r="AN4" s="1906"/>
      <c r="AO4" s="1337"/>
      <c r="AP4" s="1338"/>
      <c r="AQ4" s="1339"/>
      <c r="AR4" s="1906"/>
      <c r="AS4" s="1337"/>
      <c r="AT4" s="1338"/>
      <c r="AU4" s="1339"/>
      <c r="AV4" s="1906"/>
      <c r="AW4" s="1337"/>
      <c r="AX4" s="1338"/>
      <c r="AY4" s="1339"/>
      <c r="AZ4" s="1906"/>
      <c r="BA4" s="1337"/>
      <c r="BB4" s="1338"/>
      <c r="BC4" s="1339"/>
      <c r="BD4" s="1906"/>
      <c r="BE4" s="1337"/>
      <c r="BF4" s="1338"/>
      <c r="BG4" s="1339"/>
      <c r="BH4" s="1906"/>
      <c r="BI4" s="1337"/>
      <c r="BJ4" s="1338"/>
      <c r="BK4" s="1339"/>
      <c r="BL4" s="1906"/>
      <c r="BM4" s="379"/>
      <c r="BN4" s="379"/>
    </row>
    <row r="5" spans="1:152" ht="15" customHeight="1">
      <c r="A5" s="1222"/>
      <c r="B5" s="1223"/>
      <c r="C5" s="1224"/>
      <c r="D5" s="1226"/>
      <c r="E5" s="1222"/>
      <c r="F5" s="1223"/>
      <c r="G5" s="1224"/>
      <c r="H5" s="1226"/>
      <c r="I5" s="1222"/>
      <c r="J5" s="1223"/>
      <c r="K5" s="1224"/>
      <c r="L5" s="1226"/>
      <c r="M5" s="1222"/>
      <c r="N5" s="1223"/>
      <c r="O5" s="1224"/>
      <c r="P5" s="1226"/>
      <c r="Q5" s="1222"/>
      <c r="R5" s="1223"/>
      <c r="S5" s="1224"/>
      <c r="T5" s="1226"/>
      <c r="U5" s="1222"/>
      <c r="V5" s="1223"/>
      <c r="W5" s="1224"/>
      <c r="X5" s="1226"/>
      <c r="Y5" s="1222"/>
      <c r="Z5" s="1223"/>
      <c r="AA5" s="1224"/>
      <c r="AB5" s="1226"/>
      <c r="AC5" s="1222"/>
      <c r="AD5" s="1223"/>
      <c r="AE5" s="1224"/>
      <c r="AF5" s="1226"/>
      <c r="AG5" s="1222"/>
      <c r="AH5" s="1223"/>
      <c r="AI5" s="1224"/>
      <c r="AJ5" s="1226"/>
      <c r="AK5" s="1222"/>
      <c r="AL5" s="1223"/>
      <c r="AM5" s="1224"/>
      <c r="AN5" s="1226"/>
      <c r="AO5" s="1222"/>
      <c r="AP5" s="1223"/>
      <c r="AQ5" s="1224"/>
      <c r="AR5" s="1226"/>
      <c r="AS5" s="1222"/>
      <c r="AT5" s="1223"/>
      <c r="AU5" s="1224"/>
      <c r="AV5" s="1226"/>
      <c r="AW5" s="1222"/>
      <c r="AX5" s="1223"/>
      <c r="AY5" s="1224"/>
      <c r="AZ5" s="1226"/>
      <c r="BA5" s="1222"/>
      <c r="BB5" s="1223"/>
      <c r="BC5" s="1224"/>
      <c r="BD5" s="1226"/>
      <c r="BE5" s="1222"/>
      <c r="BF5" s="1223"/>
      <c r="BG5" s="1224"/>
      <c r="BH5" s="1226"/>
      <c r="BI5" s="1222"/>
      <c r="BJ5" s="1223"/>
      <c r="BK5" s="1224"/>
      <c r="BL5" s="1226"/>
      <c r="BM5" s="379"/>
      <c r="BN5" s="379"/>
    </row>
    <row r="6" spans="1:152" ht="15" customHeight="1">
      <c r="A6" s="332"/>
      <c r="B6" s="332"/>
      <c r="C6" s="332"/>
      <c r="D6" s="332"/>
      <c r="E6" s="332"/>
      <c r="F6" s="332"/>
      <c r="G6" s="332"/>
      <c r="H6" s="332"/>
      <c r="I6" s="332"/>
      <c r="J6" s="332"/>
      <c r="K6" s="332"/>
      <c r="L6" s="332"/>
      <c r="M6" s="332"/>
      <c r="N6" s="332"/>
      <c r="O6" s="332"/>
      <c r="P6" s="332"/>
      <c r="Q6" s="332"/>
      <c r="R6" s="332"/>
      <c r="S6" s="332"/>
      <c r="T6" s="332"/>
      <c r="U6" s="332"/>
      <c r="V6" s="332"/>
      <c r="W6" s="332"/>
      <c r="X6" s="332"/>
      <c r="Y6" s="332"/>
      <c r="Z6" s="332"/>
      <c r="AA6" s="332"/>
      <c r="AB6" s="332"/>
      <c r="AC6" s="332"/>
      <c r="AD6" s="332"/>
      <c r="AE6" s="332"/>
      <c r="AF6" s="332"/>
      <c r="AG6" s="332"/>
      <c r="AH6" s="332"/>
      <c r="AI6" s="332"/>
      <c r="AJ6" s="332"/>
      <c r="AK6" s="332"/>
      <c r="AL6" s="332"/>
      <c r="AM6" s="332"/>
      <c r="AN6" s="332"/>
      <c r="AO6" s="332"/>
      <c r="AP6" s="332"/>
      <c r="AQ6" s="332"/>
      <c r="AR6" s="332"/>
      <c r="AS6" s="332"/>
      <c r="AT6" s="332"/>
      <c r="AU6" s="332"/>
      <c r="AV6" s="332"/>
      <c r="AW6" s="332"/>
      <c r="AX6" s="332"/>
      <c r="AY6" s="332"/>
      <c r="AZ6" s="332"/>
      <c r="BA6" s="332"/>
      <c r="BB6" s="332"/>
      <c r="BC6" s="332"/>
      <c r="BD6" s="332"/>
      <c r="BE6" s="332"/>
      <c r="BF6" s="332"/>
      <c r="BG6" s="332"/>
      <c r="BH6" s="332"/>
      <c r="BI6" s="332"/>
      <c r="BJ6" s="332"/>
      <c r="BK6" s="332"/>
      <c r="BL6" s="332"/>
      <c r="BM6" s="332"/>
      <c r="BN6" s="332"/>
      <c r="BO6" s="332"/>
      <c r="BP6" s="332"/>
    </row>
    <row r="7" spans="1:152" ht="15" customHeight="1">
      <c r="A7" s="1172"/>
      <c r="B7" s="1173" t="s">
        <v>608</v>
      </c>
      <c r="C7" s="1173"/>
      <c r="D7" s="1173"/>
      <c r="E7" s="1173"/>
      <c r="F7" s="1173"/>
      <c r="G7" s="1173"/>
      <c r="H7" s="1893">
        <v>1</v>
      </c>
      <c r="I7" s="1893">
        <v>2</v>
      </c>
      <c r="J7" s="1893">
        <v>3</v>
      </c>
      <c r="K7" s="1893">
        <v>4</v>
      </c>
      <c r="L7" s="1893">
        <v>5</v>
      </c>
      <c r="M7" s="1893">
        <v>6</v>
      </c>
      <c r="N7" s="1894">
        <v>7</v>
      </c>
      <c r="O7" s="1894">
        <v>8</v>
      </c>
      <c r="P7" s="1894">
        <v>9</v>
      </c>
      <c r="Q7" s="1894">
        <v>10</v>
      </c>
      <c r="R7" s="1894">
        <v>11</v>
      </c>
      <c r="S7" s="1894">
        <v>12</v>
      </c>
      <c r="T7" s="1893">
        <v>13</v>
      </c>
      <c r="U7" s="1893">
        <v>14</v>
      </c>
      <c r="V7" s="1893">
        <v>15</v>
      </c>
      <c r="W7" s="1893">
        <v>16</v>
      </c>
      <c r="X7" s="332"/>
      <c r="Y7" s="1277"/>
      <c r="Z7" s="1516" t="s">
        <v>432</v>
      </c>
      <c r="AA7" s="1517"/>
      <c r="AB7" s="1517"/>
      <c r="AC7" s="1517"/>
      <c r="AD7" s="1517"/>
      <c r="AE7" s="1517"/>
      <c r="AF7" s="1518"/>
      <c r="AG7" s="1281"/>
      <c r="AH7" s="1464" t="s">
        <v>881</v>
      </c>
      <c r="AI7" s="1465"/>
      <c r="AJ7" s="1465"/>
      <c r="AK7" s="1465"/>
      <c r="AL7" s="1465"/>
      <c r="AM7" s="1465"/>
      <c r="AN7" s="1466"/>
      <c r="AO7" s="1473"/>
      <c r="AP7" s="1496" t="s">
        <v>911</v>
      </c>
      <c r="AQ7" s="1497"/>
      <c r="AR7" s="1497"/>
      <c r="AS7" s="1497"/>
      <c r="AT7" s="1497"/>
      <c r="AU7" s="1497"/>
      <c r="AV7" s="1498"/>
      <c r="AW7" s="1505"/>
      <c r="AX7" s="1476" t="s">
        <v>912</v>
      </c>
      <c r="AY7" s="1477"/>
      <c r="AZ7" s="1477"/>
      <c r="BA7" s="1477"/>
      <c r="BB7" s="1477"/>
      <c r="BC7" s="1477"/>
      <c r="BD7" s="1478"/>
      <c r="BE7" s="1485"/>
      <c r="BF7" s="1506" t="s">
        <v>913</v>
      </c>
      <c r="BG7" s="1507"/>
      <c r="BH7" s="1507"/>
      <c r="BI7" s="1507"/>
      <c r="BJ7" s="1507"/>
      <c r="BK7" s="1507"/>
      <c r="BL7" s="1508"/>
      <c r="BM7" s="1515"/>
      <c r="BN7" s="1487" t="s">
        <v>914</v>
      </c>
      <c r="BO7" s="1488"/>
      <c r="BP7" s="1488"/>
      <c r="BQ7" s="1488"/>
      <c r="BR7" s="1488"/>
      <c r="BS7" s="1488"/>
      <c r="BT7" s="1489"/>
      <c r="BU7" s="1283"/>
      <c r="BV7" s="1446" t="s">
        <v>915</v>
      </c>
      <c r="BW7" s="1447"/>
      <c r="BX7" s="1447"/>
      <c r="BY7" s="1447"/>
      <c r="BZ7" s="1447"/>
      <c r="CA7" s="1447"/>
      <c r="CB7" s="1448"/>
      <c r="CC7" s="1285"/>
      <c r="CD7" s="1437" t="s">
        <v>916</v>
      </c>
      <c r="CE7" s="1438"/>
      <c r="CF7" s="1438"/>
      <c r="CG7" s="1438"/>
      <c r="CH7" s="1438"/>
      <c r="CI7" s="1438"/>
      <c r="CJ7" s="1439"/>
      <c r="CK7" s="1287"/>
      <c r="CL7" s="1400" t="s">
        <v>917</v>
      </c>
      <c r="CM7" s="1401"/>
      <c r="CN7" s="1401"/>
      <c r="CO7" s="1401"/>
      <c r="CP7" s="1401"/>
      <c r="CQ7" s="1401"/>
      <c r="CR7" s="1402"/>
      <c r="CS7" s="1278"/>
      <c r="CT7" s="1409" t="s">
        <v>918</v>
      </c>
      <c r="CU7" s="1410"/>
      <c r="CV7" s="1410"/>
      <c r="CW7" s="1410"/>
      <c r="CX7" s="1410"/>
      <c r="CY7" s="1410"/>
      <c r="CZ7" s="1411"/>
      <c r="DA7" s="1418"/>
      <c r="DB7" s="1611" t="s">
        <v>919</v>
      </c>
      <c r="DC7" s="1612"/>
      <c r="DD7" s="1612"/>
      <c r="DE7" s="1612"/>
      <c r="DF7" s="1612"/>
      <c r="DG7" s="1612"/>
      <c r="DH7" s="1613"/>
      <c r="DI7" s="1421"/>
      <c r="DJ7" s="1424" t="s">
        <v>920</v>
      </c>
      <c r="DK7" s="1425"/>
      <c r="DL7" s="1425"/>
      <c r="DM7" s="1425"/>
      <c r="DN7" s="1425"/>
      <c r="DO7" s="1425"/>
      <c r="DP7" s="1426"/>
      <c r="DQ7" s="1346"/>
      <c r="DR7" s="1349" t="s">
        <v>921</v>
      </c>
      <c r="DS7" s="1350"/>
      <c r="DT7" s="1350"/>
      <c r="DU7" s="1350"/>
      <c r="DV7" s="1350"/>
      <c r="DW7" s="1350"/>
      <c r="DX7" s="1351"/>
      <c r="DY7" s="1358"/>
      <c r="DZ7" s="1361" t="s">
        <v>922</v>
      </c>
      <c r="EA7" s="1362"/>
      <c r="EB7" s="1362"/>
      <c r="EC7" s="1362"/>
      <c r="ED7" s="1362"/>
      <c r="EE7" s="1362"/>
      <c r="EF7" s="1363"/>
      <c r="EG7" s="1370"/>
      <c r="EH7" s="1373" t="s">
        <v>923</v>
      </c>
      <c r="EI7" s="1374"/>
      <c r="EJ7" s="1374"/>
      <c r="EK7" s="1374"/>
      <c r="EL7" s="1374"/>
      <c r="EM7" s="1374"/>
      <c r="EN7" s="1375"/>
      <c r="EO7" s="1175"/>
      <c r="EP7" s="1382" t="s">
        <v>924</v>
      </c>
      <c r="EQ7" s="1383"/>
      <c r="ER7" s="1383"/>
      <c r="ES7" s="1383"/>
      <c r="ET7" s="1383"/>
      <c r="EU7" s="1383"/>
      <c r="EV7" s="1384"/>
    </row>
    <row r="8" spans="1:152" ht="15" customHeight="1">
      <c r="A8" s="1172"/>
      <c r="B8" s="1173"/>
      <c r="C8" s="1173"/>
      <c r="D8" s="1173"/>
      <c r="E8" s="1173"/>
      <c r="F8" s="1173"/>
      <c r="G8" s="1173"/>
      <c r="H8" s="1893"/>
      <c r="I8" s="1893"/>
      <c r="J8" s="1893"/>
      <c r="K8" s="1893"/>
      <c r="L8" s="1893"/>
      <c r="M8" s="1893"/>
      <c r="N8" s="1895"/>
      <c r="O8" s="1895"/>
      <c r="P8" s="1895"/>
      <c r="Q8" s="1895"/>
      <c r="R8" s="1895"/>
      <c r="S8" s="1895"/>
      <c r="T8" s="1893"/>
      <c r="U8" s="1893"/>
      <c r="V8" s="1893"/>
      <c r="W8" s="1893"/>
      <c r="X8" s="332"/>
      <c r="Y8" s="1277"/>
      <c r="Z8" s="1519"/>
      <c r="AA8" s="1520"/>
      <c r="AB8" s="1520"/>
      <c r="AC8" s="1520"/>
      <c r="AD8" s="1520"/>
      <c r="AE8" s="1520"/>
      <c r="AF8" s="1521"/>
      <c r="AG8" s="1281"/>
      <c r="AH8" s="1467"/>
      <c r="AI8" s="1468"/>
      <c r="AJ8" s="1468"/>
      <c r="AK8" s="1468"/>
      <c r="AL8" s="1468"/>
      <c r="AM8" s="1468"/>
      <c r="AN8" s="1469"/>
      <c r="AO8" s="1474"/>
      <c r="AP8" s="1499"/>
      <c r="AQ8" s="1500"/>
      <c r="AR8" s="1500"/>
      <c r="AS8" s="1500"/>
      <c r="AT8" s="1500"/>
      <c r="AU8" s="1500"/>
      <c r="AV8" s="1501"/>
      <c r="AW8" s="1505"/>
      <c r="AX8" s="1479"/>
      <c r="AY8" s="1480"/>
      <c r="AZ8" s="1480"/>
      <c r="BA8" s="1480"/>
      <c r="BB8" s="1480"/>
      <c r="BC8" s="1480"/>
      <c r="BD8" s="1481"/>
      <c r="BE8" s="1485"/>
      <c r="BF8" s="1509"/>
      <c r="BG8" s="1510"/>
      <c r="BH8" s="1510"/>
      <c r="BI8" s="1510"/>
      <c r="BJ8" s="1510"/>
      <c r="BK8" s="1510"/>
      <c r="BL8" s="1511"/>
      <c r="BM8" s="1515"/>
      <c r="BN8" s="1490"/>
      <c r="BO8" s="1491"/>
      <c r="BP8" s="1491"/>
      <c r="BQ8" s="1491"/>
      <c r="BR8" s="1491"/>
      <c r="BS8" s="1491"/>
      <c r="BT8" s="1492"/>
      <c r="BU8" s="1283"/>
      <c r="BV8" s="1449"/>
      <c r="BW8" s="1450"/>
      <c r="BX8" s="1450"/>
      <c r="BY8" s="1450"/>
      <c r="BZ8" s="1450"/>
      <c r="CA8" s="1450"/>
      <c r="CB8" s="1451"/>
      <c r="CC8" s="1285"/>
      <c r="CD8" s="1440"/>
      <c r="CE8" s="1441"/>
      <c r="CF8" s="1441"/>
      <c r="CG8" s="1441"/>
      <c r="CH8" s="1441"/>
      <c r="CI8" s="1441"/>
      <c r="CJ8" s="1442"/>
      <c r="CK8" s="1287"/>
      <c r="CL8" s="1403"/>
      <c r="CM8" s="1404"/>
      <c r="CN8" s="1404"/>
      <c r="CO8" s="1404"/>
      <c r="CP8" s="1404"/>
      <c r="CQ8" s="1404"/>
      <c r="CR8" s="1405"/>
      <c r="CS8" s="1278"/>
      <c r="CT8" s="1412"/>
      <c r="CU8" s="1413"/>
      <c r="CV8" s="1413"/>
      <c r="CW8" s="1413"/>
      <c r="CX8" s="1413"/>
      <c r="CY8" s="1413"/>
      <c r="CZ8" s="1414"/>
      <c r="DA8" s="1419"/>
      <c r="DB8" s="1614"/>
      <c r="DC8" s="1615"/>
      <c r="DD8" s="1615"/>
      <c r="DE8" s="1615"/>
      <c r="DF8" s="1615"/>
      <c r="DG8" s="1615"/>
      <c r="DH8" s="1616"/>
      <c r="DI8" s="1422"/>
      <c r="DJ8" s="1427"/>
      <c r="DK8" s="1428"/>
      <c r="DL8" s="1428"/>
      <c r="DM8" s="1428"/>
      <c r="DN8" s="1428"/>
      <c r="DO8" s="1428"/>
      <c r="DP8" s="1429"/>
      <c r="DQ8" s="1347"/>
      <c r="DR8" s="1352"/>
      <c r="DS8" s="1353"/>
      <c r="DT8" s="1353"/>
      <c r="DU8" s="1353"/>
      <c r="DV8" s="1353"/>
      <c r="DW8" s="1353"/>
      <c r="DX8" s="1354"/>
      <c r="DY8" s="1359"/>
      <c r="DZ8" s="1364"/>
      <c r="EA8" s="1365"/>
      <c r="EB8" s="1365"/>
      <c r="EC8" s="1365"/>
      <c r="ED8" s="1365"/>
      <c r="EE8" s="1365"/>
      <c r="EF8" s="1366"/>
      <c r="EG8" s="1371"/>
      <c r="EH8" s="1376"/>
      <c r="EI8" s="1377"/>
      <c r="EJ8" s="1377"/>
      <c r="EK8" s="1377"/>
      <c r="EL8" s="1377"/>
      <c r="EM8" s="1377"/>
      <c r="EN8" s="1378"/>
      <c r="EO8" s="1175"/>
      <c r="EP8" s="1385"/>
      <c r="EQ8" s="1386"/>
      <c r="ER8" s="1386"/>
      <c r="ES8" s="1386"/>
      <c r="ET8" s="1386"/>
      <c r="EU8" s="1386"/>
      <c r="EV8" s="1387"/>
    </row>
    <row r="9" spans="1:152" ht="15" customHeight="1" thickBot="1">
      <c r="A9" s="1172"/>
      <c r="B9" s="1173"/>
      <c r="C9" s="1173"/>
      <c r="D9" s="1173"/>
      <c r="E9" s="1173"/>
      <c r="F9" s="1173"/>
      <c r="G9" s="1173"/>
      <c r="H9" s="1893"/>
      <c r="I9" s="1893"/>
      <c r="J9" s="1893"/>
      <c r="K9" s="1893"/>
      <c r="L9" s="1893"/>
      <c r="M9" s="1893"/>
      <c r="N9" s="1896"/>
      <c r="O9" s="1896"/>
      <c r="P9" s="1896"/>
      <c r="Q9" s="1896"/>
      <c r="R9" s="1896"/>
      <c r="S9" s="1896"/>
      <c r="T9" s="1893"/>
      <c r="U9" s="1893"/>
      <c r="V9" s="1893"/>
      <c r="W9" s="1893"/>
      <c r="X9" s="332"/>
      <c r="Y9" s="1277"/>
      <c r="Z9" s="1522"/>
      <c r="AA9" s="1523"/>
      <c r="AB9" s="1523"/>
      <c r="AC9" s="1523"/>
      <c r="AD9" s="1523"/>
      <c r="AE9" s="1523"/>
      <c r="AF9" s="1524"/>
      <c r="AG9" s="1281"/>
      <c r="AH9" s="1470"/>
      <c r="AI9" s="1471"/>
      <c r="AJ9" s="1471"/>
      <c r="AK9" s="1471"/>
      <c r="AL9" s="1471"/>
      <c r="AM9" s="1471"/>
      <c r="AN9" s="1472"/>
      <c r="AO9" s="1475"/>
      <c r="AP9" s="1502"/>
      <c r="AQ9" s="1503"/>
      <c r="AR9" s="1503"/>
      <c r="AS9" s="1503"/>
      <c r="AT9" s="1503"/>
      <c r="AU9" s="1503"/>
      <c r="AV9" s="1504"/>
      <c r="AW9" s="1505"/>
      <c r="AX9" s="1482"/>
      <c r="AY9" s="1483"/>
      <c r="AZ9" s="1483"/>
      <c r="BA9" s="1483"/>
      <c r="BB9" s="1483"/>
      <c r="BC9" s="1483"/>
      <c r="BD9" s="1484"/>
      <c r="BE9" s="1485"/>
      <c r="BF9" s="1512"/>
      <c r="BG9" s="1513"/>
      <c r="BH9" s="1513"/>
      <c r="BI9" s="1513"/>
      <c r="BJ9" s="1513"/>
      <c r="BK9" s="1513"/>
      <c r="BL9" s="1514"/>
      <c r="BM9" s="1515"/>
      <c r="BN9" s="1493"/>
      <c r="BO9" s="1494"/>
      <c r="BP9" s="1494"/>
      <c r="BQ9" s="1494"/>
      <c r="BR9" s="1494"/>
      <c r="BS9" s="1494"/>
      <c r="BT9" s="1495"/>
      <c r="BU9" s="1283"/>
      <c r="BV9" s="1452"/>
      <c r="BW9" s="1453"/>
      <c r="BX9" s="1453"/>
      <c r="BY9" s="1453"/>
      <c r="BZ9" s="1453"/>
      <c r="CA9" s="1453"/>
      <c r="CB9" s="1454"/>
      <c r="CC9" s="1285"/>
      <c r="CD9" s="1443"/>
      <c r="CE9" s="1444"/>
      <c r="CF9" s="1444"/>
      <c r="CG9" s="1444"/>
      <c r="CH9" s="1444"/>
      <c r="CI9" s="1444"/>
      <c r="CJ9" s="1445"/>
      <c r="CK9" s="1287"/>
      <c r="CL9" s="1406"/>
      <c r="CM9" s="1407"/>
      <c r="CN9" s="1407"/>
      <c r="CO9" s="1407"/>
      <c r="CP9" s="1407"/>
      <c r="CQ9" s="1407"/>
      <c r="CR9" s="1408"/>
      <c r="CS9" s="1278"/>
      <c r="CT9" s="1415"/>
      <c r="CU9" s="1416"/>
      <c r="CV9" s="1416"/>
      <c r="CW9" s="1416"/>
      <c r="CX9" s="1416"/>
      <c r="CY9" s="1416"/>
      <c r="CZ9" s="1417"/>
      <c r="DA9" s="1420"/>
      <c r="DB9" s="1617"/>
      <c r="DC9" s="1618"/>
      <c r="DD9" s="1618"/>
      <c r="DE9" s="1618"/>
      <c r="DF9" s="1618"/>
      <c r="DG9" s="1618"/>
      <c r="DH9" s="1619"/>
      <c r="DI9" s="1423"/>
      <c r="DJ9" s="1430"/>
      <c r="DK9" s="1431"/>
      <c r="DL9" s="1431"/>
      <c r="DM9" s="1431"/>
      <c r="DN9" s="1431"/>
      <c r="DO9" s="1431"/>
      <c r="DP9" s="1432"/>
      <c r="DQ9" s="1348"/>
      <c r="DR9" s="1355"/>
      <c r="DS9" s="1356"/>
      <c r="DT9" s="1356"/>
      <c r="DU9" s="1356"/>
      <c r="DV9" s="1356"/>
      <c r="DW9" s="1356"/>
      <c r="DX9" s="1357"/>
      <c r="DY9" s="1360"/>
      <c r="DZ9" s="1367"/>
      <c r="EA9" s="1368"/>
      <c r="EB9" s="1368"/>
      <c r="EC9" s="1368"/>
      <c r="ED9" s="1368"/>
      <c r="EE9" s="1368"/>
      <c r="EF9" s="1369"/>
      <c r="EG9" s="1372"/>
      <c r="EH9" s="1379"/>
      <c r="EI9" s="1380"/>
      <c r="EJ9" s="1380"/>
      <c r="EK9" s="1380"/>
      <c r="EL9" s="1380"/>
      <c r="EM9" s="1380"/>
      <c r="EN9" s="1381"/>
      <c r="EO9" s="1175"/>
      <c r="EP9" s="1388"/>
      <c r="EQ9" s="1389"/>
      <c r="ER9" s="1389"/>
      <c r="ES9" s="1389"/>
      <c r="ET9" s="1389"/>
      <c r="EU9" s="1389"/>
      <c r="EV9" s="1390"/>
    </row>
    <row r="10" spans="1:152" ht="15" customHeight="1">
      <c r="A10" s="1307">
        <v>1.1000000000000001</v>
      </c>
      <c r="B10" s="1897" t="s">
        <v>316</v>
      </c>
      <c r="C10" s="1898"/>
      <c r="D10" s="1898"/>
      <c r="E10" s="1898"/>
      <c r="F10" s="1898"/>
      <c r="G10" s="1899"/>
      <c r="H10" s="1205" t="str">
        <f>IF(ISBLANK(D$3),"",1)</f>
        <v/>
      </c>
      <c r="I10" s="1205" t="str">
        <f>IF(ISBLANK(H$3),"",1)</f>
        <v/>
      </c>
      <c r="J10" s="1205" t="str">
        <f>IF(ISBLANK(L$3),"",1)</f>
        <v/>
      </c>
      <c r="K10" s="1205" t="str">
        <f>IF(ISBLANK(P$3),"",1)</f>
        <v/>
      </c>
      <c r="L10" s="1205" t="str">
        <f>IF(ISBLANK(T$3),"",1)</f>
        <v/>
      </c>
      <c r="M10" s="1205" t="str">
        <f>IF(ISBLANK(X$3),"",1)</f>
        <v/>
      </c>
      <c r="N10" s="1342" t="str">
        <f>IF(ISBLANK(AB$3),"",1)</f>
        <v/>
      </c>
      <c r="O10" s="1342" t="str">
        <f>IF(ISBLANK(AF$3),"",1)</f>
        <v/>
      </c>
      <c r="P10" s="1342" t="str">
        <f>IF(ISBLANK(AJ$3),"",1)</f>
        <v/>
      </c>
      <c r="Q10" s="1342" t="str">
        <f>IF(ISBLANK(AN$3),"",1)</f>
        <v/>
      </c>
      <c r="R10" s="1342" t="str">
        <f>IF(ISBLANK(AR$3),"",1)</f>
        <v/>
      </c>
      <c r="S10" s="1342" t="str">
        <f>IF(ISBLANK(AV$3),"",1)</f>
        <v/>
      </c>
      <c r="T10" s="1342" t="str">
        <f>IF(ISBLANK(AZ$3),"",1)</f>
        <v/>
      </c>
      <c r="U10" s="1342" t="str">
        <f>IF(ISBLANK(BD$3),"",1)</f>
        <v/>
      </c>
      <c r="V10" s="1342" t="str">
        <f>IF(ISBLANK(BH$3),"",1)</f>
        <v/>
      </c>
      <c r="W10" s="1342" t="str">
        <f>IF(ISBLANK(BL$3),"",1)</f>
        <v/>
      </c>
      <c r="X10" s="332"/>
      <c r="Y10" s="1525">
        <v>4.3</v>
      </c>
      <c r="Z10" s="1526" t="s">
        <v>629</v>
      </c>
      <c r="AA10" s="1527"/>
      <c r="AB10" s="1527"/>
      <c r="AC10" s="1527"/>
      <c r="AD10" s="1527"/>
      <c r="AE10" s="1528"/>
      <c r="AF10" s="1205" t="str">
        <f>IF(ISBLANK(D$3),"",1)</f>
        <v/>
      </c>
      <c r="AG10" s="1258">
        <v>4.3</v>
      </c>
      <c r="AH10" s="1161" t="s">
        <v>404</v>
      </c>
      <c r="AI10" s="1162"/>
      <c r="AJ10" s="1162"/>
      <c r="AK10" s="1162"/>
      <c r="AL10" s="1162"/>
      <c r="AM10" s="1199"/>
      <c r="AN10" s="1205" t="str">
        <f>IF(ISBLANK(H$3),"",1)</f>
        <v/>
      </c>
      <c r="AO10" s="1258">
        <v>4.3</v>
      </c>
      <c r="AP10" s="1198" t="s">
        <v>387</v>
      </c>
      <c r="AQ10" s="1162"/>
      <c r="AR10" s="1162"/>
      <c r="AS10" s="1162"/>
      <c r="AT10" s="1162"/>
      <c r="AU10" s="1199"/>
      <c r="AV10" s="1226" t="str">
        <f>IF(ISBLANK(L$3),"",1)</f>
        <v/>
      </c>
      <c r="AW10" s="1196">
        <v>4.3</v>
      </c>
      <c r="AX10" s="1198" t="s">
        <v>404</v>
      </c>
      <c r="AY10" s="1162"/>
      <c r="AZ10" s="1162"/>
      <c r="BA10" s="1162"/>
      <c r="BB10" s="1162"/>
      <c r="BC10" s="1199"/>
      <c r="BD10" s="1226" t="str">
        <f>IF(ISBLANK(P$3),"",1)</f>
        <v/>
      </c>
      <c r="BE10" s="1258">
        <v>4.3</v>
      </c>
      <c r="BF10" s="1198" t="s">
        <v>398</v>
      </c>
      <c r="BG10" s="1162"/>
      <c r="BH10" s="1162"/>
      <c r="BI10" s="1162"/>
      <c r="BJ10" s="1162"/>
      <c r="BK10" s="1199"/>
      <c r="BL10" s="1226" t="str">
        <f>IF(ISBLANK(T$3),"",1)</f>
        <v/>
      </c>
      <c r="BM10" s="1258">
        <v>4.3</v>
      </c>
      <c r="BN10" s="1198" t="s">
        <v>398</v>
      </c>
      <c r="BO10" s="1162"/>
      <c r="BP10" s="1162"/>
      <c r="BQ10" s="1162"/>
      <c r="BR10" s="1162"/>
      <c r="BS10" s="1199"/>
      <c r="BT10" s="1226" t="str">
        <f>IF(ISBLANK(X$3),"",1)</f>
        <v/>
      </c>
      <c r="BU10" s="1322">
        <v>4.3</v>
      </c>
      <c r="BV10" s="1198" t="s">
        <v>387</v>
      </c>
      <c r="BW10" s="1162"/>
      <c r="BX10" s="1162"/>
      <c r="BY10" s="1162"/>
      <c r="BZ10" s="1162"/>
      <c r="CA10" s="1265"/>
      <c r="CB10" s="1205" t="str">
        <f>IF(ISBLANK(AB$3),"",1)</f>
        <v/>
      </c>
      <c r="CC10" s="1322">
        <v>4.3</v>
      </c>
      <c r="CD10" s="1198" t="s">
        <v>387</v>
      </c>
      <c r="CE10" s="1162"/>
      <c r="CF10" s="1162"/>
      <c r="CG10" s="1162"/>
      <c r="CH10" s="1162"/>
      <c r="CI10" s="1265"/>
      <c r="CJ10" s="1205" t="str">
        <f>IF(ISBLANK(AF$3),"",1)</f>
        <v/>
      </c>
      <c r="CK10" s="1258">
        <v>4.3</v>
      </c>
      <c r="CL10" s="1198" t="s">
        <v>409</v>
      </c>
      <c r="CM10" s="1162"/>
      <c r="CN10" s="1162"/>
      <c r="CO10" s="1162"/>
      <c r="CP10" s="1162"/>
      <c r="CQ10" s="1265"/>
      <c r="CR10" s="1205" t="str">
        <f>IF(ISBLANK(AJ$3),"",1)</f>
        <v/>
      </c>
      <c r="CS10" s="1258">
        <v>4.3</v>
      </c>
      <c r="CT10" s="1198" t="s">
        <v>387</v>
      </c>
      <c r="CU10" s="1162"/>
      <c r="CV10" s="1162"/>
      <c r="CW10" s="1162"/>
      <c r="CX10" s="1162"/>
      <c r="CY10" s="1265"/>
      <c r="CZ10" s="1205" t="str">
        <f>IF(ISBLANK(AN$3),"",1)</f>
        <v/>
      </c>
      <c r="DA10" s="1258">
        <v>4.3</v>
      </c>
      <c r="DB10" s="1198" t="s">
        <v>398</v>
      </c>
      <c r="DC10" s="1162"/>
      <c r="DD10" s="1162"/>
      <c r="DE10" s="1162"/>
      <c r="DF10" s="1162"/>
      <c r="DG10" s="1199"/>
      <c r="DH10" s="1226" t="str">
        <f>IF(ISBLANK(AF$3),"",1)</f>
        <v/>
      </c>
      <c r="DI10" s="1258">
        <v>4.3</v>
      </c>
      <c r="DJ10" s="1198" t="s">
        <v>398</v>
      </c>
      <c r="DK10" s="1162"/>
      <c r="DL10" s="1162"/>
      <c r="DM10" s="1162"/>
      <c r="DN10" s="1162"/>
      <c r="DO10" s="1199"/>
      <c r="DP10" s="1226" t="str">
        <f>IF(ISBLANK(AV$3),"",1)</f>
        <v/>
      </c>
      <c r="DQ10" s="1258">
        <v>4.3</v>
      </c>
      <c r="DR10" s="1198" t="s">
        <v>398</v>
      </c>
      <c r="DS10" s="1162"/>
      <c r="DT10" s="1162"/>
      <c r="DU10" s="1162"/>
      <c r="DV10" s="1162"/>
      <c r="DW10" s="1199"/>
      <c r="DX10" s="1226" t="str">
        <f>IF(ISBLANK(AZ$3),"",1)</f>
        <v/>
      </c>
      <c r="DY10" s="1258">
        <v>4.3</v>
      </c>
      <c r="DZ10" s="1198" t="s">
        <v>398</v>
      </c>
      <c r="EA10" s="1162"/>
      <c r="EB10" s="1162"/>
      <c r="EC10" s="1162"/>
      <c r="ED10" s="1162"/>
      <c r="EE10" s="1199"/>
      <c r="EF10" s="1226" t="str">
        <f>IF(ISBLANK(BD$3),"",1)</f>
        <v/>
      </c>
      <c r="EG10" s="1258">
        <v>4.3</v>
      </c>
      <c r="EH10" s="1198" t="s">
        <v>387</v>
      </c>
      <c r="EI10" s="1162"/>
      <c r="EJ10" s="1162"/>
      <c r="EK10" s="1162"/>
      <c r="EL10" s="1162"/>
      <c r="EM10" s="1199"/>
      <c r="EN10" s="1226" t="str">
        <f>IF(ISBLANK(BH$3),"",1)</f>
        <v/>
      </c>
      <c r="EO10" s="1196">
        <v>4.3</v>
      </c>
      <c r="EP10" s="1198" t="s">
        <v>398</v>
      </c>
      <c r="EQ10" s="1162"/>
      <c r="ER10" s="1162"/>
      <c r="ES10" s="1162"/>
      <c r="ET10" s="1162"/>
      <c r="EU10" s="1199"/>
      <c r="EV10" s="1226" t="str">
        <f>IF(ISBLANK(BL$3),"",1)</f>
        <v/>
      </c>
    </row>
    <row r="11" spans="1:152" ht="15" customHeight="1">
      <c r="A11" s="1308"/>
      <c r="B11" s="1900"/>
      <c r="C11" s="1901"/>
      <c r="D11" s="1901"/>
      <c r="E11" s="1901"/>
      <c r="F11" s="1901"/>
      <c r="G11" s="1902"/>
      <c r="H11" s="1206"/>
      <c r="I11" s="1206"/>
      <c r="J11" s="1206"/>
      <c r="K11" s="1206"/>
      <c r="L11" s="1206"/>
      <c r="M11" s="1206"/>
      <c r="N11" s="1342"/>
      <c r="O11" s="1342"/>
      <c r="P11" s="1342"/>
      <c r="Q11" s="1342"/>
      <c r="R11" s="1342"/>
      <c r="S11" s="1342"/>
      <c r="T11" s="1342"/>
      <c r="U11" s="1342"/>
      <c r="V11" s="1342"/>
      <c r="W11" s="1342"/>
      <c r="X11" s="332"/>
      <c r="Y11" s="1302"/>
      <c r="Z11" s="1317"/>
      <c r="AA11" s="1296"/>
      <c r="AB11" s="1296"/>
      <c r="AC11" s="1296"/>
      <c r="AD11" s="1296"/>
      <c r="AE11" s="1318"/>
      <c r="AF11" s="1206"/>
      <c r="AG11" s="1258"/>
      <c r="AH11" s="1163"/>
      <c r="AI11" s="1164"/>
      <c r="AJ11" s="1164"/>
      <c r="AK11" s="1164"/>
      <c r="AL11" s="1164"/>
      <c r="AM11" s="1201"/>
      <c r="AN11" s="1206"/>
      <c r="AO11" s="1258"/>
      <c r="AP11" s="1200"/>
      <c r="AQ11" s="1164"/>
      <c r="AR11" s="1164"/>
      <c r="AS11" s="1164"/>
      <c r="AT11" s="1164"/>
      <c r="AU11" s="1201"/>
      <c r="AV11" s="1342"/>
      <c r="AW11" s="1197"/>
      <c r="AX11" s="1200"/>
      <c r="AY11" s="1164"/>
      <c r="AZ11" s="1164"/>
      <c r="BA11" s="1164"/>
      <c r="BB11" s="1164"/>
      <c r="BC11" s="1201"/>
      <c r="BD11" s="1342"/>
      <c r="BE11" s="1258"/>
      <c r="BF11" s="1200"/>
      <c r="BG11" s="1164"/>
      <c r="BH11" s="1164"/>
      <c r="BI11" s="1164"/>
      <c r="BJ11" s="1164"/>
      <c r="BK11" s="1201"/>
      <c r="BL11" s="1342"/>
      <c r="BM11" s="1258"/>
      <c r="BN11" s="1200"/>
      <c r="BO11" s="1164"/>
      <c r="BP11" s="1164"/>
      <c r="BQ11" s="1164"/>
      <c r="BR11" s="1164"/>
      <c r="BS11" s="1201"/>
      <c r="BT11" s="1342"/>
      <c r="BU11" s="1293"/>
      <c r="BV11" s="1200"/>
      <c r="BW11" s="1164"/>
      <c r="BX11" s="1164"/>
      <c r="BY11" s="1164"/>
      <c r="BZ11" s="1164"/>
      <c r="CA11" s="1266"/>
      <c r="CB11" s="1206"/>
      <c r="CC11" s="1293"/>
      <c r="CD11" s="1200"/>
      <c r="CE11" s="1164"/>
      <c r="CF11" s="1164"/>
      <c r="CG11" s="1164"/>
      <c r="CH11" s="1164"/>
      <c r="CI11" s="1266"/>
      <c r="CJ11" s="1206"/>
      <c r="CK11" s="1258"/>
      <c r="CL11" s="1200"/>
      <c r="CM11" s="1164"/>
      <c r="CN11" s="1164"/>
      <c r="CO11" s="1164"/>
      <c r="CP11" s="1164"/>
      <c r="CQ11" s="1266"/>
      <c r="CR11" s="1206"/>
      <c r="CS11" s="1258"/>
      <c r="CT11" s="1200"/>
      <c r="CU11" s="1164"/>
      <c r="CV11" s="1164"/>
      <c r="CW11" s="1164"/>
      <c r="CX11" s="1164"/>
      <c r="CY11" s="1266"/>
      <c r="CZ11" s="1206"/>
      <c r="DA11" s="1258"/>
      <c r="DB11" s="1200"/>
      <c r="DC11" s="1164"/>
      <c r="DD11" s="1164"/>
      <c r="DE11" s="1164"/>
      <c r="DF11" s="1164"/>
      <c r="DG11" s="1201"/>
      <c r="DH11" s="1342"/>
      <c r="DI11" s="1258"/>
      <c r="DJ11" s="1200"/>
      <c r="DK11" s="1164"/>
      <c r="DL11" s="1164"/>
      <c r="DM11" s="1164"/>
      <c r="DN11" s="1164"/>
      <c r="DO11" s="1201"/>
      <c r="DP11" s="1342"/>
      <c r="DQ11" s="1258"/>
      <c r="DR11" s="1200"/>
      <c r="DS11" s="1164"/>
      <c r="DT11" s="1164"/>
      <c r="DU11" s="1164"/>
      <c r="DV11" s="1164"/>
      <c r="DW11" s="1201"/>
      <c r="DX11" s="1342"/>
      <c r="DY11" s="1258"/>
      <c r="DZ11" s="1200"/>
      <c r="EA11" s="1164"/>
      <c r="EB11" s="1164"/>
      <c r="EC11" s="1164"/>
      <c r="ED11" s="1164"/>
      <c r="EE11" s="1201"/>
      <c r="EF11" s="1342"/>
      <c r="EG11" s="1258"/>
      <c r="EH11" s="1200"/>
      <c r="EI11" s="1164"/>
      <c r="EJ11" s="1164"/>
      <c r="EK11" s="1164"/>
      <c r="EL11" s="1164"/>
      <c r="EM11" s="1201"/>
      <c r="EN11" s="1342"/>
      <c r="EO11" s="1197"/>
      <c r="EP11" s="1200"/>
      <c r="EQ11" s="1164"/>
      <c r="ER11" s="1164"/>
      <c r="ES11" s="1164"/>
      <c r="ET11" s="1164"/>
      <c r="EU11" s="1201"/>
      <c r="EV11" s="1342"/>
    </row>
    <row r="12" spans="1:152" ht="15" customHeight="1">
      <c r="A12" s="1309"/>
      <c r="B12" s="1903"/>
      <c r="C12" s="1904"/>
      <c r="D12" s="1904"/>
      <c r="E12" s="1904"/>
      <c r="F12" s="1904"/>
      <c r="G12" s="1905"/>
      <c r="H12" s="1207"/>
      <c r="I12" s="1207"/>
      <c r="J12" s="1207"/>
      <c r="K12" s="1207"/>
      <c r="L12" s="1207"/>
      <c r="M12" s="1207"/>
      <c r="N12" s="1342"/>
      <c r="O12" s="1342"/>
      <c r="P12" s="1342"/>
      <c r="Q12" s="1342"/>
      <c r="R12" s="1342"/>
      <c r="S12" s="1342"/>
      <c r="T12" s="1342"/>
      <c r="U12" s="1342"/>
      <c r="V12" s="1342"/>
      <c r="W12" s="1342"/>
      <c r="X12" s="332"/>
      <c r="Y12" s="1303"/>
      <c r="Z12" s="1319"/>
      <c r="AA12" s="1320"/>
      <c r="AB12" s="1320"/>
      <c r="AC12" s="1320"/>
      <c r="AD12" s="1320"/>
      <c r="AE12" s="1321"/>
      <c r="AF12" s="1207"/>
      <c r="AG12" s="1258"/>
      <c r="AH12" s="1165"/>
      <c r="AI12" s="1166"/>
      <c r="AJ12" s="1166"/>
      <c r="AK12" s="1166"/>
      <c r="AL12" s="1166"/>
      <c r="AM12" s="1292"/>
      <c r="AN12" s="1207"/>
      <c r="AO12" s="1258"/>
      <c r="AP12" s="1202"/>
      <c r="AQ12" s="1203"/>
      <c r="AR12" s="1203"/>
      <c r="AS12" s="1203"/>
      <c r="AT12" s="1203"/>
      <c r="AU12" s="1204"/>
      <c r="AV12" s="1342"/>
      <c r="AW12" s="1197"/>
      <c r="AX12" s="1202"/>
      <c r="AY12" s="1203"/>
      <c r="AZ12" s="1203"/>
      <c r="BA12" s="1203"/>
      <c r="BB12" s="1203"/>
      <c r="BC12" s="1204"/>
      <c r="BD12" s="1342"/>
      <c r="BE12" s="1258"/>
      <c r="BF12" s="1202"/>
      <c r="BG12" s="1203"/>
      <c r="BH12" s="1203"/>
      <c r="BI12" s="1203"/>
      <c r="BJ12" s="1203"/>
      <c r="BK12" s="1204"/>
      <c r="BL12" s="1342"/>
      <c r="BM12" s="1258"/>
      <c r="BN12" s="1202"/>
      <c r="BO12" s="1203"/>
      <c r="BP12" s="1203"/>
      <c r="BQ12" s="1203"/>
      <c r="BR12" s="1203"/>
      <c r="BS12" s="1204"/>
      <c r="BT12" s="1342"/>
      <c r="BU12" s="1294"/>
      <c r="BV12" s="1202"/>
      <c r="BW12" s="1203"/>
      <c r="BX12" s="1203"/>
      <c r="BY12" s="1203"/>
      <c r="BZ12" s="1203"/>
      <c r="CA12" s="1305"/>
      <c r="CB12" s="1207"/>
      <c r="CC12" s="1294"/>
      <c r="CD12" s="1202"/>
      <c r="CE12" s="1203"/>
      <c r="CF12" s="1203"/>
      <c r="CG12" s="1203"/>
      <c r="CH12" s="1203"/>
      <c r="CI12" s="1305"/>
      <c r="CJ12" s="1207"/>
      <c r="CK12" s="1258"/>
      <c r="CL12" s="1202"/>
      <c r="CM12" s="1203"/>
      <c r="CN12" s="1203"/>
      <c r="CO12" s="1203"/>
      <c r="CP12" s="1203"/>
      <c r="CQ12" s="1305"/>
      <c r="CR12" s="1207"/>
      <c r="CS12" s="1258"/>
      <c r="CT12" s="1202"/>
      <c r="CU12" s="1203"/>
      <c r="CV12" s="1203"/>
      <c r="CW12" s="1203"/>
      <c r="CX12" s="1203"/>
      <c r="CY12" s="1305"/>
      <c r="CZ12" s="1207"/>
      <c r="DA12" s="1258"/>
      <c r="DB12" s="1202"/>
      <c r="DC12" s="1203"/>
      <c r="DD12" s="1203"/>
      <c r="DE12" s="1203"/>
      <c r="DF12" s="1203"/>
      <c r="DG12" s="1204"/>
      <c r="DH12" s="1342"/>
      <c r="DI12" s="1258"/>
      <c r="DJ12" s="1202"/>
      <c r="DK12" s="1203"/>
      <c r="DL12" s="1203"/>
      <c r="DM12" s="1203"/>
      <c r="DN12" s="1203"/>
      <c r="DO12" s="1204"/>
      <c r="DP12" s="1342"/>
      <c r="DQ12" s="1258"/>
      <c r="DR12" s="1202"/>
      <c r="DS12" s="1203"/>
      <c r="DT12" s="1203"/>
      <c r="DU12" s="1203"/>
      <c r="DV12" s="1203"/>
      <c r="DW12" s="1204"/>
      <c r="DX12" s="1342"/>
      <c r="DY12" s="1258"/>
      <c r="DZ12" s="1202"/>
      <c r="EA12" s="1203"/>
      <c r="EB12" s="1203"/>
      <c r="EC12" s="1203"/>
      <c r="ED12" s="1203"/>
      <c r="EE12" s="1204"/>
      <c r="EF12" s="1342"/>
      <c r="EG12" s="1258"/>
      <c r="EH12" s="1202"/>
      <c r="EI12" s="1203"/>
      <c r="EJ12" s="1203"/>
      <c r="EK12" s="1203"/>
      <c r="EL12" s="1203"/>
      <c r="EM12" s="1204"/>
      <c r="EN12" s="1342"/>
      <c r="EO12" s="1197"/>
      <c r="EP12" s="1202"/>
      <c r="EQ12" s="1203"/>
      <c r="ER12" s="1203"/>
      <c r="ES12" s="1203"/>
      <c r="ET12" s="1203"/>
      <c r="EU12" s="1204"/>
      <c r="EV12" s="1342"/>
    </row>
    <row r="13" spans="1:152" ht="15" customHeight="1">
      <c r="A13" s="1304">
        <v>2.4</v>
      </c>
      <c r="B13" s="1897" t="s">
        <v>320</v>
      </c>
      <c r="C13" s="1898"/>
      <c r="D13" s="1898"/>
      <c r="E13" s="1898"/>
      <c r="F13" s="1898"/>
      <c r="G13" s="1899"/>
      <c r="H13" s="1205" t="str">
        <f t="shared" ref="H13" si="0">IF(ISBLANK(D$3),"",1)</f>
        <v/>
      </c>
      <c r="I13" s="1205" t="str">
        <f>IF(ISBLANK(H$3),"",1)</f>
        <v/>
      </c>
      <c r="J13" s="1205" t="str">
        <f>IF(ISBLANK(L$3),"",1)</f>
        <v/>
      </c>
      <c r="K13" s="1205" t="str">
        <f>IF(ISBLANK(P$3),"",1)</f>
        <v/>
      </c>
      <c r="L13" s="1205" t="str">
        <f>IF(ISBLANK(T$3),"",1)</f>
        <v/>
      </c>
      <c r="M13" s="1205" t="str">
        <f>IF(ISBLANK(X$3),"",1)</f>
        <v/>
      </c>
      <c r="N13" s="1342" t="str">
        <f>IF(ISBLANK(AB$3),"",1)</f>
        <v/>
      </c>
      <c r="O13" s="1342" t="str">
        <f>IF(ISBLANK(AF$3),"",1)</f>
        <v/>
      </c>
      <c r="P13" s="1342" t="str">
        <f>IF(ISBLANK(AJ$3),"",1)</f>
        <v/>
      </c>
      <c r="Q13" s="1342" t="str">
        <f>IF(ISBLANK(AN$3),"",1)</f>
        <v/>
      </c>
      <c r="R13" s="1342" t="str">
        <f>IF(ISBLANK(AR$3),"",1)</f>
        <v/>
      </c>
      <c r="S13" s="1342" t="str">
        <f>IF(ISBLANK(AV$3),"",1)</f>
        <v/>
      </c>
      <c r="T13" s="1342" t="str">
        <f>IF(ISBLANK(AZ$3),"",1)</f>
        <v/>
      </c>
      <c r="U13" s="1342" t="str">
        <f>IF(ISBLANK(BD$3),"",1)</f>
        <v/>
      </c>
      <c r="V13" s="1342" t="str">
        <f>IF(ISBLANK(BH$3),"",1)</f>
        <v/>
      </c>
      <c r="W13" s="1342" t="str">
        <f>IF(ISBLANK(BL$3),"",1)</f>
        <v/>
      </c>
      <c r="X13" s="332"/>
      <c r="Y13" s="1304">
        <v>4.3</v>
      </c>
      <c r="Z13" s="1161" t="s">
        <v>399</v>
      </c>
      <c r="AA13" s="1162"/>
      <c r="AB13" s="1162"/>
      <c r="AC13" s="1162"/>
      <c r="AD13" s="1162"/>
      <c r="AE13" s="1199"/>
      <c r="AF13" s="1205" t="str">
        <f>IF(ISBLANK(D$3),"",1)</f>
        <v/>
      </c>
      <c r="AG13" s="1304">
        <v>4.3</v>
      </c>
      <c r="AH13" s="1161" t="s">
        <v>405</v>
      </c>
      <c r="AI13" s="1162"/>
      <c r="AJ13" s="1162"/>
      <c r="AK13" s="1162"/>
      <c r="AL13" s="1162"/>
      <c r="AM13" s="1199"/>
      <c r="AN13" s="1205" t="str">
        <f>IF(ISBLANK(H$3),"",1)</f>
        <v/>
      </c>
      <c r="AO13" s="1304">
        <v>4.3</v>
      </c>
      <c r="AP13" s="1198" t="s">
        <v>405</v>
      </c>
      <c r="AQ13" s="1162"/>
      <c r="AR13" s="1162"/>
      <c r="AS13" s="1162"/>
      <c r="AT13" s="1162"/>
      <c r="AU13" s="1199"/>
      <c r="AV13" s="1226" t="str">
        <f t="shared" ref="AV13" si="1">IF(ISBLANK(L$3),"",1)</f>
        <v/>
      </c>
      <c r="AW13" s="1304">
        <v>4.3</v>
      </c>
      <c r="AX13" s="1198" t="s">
        <v>891</v>
      </c>
      <c r="AY13" s="1162"/>
      <c r="AZ13" s="1162"/>
      <c r="BA13" s="1162"/>
      <c r="BB13" s="1162"/>
      <c r="BC13" s="1199"/>
      <c r="BD13" s="1226" t="str">
        <f t="shared" ref="BD13" si="2">IF(ISBLANK(P$3),"",1)</f>
        <v/>
      </c>
      <c r="BE13" s="1304">
        <v>4.3</v>
      </c>
      <c r="BF13" s="1198" t="s">
        <v>891</v>
      </c>
      <c r="BG13" s="1162"/>
      <c r="BH13" s="1162"/>
      <c r="BI13" s="1162"/>
      <c r="BJ13" s="1162"/>
      <c r="BK13" s="1199"/>
      <c r="BL13" s="1226" t="str">
        <f t="shared" ref="BL13" si="3">IF(ISBLANK(T$3),"",1)</f>
        <v/>
      </c>
      <c r="BM13" s="1304">
        <v>4.3</v>
      </c>
      <c r="BN13" s="1198" t="s">
        <v>891</v>
      </c>
      <c r="BO13" s="1162"/>
      <c r="BP13" s="1162"/>
      <c r="BQ13" s="1162"/>
      <c r="BR13" s="1162"/>
      <c r="BS13" s="1199"/>
      <c r="BT13" s="1226" t="str">
        <f t="shared" ref="BT13" si="4">IF(ISBLANK(X$3),"",1)</f>
        <v/>
      </c>
      <c r="BU13" s="1322">
        <v>4.3</v>
      </c>
      <c r="BV13" s="1198" t="s">
        <v>388</v>
      </c>
      <c r="BW13" s="1162"/>
      <c r="BX13" s="1162"/>
      <c r="BY13" s="1162"/>
      <c r="BZ13" s="1162"/>
      <c r="CA13" s="1265"/>
      <c r="CB13" s="1205" t="str">
        <f t="shared" ref="CB13" si="5">IF(ISBLANK(AB$3),"",1)</f>
        <v/>
      </c>
      <c r="CC13" s="1322">
        <v>4.3</v>
      </c>
      <c r="CD13" s="1198" t="s">
        <v>388</v>
      </c>
      <c r="CE13" s="1162"/>
      <c r="CF13" s="1162"/>
      <c r="CG13" s="1162"/>
      <c r="CH13" s="1162"/>
      <c r="CI13" s="1265"/>
      <c r="CJ13" s="1205" t="str">
        <f t="shared" ref="CJ13" si="6">IF(ISBLANK(AF$3),"",1)</f>
        <v/>
      </c>
      <c r="CK13" s="1304">
        <v>4.3</v>
      </c>
      <c r="CL13" s="1455" t="s">
        <v>639</v>
      </c>
      <c r="CM13" s="1456"/>
      <c r="CN13" s="1456"/>
      <c r="CO13" s="1456"/>
      <c r="CP13" s="1456"/>
      <c r="CQ13" s="1457"/>
      <c r="CR13" s="1205" t="str">
        <f t="shared" ref="CR13" si="7">IF(ISBLANK(AJ$3),"",1)</f>
        <v/>
      </c>
      <c r="CS13" s="1258">
        <v>4.4000000000000004</v>
      </c>
      <c r="CT13" s="1198" t="s">
        <v>388</v>
      </c>
      <c r="CU13" s="1162"/>
      <c r="CV13" s="1162"/>
      <c r="CW13" s="1162"/>
      <c r="CX13" s="1162"/>
      <c r="CY13" s="1265"/>
      <c r="CZ13" s="1205" t="str">
        <f t="shared" ref="CZ13" si="8">IF(ISBLANK(AN$3),"",1)</f>
        <v/>
      </c>
      <c r="DA13" s="1258">
        <v>4.3</v>
      </c>
      <c r="DB13" s="1198" t="s">
        <v>388</v>
      </c>
      <c r="DC13" s="1162"/>
      <c r="DD13" s="1162"/>
      <c r="DE13" s="1162"/>
      <c r="DF13" s="1162"/>
      <c r="DG13" s="1199"/>
      <c r="DH13" s="1226" t="str">
        <f t="shared" ref="DH13" si="9">IF(ISBLANK(AF$3),"",1)</f>
        <v/>
      </c>
      <c r="DI13" s="1258">
        <v>4.3</v>
      </c>
      <c r="DJ13" s="1198" t="s">
        <v>388</v>
      </c>
      <c r="DK13" s="1162"/>
      <c r="DL13" s="1162"/>
      <c r="DM13" s="1162"/>
      <c r="DN13" s="1162"/>
      <c r="DO13" s="1199"/>
      <c r="DP13" s="1226" t="str">
        <f t="shared" ref="DP13" si="10">IF(ISBLANK(AV$3),"",1)</f>
        <v/>
      </c>
      <c r="DQ13" s="1258">
        <v>4.3</v>
      </c>
      <c r="DR13" s="1198" t="s">
        <v>388</v>
      </c>
      <c r="DS13" s="1162"/>
      <c r="DT13" s="1162"/>
      <c r="DU13" s="1162"/>
      <c r="DV13" s="1162"/>
      <c r="DW13" s="1199"/>
      <c r="DX13" s="1226" t="str">
        <f t="shared" ref="DX13" si="11">IF(ISBLANK(AZ$3),"",1)</f>
        <v/>
      </c>
      <c r="DY13" s="1258">
        <v>4.3</v>
      </c>
      <c r="DZ13" s="1198" t="s">
        <v>388</v>
      </c>
      <c r="EA13" s="1162"/>
      <c r="EB13" s="1162"/>
      <c r="EC13" s="1162"/>
      <c r="ED13" s="1162"/>
      <c r="EE13" s="1199"/>
      <c r="EF13" s="1226" t="str">
        <f t="shared" ref="EF13" si="12">IF(ISBLANK(BD$3),"",1)</f>
        <v/>
      </c>
      <c r="EG13" s="1258">
        <v>4.3</v>
      </c>
      <c r="EH13" s="1198" t="s">
        <v>388</v>
      </c>
      <c r="EI13" s="1162"/>
      <c r="EJ13" s="1162"/>
      <c r="EK13" s="1162"/>
      <c r="EL13" s="1162"/>
      <c r="EM13" s="1199"/>
      <c r="EN13" s="1226" t="str">
        <f t="shared" ref="EN13" si="13">IF(ISBLANK(BH$3),"",1)</f>
        <v/>
      </c>
      <c r="EO13" s="1196">
        <v>4.3</v>
      </c>
      <c r="EP13" s="1198" t="s">
        <v>388</v>
      </c>
      <c r="EQ13" s="1162"/>
      <c r="ER13" s="1162"/>
      <c r="ES13" s="1162"/>
      <c r="ET13" s="1162"/>
      <c r="EU13" s="1199"/>
      <c r="EV13" s="1226" t="str">
        <f t="shared" ref="EV13" si="14">IF(ISBLANK(BL$3),"",1)</f>
        <v/>
      </c>
    </row>
    <row r="14" spans="1:152" ht="15" customHeight="1">
      <c r="A14" s="1290"/>
      <c r="B14" s="1900"/>
      <c r="C14" s="1901"/>
      <c r="D14" s="1901"/>
      <c r="E14" s="1901"/>
      <c r="F14" s="1901"/>
      <c r="G14" s="1902"/>
      <c r="H14" s="1206"/>
      <c r="I14" s="1206"/>
      <c r="J14" s="1206"/>
      <c r="K14" s="1206"/>
      <c r="L14" s="1206"/>
      <c r="M14" s="1206"/>
      <c r="N14" s="1342"/>
      <c r="O14" s="1342"/>
      <c r="P14" s="1342"/>
      <c r="Q14" s="1342"/>
      <c r="R14" s="1342"/>
      <c r="S14" s="1342"/>
      <c r="T14" s="1342"/>
      <c r="U14" s="1342"/>
      <c r="V14" s="1342"/>
      <c r="W14" s="1342"/>
      <c r="X14" s="332"/>
      <c r="Y14" s="1290"/>
      <c r="Z14" s="1163"/>
      <c r="AA14" s="1164"/>
      <c r="AB14" s="1164"/>
      <c r="AC14" s="1164"/>
      <c r="AD14" s="1164"/>
      <c r="AE14" s="1201"/>
      <c r="AF14" s="1206"/>
      <c r="AG14" s="1290"/>
      <c r="AH14" s="1163"/>
      <c r="AI14" s="1164"/>
      <c r="AJ14" s="1164"/>
      <c r="AK14" s="1164"/>
      <c r="AL14" s="1164"/>
      <c r="AM14" s="1201"/>
      <c r="AN14" s="1206"/>
      <c r="AO14" s="1290"/>
      <c r="AP14" s="1200"/>
      <c r="AQ14" s="1164"/>
      <c r="AR14" s="1164"/>
      <c r="AS14" s="1164"/>
      <c r="AT14" s="1164"/>
      <c r="AU14" s="1201"/>
      <c r="AV14" s="1342"/>
      <c r="AW14" s="1290"/>
      <c r="AX14" s="1200"/>
      <c r="AY14" s="1164"/>
      <c r="AZ14" s="1164"/>
      <c r="BA14" s="1164"/>
      <c r="BB14" s="1164"/>
      <c r="BC14" s="1201"/>
      <c r="BD14" s="1342"/>
      <c r="BE14" s="1290"/>
      <c r="BF14" s="1200"/>
      <c r="BG14" s="1164"/>
      <c r="BH14" s="1164"/>
      <c r="BI14" s="1164"/>
      <c r="BJ14" s="1164"/>
      <c r="BK14" s="1201"/>
      <c r="BL14" s="1342"/>
      <c r="BM14" s="1290"/>
      <c r="BN14" s="1200"/>
      <c r="BO14" s="1164"/>
      <c r="BP14" s="1164"/>
      <c r="BQ14" s="1164"/>
      <c r="BR14" s="1164"/>
      <c r="BS14" s="1201"/>
      <c r="BT14" s="1342"/>
      <c r="BU14" s="1293"/>
      <c r="BV14" s="1200" t="s">
        <v>389</v>
      </c>
      <c r="BW14" s="1164"/>
      <c r="BX14" s="1164"/>
      <c r="BY14" s="1164"/>
      <c r="BZ14" s="1164"/>
      <c r="CA14" s="1266"/>
      <c r="CB14" s="1206"/>
      <c r="CC14" s="1293"/>
      <c r="CD14" s="1200"/>
      <c r="CE14" s="1164"/>
      <c r="CF14" s="1164"/>
      <c r="CG14" s="1164"/>
      <c r="CH14" s="1164"/>
      <c r="CI14" s="1266"/>
      <c r="CJ14" s="1206"/>
      <c r="CK14" s="1290"/>
      <c r="CL14" s="1458"/>
      <c r="CM14" s="1459"/>
      <c r="CN14" s="1459"/>
      <c r="CO14" s="1459"/>
      <c r="CP14" s="1459"/>
      <c r="CQ14" s="1460"/>
      <c r="CR14" s="1206"/>
      <c r="CS14" s="1258"/>
      <c r="CT14" s="1200"/>
      <c r="CU14" s="1164"/>
      <c r="CV14" s="1164"/>
      <c r="CW14" s="1164"/>
      <c r="CX14" s="1164"/>
      <c r="CY14" s="1266"/>
      <c r="CZ14" s="1206"/>
      <c r="DA14" s="1258"/>
      <c r="DB14" s="1200"/>
      <c r="DC14" s="1164"/>
      <c r="DD14" s="1164"/>
      <c r="DE14" s="1164"/>
      <c r="DF14" s="1164"/>
      <c r="DG14" s="1201"/>
      <c r="DH14" s="1342"/>
      <c r="DI14" s="1258"/>
      <c r="DJ14" s="1200"/>
      <c r="DK14" s="1164"/>
      <c r="DL14" s="1164"/>
      <c r="DM14" s="1164"/>
      <c r="DN14" s="1164"/>
      <c r="DO14" s="1201"/>
      <c r="DP14" s="1342"/>
      <c r="DQ14" s="1258"/>
      <c r="DR14" s="1200"/>
      <c r="DS14" s="1164"/>
      <c r="DT14" s="1164"/>
      <c r="DU14" s="1164"/>
      <c r="DV14" s="1164"/>
      <c r="DW14" s="1201"/>
      <c r="DX14" s="1342"/>
      <c r="DY14" s="1258"/>
      <c r="DZ14" s="1200"/>
      <c r="EA14" s="1164"/>
      <c r="EB14" s="1164"/>
      <c r="EC14" s="1164"/>
      <c r="ED14" s="1164"/>
      <c r="EE14" s="1201"/>
      <c r="EF14" s="1342"/>
      <c r="EG14" s="1258"/>
      <c r="EH14" s="1200"/>
      <c r="EI14" s="1164"/>
      <c r="EJ14" s="1164"/>
      <c r="EK14" s="1164"/>
      <c r="EL14" s="1164"/>
      <c r="EM14" s="1201"/>
      <c r="EN14" s="1342"/>
      <c r="EO14" s="1197"/>
      <c r="EP14" s="1200"/>
      <c r="EQ14" s="1164"/>
      <c r="ER14" s="1164"/>
      <c r="ES14" s="1164"/>
      <c r="ET14" s="1164"/>
      <c r="EU14" s="1201"/>
      <c r="EV14" s="1342"/>
    </row>
    <row r="15" spans="1:152" ht="15" customHeight="1">
      <c r="A15" s="1291"/>
      <c r="B15" s="1903"/>
      <c r="C15" s="1904"/>
      <c r="D15" s="1904"/>
      <c r="E15" s="1904"/>
      <c r="F15" s="1904"/>
      <c r="G15" s="1905"/>
      <c r="H15" s="1207"/>
      <c r="I15" s="1207"/>
      <c r="J15" s="1207"/>
      <c r="K15" s="1207"/>
      <c r="L15" s="1207"/>
      <c r="M15" s="1207"/>
      <c r="N15" s="1342"/>
      <c r="O15" s="1342"/>
      <c r="P15" s="1342"/>
      <c r="Q15" s="1342"/>
      <c r="R15" s="1342"/>
      <c r="S15" s="1342"/>
      <c r="T15" s="1342"/>
      <c r="U15" s="1342"/>
      <c r="V15" s="1342"/>
      <c r="W15" s="1342"/>
      <c r="X15" s="332"/>
      <c r="Y15" s="1291"/>
      <c r="Z15" s="1165"/>
      <c r="AA15" s="1166"/>
      <c r="AB15" s="1166"/>
      <c r="AC15" s="1166"/>
      <c r="AD15" s="1166"/>
      <c r="AE15" s="1292"/>
      <c r="AF15" s="1207"/>
      <c r="AG15" s="1291"/>
      <c r="AH15" s="1165"/>
      <c r="AI15" s="1166"/>
      <c r="AJ15" s="1166"/>
      <c r="AK15" s="1166"/>
      <c r="AL15" s="1166"/>
      <c r="AM15" s="1292"/>
      <c r="AN15" s="1207"/>
      <c r="AO15" s="1291"/>
      <c r="AP15" s="1202"/>
      <c r="AQ15" s="1203"/>
      <c r="AR15" s="1203"/>
      <c r="AS15" s="1203"/>
      <c r="AT15" s="1203"/>
      <c r="AU15" s="1204"/>
      <c r="AV15" s="1342"/>
      <c r="AW15" s="1291"/>
      <c r="AX15" s="1202"/>
      <c r="AY15" s="1203"/>
      <c r="AZ15" s="1203"/>
      <c r="BA15" s="1203"/>
      <c r="BB15" s="1203"/>
      <c r="BC15" s="1204"/>
      <c r="BD15" s="1342"/>
      <c r="BE15" s="1291"/>
      <c r="BF15" s="1202"/>
      <c r="BG15" s="1203"/>
      <c r="BH15" s="1203"/>
      <c r="BI15" s="1203"/>
      <c r="BJ15" s="1203"/>
      <c r="BK15" s="1204"/>
      <c r="BL15" s="1342"/>
      <c r="BM15" s="1291"/>
      <c r="BN15" s="1202"/>
      <c r="BO15" s="1203"/>
      <c r="BP15" s="1203"/>
      <c r="BQ15" s="1203"/>
      <c r="BR15" s="1203"/>
      <c r="BS15" s="1204"/>
      <c r="BT15" s="1342"/>
      <c r="BU15" s="1294"/>
      <c r="BV15" s="1202"/>
      <c r="BW15" s="1203"/>
      <c r="BX15" s="1203"/>
      <c r="BY15" s="1203"/>
      <c r="BZ15" s="1203"/>
      <c r="CA15" s="1305"/>
      <c r="CB15" s="1207"/>
      <c r="CC15" s="1294"/>
      <c r="CD15" s="1202"/>
      <c r="CE15" s="1203"/>
      <c r="CF15" s="1203"/>
      <c r="CG15" s="1203"/>
      <c r="CH15" s="1203"/>
      <c r="CI15" s="1305"/>
      <c r="CJ15" s="1207"/>
      <c r="CK15" s="1291"/>
      <c r="CL15" s="1461"/>
      <c r="CM15" s="1462"/>
      <c r="CN15" s="1462"/>
      <c r="CO15" s="1462"/>
      <c r="CP15" s="1462"/>
      <c r="CQ15" s="1463"/>
      <c r="CR15" s="1207"/>
      <c r="CS15" s="1258"/>
      <c r="CT15" s="1202"/>
      <c r="CU15" s="1203"/>
      <c r="CV15" s="1203"/>
      <c r="CW15" s="1203"/>
      <c r="CX15" s="1203"/>
      <c r="CY15" s="1305"/>
      <c r="CZ15" s="1207"/>
      <c r="DA15" s="1258"/>
      <c r="DB15" s="1202"/>
      <c r="DC15" s="1203"/>
      <c r="DD15" s="1203"/>
      <c r="DE15" s="1203"/>
      <c r="DF15" s="1203"/>
      <c r="DG15" s="1204"/>
      <c r="DH15" s="1342"/>
      <c r="DI15" s="1258"/>
      <c r="DJ15" s="1202"/>
      <c r="DK15" s="1203"/>
      <c r="DL15" s="1203"/>
      <c r="DM15" s="1203"/>
      <c r="DN15" s="1203"/>
      <c r="DO15" s="1204"/>
      <c r="DP15" s="1342"/>
      <c r="DQ15" s="1258"/>
      <c r="DR15" s="1202"/>
      <c r="DS15" s="1203"/>
      <c r="DT15" s="1203"/>
      <c r="DU15" s="1203"/>
      <c r="DV15" s="1203"/>
      <c r="DW15" s="1204"/>
      <c r="DX15" s="1342"/>
      <c r="DY15" s="1258"/>
      <c r="DZ15" s="1202"/>
      <c r="EA15" s="1203"/>
      <c r="EB15" s="1203"/>
      <c r="EC15" s="1203"/>
      <c r="ED15" s="1203"/>
      <c r="EE15" s="1204"/>
      <c r="EF15" s="1342"/>
      <c r="EG15" s="1258"/>
      <c r="EH15" s="1202"/>
      <c r="EI15" s="1203"/>
      <c r="EJ15" s="1203"/>
      <c r="EK15" s="1203"/>
      <c r="EL15" s="1203"/>
      <c r="EM15" s="1204"/>
      <c r="EN15" s="1342"/>
      <c r="EO15" s="1197"/>
      <c r="EP15" s="1202"/>
      <c r="EQ15" s="1203"/>
      <c r="ER15" s="1203"/>
      <c r="ES15" s="1203"/>
      <c r="ET15" s="1203"/>
      <c r="EU15" s="1204"/>
      <c r="EV15" s="1342"/>
    </row>
    <row r="16" spans="1:152" ht="15" customHeight="1">
      <c r="A16" s="1307">
        <v>1.1000000000000001</v>
      </c>
      <c r="B16" s="1897" t="s">
        <v>322</v>
      </c>
      <c r="C16" s="1898"/>
      <c r="D16" s="1898"/>
      <c r="E16" s="1898"/>
      <c r="F16" s="1898"/>
      <c r="G16" s="1899"/>
      <c r="H16" s="1205" t="str">
        <f t="shared" ref="H16" si="15">IF(ISBLANK(D$3),"",1)</f>
        <v/>
      </c>
      <c r="I16" s="1205" t="str">
        <f>IF(ISBLANK(H$3),"",1)</f>
        <v/>
      </c>
      <c r="J16" s="1205" t="str">
        <f>IF(ISBLANK(L$3),"",1)</f>
        <v/>
      </c>
      <c r="K16" s="1205" t="str">
        <f>IF(ISBLANK(P$3),"",1)</f>
        <v/>
      </c>
      <c r="L16" s="1205" t="str">
        <f>IF(ISBLANK(T$3),"",1)</f>
        <v/>
      </c>
      <c r="M16" s="1205" t="str">
        <f>IF(ISBLANK(X$3),"",1)</f>
        <v/>
      </c>
      <c r="N16" s="1342" t="str">
        <f>IF(ISBLANK(AB$3),"",1)</f>
        <v/>
      </c>
      <c r="O16" s="1342" t="str">
        <f>IF(ISBLANK(AF$3),"",1)</f>
        <v/>
      </c>
      <c r="P16" s="1342" t="str">
        <f>IF(ISBLANK(AJ$3),"",1)</f>
        <v/>
      </c>
      <c r="Q16" s="1342" t="str">
        <f>IF(ISBLANK(AN$3),"",1)</f>
        <v/>
      </c>
      <c r="R16" s="1342" t="str">
        <f>IF(ISBLANK(AR$3),"",1)</f>
        <v/>
      </c>
      <c r="S16" s="1342" t="str">
        <f>IF(ISBLANK(AV$3),"",1)</f>
        <v/>
      </c>
      <c r="T16" s="1342" t="str">
        <f>IF(ISBLANK(AZ$3),"",1)</f>
        <v/>
      </c>
      <c r="U16" s="1342" t="str">
        <f>IF(ISBLANK(BD$3),"",1)</f>
        <v/>
      </c>
      <c r="V16" s="1342" t="str">
        <f>IF(ISBLANK(BH$3),"",1)</f>
        <v/>
      </c>
      <c r="W16" s="1342" t="str">
        <f>IF(ISBLANK(BL$3),"",1)</f>
        <v/>
      </c>
      <c r="X16" s="332"/>
      <c r="Y16" s="1301">
        <v>4.3</v>
      </c>
      <c r="Z16" s="1161" t="s">
        <v>388</v>
      </c>
      <c r="AA16" s="1162"/>
      <c r="AB16" s="1162"/>
      <c r="AC16" s="1162"/>
      <c r="AD16" s="1162"/>
      <c r="AE16" s="1199"/>
      <c r="AF16" s="1205" t="str">
        <f>IF(ISBLANK(D$3),"",1)</f>
        <v/>
      </c>
      <c r="AG16" s="1258">
        <v>4.3</v>
      </c>
      <c r="AH16" s="1161" t="s">
        <v>406</v>
      </c>
      <c r="AI16" s="1162"/>
      <c r="AJ16" s="1162"/>
      <c r="AK16" s="1162"/>
      <c r="AL16" s="1162"/>
      <c r="AM16" s="1199"/>
      <c r="AN16" s="1205" t="str">
        <f>IF(ISBLANK(H$3),"",1)</f>
        <v/>
      </c>
      <c r="AO16" s="1258">
        <v>4.3</v>
      </c>
      <c r="AP16" s="1198" t="s">
        <v>406</v>
      </c>
      <c r="AQ16" s="1162"/>
      <c r="AR16" s="1162"/>
      <c r="AS16" s="1162"/>
      <c r="AT16" s="1162"/>
      <c r="AU16" s="1199"/>
      <c r="AV16" s="1226" t="str">
        <f t="shared" ref="AV16" si="16">IF(ISBLANK(L$3),"",1)</f>
        <v/>
      </c>
      <c r="AW16" s="1196">
        <v>4.3</v>
      </c>
      <c r="AX16" s="1198" t="s">
        <v>406</v>
      </c>
      <c r="AY16" s="1162"/>
      <c r="AZ16" s="1162"/>
      <c r="BA16" s="1162"/>
      <c r="BB16" s="1162"/>
      <c r="BC16" s="1199"/>
      <c r="BD16" s="1226" t="str">
        <f t="shared" ref="BD16" si="17">IF(ISBLANK(P$3),"",1)</f>
        <v/>
      </c>
      <c r="BE16" s="1258">
        <v>4.3</v>
      </c>
      <c r="BF16" s="1198" t="s">
        <v>406</v>
      </c>
      <c r="BG16" s="1162"/>
      <c r="BH16" s="1162"/>
      <c r="BI16" s="1162"/>
      <c r="BJ16" s="1162"/>
      <c r="BK16" s="1199"/>
      <c r="BL16" s="1226" t="str">
        <f t="shared" ref="BL16" si="18">IF(ISBLANK(T$3),"",1)</f>
        <v/>
      </c>
      <c r="BM16" s="1258">
        <v>4.3</v>
      </c>
      <c r="BN16" s="1198" t="s">
        <v>406</v>
      </c>
      <c r="BO16" s="1162"/>
      <c r="BP16" s="1162"/>
      <c r="BQ16" s="1162"/>
      <c r="BR16" s="1162"/>
      <c r="BS16" s="1199"/>
      <c r="BT16" s="1226" t="str">
        <f t="shared" ref="BT16" si="19">IF(ISBLANK(X$3),"",1)</f>
        <v/>
      </c>
      <c r="BU16" s="1322">
        <v>4.3</v>
      </c>
      <c r="BV16" s="1198" t="s">
        <v>423</v>
      </c>
      <c r="BW16" s="1162"/>
      <c r="BX16" s="1162"/>
      <c r="BY16" s="1162"/>
      <c r="BZ16" s="1162"/>
      <c r="CA16" s="1265"/>
      <c r="CB16" s="1205" t="str">
        <f t="shared" ref="CB16" si="20">IF(ISBLANK(AB$3),"",1)</f>
        <v/>
      </c>
      <c r="CC16" s="1322">
        <v>4.3</v>
      </c>
      <c r="CD16" s="1198" t="s">
        <v>390</v>
      </c>
      <c r="CE16" s="1162"/>
      <c r="CF16" s="1162"/>
      <c r="CG16" s="1162"/>
      <c r="CH16" s="1162"/>
      <c r="CI16" s="1265"/>
      <c r="CJ16" s="1205" t="str">
        <f t="shared" ref="CJ16" si="21">IF(ISBLANK(AF$3),"",1)</f>
        <v/>
      </c>
      <c r="CK16" s="1398">
        <v>4.4000000000000004</v>
      </c>
      <c r="CL16" s="1198" t="s">
        <v>410</v>
      </c>
      <c r="CM16" s="1162"/>
      <c r="CN16" s="1162"/>
      <c r="CO16" s="1162"/>
      <c r="CP16" s="1162"/>
      <c r="CQ16" s="1265"/>
      <c r="CR16" s="1205" t="str">
        <f t="shared" ref="CR16" si="22">IF(ISBLANK(AJ$3),"",1)</f>
        <v/>
      </c>
      <c r="CS16" s="1322">
        <v>4.4000000000000004</v>
      </c>
      <c r="CT16" s="1198" t="s">
        <v>408</v>
      </c>
      <c r="CU16" s="1162"/>
      <c r="CV16" s="1162"/>
      <c r="CW16" s="1162"/>
      <c r="CX16" s="1162"/>
      <c r="CY16" s="1265"/>
      <c r="CZ16" s="1205" t="str">
        <f t="shared" ref="CZ16" si="23">IF(ISBLANK(AN$3),"",1)</f>
        <v/>
      </c>
      <c r="DA16" s="1258">
        <v>4.3</v>
      </c>
      <c r="DB16" s="1198" t="s">
        <v>390</v>
      </c>
      <c r="DC16" s="1162"/>
      <c r="DD16" s="1162"/>
      <c r="DE16" s="1162"/>
      <c r="DF16" s="1162"/>
      <c r="DG16" s="1199"/>
      <c r="DH16" s="1226" t="str">
        <f t="shared" ref="DH16" si="24">IF(ISBLANK(AF$3),"",1)</f>
        <v/>
      </c>
      <c r="DI16" s="1258">
        <v>4.3</v>
      </c>
      <c r="DJ16" s="1198" t="s">
        <v>390</v>
      </c>
      <c r="DK16" s="1162"/>
      <c r="DL16" s="1162"/>
      <c r="DM16" s="1162"/>
      <c r="DN16" s="1162"/>
      <c r="DO16" s="1199"/>
      <c r="DP16" s="1226" t="str">
        <f t="shared" ref="DP16" si="25">IF(ISBLANK(AV$3),"",1)</f>
        <v/>
      </c>
      <c r="DQ16" s="1258">
        <v>4.3</v>
      </c>
      <c r="DR16" s="1198" t="s">
        <v>390</v>
      </c>
      <c r="DS16" s="1162"/>
      <c r="DT16" s="1162"/>
      <c r="DU16" s="1162"/>
      <c r="DV16" s="1162"/>
      <c r="DW16" s="1199"/>
      <c r="DX16" s="1226" t="str">
        <f t="shared" ref="DX16" si="26">IF(ISBLANK(AZ$3),"",1)</f>
        <v/>
      </c>
      <c r="DY16" s="1258">
        <v>4.3</v>
      </c>
      <c r="DZ16" s="1198" t="s">
        <v>390</v>
      </c>
      <c r="EA16" s="1162"/>
      <c r="EB16" s="1162"/>
      <c r="EC16" s="1162"/>
      <c r="ED16" s="1162"/>
      <c r="EE16" s="1199"/>
      <c r="EF16" s="1226" t="str">
        <f t="shared" ref="EF16" si="27">IF(ISBLANK(BD$3),"",1)</f>
        <v/>
      </c>
      <c r="EG16" s="1258">
        <v>4.3</v>
      </c>
      <c r="EH16" s="1198" t="s">
        <v>390</v>
      </c>
      <c r="EI16" s="1162"/>
      <c r="EJ16" s="1162"/>
      <c r="EK16" s="1162"/>
      <c r="EL16" s="1162"/>
      <c r="EM16" s="1199"/>
      <c r="EN16" s="1226" t="str">
        <f t="shared" ref="EN16" si="28">IF(ISBLANK(BH$3),"",1)</f>
        <v/>
      </c>
      <c r="EO16" s="1196">
        <v>4.3</v>
      </c>
      <c r="EP16" s="1198" t="s">
        <v>390</v>
      </c>
      <c r="EQ16" s="1162"/>
      <c r="ER16" s="1162"/>
      <c r="ES16" s="1162"/>
      <c r="ET16" s="1162"/>
      <c r="EU16" s="1199"/>
      <c r="EV16" s="1226" t="str">
        <f t="shared" ref="EV16" si="29">IF(ISBLANK(BL$3),"",1)</f>
        <v/>
      </c>
    </row>
    <row r="17" spans="1:152" ht="15" customHeight="1">
      <c r="A17" s="1308"/>
      <c r="B17" s="1900"/>
      <c r="C17" s="1901"/>
      <c r="D17" s="1901"/>
      <c r="E17" s="1901"/>
      <c r="F17" s="1901"/>
      <c r="G17" s="1902"/>
      <c r="H17" s="1206"/>
      <c r="I17" s="1206"/>
      <c r="J17" s="1206"/>
      <c r="K17" s="1206"/>
      <c r="L17" s="1206"/>
      <c r="M17" s="1206"/>
      <c r="N17" s="1342"/>
      <c r="O17" s="1342"/>
      <c r="P17" s="1342"/>
      <c r="Q17" s="1342"/>
      <c r="R17" s="1342"/>
      <c r="S17" s="1342"/>
      <c r="T17" s="1342"/>
      <c r="U17" s="1342"/>
      <c r="V17" s="1342"/>
      <c r="W17" s="1342"/>
      <c r="X17" s="332"/>
      <c r="Y17" s="1302"/>
      <c r="Z17" s="1163"/>
      <c r="AA17" s="1164"/>
      <c r="AB17" s="1164"/>
      <c r="AC17" s="1164"/>
      <c r="AD17" s="1164"/>
      <c r="AE17" s="1201"/>
      <c r="AF17" s="1206"/>
      <c r="AG17" s="1258"/>
      <c r="AH17" s="1163"/>
      <c r="AI17" s="1164"/>
      <c r="AJ17" s="1164"/>
      <c r="AK17" s="1164"/>
      <c r="AL17" s="1164"/>
      <c r="AM17" s="1201"/>
      <c r="AN17" s="1206"/>
      <c r="AO17" s="1258"/>
      <c r="AP17" s="1200"/>
      <c r="AQ17" s="1164"/>
      <c r="AR17" s="1164"/>
      <c r="AS17" s="1164"/>
      <c r="AT17" s="1164"/>
      <c r="AU17" s="1201"/>
      <c r="AV17" s="1342"/>
      <c r="AW17" s="1197"/>
      <c r="AX17" s="1200"/>
      <c r="AY17" s="1164"/>
      <c r="AZ17" s="1164"/>
      <c r="BA17" s="1164"/>
      <c r="BB17" s="1164"/>
      <c r="BC17" s="1201"/>
      <c r="BD17" s="1342"/>
      <c r="BE17" s="1258"/>
      <c r="BF17" s="1200"/>
      <c r="BG17" s="1164"/>
      <c r="BH17" s="1164"/>
      <c r="BI17" s="1164"/>
      <c r="BJ17" s="1164"/>
      <c r="BK17" s="1201"/>
      <c r="BL17" s="1342"/>
      <c r="BM17" s="1258"/>
      <c r="BN17" s="1200"/>
      <c r="BO17" s="1164"/>
      <c r="BP17" s="1164"/>
      <c r="BQ17" s="1164"/>
      <c r="BR17" s="1164"/>
      <c r="BS17" s="1201"/>
      <c r="BT17" s="1342"/>
      <c r="BU17" s="1293"/>
      <c r="BV17" s="1200" t="s">
        <v>389</v>
      </c>
      <c r="BW17" s="1164"/>
      <c r="BX17" s="1164"/>
      <c r="BY17" s="1164"/>
      <c r="BZ17" s="1164"/>
      <c r="CA17" s="1266"/>
      <c r="CB17" s="1206"/>
      <c r="CC17" s="1293"/>
      <c r="CD17" s="1200"/>
      <c r="CE17" s="1164"/>
      <c r="CF17" s="1164"/>
      <c r="CG17" s="1164"/>
      <c r="CH17" s="1164"/>
      <c r="CI17" s="1266"/>
      <c r="CJ17" s="1206"/>
      <c r="CK17" s="1293"/>
      <c r="CL17" s="1200"/>
      <c r="CM17" s="1164"/>
      <c r="CN17" s="1164"/>
      <c r="CO17" s="1164"/>
      <c r="CP17" s="1164"/>
      <c r="CQ17" s="1266"/>
      <c r="CR17" s="1206"/>
      <c r="CS17" s="1293"/>
      <c r="CT17" s="1200"/>
      <c r="CU17" s="1164"/>
      <c r="CV17" s="1164"/>
      <c r="CW17" s="1164"/>
      <c r="CX17" s="1164"/>
      <c r="CY17" s="1266"/>
      <c r="CZ17" s="1206"/>
      <c r="DA17" s="1258"/>
      <c r="DB17" s="1200"/>
      <c r="DC17" s="1164"/>
      <c r="DD17" s="1164"/>
      <c r="DE17" s="1164"/>
      <c r="DF17" s="1164"/>
      <c r="DG17" s="1201"/>
      <c r="DH17" s="1342"/>
      <c r="DI17" s="1258"/>
      <c r="DJ17" s="1200"/>
      <c r="DK17" s="1164"/>
      <c r="DL17" s="1164"/>
      <c r="DM17" s="1164"/>
      <c r="DN17" s="1164"/>
      <c r="DO17" s="1201"/>
      <c r="DP17" s="1342"/>
      <c r="DQ17" s="1258"/>
      <c r="DR17" s="1200"/>
      <c r="DS17" s="1164"/>
      <c r="DT17" s="1164"/>
      <c r="DU17" s="1164"/>
      <c r="DV17" s="1164"/>
      <c r="DW17" s="1201"/>
      <c r="DX17" s="1342"/>
      <c r="DY17" s="1258"/>
      <c r="DZ17" s="1200"/>
      <c r="EA17" s="1164"/>
      <c r="EB17" s="1164"/>
      <c r="EC17" s="1164"/>
      <c r="ED17" s="1164"/>
      <c r="EE17" s="1201"/>
      <c r="EF17" s="1342"/>
      <c r="EG17" s="1258"/>
      <c r="EH17" s="1200"/>
      <c r="EI17" s="1164"/>
      <c r="EJ17" s="1164"/>
      <c r="EK17" s="1164"/>
      <c r="EL17" s="1164"/>
      <c r="EM17" s="1201"/>
      <c r="EN17" s="1342"/>
      <c r="EO17" s="1196"/>
      <c r="EP17" s="1200"/>
      <c r="EQ17" s="1164"/>
      <c r="ER17" s="1164"/>
      <c r="ES17" s="1164"/>
      <c r="ET17" s="1164"/>
      <c r="EU17" s="1201"/>
      <c r="EV17" s="1342"/>
    </row>
    <row r="18" spans="1:152" ht="15" customHeight="1">
      <c r="A18" s="1309"/>
      <c r="B18" s="1903"/>
      <c r="C18" s="1904"/>
      <c r="D18" s="1904"/>
      <c r="E18" s="1904"/>
      <c r="F18" s="1904"/>
      <c r="G18" s="1905"/>
      <c r="H18" s="1207"/>
      <c r="I18" s="1207"/>
      <c r="J18" s="1207"/>
      <c r="K18" s="1207"/>
      <c r="L18" s="1207"/>
      <c r="M18" s="1207"/>
      <c r="N18" s="1342"/>
      <c r="O18" s="1342"/>
      <c r="P18" s="1342"/>
      <c r="Q18" s="1342"/>
      <c r="R18" s="1342"/>
      <c r="S18" s="1342"/>
      <c r="T18" s="1342"/>
      <c r="U18" s="1342"/>
      <c r="V18" s="1342"/>
      <c r="W18" s="1342"/>
      <c r="X18" s="332"/>
      <c r="Y18" s="1303"/>
      <c r="Z18" s="1165"/>
      <c r="AA18" s="1166"/>
      <c r="AB18" s="1166"/>
      <c r="AC18" s="1166"/>
      <c r="AD18" s="1166"/>
      <c r="AE18" s="1292"/>
      <c r="AF18" s="1207"/>
      <c r="AG18" s="1258"/>
      <c r="AH18" s="1165"/>
      <c r="AI18" s="1166"/>
      <c r="AJ18" s="1166"/>
      <c r="AK18" s="1166"/>
      <c r="AL18" s="1166"/>
      <c r="AM18" s="1292"/>
      <c r="AN18" s="1207"/>
      <c r="AO18" s="1258"/>
      <c r="AP18" s="1202"/>
      <c r="AQ18" s="1203"/>
      <c r="AR18" s="1203"/>
      <c r="AS18" s="1203"/>
      <c r="AT18" s="1203"/>
      <c r="AU18" s="1204"/>
      <c r="AV18" s="1342"/>
      <c r="AW18" s="1197"/>
      <c r="AX18" s="1202"/>
      <c r="AY18" s="1203"/>
      <c r="AZ18" s="1203"/>
      <c r="BA18" s="1203"/>
      <c r="BB18" s="1203"/>
      <c r="BC18" s="1204"/>
      <c r="BD18" s="1342"/>
      <c r="BE18" s="1258"/>
      <c r="BF18" s="1202"/>
      <c r="BG18" s="1203"/>
      <c r="BH18" s="1203"/>
      <c r="BI18" s="1203"/>
      <c r="BJ18" s="1203"/>
      <c r="BK18" s="1204"/>
      <c r="BL18" s="1342"/>
      <c r="BM18" s="1258"/>
      <c r="BN18" s="1202"/>
      <c r="BO18" s="1203"/>
      <c r="BP18" s="1203"/>
      <c r="BQ18" s="1203"/>
      <c r="BR18" s="1203"/>
      <c r="BS18" s="1204"/>
      <c r="BT18" s="1342"/>
      <c r="BU18" s="1294"/>
      <c r="BV18" s="1202"/>
      <c r="BW18" s="1203"/>
      <c r="BX18" s="1203"/>
      <c r="BY18" s="1203"/>
      <c r="BZ18" s="1203"/>
      <c r="CA18" s="1305"/>
      <c r="CB18" s="1207"/>
      <c r="CC18" s="1294"/>
      <c r="CD18" s="1202"/>
      <c r="CE18" s="1203"/>
      <c r="CF18" s="1203"/>
      <c r="CG18" s="1203"/>
      <c r="CH18" s="1203"/>
      <c r="CI18" s="1305"/>
      <c r="CJ18" s="1207"/>
      <c r="CK18" s="1294"/>
      <c r="CL18" s="1202"/>
      <c r="CM18" s="1203"/>
      <c r="CN18" s="1203"/>
      <c r="CO18" s="1203"/>
      <c r="CP18" s="1203"/>
      <c r="CQ18" s="1305"/>
      <c r="CR18" s="1207"/>
      <c r="CS18" s="1306"/>
      <c r="CT18" s="1202"/>
      <c r="CU18" s="1203"/>
      <c r="CV18" s="1203"/>
      <c r="CW18" s="1203"/>
      <c r="CX18" s="1203"/>
      <c r="CY18" s="1305"/>
      <c r="CZ18" s="1207"/>
      <c r="DA18" s="1258"/>
      <c r="DB18" s="1202"/>
      <c r="DC18" s="1203"/>
      <c r="DD18" s="1203"/>
      <c r="DE18" s="1203"/>
      <c r="DF18" s="1203"/>
      <c r="DG18" s="1204"/>
      <c r="DH18" s="1342"/>
      <c r="DI18" s="1258"/>
      <c r="DJ18" s="1202"/>
      <c r="DK18" s="1203"/>
      <c r="DL18" s="1203"/>
      <c r="DM18" s="1203"/>
      <c r="DN18" s="1203"/>
      <c r="DO18" s="1204"/>
      <c r="DP18" s="1342"/>
      <c r="DQ18" s="1258"/>
      <c r="DR18" s="1202"/>
      <c r="DS18" s="1203"/>
      <c r="DT18" s="1203"/>
      <c r="DU18" s="1203"/>
      <c r="DV18" s="1203"/>
      <c r="DW18" s="1204"/>
      <c r="DX18" s="1342"/>
      <c r="DY18" s="1258"/>
      <c r="DZ18" s="1202"/>
      <c r="EA18" s="1203"/>
      <c r="EB18" s="1203"/>
      <c r="EC18" s="1203"/>
      <c r="ED18" s="1203"/>
      <c r="EE18" s="1204"/>
      <c r="EF18" s="1342"/>
      <c r="EG18" s="1258"/>
      <c r="EH18" s="1202"/>
      <c r="EI18" s="1203"/>
      <c r="EJ18" s="1203"/>
      <c r="EK18" s="1203"/>
      <c r="EL18" s="1203"/>
      <c r="EM18" s="1204"/>
      <c r="EN18" s="1342"/>
      <c r="EO18" s="1197"/>
      <c r="EP18" s="1202"/>
      <c r="EQ18" s="1203"/>
      <c r="ER18" s="1203"/>
      <c r="ES18" s="1203"/>
      <c r="ET18" s="1203"/>
      <c r="EU18" s="1204"/>
      <c r="EV18" s="1342"/>
    </row>
    <row r="19" spans="1:152" ht="15" customHeight="1">
      <c r="A19" s="1304">
        <v>2.1</v>
      </c>
      <c r="B19" s="1897" t="s">
        <v>325</v>
      </c>
      <c r="C19" s="1898"/>
      <c r="D19" s="1898"/>
      <c r="E19" s="1898"/>
      <c r="F19" s="1898"/>
      <c r="G19" s="1899"/>
      <c r="H19" s="1205" t="str">
        <f t="shared" ref="H19" si="30">IF(ISBLANK(D$3),"",1)</f>
        <v/>
      </c>
      <c r="I19" s="1205" t="str">
        <f>IF(ISBLANK(H$3),"",1)</f>
        <v/>
      </c>
      <c r="J19" s="1205" t="str">
        <f>IF(ISBLANK(L$3),"",1)</f>
        <v/>
      </c>
      <c r="K19" s="1205" t="str">
        <f>IF(ISBLANK(P$3),"",1)</f>
        <v/>
      </c>
      <c r="L19" s="1205" t="str">
        <f>IF(ISBLANK(T$3),"",1)</f>
        <v/>
      </c>
      <c r="M19" s="1205" t="str">
        <f>IF(ISBLANK(X$3),"",1)</f>
        <v/>
      </c>
      <c r="N19" s="1342" t="str">
        <f>IF(ISBLANK(AB$3),"",1)</f>
        <v/>
      </c>
      <c r="O19" s="1342" t="str">
        <f>IF(ISBLANK(AF$3),"",1)</f>
        <v/>
      </c>
      <c r="P19" s="1342" t="str">
        <f>IF(ISBLANK(AJ$3),"",1)</f>
        <v/>
      </c>
      <c r="Q19" s="1342" t="str">
        <f>IF(ISBLANK(AN$3),"",1)</f>
        <v/>
      </c>
      <c r="R19" s="1342" t="str">
        <f>IF(ISBLANK(AR$3),"",1)</f>
        <v/>
      </c>
      <c r="S19" s="1342" t="str">
        <f>IF(ISBLANK(AV$3),"",1)</f>
        <v/>
      </c>
      <c r="T19" s="1342" t="str">
        <f>IF(ISBLANK(AZ$3),"",1)</f>
        <v/>
      </c>
      <c r="U19" s="1342" t="str">
        <f>IF(ISBLANK(BD$3),"",1)</f>
        <v/>
      </c>
      <c r="V19" s="1342" t="str">
        <f>IF(ISBLANK(BH$3),"",1)</f>
        <v/>
      </c>
      <c r="W19" s="1342" t="str">
        <f>IF(ISBLANK(BL$3),"",1)</f>
        <v/>
      </c>
      <c r="X19" s="332"/>
      <c r="Y19" s="1301">
        <v>4.4000000000000004</v>
      </c>
      <c r="Z19" s="1161" t="s">
        <v>400</v>
      </c>
      <c r="AA19" s="1162"/>
      <c r="AB19" s="1162"/>
      <c r="AC19" s="1162"/>
      <c r="AD19" s="1162"/>
      <c r="AE19" s="1199"/>
      <c r="AF19" s="1205" t="str">
        <f>IF(ISBLANK(D$3),"",1)</f>
        <v/>
      </c>
      <c r="AG19" s="1258">
        <v>4.3</v>
      </c>
      <c r="AH19" s="1161" t="s">
        <v>388</v>
      </c>
      <c r="AI19" s="1162"/>
      <c r="AJ19" s="1162"/>
      <c r="AK19" s="1162"/>
      <c r="AL19" s="1162"/>
      <c r="AM19" s="1199"/>
      <c r="AN19" s="1205" t="str">
        <f>IF(ISBLANK(H$3),"",1)</f>
        <v/>
      </c>
      <c r="AO19" s="1258">
        <v>4.3</v>
      </c>
      <c r="AP19" s="1198" t="s">
        <v>388</v>
      </c>
      <c r="AQ19" s="1162"/>
      <c r="AR19" s="1162"/>
      <c r="AS19" s="1162"/>
      <c r="AT19" s="1162"/>
      <c r="AU19" s="1199"/>
      <c r="AV19" s="1226" t="str">
        <f t="shared" ref="AV19" si="31">IF(ISBLANK(L$3),"",1)</f>
        <v/>
      </c>
      <c r="AW19" s="1196">
        <v>4.3</v>
      </c>
      <c r="AX19" s="1198" t="s">
        <v>388</v>
      </c>
      <c r="AY19" s="1162"/>
      <c r="AZ19" s="1162"/>
      <c r="BA19" s="1162"/>
      <c r="BB19" s="1162"/>
      <c r="BC19" s="1199"/>
      <c r="BD19" s="1226" t="str">
        <f t="shared" ref="BD19" si="32">IF(ISBLANK(P$3),"",1)</f>
        <v/>
      </c>
      <c r="BE19" s="1258">
        <v>4.3</v>
      </c>
      <c r="BF19" s="1198" t="s">
        <v>388</v>
      </c>
      <c r="BG19" s="1162"/>
      <c r="BH19" s="1162"/>
      <c r="BI19" s="1162"/>
      <c r="BJ19" s="1162"/>
      <c r="BK19" s="1199"/>
      <c r="BL19" s="1226" t="str">
        <f t="shared" ref="BL19" si="33">IF(ISBLANK(T$3),"",1)</f>
        <v/>
      </c>
      <c r="BM19" s="1258">
        <v>4.3</v>
      </c>
      <c r="BN19" s="1198" t="s">
        <v>388</v>
      </c>
      <c r="BO19" s="1162"/>
      <c r="BP19" s="1162"/>
      <c r="BQ19" s="1162"/>
      <c r="BR19" s="1162"/>
      <c r="BS19" s="1199"/>
      <c r="BT19" s="1226" t="str">
        <f t="shared" ref="BT19" si="34">IF(ISBLANK(X$3),"",1)</f>
        <v/>
      </c>
      <c r="BU19" s="1322">
        <v>4.4000000000000004</v>
      </c>
      <c r="BV19" s="1198" t="s">
        <v>407</v>
      </c>
      <c r="BW19" s="1162"/>
      <c r="BX19" s="1162"/>
      <c r="BY19" s="1162"/>
      <c r="BZ19" s="1162"/>
      <c r="CA19" s="1265"/>
      <c r="CB19" s="1205" t="str">
        <f t="shared" ref="CB19" si="35">IF(ISBLANK(AB$3),"",1)</f>
        <v/>
      </c>
      <c r="CC19" s="1322">
        <v>4.4000000000000004</v>
      </c>
      <c r="CD19" s="1198" t="s">
        <v>391</v>
      </c>
      <c r="CE19" s="1162"/>
      <c r="CF19" s="1162"/>
      <c r="CG19" s="1162"/>
      <c r="CH19" s="1162"/>
      <c r="CI19" s="1265"/>
      <c r="CJ19" s="1205" t="str">
        <f t="shared" ref="CJ19" si="36">IF(ISBLANK(AF$3),"",1)</f>
        <v/>
      </c>
      <c r="CK19" s="1322">
        <v>4.4000000000000004</v>
      </c>
      <c r="CL19" s="1198" t="s">
        <v>411</v>
      </c>
      <c r="CM19" s="1162"/>
      <c r="CN19" s="1162"/>
      <c r="CO19" s="1162"/>
      <c r="CP19" s="1162"/>
      <c r="CQ19" s="1265"/>
      <c r="CR19" s="1205" t="str">
        <f t="shared" ref="CR19" si="37">IF(ISBLANK(AJ$3),"",1)</f>
        <v/>
      </c>
      <c r="CS19" s="1322">
        <v>4.4000000000000004</v>
      </c>
      <c r="CT19" s="1198" t="s">
        <v>393</v>
      </c>
      <c r="CU19" s="1162"/>
      <c r="CV19" s="1162"/>
      <c r="CW19" s="1162"/>
      <c r="CX19" s="1162"/>
      <c r="CY19" s="1265"/>
      <c r="CZ19" s="1205" t="str">
        <f t="shared" ref="CZ19" si="38">IF(ISBLANK(AN$3),"",1)</f>
        <v/>
      </c>
      <c r="DA19" s="1258">
        <v>4.4000000000000004</v>
      </c>
      <c r="DB19" s="1198" t="s">
        <v>407</v>
      </c>
      <c r="DC19" s="1162"/>
      <c r="DD19" s="1162"/>
      <c r="DE19" s="1162"/>
      <c r="DF19" s="1162"/>
      <c r="DG19" s="1199"/>
      <c r="DH19" s="1226" t="str">
        <f t="shared" ref="DH19" si="39">IF(ISBLANK(AF$3),"",1)</f>
        <v/>
      </c>
      <c r="DI19" s="1258">
        <v>4.4000000000000004</v>
      </c>
      <c r="DJ19" s="1198" t="s">
        <v>407</v>
      </c>
      <c r="DK19" s="1162"/>
      <c r="DL19" s="1162"/>
      <c r="DM19" s="1162"/>
      <c r="DN19" s="1162"/>
      <c r="DO19" s="1199"/>
      <c r="DP19" s="1226" t="str">
        <f t="shared" ref="DP19" si="40">IF(ISBLANK(AV$3),"",1)</f>
        <v/>
      </c>
      <c r="DQ19" s="1258">
        <v>4.4000000000000004</v>
      </c>
      <c r="DR19" s="1198" t="s">
        <v>415</v>
      </c>
      <c r="DS19" s="1162"/>
      <c r="DT19" s="1162"/>
      <c r="DU19" s="1162"/>
      <c r="DV19" s="1162"/>
      <c r="DW19" s="1199"/>
      <c r="DX19" s="1226" t="str">
        <f t="shared" ref="DX19" si="41">IF(ISBLANK(AZ$3),"",1)</f>
        <v/>
      </c>
      <c r="DY19" s="1258">
        <v>4.4000000000000004</v>
      </c>
      <c r="DZ19" s="1198" t="s">
        <v>415</v>
      </c>
      <c r="EA19" s="1162"/>
      <c r="EB19" s="1162"/>
      <c r="EC19" s="1162"/>
      <c r="ED19" s="1162"/>
      <c r="EE19" s="1199"/>
      <c r="EF19" s="1226" t="str">
        <f t="shared" ref="EF19" si="42">IF(ISBLANK(BD$3),"",1)</f>
        <v/>
      </c>
      <c r="EG19" s="1258">
        <v>4.4000000000000004</v>
      </c>
      <c r="EH19" s="1198" t="s">
        <v>415</v>
      </c>
      <c r="EI19" s="1162"/>
      <c r="EJ19" s="1162"/>
      <c r="EK19" s="1162"/>
      <c r="EL19" s="1162"/>
      <c r="EM19" s="1199"/>
      <c r="EN19" s="1226" t="str">
        <f t="shared" ref="EN19" si="43">IF(ISBLANK(BH$3),"",1)</f>
        <v/>
      </c>
      <c r="EO19" s="1196">
        <v>4.4000000000000004</v>
      </c>
      <c r="EP19" s="1198" t="s">
        <v>407</v>
      </c>
      <c r="EQ19" s="1162"/>
      <c r="ER19" s="1162"/>
      <c r="ES19" s="1162"/>
      <c r="ET19" s="1162"/>
      <c r="EU19" s="1199"/>
      <c r="EV19" s="1226" t="str">
        <f t="shared" ref="EV19" si="44">IF(ISBLANK(BL$3),"",1)</f>
        <v/>
      </c>
    </row>
    <row r="20" spans="1:152" ht="15" customHeight="1">
      <c r="A20" s="1290"/>
      <c r="B20" s="1900"/>
      <c r="C20" s="1901"/>
      <c r="D20" s="1901"/>
      <c r="E20" s="1901"/>
      <c r="F20" s="1901"/>
      <c r="G20" s="1902"/>
      <c r="H20" s="1206"/>
      <c r="I20" s="1206"/>
      <c r="J20" s="1206"/>
      <c r="K20" s="1206"/>
      <c r="L20" s="1206"/>
      <c r="M20" s="1206"/>
      <c r="N20" s="1342"/>
      <c r="O20" s="1342"/>
      <c r="P20" s="1342"/>
      <c r="Q20" s="1342"/>
      <c r="R20" s="1342"/>
      <c r="S20" s="1342"/>
      <c r="T20" s="1342"/>
      <c r="U20" s="1342"/>
      <c r="V20" s="1342"/>
      <c r="W20" s="1342"/>
      <c r="X20" s="332"/>
      <c r="Y20" s="1302"/>
      <c r="Z20" s="1163"/>
      <c r="AA20" s="1164"/>
      <c r="AB20" s="1164"/>
      <c r="AC20" s="1164"/>
      <c r="AD20" s="1164"/>
      <c r="AE20" s="1201"/>
      <c r="AF20" s="1206"/>
      <c r="AG20" s="1258"/>
      <c r="AH20" s="1163"/>
      <c r="AI20" s="1164"/>
      <c r="AJ20" s="1164"/>
      <c r="AK20" s="1164"/>
      <c r="AL20" s="1164"/>
      <c r="AM20" s="1201"/>
      <c r="AN20" s="1206"/>
      <c r="AO20" s="1258"/>
      <c r="AP20" s="1200"/>
      <c r="AQ20" s="1164"/>
      <c r="AR20" s="1164"/>
      <c r="AS20" s="1164"/>
      <c r="AT20" s="1164"/>
      <c r="AU20" s="1201"/>
      <c r="AV20" s="1342"/>
      <c r="AW20" s="1197"/>
      <c r="AX20" s="1200"/>
      <c r="AY20" s="1164"/>
      <c r="AZ20" s="1164"/>
      <c r="BA20" s="1164"/>
      <c r="BB20" s="1164"/>
      <c r="BC20" s="1201"/>
      <c r="BD20" s="1342"/>
      <c r="BE20" s="1258"/>
      <c r="BF20" s="1200"/>
      <c r="BG20" s="1164"/>
      <c r="BH20" s="1164"/>
      <c r="BI20" s="1164"/>
      <c r="BJ20" s="1164"/>
      <c r="BK20" s="1201"/>
      <c r="BL20" s="1342"/>
      <c r="BM20" s="1258"/>
      <c r="BN20" s="1200"/>
      <c r="BO20" s="1164"/>
      <c r="BP20" s="1164"/>
      <c r="BQ20" s="1164"/>
      <c r="BR20" s="1164"/>
      <c r="BS20" s="1201"/>
      <c r="BT20" s="1342"/>
      <c r="BU20" s="1293"/>
      <c r="BV20" s="1200" t="s">
        <v>368</v>
      </c>
      <c r="BW20" s="1164"/>
      <c r="BX20" s="1164"/>
      <c r="BY20" s="1164"/>
      <c r="BZ20" s="1164"/>
      <c r="CA20" s="1266"/>
      <c r="CB20" s="1206"/>
      <c r="CC20" s="1293"/>
      <c r="CD20" s="1200"/>
      <c r="CE20" s="1164"/>
      <c r="CF20" s="1164"/>
      <c r="CG20" s="1164"/>
      <c r="CH20" s="1164"/>
      <c r="CI20" s="1266"/>
      <c r="CJ20" s="1206"/>
      <c r="CK20" s="1293"/>
      <c r="CL20" s="1200"/>
      <c r="CM20" s="1164"/>
      <c r="CN20" s="1164"/>
      <c r="CO20" s="1164"/>
      <c r="CP20" s="1164"/>
      <c r="CQ20" s="1266"/>
      <c r="CR20" s="1206"/>
      <c r="CS20" s="1293"/>
      <c r="CT20" s="1200"/>
      <c r="CU20" s="1164"/>
      <c r="CV20" s="1164"/>
      <c r="CW20" s="1164"/>
      <c r="CX20" s="1164"/>
      <c r="CY20" s="1266"/>
      <c r="CZ20" s="1206"/>
      <c r="DA20" s="1258"/>
      <c r="DB20" s="1200"/>
      <c r="DC20" s="1164"/>
      <c r="DD20" s="1164"/>
      <c r="DE20" s="1164"/>
      <c r="DF20" s="1164"/>
      <c r="DG20" s="1201"/>
      <c r="DH20" s="1342"/>
      <c r="DI20" s="1258"/>
      <c r="DJ20" s="1200"/>
      <c r="DK20" s="1164"/>
      <c r="DL20" s="1164"/>
      <c r="DM20" s="1164"/>
      <c r="DN20" s="1164"/>
      <c r="DO20" s="1201"/>
      <c r="DP20" s="1342"/>
      <c r="DQ20" s="1258"/>
      <c r="DR20" s="1200"/>
      <c r="DS20" s="1164"/>
      <c r="DT20" s="1164"/>
      <c r="DU20" s="1164"/>
      <c r="DV20" s="1164"/>
      <c r="DW20" s="1201"/>
      <c r="DX20" s="1342"/>
      <c r="DY20" s="1258"/>
      <c r="DZ20" s="1200"/>
      <c r="EA20" s="1164"/>
      <c r="EB20" s="1164"/>
      <c r="EC20" s="1164"/>
      <c r="ED20" s="1164"/>
      <c r="EE20" s="1201"/>
      <c r="EF20" s="1342"/>
      <c r="EG20" s="1258"/>
      <c r="EH20" s="1200"/>
      <c r="EI20" s="1164"/>
      <c r="EJ20" s="1164"/>
      <c r="EK20" s="1164"/>
      <c r="EL20" s="1164"/>
      <c r="EM20" s="1201"/>
      <c r="EN20" s="1342"/>
      <c r="EO20" s="1197"/>
      <c r="EP20" s="1200"/>
      <c r="EQ20" s="1164"/>
      <c r="ER20" s="1164"/>
      <c r="ES20" s="1164"/>
      <c r="ET20" s="1164"/>
      <c r="EU20" s="1201"/>
      <c r="EV20" s="1342"/>
    </row>
    <row r="21" spans="1:152" ht="15" customHeight="1">
      <c r="A21" s="1291"/>
      <c r="B21" s="1903"/>
      <c r="C21" s="1904"/>
      <c r="D21" s="1904"/>
      <c r="E21" s="1904"/>
      <c r="F21" s="1904"/>
      <c r="G21" s="1905"/>
      <c r="H21" s="1207"/>
      <c r="I21" s="1207"/>
      <c r="J21" s="1207"/>
      <c r="K21" s="1207"/>
      <c r="L21" s="1207"/>
      <c r="M21" s="1207"/>
      <c r="N21" s="1342"/>
      <c r="O21" s="1342"/>
      <c r="P21" s="1342"/>
      <c r="Q21" s="1342"/>
      <c r="R21" s="1342"/>
      <c r="S21" s="1342"/>
      <c r="T21" s="1342"/>
      <c r="U21" s="1342"/>
      <c r="V21" s="1342"/>
      <c r="W21" s="1342"/>
      <c r="X21" s="332"/>
      <c r="Y21" s="1303"/>
      <c r="Z21" s="1165"/>
      <c r="AA21" s="1166"/>
      <c r="AB21" s="1166"/>
      <c r="AC21" s="1166"/>
      <c r="AD21" s="1166"/>
      <c r="AE21" s="1292"/>
      <c r="AF21" s="1207"/>
      <c r="AG21" s="1258"/>
      <c r="AH21" s="1165"/>
      <c r="AI21" s="1166"/>
      <c r="AJ21" s="1166"/>
      <c r="AK21" s="1166"/>
      <c r="AL21" s="1166"/>
      <c r="AM21" s="1292"/>
      <c r="AN21" s="1207"/>
      <c r="AO21" s="1258"/>
      <c r="AP21" s="1202"/>
      <c r="AQ21" s="1203"/>
      <c r="AR21" s="1203"/>
      <c r="AS21" s="1203"/>
      <c r="AT21" s="1203"/>
      <c r="AU21" s="1204"/>
      <c r="AV21" s="1342"/>
      <c r="AW21" s="1197"/>
      <c r="AX21" s="1202"/>
      <c r="AY21" s="1203"/>
      <c r="AZ21" s="1203"/>
      <c r="BA21" s="1203"/>
      <c r="BB21" s="1203"/>
      <c r="BC21" s="1204"/>
      <c r="BD21" s="1342"/>
      <c r="BE21" s="1258"/>
      <c r="BF21" s="1202"/>
      <c r="BG21" s="1203"/>
      <c r="BH21" s="1203"/>
      <c r="BI21" s="1203"/>
      <c r="BJ21" s="1203"/>
      <c r="BK21" s="1204"/>
      <c r="BL21" s="1342"/>
      <c r="BM21" s="1258"/>
      <c r="BN21" s="1202"/>
      <c r="BO21" s="1203"/>
      <c r="BP21" s="1203"/>
      <c r="BQ21" s="1203"/>
      <c r="BR21" s="1203"/>
      <c r="BS21" s="1204"/>
      <c r="BT21" s="1342"/>
      <c r="BU21" s="1294"/>
      <c r="BV21" s="1202" t="s">
        <v>392</v>
      </c>
      <c r="BW21" s="1203"/>
      <c r="BX21" s="1203"/>
      <c r="BY21" s="1203"/>
      <c r="BZ21" s="1203"/>
      <c r="CA21" s="1305"/>
      <c r="CB21" s="1207"/>
      <c r="CC21" s="1294"/>
      <c r="CD21" s="1202"/>
      <c r="CE21" s="1203"/>
      <c r="CF21" s="1203"/>
      <c r="CG21" s="1203"/>
      <c r="CH21" s="1203"/>
      <c r="CI21" s="1305"/>
      <c r="CJ21" s="1207"/>
      <c r="CK21" s="1294"/>
      <c r="CL21" s="1202"/>
      <c r="CM21" s="1203"/>
      <c r="CN21" s="1203"/>
      <c r="CO21" s="1203"/>
      <c r="CP21" s="1203"/>
      <c r="CQ21" s="1305"/>
      <c r="CR21" s="1207"/>
      <c r="CS21" s="1306"/>
      <c r="CT21" s="1202"/>
      <c r="CU21" s="1203"/>
      <c r="CV21" s="1203"/>
      <c r="CW21" s="1203"/>
      <c r="CX21" s="1203"/>
      <c r="CY21" s="1305"/>
      <c r="CZ21" s="1207"/>
      <c r="DA21" s="1258"/>
      <c r="DB21" s="1202"/>
      <c r="DC21" s="1203"/>
      <c r="DD21" s="1203"/>
      <c r="DE21" s="1203"/>
      <c r="DF21" s="1203"/>
      <c r="DG21" s="1204"/>
      <c r="DH21" s="1342"/>
      <c r="DI21" s="1258"/>
      <c r="DJ21" s="1202"/>
      <c r="DK21" s="1203"/>
      <c r="DL21" s="1203"/>
      <c r="DM21" s="1203"/>
      <c r="DN21" s="1203"/>
      <c r="DO21" s="1204"/>
      <c r="DP21" s="1342"/>
      <c r="DQ21" s="1258"/>
      <c r="DR21" s="1202"/>
      <c r="DS21" s="1203"/>
      <c r="DT21" s="1203"/>
      <c r="DU21" s="1203"/>
      <c r="DV21" s="1203"/>
      <c r="DW21" s="1204"/>
      <c r="DX21" s="1342"/>
      <c r="DY21" s="1258"/>
      <c r="DZ21" s="1202"/>
      <c r="EA21" s="1203"/>
      <c r="EB21" s="1203"/>
      <c r="EC21" s="1203"/>
      <c r="ED21" s="1203"/>
      <c r="EE21" s="1204"/>
      <c r="EF21" s="1342"/>
      <c r="EG21" s="1258"/>
      <c r="EH21" s="1202"/>
      <c r="EI21" s="1203"/>
      <c r="EJ21" s="1203"/>
      <c r="EK21" s="1203"/>
      <c r="EL21" s="1203"/>
      <c r="EM21" s="1204"/>
      <c r="EN21" s="1342"/>
      <c r="EO21" s="1197"/>
      <c r="EP21" s="1202"/>
      <c r="EQ21" s="1203"/>
      <c r="ER21" s="1203"/>
      <c r="ES21" s="1203"/>
      <c r="ET21" s="1203"/>
      <c r="EU21" s="1204"/>
      <c r="EV21" s="1342"/>
    </row>
    <row r="22" spans="1:152" ht="15" customHeight="1">
      <c r="A22" s="1307">
        <v>1.1000000000000001</v>
      </c>
      <c r="B22" s="1897" t="s">
        <v>330</v>
      </c>
      <c r="C22" s="1898"/>
      <c r="D22" s="1898"/>
      <c r="E22" s="1898"/>
      <c r="F22" s="1898"/>
      <c r="G22" s="1899"/>
      <c r="H22" s="1205" t="str">
        <f t="shared" ref="H22" si="45">IF(ISBLANK(D$3),"",1)</f>
        <v/>
      </c>
      <c r="I22" s="1205" t="str">
        <f>IF(ISBLANK(H$3),"",1)</f>
        <v/>
      </c>
      <c r="J22" s="1205" t="str">
        <f>IF(ISBLANK(L$3),"",1)</f>
        <v/>
      </c>
      <c r="K22" s="1205" t="str">
        <f>IF(ISBLANK(P$3),"",1)</f>
        <v/>
      </c>
      <c r="L22" s="1205" t="str">
        <f>IF(ISBLANK(T$3),"",1)</f>
        <v/>
      </c>
      <c r="M22" s="1205" t="str">
        <f>IF(ISBLANK(X$3),"",1)</f>
        <v/>
      </c>
      <c r="N22" s="1342" t="str">
        <f>IF(ISBLANK(AB$3),"",1)</f>
        <v/>
      </c>
      <c r="O22" s="1342" t="str">
        <f>IF(ISBLANK(AF$3),"",1)</f>
        <v/>
      </c>
      <c r="P22" s="1342" t="str">
        <f>IF(ISBLANK(AJ$3),"",1)</f>
        <v/>
      </c>
      <c r="Q22" s="1342" t="str">
        <f>IF(ISBLANK(AN$3),"",1)</f>
        <v/>
      </c>
      <c r="R22" s="1342" t="str">
        <f>IF(ISBLANK(AR$3),"",1)</f>
        <v/>
      </c>
      <c r="S22" s="1342" t="str">
        <f>IF(ISBLANK(AV$3),"",1)</f>
        <v/>
      </c>
      <c r="T22" s="1342" t="str">
        <f>IF(ISBLANK(AZ$3),"",1)</f>
        <v/>
      </c>
      <c r="U22" s="1342" t="str">
        <f>IF(ISBLANK(BD$3),"",1)</f>
        <v/>
      </c>
      <c r="V22" s="1342" t="str">
        <f>IF(ISBLANK(BH$3),"",1)</f>
        <v/>
      </c>
      <c r="W22" s="1342" t="str">
        <f>IF(ISBLANK(BL$3),"",1)</f>
        <v/>
      </c>
      <c r="X22" s="332"/>
      <c r="Y22" s="1301">
        <v>4.4000000000000004</v>
      </c>
      <c r="Z22" s="1161" t="s">
        <v>401</v>
      </c>
      <c r="AA22" s="1162"/>
      <c r="AB22" s="1162"/>
      <c r="AC22" s="1162"/>
      <c r="AD22" s="1162"/>
      <c r="AE22" s="1199"/>
      <c r="AF22" s="1205" t="str">
        <f>IF(ISBLANK(D$3),"",1)</f>
        <v/>
      </c>
      <c r="AG22" s="1258">
        <v>4.4000000000000004</v>
      </c>
      <c r="AH22" s="1161" t="s">
        <v>407</v>
      </c>
      <c r="AI22" s="1162"/>
      <c r="AJ22" s="1162"/>
      <c r="AK22" s="1162"/>
      <c r="AL22" s="1162"/>
      <c r="AM22" s="1199"/>
      <c r="AN22" s="1205" t="str">
        <f>IF(ISBLANK(H$3),"",1)</f>
        <v/>
      </c>
      <c r="AO22" s="1258">
        <v>4.3</v>
      </c>
      <c r="AP22" s="1198" t="s">
        <v>390</v>
      </c>
      <c r="AQ22" s="1162"/>
      <c r="AR22" s="1162"/>
      <c r="AS22" s="1162"/>
      <c r="AT22" s="1162"/>
      <c r="AU22" s="1199"/>
      <c r="AV22" s="1226" t="str">
        <f t="shared" ref="AV22" si="46">IF(ISBLANK(L$3),"",1)</f>
        <v/>
      </c>
      <c r="AW22" s="1304">
        <v>4.4000000000000004</v>
      </c>
      <c r="AX22" s="1198" t="s">
        <v>407</v>
      </c>
      <c r="AY22" s="1162"/>
      <c r="AZ22" s="1162"/>
      <c r="BA22" s="1162"/>
      <c r="BB22" s="1162"/>
      <c r="BC22" s="1199"/>
      <c r="BD22" s="1226" t="str">
        <f t="shared" ref="BD22" si="47">IF(ISBLANK(P$3),"",1)</f>
        <v/>
      </c>
      <c r="BE22" s="1258">
        <v>4.3</v>
      </c>
      <c r="BF22" s="1198" t="s">
        <v>390</v>
      </c>
      <c r="BG22" s="1162"/>
      <c r="BH22" s="1162"/>
      <c r="BI22" s="1162"/>
      <c r="BJ22" s="1162"/>
      <c r="BK22" s="1199"/>
      <c r="BL22" s="1226" t="str">
        <f t="shared" ref="BL22" si="48">IF(ISBLANK(T$3),"",1)</f>
        <v/>
      </c>
      <c r="BM22" s="1258">
        <v>4.3</v>
      </c>
      <c r="BN22" s="1198" t="s">
        <v>390</v>
      </c>
      <c r="BO22" s="1162"/>
      <c r="BP22" s="1162"/>
      <c r="BQ22" s="1162"/>
      <c r="BR22" s="1162"/>
      <c r="BS22" s="1199"/>
      <c r="BT22" s="1226" t="str">
        <f t="shared" ref="BT22" si="49">IF(ISBLANK(X$3),"",1)</f>
        <v/>
      </c>
      <c r="BU22" s="1391">
        <v>4.3</v>
      </c>
      <c r="BV22" s="1310" t="s">
        <v>879</v>
      </c>
      <c r="BW22" s="1311"/>
      <c r="BX22" s="1311"/>
      <c r="BY22" s="1311"/>
      <c r="BZ22" s="1311"/>
      <c r="CA22" s="1312"/>
      <c r="CB22" s="1205" t="str">
        <f t="shared" ref="CB22" si="50">IF(ISBLANK(AB$3),"",1)</f>
        <v/>
      </c>
      <c r="CC22" s="1322">
        <v>4.4000000000000004</v>
      </c>
      <c r="CD22" s="1198" t="s">
        <v>880</v>
      </c>
      <c r="CE22" s="1162"/>
      <c r="CF22" s="1162"/>
      <c r="CG22" s="1162"/>
      <c r="CH22" s="1162"/>
      <c r="CI22" s="1265"/>
      <c r="CJ22" s="1205" t="str">
        <f t="shared" ref="CJ22" si="51">IF(ISBLANK(AF$3),"",1)</f>
        <v/>
      </c>
      <c r="CK22" s="1322">
        <v>4.4000000000000004</v>
      </c>
      <c r="CL22" s="1198" t="s">
        <v>412</v>
      </c>
      <c r="CM22" s="1162"/>
      <c r="CN22" s="1162"/>
      <c r="CO22" s="1162"/>
      <c r="CP22" s="1162"/>
      <c r="CQ22" s="1265"/>
      <c r="CR22" s="1205" t="str">
        <f t="shared" ref="CR22" si="52">IF(ISBLANK(AJ$3),"",1)</f>
        <v/>
      </c>
      <c r="CS22" s="1304">
        <v>4.4000000000000004</v>
      </c>
      <c r="CT22" s="1198" t="s">
        <v>359</v>
      </c>
      <c r="CU22" s="1162"/>
      <c r="CV22" s="1162"/>
      <c r="CW22" s="1162"/>
      <c r="CX22" s="1162"/>
      <c r="CY22" s="1265"/>
      <c r="CZ22" s="1205" t="str">
        <f t="shared" ref="CZ22" si="53">IF(ISBLANK(AN$3),"",1)</f>
        <v/>
      </c>
      <c r="DA22" s="1304">
        <v>4.3</v>
      </c>
      <c r="DB22" s="1310" t="s">
        <v>879</v>
      </c>
      <c r="DC22" s="1311"/>
      <c r="DD22" s="1311"/>
      <c r="DE22" s="1311"/>
      <c r="DF22" s="1311"/>
      <c r="DG22" s="1316"/>
      <c r="DH22" s="1226" t="str">
        <f t="shared" ref="DH22" si="54">IF(ISBLANK(AF$3),"",1)</f>
        <v/>
      </c>
      <c r="DI22" s="1304">
        <v>4.3</v>
      </c>
      <c r="DJ22" s="1310" t="s">
        <v>879</v>
      </c>
      <c r="DK22" s="1311"/>
      <c r="DL22" s="1311"/>
      <c r="DM22" s="1311"/>
      <c r="DN22" s="1311"/>
      <c r="DO22" s="1316"/>
      <c r="DP22" s="1226" t="str">
        <f t="shared" ref="DP22" si="55">IF(ISBLANK(AV$3),"",1)</f>
        <v/>
      </c>
      <c r="DQ22" s="1304">
        <v>4.3</v>
      </c>
      <c r="DR22" s="1310" t="s">
        <v>879</v>
      </c>
      <c r="DS22" s="1311"/>
      <c r="DT22" s="1311"/>
      <c r="DU22" s="1311"/>
      <c r="DV22" s="1311"/>
      <c r="DW22" s="1316"/>
      <c r="DX22" s="1226" t="str">
        <f t="shared" ref="DX22" si="56">IF(ISBLANK(AZ$3),"",1)</f>
        <v/>
      </c>
      <c r="DY22" s="1304">
        <v>4.3</v>
      </c>
      <c r="DZ22" s="1310" t="s">
        <v>879</v>
      </c>
      <c r="EA22" s="1311"/>
      <c r="EB22" s="1311"/>
      <c r="EC22" s="1311"/>
      <c r="ED22" s="1311"/>
      <c r="EE22" s="1316"/>
      <c r="EF22" s="1226" t="str">
        <f t="shared" ref="EF22" si="57">IF(ISBLANK(BD$3),"",1)</f>
        <v/>
      </c>
      <c r="EG22" s="1304">
        <v>4.3</v>
      </c>
      <c r="EH22" s="1310" t="s">
        <v>879</v>
      </c>
      <c r="EI22" s="1311"/>
      <c r="EJ22" s="1311"/>
      <c r="EK22" s="1311"/>
      <c r="EL22" s="1311"/>
      <c r="EM22" s="1316"/>
      <c r="EN22" s="1226" t="str">
        <f t="shared" ref="EN22" si="58">IF(ISBLANK(BH$3),"",1)</f>
        <v/>
      </c>
      <c r="EO22" s="1304">
        <v>4.3</v>
      </c>
      <c r="EP22" s="1310" t="s">
        <v>879</v>
      </c>
      <c r="EQ22" s="1311"/>
      <c r="ER22" s="1311"/>
      <c r="ES22" s="1311"/>
      <c r="ET22" s="1311"/>
      <c r="EU22" s="1316"/>
      <c r="EV22" s="1226" t="str">
        <f t="shared" ref="EV22" si="59">IF(ISBLANK(BL$3),"",1)</f>
        <v/>
      </c>
    </row>
    <row r="23" spans="1:152" ht="15" customHeight="1">
      <c r="A23" s="1308"/>
      <c r="B23" s="1900"/>
      <c r="C23" s="1901"/>
      <c r="D23" s="1901"/>
      <c r="E23" s="1901"/>
      <c r="F23" s="1901"/>
      <c r="G23" s="1902"/>
      <c r="H23" s="1206"/>
      <c r="I23" s="1206"/>
      <c r="J23" s="1206"/>
      <c r="K23" s="1206"/>
      <c r="L23" s="1206"/>
      <c r="M23" s="1206"/>
      <c r="N23" s="1342"/>
      <c r="O23" s="1342"/>
      <c r="P23" s="1342"/>
      <c r="Q23" s="1342"/>
      <c r="R23" s="1342"/>
      <c r="S23" s="1342"/>
      <c r="T23" s="1342"/>
      <c r="U23" s="1342"/>
      <c r="V23" s="1342"/>
      <c r="W23" s="1342"/>
      <c r="X23" s="332"/>
      <c r="Y23" s="1302"/>
      <c r="Z23" s="1163"/>
      <c r="AA23" s="1164"/>
      <c r="AB23" s="1164"/>
      <c r="AC23" s="1164"/>
      <c r="AD23" s="1164"/>
      <c r="AE23" s="1201"/>
      <c r="AF23" s="1206"/>
      <c r="AG23" s="1258"/>
      <c r="AH23" s="1163"/>
      <c r="AI23" s="1164"/>
      <c r="AJ23" s="1164"/>
      <c r="AK23" s="1164"/>
      <c r="AL23" s="1164"/>
      <c r="AM23" s="1201"/>
      <c r="AN23" s="1206"/>
      <c r="AO23" s="1258"/>
      <c r="AP23" s="1200"/>
      <c r="AQ23" s="1164"/>
      <c r="AR23" s="1164"/>
      <c r="AS23" s="1164"/>
      <c r="AT23" s="1164"/>
      <c r="AU23" s="1201"/>
      <c r="AV23" s="1342"/>
      <c r="AW23" s="1290"/>
      <c r="AX23" s="1200"/>
      <c r="AY23" s="1164"/>
      <c r="AZ23" s="1164"/>
      <c r="BA23" s="1164"/>
      <c r="BB23" s="1164"/>
      <c r="BC23" s="1201"/>
      <c r="BD23" s="1342"/>
      <c r="BE23" s="1258"/>
      <c r="BF23" s="1200"/>
      <c r="BG23" s="1164"/>
      <c r="BH23" s="1164"/>
      <c r="BI23" s="1164"/>
      <c r="BJ23" s="1164"/>
      <c r="BK23" s="1201"/>
      <c r="BL23" s="1342"/>
      <c r="BM23" s="1258"/>
      <c r="BN23" s="1200"/>
      <c r="BO23" s="1164"/>
      <c r="BP23" s="1164"/>
      <c r="BQ23" s="1164"/>
      <c r="BR23" s="1164"/>
      <c r="BS23" s="1201"/>
      <c r="BT23" s="1342"/>
      <c r="BU23" s="1392"/>
      <c r="BV23" s="1295" t="s">
        <v>368</v>
      </c>
      <c r="BW23" s="1296"/>
      <c r="BX23" s="1296"/>
      <c r="BY23" s="1296"/>
      <c r="BZ23" s="1296"/>
      <c r="CA23" s="1297"/>
      <c r="CB23" s="1206"/>
      <c r="CC23" s="1293"/>
      <c r="CD23" s="1200"/>
      <c r="CE23" s="1164"/>
      <c r="CF23" s="1164"/>
      <c r="CG23" s="1164"/>
      <c r="CH23" s="1164"/>
      <c r="CI23" s="1266"/>
      <c r="CJ23" s="1206"/>
      <c r="CK23" s="1293"/>
      <c r="CL23" s="1200"/>
      <c r="CM23" s="1164"/>
      <c r="CN23" s="1164"/>
      <c r="CO23" s="1164"/>
      <c r="CP23" s="1164"/>
      <c r="CQ23" s="1266"/>
      <c r="CR23" s="1206"/>
      <c r="CS23" s="1290"/>
      <c r="CT23" s="1200"/>
      <c r="CU23" s="1164"/>
      <c r="CV23" s="1164"/>
      <c r="CW23" s="1164"/>
      <c r="CX23" s="1164"/>
      <c r="CY23" s="1266"/>
      <c r="CZ23" s="1206"/>
      <c r="DA23" s="1290"/>
      <c r="DB23" s="1295"/>
      <c r="DC23" s="1296"/>
      <c r="DD23" s="1296"/>
      <c r="DE23" s="1296"/>
      <c r="DF23" s="1296"/>
      <c r="DG23" s="1318"/>
      <c r="DH23" s="1342"/>
      <c r="DI23" s="1290"/>
      <c r="DJ23" s="1295"/>
      <c r="DK23" s="1296"/>
      <c r="DL23" s="1296"/>
      <c r="DM23" s="1296"/>
      <c r="DN23" s="1296"/>
      <c r="DO23" s="1318"/>
      <c r="DP23" s="1342"/>
      <c r="DQ23" s="1290"/>
      <c r="DR23" s="1295"/>
      <c r="DS23" s="1296"/>
      <c r="DT23" s="1296"/>
      <c r="DU23" s="1296"/>
      <c r="DV23" s="1296"/>
      <c r="DW23" s="1318"/>
      <c r="DX23" s="1342"/>
      <c r="DY23" s="1290"/>
      <c r="DZ23" s="1295"/>
      <c r="EA23" s="1296"/>
      <c r="EB23" s="1296"/>
      <c r="EC23" s="1296"/>
      <c r="ED23" s="1296"/>
      <c r="EE23" s="1318"/>
      <c r="EF23" s="1342"/>
      <c r="EG23" s="1290"/>
      <c r="EH23" s="1295"/>
      <c r="EI23" s="1296"/>
      <c r="EJ23" s="1296"/>
      <c r="EK23" s="1296"/>
      <c r="EL23" s="1296"/>
      <c r="EM23" s="1318"/>
      <c r="EN23" s="1342"/>
      <c r="EO23" s="1290"/>
      <c r="EP23" s="1295"/>
      <c r="EQ23" s="1296"/>
      <c r="ER23" s="1296"/>
      <c r="ES23" s="1296"/>
      <c r="ET23" s="1296"/>
      <c r="EU23" s="1318"/>
      <c r="EV23" s="1342"/>
    </row>
    <row r="24" spans="1:152" ht="15" customHeight="1">
      <c r="A24" s="1309"/>
      <c r="B24" s="1903"/>
      <c r="C24" s="1904"/>
      <c r="D24" s="1904"/>
      <c r="E24" s="1904"/>
      <c r="F24" s="1904"/>
      <c r="G24" s="1905"/>
      <c r="H24" s="1207"/>
      <c r="I24" s="1207"/>
      <c r="J24" s="1207"/>
      <c r="K24" s="1207"/>
      <c r="L24" s="1207"/>
      <c r="M24" s="1207"/>
      <c r="N24" s="1342"/>
      <c r="O24" s="1342"/>
      <c r="P24" s="1342"/>
      <c r="Q24" s="1342"/>
      <c r="R24" s="1342"/>
      <c r="S24" s="1342"/>
      <c r="T24" s="1342"/>
      <c r="U24" s="1342"/>
      <c r="V24" s="1342"/>
      <c r="W24" s="1342"/>
      <c r="X24" s="332"/>
      <c r="Y24" s="1303"/>
      <c r="Z24" s="1165"/>
      <c r="AA24" s="1166"/>
      <c r="AB24" s="1166"/>
      <c r="AC24" s="1166"/>
      <c r="AD24" s="1166"/>
      <c r="AE24" s="1292"/>
      <c r="AF24" s="1207"/>
      <c r="AG24" s="1258"/>
      <c r="AH24" s="1165"/>
      <c r="AI24" s="1166"/>
      <c r="AJ24" s="1166"/>
      <c r="AK24" s="1166"/>
      <c r="AL24" s="1166"/>
      <c r="AM24" s="1292"/>
      <c r="AN24" s="1207"/>
      <c r="AO24" s="1258"/>
      <c r="AP24" s="1202"/>
      <c r="AQ24" s="1203"/>
      <c r="AR24" s="1203"/>
      <c r="AS24" s="1203"/>
      <c r="AT24" s="1203"/>
      <c r="AU24" s="1204"/>
      <c r="AV24" s="1342"/>
      <c r="AW24" s="1291"/>
      <c r="AX24" s="1202"/>
      <c r="AY24" s="1203"/>
      <c r="AZ24" s="1203"/>
      <c r="BA24" s="1203"/>
      <c r="BB24" s="1203"/>
      <c r="BC24" s="1204"/>
      <c r="BD24" s="1342"/>
      <c r="BE24" s="1258"/>
      <c r="BF24" s="1202"/>
      <c r="BG24" s="1203"/>
      <c r="BH24" s="1203"/>
      <c r="BI24" s="1203"/>
      <c r="BJ24" s="1203"/>
      <c r="BK24" s="1204"/>
      <c r="BL24" s="1342"/>
      <c r="BM24" s="1258"/>
      <c r="BN24" s="1202"/>
      <c r="BO24" s="1203"/>
      <c r="BP24" s="1203"/>
      <c r="BQ24" s="1203"/>
      <c r="BR24" s="1203"/>
      <c r="BS24" s="1204"/>
      <c r="BT24" s="1342"/>
      <c r="BU24" s="1393"/>
      <c r="BV24" s="1298" t="s">
        <v>416</v>
      </c>
      <c r="BW24" s="1299"/>
      <c r="BX24" s="1299"/>
      <c r="BY24" s="1299"/>
      <c r="BZ24" s="1299"/>
      <c r="CA24" s="1300"/>
      <c r="CB24" s="1207"/>
      <c r="CC24" s="1294"/>
      <c r="CD24" s="1202"/>
      <c r="CE24" s="1203"/>
      <c r="CF24" s="1203"/>
      <c r="CG24" s="1203"/>
      <c r="CH24" s="1203"/>
      <c r="CI24" s="1305"/>
      <c r="CJ24" s="1207"/>
      <c r="CK24" s="1294"/>
      <c r="CL24" s="1202"/>
      <c r="CM24" s="1203"/>
      <c r="CN24" s="1203"/>
      <c r="CO24" s="1203"/>
      <c r="CP24" s="1203"/>
      <c r="CQ24" s="1305"/>
      <c r="CR24" s="1207"/>
      <c r="CS24" s="1291"/>
      <c r="CT24" s="1202"/>
      <c r="CU24" s="1203"/>
      <c r="CV24" s="1203"/>
      <c r="CW24" s="1203"/>
      <c r="CX24" s="1203"/>
      <c r="CY24" s="1305"/>
      <c r="CZ24" s="1207"/>
      <c r="DA24" s="1291"/>
      <c r="DB24" s="1298"/>
      <c r="DC24" s="1299"/>
      <c r="DD24" s="1299"/>
      <c r="DE24" s="1299"/>
      <c r="DF24" s="1299"/>
      <c r="DG24" s="1335"/>
      <c r="DH24" s="1342"/>
      <c r="DI24" s="1291"/>
      <c r="DJ24" s="1298"/>
      <c r="DK24" s="1299"/>
      <c r="DL24" s="1299"/>
      <c r="DM24" s="1299"/>
      <c r="DN24" s="1299"/>
      <c r="DO24" s="1335"/>
      <c r="DP24" s="1342"/>
      <c r="DQ24" s="1291"/>
      <c r="DR24" s="1298"/>
      <c r="DS24" s="1299"/>
      <c r="DT24" s="1299"/>
      <c r="DU24" s="1299"/>
      <c r="DV24" s="1299"/>
      <c r="DW24" s="1335"/>
      <c r="DX24" s="1342"/>
      <c r="DY24" s="1291"/>
      <c r="DZ24" s="1298"/>
      <c r="EA24" s="1299"/>
      <c r="EB24" s="1299"/>
      <c r="EC24" s="1299"/>
      <c r="ED24" s="1299"/>
      <c r="EE24" s="1335"/>
      <c r="EF24" s="1342"/>
      <c r="EG24" s="1291"/>
      <c r="EH24" s="1298"/>
      <c r="EI24" s="1299"/>
      <c r="EJ24" s="1299"/>
      <c r="EK24" s="1299"/>
      <c r="EL24" s="1299"/>
      <c r="EM24" s="1335"/>
      <c r="EN24" s="1342"/>
      <c r="EO24" s="1291"/>
      <c r="EP24" s="1298"/>
      <c r="EQ24" s="1299"/>
      <c r="ER24" s="1299"/>
      <c r="ES24" s="1299"/>
      <c r="ET24" s="1299"/>
      <c r="EU24" s="1335"/>
      <c r="EV24" s="1342"/>
    </row>
    <row r="25" spans="1:152" ht="15" customHeight="1">
      <c r="A25" s="1307">
        <v>1.5</v>
      </c>
      <c r="B25" s="1897" t="s">
        <v>336</v>
      </c>
      <c r="C25" s="1898"/>
      <c r="D25" s="1898"/>
      <c r="E25" s="1898"/>
      <c r="F25" s="1898"/>
      <c r="G25" s="1899"/>
      <c r="H25" s="1205" t="str">
        <f t="shared" ref="H25" si="60">IF(ISBLANK(D$3),"",1)</f>
        <v/>
      </c>
      <c r="I25" s="1205" t="str">
        <f>IF(ISBLANK(H$3),"",1)</f>
        <v/>
      </c>
      <c r="J25" s="1205" t="str">
        <f>IF(ISBLANK(L$3),"",1)</f>
        <v/>
      </c>
      <c r="K25" s="1205" t="str">
        <f>IF(ISBLANK(P$3),"",1)</f>
        <v/>
      </c>
      <c r="L25" s="1205" t="str">
        <f>IF(ISBLANK(T$3),"",1)</f>
        <v/>
      </c>
      <c r="M25" s="1205" t="str">
        <f>IF(ISBLANK(X$3),"",1)</f>
        <v/>
      </c>
      <c r="N25" s="1342" t="str">
        <f>IF(ISBLANK(AB$3),"",1)</f>
        <v/>
      </c>
      <c r="O25" s="1342" t="str">
        <f>IF(ISBLANK(AF$3),"",1)</f>
        <v/>
      </c>
      <c r="P25" s="1342" t="str">
        <f>IF(ISBLANK(AJ$3),"",1)</f>
        <v/>
      </c>
      <c r="Q25" s="1342" t="str">
        <f>IF(ISBLANK(AN$3),"",1)</f>
        <v/>
      </c>
      <c r="R25" s="1342" t="str">
        <f>IF(ISBLANK(AR$3),"",1)</f>
        <v/>
      </c>
      <c r="S25" s="1342" t="str">
        <f>IF(ISBLANK(AV$3),"",1)</f>
        <v/>
      </c>
      <c r="T25" s="1342" t="str">
        <f>IF(ISBLANK(AZ$3),"",1)</f>
        <v/>
      </c>
      <c r="U25" s="1342" t="str">
        <f>IF(ISBLANK(BD$3),"",1)</f>
        <v/>
      </c>
      <c r="V25" s="1342" t="str">
        <f>IF(ISBLANK(BH$3),"",1)</f>
        <v/>
      </c>
      <c r="W25" s="1342" t="str">
        <f>IF(ISBLANK(BL$3),"",1)</f>
        <v/>
      </c>
      <c r="X25" s="332"/>
      <c r="Y25" s="1304">
        <v>4.4000000000000004</v>
      </c>
      <c r="Z25" s="1161" t="s">
        <v>402</v>
      </c>
      <c r="AA25" s="1162"/>
      <c r="AB25" s="1162"/>
      <c r="AC25" s="1162"/>
      <c r="AD25" s="1162"/>
      <c r="AE25" s="1199"/>
      <c r="AF25" s="1205" t="str">
        <f>IF(ISBLANK(D$3),"",1)</f>
        <v/>
      </c>
      <c r="AG25" s="1258">
        <v>4.4000000000000004</v>
      </c>
      <c r="AH25" s="1161" t="s">
        <v>393</v>
      </c>
      <c r="AI25" s="1162"/>
      <c r="AJ25" s="1162"/>
      <c r="AK25" s="1162"/>
      <c r="AL25" s="1162"/>
      <c r="AM25" s="1199"/>
      <c r="AN25" s="1205" t="str">
        <f>IF(ISBLANK(H$3),"",1)</f>
        <v/>
      </c>
      <c r="AO25" s="1258">
        <v>4.4000000000000004</v>
      </c>
      <c r="AP25" s="1198" t="s">
        <v>415</v>
      </c>
      <c r="AQ25" s="1162"/>
      <c r="AR25" s="1162"/>
      <c r="AS25" s="1162"/>
      <c r="AT25" s="1162"/>
      <c r="AU25" s="1199"/>
      <c r="AV25" s="1226" t="str">
        <f t="shared" ref="AV25" si="61">IF(ISBLANK(L$3),"",1)</f>
        <v/>
      </c>
      <c r="AW25" s="1304">
        <v>4.4000000000000004</v>
      </c>
      <c r="AX25" s="1198" t="s">
        <v>393</v>
      </c>
      <c r="AY25" s="1162"/>
      <c r="AZ25" s="1162"/>
      <c r="BA25" s="1162"/>
      <c r="BB25" s="1162"/>
      <c r="BC25" s="1199"/>
      <c r="BD25" s="1226" t="str">
        <f t="shared" ref="BD25" si="62">IF(ISBLANK(P$3),"",1)</f>
        <v/>
      </c>
      <c r="BE25" s="1258">
        <v>4.4000000000000004</v>
      </c>
      <c r="BF25" s="1198" t="s">
        <v>892</v>
      </c>
      <c r="BG25" s="1162"/>
      <c r="BH25" s="1162"/>
      <c r="BI25" s="1162"/>
      <c r="BJ25" s="1162"/>
      <c r="BK25" s="1199"/>
      <c r="BL25" s="1226" t="str">
        <f t="shared" ref="BL25" si="63">IF(ISBLANK(T$3),"",1)</f>
        <v/>
      </c>
      <c r="BM25" s="1258">
        <v>4.4000000000000004</v>
      </c>
      <c r="BN25" s="1198" t="s">
        <v>892</v>
      </c>
      <c r="BO25" s="1162"/>
      <c r="BP25" s="1162"/>
      <c r="BQ25" s="1162"/>
      <c r="BR25" s="1162"/>
      <c r="BS25" s="1199"/>
      <c r="BT25" s="1226" t="str">
        <f t="shared" ref="BT25" si="64">IF(ISBLANK(X$3),"",1)</f>
        <v/>
      </c>
      <c r="BU25" s="1322">
        <v>4.4000000000000004</v>
      </c>
      <c r="BV25" s="1198" t="s">
        <v>393</v>
      </c>
      <c r="BW25" s="1162"/>
      <c r="BX25" s="1162"/>
      <c r="BY25" s="1162"/>
      <c r="BZ25" s="1162"/>
      <c r="CA25" s="1265"/>
      <c r="CB25" s="1205" t="str">
        <f t="shared" ref="CB25" si="65">IF(ISBLANK(AB$3),"",1)</f>
        <v/>
      </c>
      <c r="CC25" s="1304">
        <v>4.4000000000000004</v>
      </c>
      <c r="CD25" s="1395" t="s">
        <v>359</v>
      </c>
      <c r="CE25" s="1396"/>
      <c r="CF25" s="1396"/>
      <c r="CG25" s="1396"/>
      <c r="CH25" s="1396"/>
      <c r="CI25" s="1397"/>
      <c r="CJ25" s="1205" t="str">
        <f t="shared" ref="CJ25" si="66">IF(ISBLANK(AF$3),"",1)</f>
        <v/>
      </c>
      <c r="CK25" s="1322">
        <v>4.4000000000000004</v>
      </c>
      <c r="CL25" s="1198" t="s">
        <v>413</v>
      </c>
      <c r="CM25" s="1162"/>
      <c r="CN25" s="1162"/>
      <c r="CO25" s="1162"/>
      <c r="CP25" s="1162"/>
      <c r="CQ25" s="1265"/>
      <c r="CR25" s="1205" t="str">
        <f t="shared" ref="CR25" si="67">IF(ISBLANK(AJ$3),"",1)</f>
        <v/>
      </c>
      <c r="CS25" s="1322">
        <v>4.3</v>
      </c>
      <c r="CT25" s="1198" t="s">
        <v>395</v>
      </c>
      <c r="CU25" s="1162"/>
      <c r="CV25" s="1162"/>
      <c r="CW25" s="1162"/>
      <c r="CX25" s="1162"/>
      <c r="CY25" s="1265"/>
      <c r="CZ25" s="1205" t="str">
        <f t="shared" ref="CZ25" si="68">IF(ISBLANK(AN$3),"",1)</f>
        <v/>
      </c>
      <c r="DA25" s="1258">
        <v>4.4000000000000004</v>
      </c>
      <c r="DB25" s="1198" t="s">
        <v>418</v>
      </c>
      <c r="DC25" s="1162"/>
      <c r="DD25" s="1162"/>
      <c r="DE25" s="1162"/>
      <c r="DF25" s="1162"/>
      <c r="DG25" s="1199"/>
      <c r="DH25" s="1226" t="str">
        <f t="shared" ref="DH25" si="69">IF(ISBLANK(AF$3),"",1)</f>
        <v/>
      </c>
      <c r="DI25" s="1258">
        <v>4.3</v>
      </c>
      <c r="DJ25" s="1198" t="s">
        <v>418</v>
      </c>
      <c r="DK25" s="1162"/>
      <c r="DL25" s="1162"/>
      <c r="DM25" s="1162"/>
      <c r="DN25" s="1162"/>
      <c r="DO25" s="1199"/>
      <c r="DP25" s="1226" t="str">
        <f t="shared" ref="DP25" si="70">IF(ISBLANK(AV$3),"",1)</f>
        <v/>
      </c>
      <c r="DQ25" s="1304">
        <v>4.3</v>
      </c>
      <c r="DR25" s="1198" t="s">
        <v>883</v>
      </c>
      <c r="DS25" s="1162"/>
      <c r="DT25" s="1162"/>
      <c r="DU25" s="1162"/>
      <c r="DV25" s="1162"/>
      <c r="DW25" s="1199"/>
      <c r="DX25" s="1226" t="str">
        <f t="shared" ref="DX25" si="71">IF(ISBLANK(AZ$3),"",1)</f>
        <v/>
      </c>
      <c r="DY25" s="1304">
        <v>4.3</v>
      </c>
      <c r="DZ25" s="1198" t="s">
        <v>883</v>
      </c>
      <c r="EA25" s="1162"/>
      <c r="EB25" s="1162"/>
      <c r="EC25" s="1162"/>
      <c r="ED25" s="1162"/>
      <c r="EE25" s="1199"/>
      <c r="EF25" s="1226" t="str">
        <f t="shared" ref="EF25" si="72">IF(ISBLANK(BD$3),"",1)</f>
        <v/>
      </c>
      <c r="EG25" s="1258">
        <v>4.4000000000000004</v>
      </c>
      <c r="EH25" s="1198" t="s">
        <v>393</v>
      </c>
      <c r="EI25" s="1162"/>
      <c r="EJ25" s="1162"/>
      <c r="EK25" s="1162"/>
      <c r="EL25" s="1162"/>
      <c r="EM25" s="1199"/>
      <c r="EN25" s="1226" t="str">
        <f t="shared" ref="EN25" si="73">IF(ISBLANK(BH$3),"",1)</f>
        <v/>
      </c>
      <c r="EO25" s="1304">
        <v>4.3</v>
      </c>
      <c r="EP25" s="1198" t="s">
        <v>883</v>
      </c>
      <c r="EQ25" s="1162"/>
      <c r="ER25" s="1162"/>
      <c r="ES25" s="1162"/>
      <c r="ET25" s="1162"/>
      <c r="EU25" s="1199"/>
      <c r="EV25" s="1226" t="str">
        <f t="shared" ref="EV25" si="74">IF(ISBLANK(BL$3),"",1)</f>
        <v/>
      </c>
    </row>
    <row r="26" spans="1:152" ht="15" customHeight="1">
      <c r="A26" s="1308"/>
      <c r="B26" s="1900"/>
      <c r="C26" s="1901"/>
      <c r="D26" s="1901"/>
      <c r="E26" s="1901"/>
      <c r="F26" s="1901"/>
      <c r="G26" s="1902"/>
      <c r="H26" s="1206"/>
      <c r="I26" s="1206"/>
      <c r="J26" s="1206"/>
      <c r="K26" s="1206"/>
      <c r="L26" s="1206"/>
      <c r="M26" s="1206"/>
      <c r="N26" s="1342"/>
      <c r="O26" s="1342"/>
      <c r="P26" s="1342"/>
      <c r="Q26" s="1342"/>
      <c r="R26" s="1342"/>
      <c r="S26" s="1342"/>
      <c r="T26" s="1342"/>
      <c r="U26" s="1342"/>
      <c r="V26" s="1342"/>
      <c r="W26" s="1342"/>
      <c r="X26" s="332"/>
      <c r="Y26" s="1290"/>
      <c r="Z26" s="1163"/>
      <c r="AA26" s="1164"/>
      <c r="AB26" s="1164"/>
      <c r="AC26" s="1164"/>
      <c r="AD26" s="1164"/>
      <c r="AE26" s="1201"/>
      <c r="AF26" s="1206"/>
      <c r="AG26" s="1258"/>
      <c r="AH26" s="1163"/>
      <c r="AI26" s="1164"/>
      <c r="AJ26" s="1164"/>
      <c r="AK26" s="1164"/>
      <c r="AL26" s="1164"/>
      <c r="AM26" s="1201"/>
      <c r="AN26" s="1206"/>
      <c r="AO26" s="1258"/>
      <c r="AP26" s="1200"/>
      <c r="AQ26" s="1164"/>
      <c r="AR26" s="1164"/>
      <c r="AS26" s="1164"/>
      <c r="AT26" s="1164"/>
      <c r="AU26" s="1201"/>
      <c r="AV26" s="1342"/>
      <c r="AW26" s="1290"/>
      <c r="AX26" s="1200"/>
      <c r="AY26" s="1164"/>
      <c r="AZ26" s="1164"/>
      <c r="BA26" s="1164"/>
      <c r="BB26" s="1164"/>
      <c r="BC26" s="1201"/>
      <c r="BD26" s="1342"/>
      <c r="BE26" s="1258"/>
      <c r="BF26" s="1200"/>
      <c r="BG26" s="1164"/>
      <c r="BH26" s="1164"/>
      <c r="BI26" s="1164"/>
      <c r="BJ26" s="1164"/>
      <c r="BK26" s="1201"/>
      <c r="BL26" s="1342"/>
      <c r="BM26" s="1258"/>
      <c r="BN26" s="1200"/>
      <c r="BO26" s="1164"/>
      <c r="BP26" s="1164"/>
      <c r="BQ26" s="1164"/>
      <c r="BR26" s="1164"/>
      <c r="BS26" s="1201"/>
      <c r="BT26" s="1342"/>
      <c r="BU26" s="1293"/>
      <c r="BV26" s="1200"/>
      <c r="BW26" s="1164"/>
      <c r="BX26" s="1164"/>
      <c r="BY26" s="1164"/>
      <c r="BZ26" s="1164"/>
      <c r="CA26" s="1266"/>
      <c r="CB26" s="1206"/>
      <c r="CC26" s="1290"/>
      <c r="CD26" s="1163"/>
      <c r="CE26" s="1164"/>
      <c r="CF26" s="1164"/>
      <c r="CG26" s="1164"/>
      <c r="CH26" s="1164"/>
      <c r="CI26" s="1201"/>
      <c r="CJ26" s="1206"/>
      <c r="CK26" s="1293"/>
      <c r="CL26" s="1200"/>
      <c r="CM26" s="1164"/>
      <c r="CN26" s="1164"/>
      <c r="CO26" s="1164"/>
      <c r="CP26" s="1164"/>
      <c r="CQ26" s="1266"/>
      <c r="CR26" s="1206"/>
      <c r="CS26" s="1293"/>
      <c r="CT26" s="1200"/>
      <c r="CU26" s="1164"/>
      <c r="CV26" s="1164"/>
      <c r="CW26" s="1164"/>
      <c r="CX26" s="1164"/>
      <c r="CY26" s="1266"/>
      <c r="CZ26" s="1206"/>
      <c r="DA26" s="1258"/>
      <c r="DB26" s="1200"/>
      <c r="DC26" s="1164"/>
      <c r="DD26" s="1164"/>
      <c r="DE26" s="1164"/>
      <c r="DF26" s="1164"/>
      <c r="DG26" s="1201"/>
      <c r="DH26" s="1342"/>
      <c r="DI26" s="1258"/>
      <c r="DJ26" s="1200"/>
      <c r="DK26" s="1164"/>
      <c r="DL26" s="1164"/>
      <c r="DM26" s="1164"/>
      <c r="DN26" s="1164"/>
      <c r="DO26" s="1201"/>
      <c r="DP26" s="1342"/>
      <c r="DQ26" s="1290"/>
      <c r="DR26" s="1200"/>
      <c r="DS26" s="1164"/>
      <c r="DT26" s="1164"/>
      <c r="DU26" s="1164"/>
      <c r="DV26" s="1164"/>
      <c r="DW26" s="1201"/>
      <c r="DX26" s="1342"/>
      <c r="DY26" s="1290"/>
      <c r="DZ26" s="1200"/>
      <c r="EA26" s="1164"/>
      <c r="EB26" s="1164"/>
      <c r="EC26" s="1164"/>
      <c r="ED26" s="1164"/>
      <c r="EE26" s="1201"/>
      <c r="EF26" s="1342"/>
      <c r="EG26" s="1258"/>
      <c r="EH26" s="1200"/>
      <c r="EI26" s="1164"/>
      <c r="EJ26" s="1164"/>
      <c r="EK26" s="1164"/>
      <c r="EL26" s="1164"/>
      <c r="EM26" s="1201"/>
      <c r="EN26" s="1342"/>
      <c r="EO26" s="1290"/>
      <c r="EP26" s="1200"/>
      <c r="EQ26" s="1164"/>
      <c r="ER26" s="1164"/>
      <c r="ES26" s="1164"/>
      <c r="ET26" s="1164"/>
      <c r="EU26" s="1201"/>
      <c r="EV26" s="1342"/>
    </row>
    <row r="27" spans="1:152" ht="15" customHeight="1">
      <c r="A27" s="1309"/>
      <c r="B27" s="1903"/>
      <c r="C27" s="1904"/>
      <c r="D27" s="1904"/>
      <c r="E27" s="1904"/>
      <c r="F27" s="1904"/>
      <c r="G27" s="1905"/>
      <c r="H27" s="1207"/>
      <c r="I27" s="1207"/>
      <c r="J27" s="1207"/>
      <c r="K27" s="1207"/>
      <c r="L27" s="1207"/>
      <c r="M27" s="1207"/>
      <c r="N27" s="1342"/>
      <c r="O27" s="1342"/>
      <c r="P27" s="1342"/>
      <c r="Q27" s="1342"/>
      <c r="R27" s="1342"/>
      <c r="S27" s="1342"/>
      <c r="T27" s="1342"/>
      <c r="U27" s="1342"/>
      <c r="V27" s="1342"/>
      <c r="W27" s="1342"/>
      <c r="X27" s="332"/>
      <c r="Y27" s="1291"/>
      <c r="Z27" s="1165"/>
      <c r="AA27" s="1166"/>
      <c r="AB27" s="1166"/>
      <c r="AC27" s="1166"/>
      <c r="AD27" s="1166"/>
      <c r="AE27" s="1292"/>
      <c r="AF27" s="1207"/>
      <c r="AG27" s="1258"/>
      <c r="AH27" s="1165"/>
      <c r="AI27" s="1166"/>
      <c r="AJ27" s="1166"/>
      <c r="AK27" s="1166"/>
      <c r="AL27" s="1166"/>
      <c r="AM27" s="1292"/>
      <c r="AN27" s="1207"/>
      <c r="AO27" s="1258"/>
      <c r="AP27" s="1202"/>
      <c r="AQ27" s="1203"/>
      <c r="AR27" s="1203"/>
      <c r="AS27" s="1203"/>
      <c r="AT27" s="1203"/>
      <c r="AU27" s="1204"/>
      <c r="AV27" s="1342"/>
      <c r="AW27" s="1291"/>
      <c r="AX27" s="1202"/>
      <c r="AY27" s="1203"/>
      <c r="AZ27" s="1203"/>
      <c r="BA27" s="1203"/>
      <c r="BB27" s="1203"/>
      <c r="BC27" s="1204"/>
      <c r="BD27" s="1342"/>
      <c r="BE27" s="1258"/>
      <c r="BF27" s="1202"/>
      <c r="BG27" s="1203"/>
      <c r="BH27" s="1203"/>
      <c r="BI27" s="1203"/>
      <c r="BJ27" s="1203"/>
      <c r="BK27" s="1204"/>
      <c r="BL27" s="1342"/>
      <c r="BM27" s="1258"/>
      <c r="BN27" s="1202"/>
      <c r="BO27" s="1203"/>
      <c r="BP27" s="1203"/>
      <c r="BQ27" s="1203"/>
      <c r="BR27" s="1203"/>
      <c r="BS27" s="1204"/>
      <c r="BT27" s="1342"/>
      <c r="BU27" s="1294"/>
      <c r="BV27" s="1202" t="s">
        <v>394</v>
      </c>
      <c r="BW27" s="1203"/>
      <c r="BX27" s="1203"/>
      <c r="BY27" s="1203"/>
      <c r="BZ27" s="1203"/>
      <c r="CA27" s="1305"/>
      <c r="CB27" s="1207"/>
      <c r="CC27" s="1291"/>
      <c r="CD27" s="1165"/>
      <c r="CE27" s="1166"/>
      <c r="CF27" s="1166"/>
      <c r="CG27" s="1166"/>
      <c r="CH27" s="1166"/>
      <c r="CI27" s="1292"/>
      <c r="CJ27" s="1207"/>
      <c r="CK27" s="1294"/>
      <c r="CL27" s="1202"/>
      <c r="CM27" s="1203"/>
      <c r="CN27" s="1203"/>
      <c r="CO27" s="1203"/>
      <c r="CP27" s="1203"/>
      <c r="CQ27" s="1305"/>
      <c r="CR27" s="1207"/>
      <c r="CS27" s="1306"/>
      <c r="CT27" s="1202"/>
      <c r="CU27" s="1203"/>
      <c r="CV27" s="1203"/>
      <c r="CW27" s="1203"/>
      <c r="CX27" s="1203"/>
      <c r="CY27" s="1305"/>
      <c r="CZ27" s="1207"/>
      <c r="DA27" s="1258"/>
      <c r="DB27" s="1202"/>
      <c r="DC27" s="1203"/>
      <c r="DD27" s="1203"/>
      <c r="DE27" s="1203"/>
      <c r="DF27" s="1203"/>
      <c r="DG27" s="1204"/>
      <c r="DH27" s="1342"/>
      <c r="DI27" s="1258"/>
      <c r="DJ27" s="1202"/>
      <c r="DK27" s="1203"/>
      <c r="DL27" s="1203"/>
      <c r="DM27" s="1203"/>
      <c r="DN27" s="1203"/>
      <c r="DO27" s="1204"/>
      <c r="DP27" s="1342"/>
      <c r="DQ27" s="1291"/>
      <c r="DR27" s="1202"/>
      <c r="DS27" s="1203"/>
      <c r="DT27" s="1203"/>
      <c r="DU27" s="1203"/>
      <c r="DV27" s="1203"/>
      <c r="DW27" s="1204"/>
      <c r="DX27" s="1342"/>
      <c r="DY27" s="1291"/>
      <c r="DZ27" s="1202"/>
      <c r="EA27" s="1203"/>
      <c r="EB27" s="1203"/>
      <c r="EC27" s="1203"/>
      <c r="ED27" s="1203"/>
      <c r="EE27" s="1204"/>
      <c r="EF27" s="1342"/>
      <c r="EG27" s="1258"/>
      <c r="EH27" s="1202"/>
      <c r="EI27" s="1203"/>
      <c r="EJ27" s="1203"/>
      <c r="EK27" s="1203"/>
      <c r="EL27" s="1203"/>
      <c r="EM27" s="1204"/>
      <c r="EN27" s="1342"/>
      <c r="EO27" s="1291"/>
      <c r="EP27" s="1202"/>
      <c r="EQ27" s="1203"/>
      <c r="ER27" s="1203"/>
      <c r="ES27" s="1203"/>
      <c r="ET27" s="1203"/>
      <c r="EU27" s="1204"/>
      <c r="EV27" s="1342"/>
    </row>
    <row r="28" spans="1:152" ht="15" customHeight="1">
      <c r="A28" s="1304">
        <v>2.1</v>
      </c>
      <c r="B28" s="1897" t="s">
        <v>386</v>
      </c>
      <c r="C28" s="1898"/>
      <c r="D28" s="1898"/>
      <c r="E28" s="1898"/>
      <c r="F28" s="1898"/>
      <c r="G28" s="1899"/>
      <c r="H28" s="1205" t="str">
        <f t="shared" ref="H28" si="75">IF(ISBLANK(D$3),"",1)</f>
        <v/>
      </c>
      <c r="I28" s="1205" t="str">
        <f>IF(ISBLANK(H$3),"",1)</f>
        <v/>
      </c>
      <c r="J28" s="1205" t="str">
        <f>IF(ISBLANK(L$3),"",1)</f>
        <v/>
      </c>
      <c r="K28" s="1205" t="str">
        <f>IF(ISBLANK(P$3),"",1)</f>
        <v/>
      </c>
      <c r="L28" s="1205" t="str">
        <f>IF(ISBLANK(T$3),"",1)</f>
        <v/>
      </c>
      <c r="M28" s="1205" t="str">
        <f>IF(ISBLANK(X$3),"",1)</f>
        <v/>
      </c>
      <c r="N28" s="1342" t="str">
        <f>IF(ISBLANK(AB$3),"",1)</f>
        <v/>
      </c>
      <c r="O28" s="1342" t="str">
        <f>IF(ISBLANK(AF$3),"",1)</f>
        <v/>
      </c>
      <c r="P28" s="1342" t="str">
        <f>IF(ISBLANK(AJ$3),"",1)</f>
        <v/>
      </c>
      <c r="Q28" s="1342" t="str">
        <f>IF(ISBLANK(AN$3),"",1)</f>
        <v/>
      </c>
      <c r="R28" s="1342" t="str">
        <f>IF(ISBLANK(AR$3),"",1)</f>
        <v/>
      </c>
      <c r="S28" s="1342" t="str">
        <f>IF(ISBLANK(AV$3),"",1)</f>
        <v/>
      </c>
      <c r="T28" s="1342" t="str">
        <f>IF(ISBLANK(AZ$3),"",1)</f>
        <v/>
      </c>
      <c r="U28" s="1342" t="str">
        <f>IF(ISBLANK(BD$3),"",1)</f>
        <v/>
      </c>
      <c r="V28" s="1342" t="str">
        <f>IF(ISBLANK(BH$3),"",1)</f>
        <v/>
      </c>
      <c r="W28" s="1342" t="str">
        <f>IF(ISBLANK(BL$3),"",1)</f>
        <v/>
      </c>
      <c r="X28" s="332"/>
      <c r="Y28" s="1304">
        <v>4.4000000000000004</v>
      </c>
      <c r="Z28" s="1161" t="s">
        <v>403</v>
      </c>
      <c r="AA28" s="1162"/>
      <c r="AB28" s="1162"/>
      <c r="AC28" s="1162"/>
      <c r="AD28" s="1162"/>
      <c r="AE28" s="1199"/>
      <c r="AF28" s="1205" t="str">
        <f>IF(ISBLANK(D$3),"",1)</f>
        <v/>
      </c>
      <c r="AG28" s="1304">
        <v>4.4000000000000004</v>
      </c>
      <c r="AH28" s="1161" t="s">
        <v>359</v>
      </c>
      <c r="AI28" s="1162"/>
      <c r="AJ28" s="1162"/>
      <c r="AK28" s="1162"/>
      <c r="AL28" s="1162"/>
      <c r="AM28" s="1199"/>
      <c r="AN28" s="1205" t="str">
        <f>IF(ISBLANK(H$3),"",1)</f>
        <v/>
      </c>
      <c r="AO28" s="1304">
        <v>4.3</v>
      </c>
      <c r="AP28" s="1310" t="s">
        <v>879</v>
      </c>
      <c r="AQ28" s="1311"/>
      <c r="AR28" s="1311"/>
      <c r="AS28" s="1311"/>
      <c r="AT28" s="1311"/>
      <c r="AU28" s="1316"/>
      <c r="AV28" s="1226" t="str">
        <f t="shared" ref="AV28" si="76">IF(ISBLANK(L$3),"",1)</f>
        <v/>
      </c>
      <c r="AW28" s="1196">
        <v>4.4000000000000004</v>
      </c>
      <c r="AX28" s="1198" t="s">
        <v>890</v>
      </c>
      <c r="AY28" s="1162"/>
      <c r="AZ28" s="1162"/>
      <c r="BA28" s="1162"/>
      <c r="BB28" s="1162"/>
      <c r="BC28" s="1199"/>
      <c r="BD28" s="1226" t="str">
        <f t="shared" ref="BD28" si="77">IF(ISBLANK(P$3),"",1)</f>
        <v/>
      </c>
      <c r="BE28" s="1258">
        <v>4.3</v>
      </c>
      <c r="BF28" s="1198" t="s">
        <v>879</v>
      </c>
      <c r="BG28" s="1162"/>
      <c r="BH28" s="1162"/>
      <c r="BI28" s="1162"/>
      <c r="BJ28" s="1162"/>
      <c r="BK28" s="1199"/>
      <c r="BL28" s="1226" t="str">
        <f t="shared" ref="BL28" si="78">IF(ISBLANK(T$3),"",1)</f>
        <v/>
      </c>
      <c r="BM28" s="1258">
        <v>4.3</v>
      </c>
      <c r="BN28" s="1198" t="s">
        <v>879</v>
      </c>
      <c r="BO28" s="1162"/>
      <c r="BP28" s="1162"/>
      <c r="BQ28" s="1162"/>
      <c r="BR28" s="1162"/>
      <c r="BS28" s="1199"/>
      <c r="BT28" s="1226" t="str">
        <f t="shared" ref="BT28" si="79">IF(ISBLANK(X$3),"",1)</f>
        <v/>
      </c>
      <c r="BU28" s="1391">
        <v>4.4000000000000004</v>
      </c>
      <c r="BV28" s="1198" t="s">
        <v>359</v>
      </c>
      <c r="BW28" s="1162"/>
      <c r="BX28" s="1162"/>
      <c r="BY28" s="1162"/>
      <c r="BZ28" s="1162"/>
      <c r="CA28" s="1265"/>
      <c r="CB28" s="1205" t="str">
        <f t="shared" ref="CB28" si="80">IF(ISBLANK(AB$3),"",1)</f>
        <v/>
      </c>
      <c r="CC28" s="1322">
        <v>4.4000000000000004</v>
      </c>
      <c r="CD28" s="1198" t="s">
        <v>395</v>
      </c>
      <c r="CE28" s="1162"/>
      <c r="CF28" s="1162"/>
      <c r="CG28" s="1162"/>
      <c r="CH28" s="1162"/>
      <c r="CI28" s="1265"/>
      <c r="CJ28" s="1205" t="str">
        <f t="shared" ref="CJ28" si="81">IF(ISBLANK(AF$3),"",1)</f>
        <v/>
      </c>
      <c r="CK28" s="1322">
        <v>4.4000000000000004</v>
      </c>
      <c r="CL28" s="1198" t="s">
        <v>414</v>
      </c>
      <c r="CM28" s="1162"/>
      <c r="CN28" s="1162"/>
      <c r="CO28" s="1162"/>
      <c r="CP28" s="1162"/>
      <c r="CQ28" s="1265"/>
      <c r="CR28" s="1205" t="str">
        <f t="shared" ref="CR28" si="82">IF(ISBLANK(AJ$3),"",1)</f>
        <v/>
      </c>
      <c r="CS28" s="1304">
        <v>4.4000000000000004</v>
      </c>
      <c r="CT28" s="1161" t="s">
        <v>878</v>
      </c>
      <c r="CU28" s="1162"/>
      <c r="CV28" s="1162"/>
      <c r="CW28" s="1162"/>
      <c r="CX28" s="1162"/>
      <c r="CY28" s="1199"/>
      <c r="CZ28" s="1205" t="str">
        <f t="shared" ref="CZ28" si="83">IF(ISBLANK(AN$3),"",1)</f>
        <v/>
      </c>
      <c r="DA28" s="1258">
        <v>4.4000000000000004</v>
      </c>
      <c r="DB28" s="1198" t="s">
        <v>417</v>
      </c>
      <c r="DC28" s="1162"/>
      <c r="DD28" s="1162"/>
      <c r="DE28" s="1162"/>
      <c r="DF28" s="1162"/>
      <c r="DG28" s="1199"/>
      <c r="DH28" s="1226" t="str">
        <f t="shared" ref="DH28" si="84">IF(ISBLANK(AF$3),"",1)</f>
        <v/>
      </c>
      <c r="DI28" s="1258">
        <v>4.4000000000000004</v>
      </c>
      <c r="DJ28" s="1198" t="s">
        <v>417</v>
      </c>
      <c r="DK28" s="1162"/>
      <c r="DL28" s="1162"/>
      <c r="DM28" s="1162"/>
      <c r="DN28" s="1162"/>
      <c r="DO28" s="1199"/>
      <c r="DP28" s="1226" t="str">
        <f t="shared" ref="DP28" si="85">IF(ISBLANK(AV$3),"",1)</f>
        <v/>
      </c>
      <c r="DQ28" s="1322">
        <v>4.4000000000000004</v>
      </c>
      <c r="DR28" s="1198" t="s">
        <v>884</v>
      </c>
      <c r="DS28" s="1162"/>
      <c r="DT28" s="1162"/>
      <c r="DU28" s="1162"/>
      <c r="DV28" s="1162"/>
      <c r="DW28" s="1199"/>
      <c r="DX28" s="1226" t="str">
        <f t="shared" ref="DX28" si="86">IF(ISBLANK(AZ$3),"",1)</f>
        <v/>
      </c>
      <c r="DY28" s="1322">
        <v>4.3</v>
      </c>
      <c r="DZ28" s="1198" t="s">
        <v>393</v>
      </c>
      <c r="EA28" s="1162"/>
      <c r="EB28" s="1162"/>
      <c r="EC28" s="1162"/>
      <c r="ED28" s="1162"/>
      <c r="EE28" s="1199"/>
      <c r="EF28" s="1226" t="str">
        <f t="shared" ref="EF28" si="87">IF(ISBLANK(BD$3),"",1)</f>
        <v/>
      </c>
      <c r="EG28" s="1322">
        <v>4.4000000000000004</v>
      </c>
      <c r="EH28" s="1198" t="s">
        <v>417</v>
      </c>
      <c r="EI28" s="1162"/>
      <c r="EJ28" s="1162"/>
      <c r="EK28" s="1162"/>
      <c r="EL28" s="1162"/>
      <c r="EM28" s="1199"/>
      <c r="EN28" s="1226" t="str">
        <f t="shared" ref="EN28" si="88">IF(ISBLANK(BH$3),"",1)</f>
        <v/>
      </c>
      <c r="EO28" s="1196">
        <v>4.3</v>
      </c>
      <c r="EP28" s="1198" t="s">
        <v>421</v>
      </c>
      <c r="EQ28" s="1162"/>
      <c r="ER28" s="1162"/>
      <c r="ES28" s="1162"/>
      <c r="ET28" s="1162"/>
      <c r="EU28" s="1199"/>
      <c r="EV28" s="1226" t="str">
        <f t="shared" ref="EV28" si="89">IF(ISBLANK(BL$3),"",1)</f>
        <v/>
      </c>
    </row>
    <row r="29" spans="1:152" ht="15" customHeight="1">
      <c r="A29" s="1290"/>
      <c r="B29" s="1900"/>
      <c r="C29" s="1901"/>
      <c r="D29" s="1901"/>
      <c r="E29" s="1901"/>
      <c r="F29" s="1901"/>
      <c r="G29" s="1902"/>
      <c r="H29" s="1206"/>
      <c r="I29" s="1206"/>
      <c r="J29" s="1206"/>
      <c r="K29" s="1206"/>
      <c r="L29" s="1206"/>
      <c r="M29" s="1206"/>
      <c r="N29" s="1342"/>
      <c r="O29" s="1342"/>
      <c r="P29" s="1342"/>
      <c r="Q29" s="1342"/>
      <c r="R29" s="1342"/>
      <c r="S29" s="1342"/>
      <c r="T29" s="1342"/>
      <c r="U29" s="1342"/>
      <c r="V29" s="1342"/>
      <c r="W29" s="1342"/>
      <c r="X29" s="332"/>
      <c r="Y29" s="1290"/>
      <c r="Z29" s="1163"/>
      <c r="AA29" s="1164"/>
      <c r="AB29" s="1164"/>
      <c r="AC29" s="1164"/>
      <c r="AD29" s="1164"/>
      <c r="AE29" s="1201"/>
      <c r="AF29" s="1206"/>
      <c r="AG29" s="1290"/>
      <c r="AH29" s="1163"/>
      <c r="AI29" s="1164"/>
      <c r="AJ29" s="1164"/>
      <c r="AK29" s="1164"/>
      <c r="AL29" s="1164"/>
      <c r="AM29" s="1201"/>
      <c r="AN29" s="1206"/>
      <c r="AO29" s="1290"/>
      <c r="AP29" s="1295"/>
      <c r="AQ29" s="1296"/>
      <c r="AR29" s="1296"/>
      <c r="AS29" s="1296"/>
      <c r="AT29" s="1296"/>
      <c r="AU29" s="1318"/>
      <c r="AV29" s="1342"/>
      <c r="AW29" s="1197"/>
      <c r="AX29" s="1200"/>
      <c r="AY29" s="1164"/>
      <c r="AZ29" s="1164"/>
      <c r="BA29" s="1164"/>
      <c r="BB29" s="1164"/>
      <c r="BC29" s="1201"/>
      <c r="BD29" s="1342"/>
      <c r="BE29" s="1258"/>
      <c r="BF29" s="1200"/>
      <c r="BG29" s="1164"/>
      <c r="BH29" s="1164"/>
      <c r="BI29" s="1164"/>
      <c r="BJ29" s="1164"/>
      <c r="BK29" s="1201"/>
      <c r="BL29" s="1342"/>
      <c r="BM29" s="1258"/>
      <c r="BN29" s="1200"/>
      <c r="BO29" s="1164"/>
      <c r="BP29" s="1164"/>
      <c r="BQ29" s="1164"/>
      <c r="BR29" s="1164"/>
      <c r="BS29" s="1201"/>
      <c r="BT29" s="1342"/>
      <c r="BU29" s="1392"/>
      <c r="BV29" s="1200" t="s">
        <v>370</v>
      </c>
      <c r="BW29" s="1164"/>
      <c r="BX29" s="1164"/>
      <c r="BY29" s="1164"/>
      <c r="BZ29" s="1164"/>
      <c r="CA29" s="1266"/>
      <c r="CB29" s="1206"/>
      <c r="CC29" s="1293"/>
      <c r="CD29" s="1200"/>
      <c r="CE29" s="1164"/>
      <c r="CF29" s="1164"/>
      <c r="CG29" s="1164"/>
      <c r="CH29" s="1164"/>
      <c r="CI29" s="1266"/>
      <c r="CJ29" s="1206"/>
      <c r="CK29" s="1293"/>
      <c r="CL29" s="1200"/>
      <c r="CM29" s="1164"/>
      <c r="CN29" s="1164"/>
      <c r="CO29" s="1164"/>
      <c r="CP29" s="1164"/>
      <c r="CQ29" s="1266"/>
      <c r="CR29" s="1206"/>
      <c r="CS29" s="1290"/>
      <c r="CT29" s="1163"/>
      <c r="CU29" s="1164"/>
      <c r="CV29" s="1164"/>
      <c r="CW29" s="1164"/>
      <c r="CX29" s="1164"/>
      <c r="CY29" s="1201"/>
      <c r="CZ29" s="1206"/>
      <c r="DA29" s="1258"/>
      <c r="DB29" s="1200"/>
      <c r="DC29" s="1164"/>
      <c r="DD29" s="1164"/>
      <c r="DE29" s="1164"/>
      <c r="DF29" s="1164"/>
      <c r="DG29" s="1201"/>
      <c r="DH29" s="1342"/>
      <c r="DI29" s="1258"/>
      <c r="DJ29" s="1200"/>
      <c r="DK29" s="1164"/>
      <c r="DL29" s="1164"/>
      <c r="DM29" s="1164"/>
      <c r="DN29" s="1164"/>
      <c r="DO29" s="1201"/>
      <c r="DP29" s="1342"/>
      <c r="DQ29" s="1293"/>
      <c r="DR29" s="1200"/>
      <c r="DS29" s="1164"/>
      <c r="DT29" s="1164"/>
      <c r="DU29" s="1164"/>
      <c r="DV29" s="1164"/>
      <c r="DW29" s="1201"/>
      <c r="DX29" s="1342"/>
      <c r="DY29" s="1293"/>
      <c r="DZ29" s="1200"/>
      <c r="EA29" s="1164"/>
      <c r="EB29" s="1164"/>
      <c r="EC29" s="1164"/>
      <c r="ED29" s="1164"/>
      <c r="EE29" s="1201"/>
      <c r="EF29" s="1342"/>
      <c r="EG29" s="1293"/>
      <c r="EH29" s="1200"/>
      <c r="EI29" s="1164"/>
      <c r="EJ29" s="1164"/>
      <c r="EK29" s="1164"/>
      <c r="EL29" s="1164"/>
      <c r="EM29" s="1201"/>
      <c r="EN29" s="1342"/>
      <c r="EO29" s="1197"/>
      <c r="EP29" s="1200"/>
      <c r="EQ29" s="1164"/>
      <c r="ER29" s="1164"/>
      <c r="ES29" s="1164"/>
      <c r="ET29" s="1164"/>
      <c r="EU29" s="1201"/>
      <c r="EV29" s="1342"/>
    </row>
    <row r="30" spans="1:152" ht="15" customHeight="1">
      <c r="A30" s="1291"/>
      <c r="B30" s="1903"/>
      <c r="C30" s="1904"/>
      <c r="D30" s="1904"/>
      <c r="E30" s="1904"/>
      <c r="F30" s="1904"/>
      <c r="G30" s="1905"/>
      <c r="H30" s="1207"/>
      <c r="I30" s="1207"/>
      <c r="J30" s="1207"/>
      <c r="K30" s="1207"/>
      <c r="L30" s="1207"/>
      <c r="M30" s="1207"/>
      <c r="N30" s="1342"/>
      <c r="O30" s="1342"/>
      <c r="P30" s="1342"/>
      <c r="Q30" s="1342"/>
      <c r="R30" s="1342"/>
      <c r="S30" s="1342"/>
      <c r="T30" s="1342"/>
      <c r="U30" s="1342"/>
      <c r="V30" s="1342"/>
      <c r="W30" s="1342"/>
      <c r="X30" s="332"/>
      <c r="Y30" s="1291"/>
      <c r="Z30" s="1165"/>
      <c r="AA30" s="1166"/>
      <c r="AB30" s="1166"/>
      <c r="AC30" s="1166"/>
      <c r="AD30" s="1166"/>
      <c r="AE30" s="1292"/>
      <c r="AF30" s="1207"/>
      <c r="AG30" s="1291"/>
      <c r="AH30" s="1165"/>
      <c r="AI30" s="1166"/>
      <c r="AJ30" s="1166"/>
      <c r="AK30" s="1166"/>
      <c r="AL30" s="1166"/>
      <c r="AM30" s="1292"/>
      <c r="AN30" s="1207"/>
      <c r="AO30" s="1291"/>
      <c r="AP30" s="1298"/>
      <c r="AQ30" s="1299"/>
      <c r="AR30" s="1299"/>
      <c r="AS30" s="1299"/>
      <c r="AT30" s="1299"/>
      <c r="AU30" s="1335"/>
      <c r="AV30" s="1342"/>
      <c r="AW30" s="1197"/>
      <c r="AX30" s="1202"/>
      <c r="AY30" s="1203"/>
      <c r="AZ30" s="1203"/>
      <c r="BA30" s="1203"/>
      <c r="BB30" s="1203"/>
      <c r="BC30" s="1204"/>
      <c r="BD30" s="1342"/>
      <c r="BE30" s="1258"/>
      <c r="BF30" s="1202"/>
      <c r="BG30" s="1203"/>
      <c r="BH30" s="1203"/>
      <c r="BI30" s="1203"/>
      <c r="BJ30" s="1203"/>
      <c r="BK30" s="1204"/>
      <c r="BL30" s="1342"/>
      <c r="BM30" s="1258"/>
      <c r="BN30" s="1202"/>
      <c r="BO30" s="1203"/>
      <c r="BP30" s="1203"/>
      <c r="BQ30" s="1203"/>
      <c r="BR30" s="1203"/>
      <c r="BS30" s="1204"/>
      <c r="BT30" s="1342"/>
      <c r="BU30" s="1393"/>
      <c r="BV30" s="1202" t="s">
        <v>384</v>
      </c>
      <c r="BW30" s="1203"/>
      <c r="BX30" s="1203"/>
      <c r="BY30" s="1203"/>
      <c r="BZ30" s="1203"/>
      <c r="CA30" s="1305"/>
      <c r="CB30" s="1207"/>
      <c r="CC30" s="1294"/>
      <c r="CD30" s="1202"/>
      <c r="CE30" s="1203"/>
      <c r="CF30" s="1203"/>
      <c r="CG30" s="1203"/>
      <c r="CH30" s="1203"/>
      <c r="CI30" s="1305"/>
      <c r="CJ30" s="1207"/>
      <c r="CK30" s="1306"/>
      <c r="CL30" s="1202"/>
      <c r="CM30" s="1203"/>
      <c r="CN30" s="1203"/>
      <c r="CO30" s="1203"/>
      <c r="CP30" s="1203"/>
      <c r="CQ30" s="1305"/>
      <c r="CR30" s="1207"/>
      <c r="CS30" s="1291"/>
      <c r="CT30" s="1165"/>
      <c r="CU30" s="1166"/>
      <c r="CV30" s="1166"/>
      <c r="CW30" s="1166"/>
      <c r="CX30" s="1166"/>
      <c r="CY30" s="1292"/>
      <c r="CZ30" s="1207"/>
      <c r="DA30" s="1258"/>
      <c r="DB30" s="1202"/>
      <c r="DC30" s="1203"/>
      <c r="DD30" s="1203"/>
      <c r="DE30" s="1203"/>
      <c r="DF30" s="1203"/>
      <c r="DG30" s="1204"/>
      <c r="DH30" s="1342"/>
      <c r="DI30" s="1258"/>
      <c r="DJ30" s="1202"/>
      <c r="DK30" s="1203"/>
      <c r="DL30" s="1203"/>
      <c r="DM30" s="1203"/>
      <c r="DN30" s="1203"/>
      <c r="DO30" s="1204"/>
      <c r="DP30" s="1342"/>
      <c r="DQ30" s="1294"/>
      <c r="DR30" s="1202"/>
      <c r="DS30" s="1203"/>
      <c r="DT30" s="1203"/>
      <c r="DU30" s="1203"/>
      <c r="DV30" s="1203"/>
      <c r="DW30" s="1204"/>
      <c r="DX30" s="1342"/>
      <c r="DY30" s="1294"/>
      <c r="DZ30" s="1202"/>
      <c r="EA30" s="1203"/>
      <c r="EB30" s="1203"/>
      <c r="EC30" s="1203"/>
      <c r="ED30" s="1203"/>
      <c r="EE30" s="1204"/>
      <c r="EF30" s="1342"/>
      <c r="EG30" s="1294"/>
      <c r="EH30" s="1202"/>
      <c r="EI30" s="1203"/>
      <c r="EJ30" s="1203"/>
      <c r="EK30" s="1203"/>
      <c r="EL30" s="1203"/>
      <c r="EM30" s="1204"/>
      <c r="EN30" s="1342"/>
      <c r="EO30" s="1197"/>
      <c r="EP30" s="1202"/>
      <c r="EQ30" s="1203"/>
      <c r="ER30" s="1203"/>
      <c r="ES30" s="1203"/>
      <c r="ET30" s="1203"/>
      <c r="EU30" s="1204"/>
      <c r="EV30" s="1342"/>
    </row>
    <row r="31" spans="1:152" ht="15" customHeight="1">
      <c r="A31" s="248"/>
      <c r="B31" s="248"/>
      <c r="C31" s="248"/>
      <c r="D31" s="248"/>
      <c r="F31" s="579">
        <v>1.1000000000000001</v>
      </c>
      <c r="G31" s="240">
        <f>COUNTIF(A10:A30,F31)</f>
        <v>3</v>
      </c>
      <c r="H31" s="240" t="str">
        <f>IF($D$3=1,SUMIF($A$10:$A$30,F31,$H$10:$H$30),"")</f>
        <v/>
      </c>
      <c r="I31" s="240" t="str">
        <f>IF($H$3=1,SUMIF($A$10:$A$30,F31,$I$10:$I$30),"")</f>
        <v/>
      </c>
      <c r="J31" s="240" t="str">
        <f>IF($L$3=1,SUMIF($A$10:$A$30,F31,$J$10:$J$30),"")</f>
        <v/>
      </c>
      <c r="K31" s="240" t="str">
        <f>IF($P$3=1,SUMIF($A$10:$A$30,F31,$K$10:$K$30),"")</f>
        <v/>
      </c>
      <c r="L31" s="240" t="str">
        <f>IF($T$3=1,SUMIF($A$10:$A$30,F31,$L$10:$L$30),"")</f>
        <v/>
      </c>
      <c r="M31" s="240" t="str">
        <f>IF($X$3=1,SUMIF($A$10:$A$30,F31,$M$10:$M$30),"")</f>
        <v/>
      </c>
      <c r="N31" s="240" t="str">
        <f>IF(AB$3=1,SUMIF($A$57:$A$75,F76,$N$10:$N$30),"")</f>
        <v/>
      </c>
      <c r="O31" s="240" t="str">
        <f>IF(AF$3=1,SUMIF($A$57:$A$75,F76,$O$10:$O$30),"")</f>
        <v/>
      </c>
      <c r="P31" s="240" t="str">
        <f>IF(AJ$3=1,SUMIF($A$57:$A$75,F76,$P$10:$P$30),"")</f>
        <v/>
      </c>
      <c r="Q31" s="240" t="str">
        <f>IF(AN$3=1,SUMIF($A$57:$A$75,F76,$Q$10:$Q$30),"")</f>
        <v/>
      </c>
      <c r="R31" s="240" t="str">
        <f>IF(AR$3=1,SUMIF($A$57:$A$75,F76,$R$10:$R$31),"")</f>
        <v/>
      </c>
      <c r="S31" s="240" t="str">
        <f>IF(AV$3=1,SUMIF($A$57:$A$75,F76,$S$10:$S$30),"")</f>
        <v/>
      </c>
      <c r="T31" s="240" t="str">
        <f>IF(AZ$3=1,SUMIF($A$107:$A$127,$F$128,$T$10:$T$30),"")</f>
        <v/>
      </c>
      <c r="U31" s="240" t="str">
        <f>IF(BD$3=1,SUMIF($A$107:$A$127,F128,$U$10:$U$30),"")</f>
        <v/>
      </c>
      <c r="V31" s="240" t="str">
        <f>IF(BH$3=1,SUMIF($A$107:$A$127,F128,$V$10:$V$30),"")</f>
        <v/>
      </c>
      <c r="W31" s="240" t="str">
        <f>IF(BL$3=1,SUMIF($A$107:$A$127,F128,$W$10:$W$30),"")</f>
        <v/>
      </c>
      <c r="X31" s="332"/>
      <c r="Y31" s="1304">
        <v>4.4000000000000004</v>
      </c>
      <c r="Z31" s="1161" t="s">
        <v>359</v>
      </c>
      <c r="AA31" s="1162"/>
      <c r="AB31" s="1162"/>
      <c r="AC31" s="1162"/>
      <c r="AD31" s="1162"/>
      <c r="AE31" s="1199"/>
      <c r="AF31" s="1205" t="str">
        <f>IF(ISBLANK(D$3),"",1)</f>
        <v/>
      </c>
      <c r="AG31" s="1322">
        <v>4.4000000000000004</v>
      </c>
      <c r="AH31" s="1161" t="s">
        <v>395</v>
      </c>
      <c r="AI31" s="1162"/>
      <c r="AJ31" s="1162"/>
      <c r="AK31" s="1162"/>
      <c r="AL31" s="1162"/>
      <c r="AM31" s="1199"/>
      <c r="AN31" s="1205" t="str">
        <f>IF(ISBLANK(H$3),"",1)</f>
        <v/>
      </c>
      <c r="AO31" s="1258">
        <v>4.4000000000000004</v>
      </c>
      <c r="AP31" s="1198" t="s">
        <v>882</v>
      </c>
      <c r="AQ31" s="1162"/>
      <c r="AR31" s="1162"/>
      <c r="AS31" s="1162"/>
      <c r="AT31" s="1162"/>
      <c r="AU31" s="1199"/>
      <c r="AV31" s="1226" t="str">
        <f t="shared" ref="AV31" si="90">IF(ISBLANK(L$3),"",1)</f>
        <v/>
      </c>
      <c r="AW31" s="1196">
        <v>4.4000000000000004</v>
      </c>
      <c r="AX31" s="1198" t="s">
        <v>886</v>
      </c>
      <c r="AY31" s="1162"/>
      <c r="AZ31" s="1162"/>
      <c r="BA31" s="1162"/>
      <c r="BB31" s="1162"/>
      <c r="BC31" s="1199"/>
      <c r="BD31" s="1226" t="str">
        <f t="shared" ref="BD31" si="91">IF(ISBLANK(P$3),"",1)</f>
        <v/>
      </c>
      <c r="BE31" s="1258">
        <v>4.4000000000000004</v>
      </c>
      <c r="BF31" s="1198" t="s">
        <v>888</v>
      </c>
      <c r="BG31" s="1162"/>
      <c r="BH31" s="1162"/>
      <c r="BI31" s="1162"/>
      <c r="BJ31" s="1162"/>
      <c r="BK31" s="1199"/>
      <c r="BL31" s="1226" t="str">
        <f t="shared" ref="BL31" si="92">IF(ISBLANK(T$3),"",1)</f>
        <v/>
      </c>
      <c r="BM31" s="1258">
        <v>4.4000000000000004</v>
      </c>
      <c r="BN31" s="1198" t="s">
        <v>889</v>
      </c>
      <c r="BO31" s="1162"/>
      <c r="BP31" s="1162"/>
      <c r="BQ31" s="1162"/>
      <c r="BR31" s="1162"/>
      <c r="BS31" s="1199"/>
      <c r="BT31" s="1226" t="str">
        <f t="shared" ref="BT31" si="93">IF(ISBLANK(X$3),"",1)</f>
        <v/>
      </c>
      <c r="BU31" s="1322">
        <v>4.4000000000000004</v>
      </c>
      <c r="BV31" s="1198" t="s">
        <v>395</v>
      </c>
      <c r="BW31" s="1162"/>
      <c r="BX31" s="1162"/>
      <c r="BY31" s="1162"/>
      <c r="BZ31" s="1162"/>
      <c r="CA31" s="1265"/>
      <c r="CB31" s="1205" t="str">
        <f t="shared" ref="CB31" si="94">IF(ISBLANK(AB$3),"",1)</f>
        <v/>
      </c>
      <c r="CC31" s="1391">
        <v>4.4000000000000004</v>
      </c>
      <c r="CD31" s="1161" t="s">
        <v>878</v>
      </c>
      <c r="CE31" s="1162"/>
      <c r="CF31" s="1162"/>
      <c r="CG31" s="1162"/>
      <c r="CH31" s="1162"/>
      <c r="CI31" s="1199"/>
      <c r="CJ31" s="1205" t="str">
        <f t="shared" ref="CJ31" si="95">IF(ISBLANK(AF$3),"",1)</f>
        <v/>
      </c>
      <c r="CK31" s="1322">
        <v>4.4000000000000004</v>
      </c>
      <c r="CL31" s="1198" t="s">
        <v>383</v>
      </c>
      <c r="CM31" s="1162"/>
      <c r="CN31" s="1162"/>
      <c r="CO31" s="1162"/>
      <c r="CP31" s="1162"/>
      <c r="CQ31" s="1265"/>
      <c r="CR31" s="1205" t="str">
        <f t="shared" ref="CR31" si="96">IF(ISBLANK(AJ$3),"",1)</f>
        <v/>
      </c>
      <c r="CS31" s="1307">
        <v>1.5</v>
      </c>
      <c r="CT31" s="1310" t="s">
        <v>373</v>
      </c>
      <c r="CU31" s="1311"/>
      <c r="CV31" s="1311"/>
      <c r="CW31" s="1311"/>
      <c r="CX31" s="1311"/>
      <c r="CY31" s="1312"/>
      <c r="CZ31" s="1205" t="str">
        <f t="shared" ref="CZ31" si="97">IF(ISBLANK(AN$3),"",1)</f>
        <v/>
      </c>
      <c r="DA31" s="1258">
        <v>4.4000000000000004</v>
      </c>
      <c r="DB31" s="1198" t="s">
        <v>419</v>
      </c>
      <c r="DC31" s="1162"/>
      <c r="DD31" s="1162"/>
      <c r="DE31" s="1162"/>
      <c r="DF31" s="1162"/>
      <c r="DG31" s="1199"/>
      <c r="DH31" s="1226" t="str">
        <f t="shared" ref="DH31" si="98">IF(ISBLANK(AF$3),"",1)</f>
        <v/>
      </c>
      <c r="DI31" s="1258">
        <v>4.4000000000000004</v>
      </c>
      <c r="DJ31" s="1198" t="s">
        <v>419</v>
      </c>
      <c r="DK31" s="1162"/>
      <c r="DL31" s="1162"/>
      <c r="DM31" s="1162"/>
      <c r="DN31" s="1162"/>
      <c r="DO31" s="1199"/>
      <c r="DP31" s="1226" t="str">
        <f t="shared" ref="DP31" si="99">IF(ISBLANK(AV$3),"",1)</f>
        <v/>
      </c>
      <c r="DQ31" s="1258">
        <v>4.4000000000000004</v>
      </c>
      <c r="DR31" s="1198" t="s">
        <v>417</v>
      </c>
      <c r="DS31" s="1162"/>
      <c r="DT31" s="1162"/>
      <c r="DU31" s="1162"/>
      <c r="DV31" s="1162"/>
      <c r="DW31" s="1199"/>
      <c r="DX31" s="1226" t="str">
        <f t="shared" ref="DX31" si="100">IF(ISBLANK(AZ$3),"",1)</f>
        <v/>
      </c>
      <c r="DY31" s="1322">
        <v>4.4000000000000004</v>
      </c>
      <c r="DZ31" s="1198" t="s">
        <v>417</v>
      </c>
      <c r="EA31" s="1162"/>
      <c r="EB31" s="1162"/>
      <c r="EC31" s="1162"/>
      <c r="ED31" s="1162"/>
      <c r="EE31" s="1199"/>
      <c r="EF31" s="1226" t="str">
        <f t="shared" ref="EF31" si="101">IF(ISBLANK(BD$3),"",1)</f>
        <v/>
      </c>
      <c r="EG31" s="1304">
        <v>4.4000000000000004</v>
      </c>
      <c r="EH31" s="1198" t="s">
        <v>359</v>
      </c>
      <c r="EI31" s="1162"/>
      <c r="EJ31" s="1162"/>
      <c r="EK31" s="1162"/>
      <c r="EL31" s="1162"/>
      <c r="EM31" s="1199"/>
      <c r="EN31" s="1226" t="str">
        <f t="shared" ref="EN31" si="102">IF(ISBLANK(BH$3),"",1)</f>
        <v/>
      </c>
      <c r="EO31" s="1196">
        <v>4.4000000000000004</v>
      </c>
      <c r="EP31" s="1198" t="s">
        <v>418</v>
      </c>
      <c r="EQ31" s="1162"/>
      <c r="ER31" s="1162"/>
      <c r="ES31" s="1162"/>
      <c r="ET31" s="1162"/>
      <c r="EU31" s="1199"/>
      <c r="EV31" s="1226" t="str">
        <f t="shared" ref="EV31" si="103">IF(ISBLANK(BL$3),"",1)</f>
        <v/>
      </c>
    </row>
    <row r="32" spans="1:152" ht="15" customHeight="1">
      <c r="A32" s="248"/>
      <c r="F32" s="578">
        <v>1.5</v>
      </c>
      <c r="G32" s="240">
        <f t="shared" ref="G32:G34" si="104">COUNTIF(A11:A31,F32)</f>
        <v>1</v>
      </c>
      <c r="H32" s="240" t="str">
        <f>IF($D$3=1,SUMIF($A$10:$A$30,F32,$H$10:$H$30),"")</f>
        <v/>
      </c>
      <c r="I32" s="240" t="str">
        <f>IF($H$3=1,SUMIF($A$10:$A$30,F32,$I$10:$I$30),"")</f>
        <v/>
      </c>
      <c r="J32" s="240" t="str">
        <f>IF($L$3=1,SUMIF($A$10:$A$30,F32,$J$10:$J$30),"")</f>
        <v/>
      </c>
      <c r="K32" s="240" t="str">
        <f>IF($P$3=1,SUMIF($A$10:$A$30,F32,$K$10:$K$30),"")</f>
        <v/>
      </c>
      <c r="L32" s="240" t="str">
        <f>IF($T$3=1,SUMIF($A$10:$A$30,F32,$L$10:$L$30),"")</f>
        <v/>
      </c>
      <c r="M32" s="240" t="str">
        <f>IF($X$3=1,SUMIF($A$10:$A$30,F32,$M$10:$M$30),"")</f>
        <v/>
      </c>
      <c r="N32" s="240" t="str">
        <f>IF(AB$3=1,SUMIF($A$57:$A$75,F77,$N$10:$N$30),"")</f>
        <v/>
      </c>
      <c r="O32" s="240" t="str">
        <f>IF(AF$3=1,SUMIF($A$57:$A$75,F77,$O$10:$O$30),"")</f>
        <v/>
      </c>
      <c r="P32" s="240" t="str">
        <f>IF(AJ$3=1,SUMIF($A$57:$A$75,F77,$P$10:$P$30),"")</f>
        <v/>
      </c>
      <c r="Q32" s="240" t="str">
        <f>IF(AN$3=1,SUMIF($A$57:$A$75,F77,$Q$10:$Q$30),"")</f>
        <v/>
      </c>
      <c r="R32" s="240" t="str">
        <f>IF(AR$3=1,SUMIF($A$57:$A$75,F77,$R$10:$R$31),"")</f>
        <v/>
      </c>
      <c r="S32" s="240" t="str">
        <f>IF(AV$3=1,SUMIF($A$57:$A$75,F77,$S$10:$S$30),"")</f>
        <v/>
      </c>
      <c r="T32" s="240" t="str">
        <f>IF(AZ$3=1,SUMIF($A$107:$A$127,F129,$T$10:$T$30),"")</f>
        <v/>
      </c>
      <c r="U32" s="240" t="str">
        <f>IF(BD$3=1,SUMIF($A$107:$A$127,F129,$U$10:$U$30),"")</f>
        <v/>
      </c>
      <c r="V32" s="240" t="str">
        <f>IF(BH$3=1,SUMIF($A$107:$A$127,F129,$V$10:$V$30),"")</f>
        <v/>
      </c>
      <c r="W32" s="240" t="str">
        <f>IF(BL$3=1,SUMIF($A$107:$A$127,F129,$W$10:$W$30),"")</f>
        <v/>
      </c>
      <c r="X32" s="332"/>
      <c r="Y32" s="1290"/>
      <c r="Z32" s="1163"/>
      <c r="AA32" s="1164"/>
      <c r="AB32" s="1164"/>
      <c r="AC32" s="1164"/>
      <c r="AD32" s="1164"/>
      <c r="AE32" s="1201"/>
      <c r="AF32" s="1206"/>
      <c r="AG32" s="1293"/>
      <c r="AH32" s="1163"/>
      <c r="AI32" s="1164"/>
      <c r="AJ32" s="1164"/>
      <c r="AK32" s="1164"/>
      <c r="AL32" s="1164"/>
      <c r="AM32" s="1201"/>
      <c r="AN32" s="1206"/>
      <c r="AO32" s="1258"/>
      <c r="AP32" s="1200"/>
      <c r="AQ32" s="1164"/>
      <c r="AR32" s="1164"/>
      <c r="AS32" s="1164"/>
      <c r="AT32" s="1164"/>
      <c r="AU32" s="1201"/>
      <c r="AV32" s="1342"/>
      <c r="AW32" s="1197"/>
      <c r="AX32" s="1200"/>
      <c r="AY32" s="1164"/>
      <c r="AZ32" s="1164"/>
      <c r="BA32" s="1164"/>
      <c r="BB32" s="1164"/>
      <c r="BC32" s="1201"/>
      <c r="BD32" s="1342"/>
      <c r="BE32" s="1258"/>
      <c r="BF32" s="1200"/>
      <c r="BG32" s="1164"/>
      <c r="BH32" s="1164"/>
      <c r="BI32" s="1164"/>
      <c r="BJ32" s="1164"/>
      <c r="BK32" s="1201"/>
      <c r="BL32" s="1342"/>
      <c r="BM32" s="1258"/>
      <c r="BN32" s="1200"/>
      <c r="BO32" s="1164"/>
      <c r="BP32" s="1164"/>
      <c r="BQ32" s="1164"/>
      <c r="BR32" s="1164"/>
      <c r="BS32" s="1201"/>
      <c r="BT32" s="1342"/>
      <c r="BU32" s="1293"/>
      <c r="BV32" s="1200" t="s">
        <v>370</v>
      </c>
      <c r="BW32" s="1164"/>
      <c r="BX32" s="1164"/>
      <c r="BY32" s="1164"/>
      <c r="BZ32" s="1164"/>
      <c r="CA32" s="1266"/>
      <c r="CB32" s="1206"/>
      <c r="CC32" s="1392"/>
      <c r="CD32" s="1163"/>
      <c r="CE32" s="1164"/>
      <c r="CF32" s="1164"/>
      <c r="CG32" s="1164"/>
      <c r="CH32" s="1164"/>
      <c r="CI32" s="1201"/>
      <c r="CJ32" s="1206"/>
      <c r="CK32" s="1293"/>
      <c r="CL32" s="1200"/>
      <c r="CM32" s="1164"/>
      <c r="CN32" s="1164"/>
      <c r="CO32" s="1164"/>
      <c r="CP32" s="1164"/>
      <c r="CQ32" s="1266"/>
      <c r="CR32" s="1206"/>
      <c r="CS32" s="1308"/>
      <c r="CT32" s="1295"/>
      <c r="CU32" s="1296"/>
      <c r="CV32" s="1296"/>
      <c r="CW32" s="1296"/>
      <c r="CX32" s="1296"/>
      <c r="CY32" s="1297"/>
      <c r="CZ32" s="1206"/>
      <c r="DA32" s="1258"/>
      <c r="DB32" s="1200"/>
      <c r="DC32" s="1164"/>
      <c r="DD32" s="1164"/>
      <c r="DE32" s="1164"/>
      <c r="DF32" s="1164"/>
      <c r="DG32" s="1201"/>
      <c r="DH32" s="1342"/>
      <c r="DI32" s="1258"/>
      <c r="DJ32" s="1200"/>
      <c r="DK32" s="1164"/>
      <c r="DL32" s="1164"/>
      <c r="DM32" s="1164"/>
      <c r="DN32" s="1164"/>
      <c r="DO32" s="1201"/>
      <c r="DP32" s="1342"/>
      <c r="DQ32" s="1258"/>
      <c r="DR32" s="1200"/>
      <c r="DS32" s="1164"/>
      <c r="DT32" s="1164"/>
      <c r="DU32" s="1164"/>
      <c r="DV32" s="1164"/>
      <c r="DW32" s="1201"/>
      <c r="DX32" s="1342"/>
      <c r="DY32" s="1293"/>
      <c r="DZ32" s="1200"/>
      <c r="EA32" s="1164"/>
      <c r="EB32" s="1164"/>
      <c r="EC32" s="1164"/>
      <c r="ED32" s="1164"/>
      <c r="EE32" s="1201"/>
      <c r="EF32" s="1342"/>
      <c r="EG32" s="1290"/>
      <c r="EH32" s="1200"/>
      <c r="EI32" s="1164"/>
      <c r="EJ32" s="1164"/>
      <c r="EK32" s="1164"/>
      <c r="EL32" s="1164"/>
      <c r="EM32" s="1201"/>
      <c r="EN32" s="1342"/>
      <c r="EO32" s="1197"/>
      <c r="EP32" s="1200"/>
      <c r="EQ32" s="1164"/>
      <c r="ER32" s="1164"/>
      <c r="ES32" s="1164"/>
      <c r="ET32" s="1164"/>
      <c r="EU32" s="1201"/>
      <c r="EV32" s="1342"/>
    </row>
    <row r="33" spans="1:152" ht="15" customHeight="1">
      <c r="A33" s="243"/>
      <c r="F33" s="576">
        <v>2.1</v>
      </c>
      <c r="G33" s="240">
        <f t="shared" si="104"/>
        <v>2</v>
      </c>
      <c r="H33" s="240" t="str">
        <f>IF($D$3=1,SUMIF($A$10:$A$30,F33,$H$10:$H$30),"")</f>
        <v/>
      </c>
      <c r="I33" s="240" t="str">
        <f>IF($H$3=1,SUMIF($A$10:$A$30,F33,$I$10:$I$30),"")</f>
        <v/>
      </c>
      <c r="J33" s="240" t="str">
        <f>IF($L$3=1,SUMIF($A$10:$A$30,F33,$J$10:$J$30),"")</f>
        <v/>
      </c>
      <c r="K33" s="240" t="str">
        <f>IF($P$3=1,SUMIF($A$10:$A$30,F33,$K$10:$K$30),"")</f>
        <v/>
      </c>
      <c r="L33" s="240" t="str">
        <f>IF($T$3=1,SUMIF($A$10:$A$30,F33,$L$10:$L$30),"")</f>
        <v/>
      </c>
      <c r="M33" s="240" t="str">
        <f>IF($X$3=1,SUMIF($A$10:$A$30,F33,$M$10:$M$30),"")</f>
        <v/>
      </c>
      <c r="N33" s="240" t="str">
        <f>IF(AB$3=1,SUMIF($A$57:$A$75,F78,$N$10:$N$30),"")</f>
        <v/>
      </c>
      <c r="O33" s="240" t="str">
        <f>IF(AF$3=1,SUMIF($A$57:$A$75,F78,$O$10:$O$30),"")</f>
        <v/>
      </c>
      <c r="P33" s="240" t="str">
        <f>IF(AJ$3=1,SUMIF($A$57:$A$75,F78,$P$10:$P$30),"")</f>
        <v/>
      </c>
      <c r="Q33" s="240" t="str">
        <f>IF(AN$3=1,SUMIF($A$57:$A$75,F78,$Q$10:$Q$30),"")</f>
        <v/>
      </c>
      <c r="R33" s="240" t="str">
        <f>IF(AR$3=1,SUMIF($A$57:$A$75,F78,$R$10:$R$31),"")</f>
        <v/>
      </c>
      <c r="S33" s="240" t="str">
        <f>IF(AV$3=1,SUMIF($A$57:$A$75,F78,$S$10:$S$30),"")</f>
        <v/>
      </c>
      <c r="T33" s="240" t="str">
        <f>IF(AZ$3=1,SUMIF($A$107:$A$127,F130,$T$10:$T$30),"")</f>
        <v/>
      </c>
      <c r="U33" s="240" t="str">
        <f>IF(BD$3=1,SUMIF($A$107:$A$127,F130,$U$10:$U$30),"")</f>
        <v/>
      </c>
      <c r="V33" s="240" t="str">
        <f>IF(BH$3=1,SUMIF($A$107:$A$127,F130,$V$10:$V$30),"")</f>
        <v/>
      </c>
      <c r="W33" s="240" t="str">
        <f>IF(BL$3=1,SUMIF($A$107:$A$127,F130,$W$10:$W$30),"")</f>
        <v/>
      </c>
      <c r="X33" s="332"/>
      <c r="Y33" s="1291"/>
      <c r="Z33" s="1165"/>
      <c r="AA33" s="1166"/>
      <c r="AB33" s="1166"/>
      <c r="AC33" s="1166"/>
      <c r="AD33" s="1166"/>
      <c r="AE33" s="1292"/>
      <c r="AF33" s="1207"/>
      <c r="AG33" s="1294"/>
      <c r="AH33" s="1165"/>
      <c r="AI33" s="1166"/>
      <c r="AJ33" s="1166"/>
      <c r="AK33" s="1166"/>
      <c r="AL33" s="1166"/>
      <c r="AM33" s="1292"/>
      <c r="AN33" s="1207"/>
      <c r="AO33" s="1258"/>
      <c r="AP33" s="1202"/>
      <c r="AQ33" s="1203"/>
      <c r="AR33" s="1203"/>
      <c r="AS33" s="1203"/>
      <c r="AT33" s="1203"/>
      <c r="AU33" s="1204"/>
      <c r="AV33" s="1342"/>
      <c r="AW33" s="1197"/>
      <c r="AX33" s="1202"/>
      <c r="AY33" s="1203"/>
      <c r="AZ33" s="1203"/>
      <c r="BA33" s="1203"/>
      <c r="BB33" s="1203"/>
      <c r="BC33" s="1204"/>
      <c r="BD33" s="1342"/>
      <c r="BE33" s="1258"/>
      <c r="BF33" s="1202"/>
      <c r="BG33" s="1203"/>
      <c r="BH33" s="1203"/>
      <c r="BI33" s="1203"/>
      <c r="BJ33" s="1203"/>
      <c r="BK33" s="1204"/>
      <c r="BL33" s="1342"/>
      <c r="BM33" s="1258"/>
      <c r="BN33" s="1202"/>
      <c r="BO33" s="1203"/>
      <c r="BP33" s="1203"/>
      <c r="BQ33" s="1203"/>
      <c r="BR33" s="1203"/>
      <c r="BS33" s="1204"/>
      <c r="BT33" s="1342"/>
      <c r="BU33" s="1294"/>
      <c r="BV33" s="1202" t="s">
        <v>396</v>
      </c>
      <c r="BW33" s="1203"/>
      <c r="BX33" s="1203"/>
      <c r="BY33" s="1203"/>
      <c r="BZ33" s="1203"/>
      <c r="CA33" s="1305"/>
      <c r="CB33" s="1207"/>
      <c r="CC33" s="1393"/>
      <c r="CD33" s="1165"/>
      <c r="CE33" s="1166"/>
      <c r="CF33" s="1166"/>
      <c r="CG33" s="1166"/>
      <c r="CH33" s="1166"/>
      <c r="CI33" s="1292"/>
      <c r="CJ33" s="1207"/>
      <c r="CK33" s="1306"/>
      <c r="CL33" s="1202"/>
      <c r="CM33" s="1203"/>
      <c r="CN33" s="1203"/>
      <c r="CO33" s="1203"/>
      <c r="CP33" s="1203"/>
      <c r="CQ33" s="1305"/>
      <c r="CR33" s="1207"/>
      <c r="CS33" s="1309"/>
      <c r="CT33" s="1298"/>
      <c r="CU33" s="1299"/>
      <c r="CV33" s="1299"/>
      <c r="CW33" s="1299"/>
      <c r="CX33" s="1299"/>
      <c r="CY33" s="1300"/>
      <c r="CZ33" s="1207"/>
      <c r="DA33" s="1258"/>
      <c r="DB33" s="1202"/>
      <c r="DC33" s="1203"/>
      <c r="DD33" s="1203"/>
      <c r="DE33" s="1203"/>
      <c r="DF33" s="1203"/>
      <c r="DG33" s="1204"/>
      <c r="DH33" s="1342"/>
      <c r="DI33" s="1258"/>
      <c r="DJ33" s="1202"/>
      <c r="DK33" s="1203"/>
      <c r="DL33" s="1203"/>
      <c r="DM33" s="1203"/>
      <c r="DN33" s="1203"/>
      <c r="DO33" s="1204"/>
      <c r="DP33" s="1342"/>
      <c r="DQ33" s="1258"/>
      <c r="DR33" s="1202"/>
      <c r="DS33" s="1203"/>
      <c r="DT33" s="1203"/>
      <c r="DU33" s="1203"/>
      <c r="DV33" s="1203"/>
      <c r="DW33" s="1204"/>
      <c r="DX33" s="1342"/>
      <c r="DY33" s="1294"/>
      <c r="DZ33" s="1202"/>
      <c r="EA33" s="1203"/>
      <c r="EB33" s="1203"/>
      <c r="EC33" s="1203"/>
      <c r="ED33" s="1203"/>
      <c r="EE33" s="1204"/>
      <c r="EF33" s="1342"/>
      <c r="EG33" s="1291"/>
      <c r="EH33" s="1202"/>
      <c r="EI33" s="1203"/>
      <c r="EJ33" s="1203"/>
      <c r="EK33" s="1203"/>
      <c r="EL33" s="1203"/>
      <c r="EM33" s="1204"/>
      <c r="EN33" s="1342"/>
      <c r="EO33" s="1197"/>
      <c r="EP33" s="1202"/>
      <c r="EQ33" s="1203"/>
      <c r="ER33" s="1203"/>
      <c r="ES33" s="1203"/>
      <c r="ET33" s="1203"/>
      <c r="EU33" s="1204"/>
      <c r="EV33" s="1342"/>
    </row>
    <row r="34" spans="1:152" ht="15" customHeight="1">
      <c r="A34" s="243"/>
      <c r="B34" s="243"/>
      <c r="C34" s="243"/>
      <c r="D34" s="243"/>
      <c r="F34" s="577">
        <v>2.4</v>
      </c>
      <c r="G34" s="240">
        <f t="shared" si="104"/>
        <v>1</v>
      </c>
      <c r="H34" s="240" t="str">
        <f>IF($D$3=1,SUMIF($A$10:$A$30,F34,$H$10:$H$30),"")</f>
        <v/>
      </c>
      <c r="I34" s="240" t="str">
        <f>IF($H$3=1,SUMIF($A$10:$A$30,F34,$I$10:$I$30),"")</f>
        <v/>
      </c>
      <c r="J34" s="240" t="str">
        <f>IF($L$3=1,SUMIF($A$10:$A$30,F34,$J$10:$J$30),"")</f>
        <v/>
      </c>
      <c r="K34" s="240" t="str">
        <f>IF($P$3=1,SUMIF($A$10:$A$30,F34,$K$10:$K$30),"")</f>
        <v/>
      </c>
      <c r="L34" s="240" t="str">
        <f>IF($T$3=1,SUMIF($A$10:$A$30,F34,$L$10:$L$30),"")</f>
        <v/>
      </c>
      <c r="M34" s="240" t="str">
        <f>IF($X$3=1,SUMIF($A$10:$A$30,F34,$M$10:$M$30),"")</f>
        <v/>
      </c>
      <c r="N34" s="240" t="str">
        <f>IF(AB$3=1,SUMIF($A$57:$A$75,F79,$N$10:$N$30),"")</f>
        <v/>
      </c>
      <c r="O34" s="240" t="str">
        <f>IF(AF$3=1,SUMIF($A$57:$A$75,F79,$O$10:$O$30),"")</f>
        <v/>
      </c>
      <c r="P34" s="240" t="str">
        <f>IF(AJ$3=1,SUMIF($A$57:$A$75,F79,$P$10:$P$30),"")</f>
        <v/>
      </c>
      <c r="Q34" s="240" t="str">
        <f>IF(AN$3=1,SUMIF($A$57:$A$75,F79,$Q$10:$Q$30),"")</f>
        <v/>
      </c>
      <c r="R34" s="240" t="str">
        <f>IF(AR$3=1,SUMIF($A$57:$A$75,F79,$R$10:$R$31),"")</f>
        <v/>
      </c>
      <c r="S34" s="240" t="str">
        <f>IF(AV$3=1,SUMIF($A$57:$A$75,F79,$S$10:$S$30),"")</f>
        <v/>
      </c>
      <c r="T34" s="240" t="str">
        <f>IF(AZ$3=1,SUMIF($A$107:$A$127,F131,$T$10:$T$30),"")</f>
        <v/>
      </c>
      <c r="U34" s="240" t="str">
        <f>IF(BD$3=1,SUMIF($A$107:$A$127,F131,$U$10:$U$30),"")</f>
        <v/>
      </c>
      <c r="V34" s="240" t="str">
        <f>IF(BH$3=1,SUMIF($A$107:$A$127,F131,$V$10:$V$30),"")</f>
        <v/>
      </c>
      <c r="W34" s="240" t="str">
        <f>IF(BL$3=1,SUMIF($A$107:$A$127,F131,$W$10:$W$30),"")</f>
        <v/>
      </c>
      <c r="X34" s="332"/>
      <c r="Y34" s="1301">
        <v>4.4000000000000004</v>
      </c>
      <c r="Z34" s="1161" t="s">
        <v>395</v>
      </c>
      <c r="AA34" s="1162"/>
      <c r="AB34" s="1162"/>
      <c r="AC34" s="1162"/>
      <c r="AD34" s="1162"/>
      <c r="AE34" s="1199"/>
      <c r="AF34" s="1205" t="str">
        <f>IF(ISBLANK(D$3),"",1)</f>
        <v/>
      </c>
      <c r="AG34" s="1304">
        <v>4.4000000000000004</v>
      </c>
      <c r="AH34" s="1161" t="s">
        <v>878</v>
      </c>
      <c r="AI34" s="1162"/>
      <c r="AJ34" s="1162"/>
      <c r="AK34" s="1162"/>
      <c r="AL34" s="1162"/>
      <c r="AM34" s="1199"/>
      <c r="AN34" s="1205" t="str">
        <f>IF(ISBLANK(H$3),"",1)</f>
        <v/>
      </c>
      <c r="AO34" s="1258">
        <v>4.4000000000000004</v>
      </c>
      <c r="AP34" s="1198" t="s">
        <v>417</v>
      </c>
      <c r="AQ34" s="1162"/>
      <c r="AR34" s="1162"/>
      <c r="AS34" s="1162"/>
      <c r="AT34" s="1162"/>
      <c r="AU34" s="1199"/>
      <c r="AV34" s="1226" t="str">
        <f t="shared" ref="AV34" si="105">IF(ISBLANK(L$3),"",1)</f>
        <v/>
      </c>
      <c r="AW34" s="1196">
        <v>4.4000000000000004</v>
      </c>
      <c r="AX34" s="1198" t="s">
        <v>359</v>
      </c>
      <c r="AY34" s="1162"/>
      <c r="AZ34" s="1162"/>
      <c r="BA34" s="1162"/>
      <c r="BB34" s="1162"/>
      <c r="BC34" s="1199"/>
      <c r="BD34" s="1226" t="str">
        <f t="shared" ref="BD34" si="106">IF(ISBLANK(P$3),"",1)</f>
        <v/>
      </c>
      <c r="BE34" s="1258">
        <v>4.4000000000000004</v>
      </c>
      <c r="BF34" s="1198" t="s">
        <v>417</v>
      </c>
      <c r="BG34" s="1162"/>
      <c r="BH34" s="1162"/>
      <c r="BI34" s="1162"/>
      <c r="BJ34" s="1162"/>
      <c r="BK34" s="1199"/>
      <c r="BL34" s="1226" t="str">
        <f t="shared" ref="BL34" si="107">IF(ISBLANK(T$3),"",1)</f>
        <v/>
      </c>
      <c r="BM34" s="1258">
        <v>4.4000000000000004</v>
      </c>
      <c r="BN34" s="1198" t="s">
        <v>417</v>
      </c>
      <c r="BO34" s="1162"/>
      <c r="BP34" s="1162"/>
      <c r="BQ34" s="1162"/>
      <c r="BR34" s="1162"/>
      <c r="BS34" s="1199"/>
      <c r="BT34" s="1226" t="str">
        <f t="shared" ref="BT34" si="108">IF(ISBLANK(X$3),"",1)</f>
        <v/>
      </c>
      <c r="BU34" s="1391">
        <v>4.4000000000000004</v>
      </c>
      <c r="BV34" s="1161" t="s">
        <v>878</v>
      </c>
      <c r="BW34" s="1162"/>
      <c r="BX34" s="1162"/>
      <c r="BY34" s="1162"/>
      <c r="BZ34" s="1162"/>
      <c r="CA34" s="1199"/>
      <c r="CB34" s="1205" t="str">
        <f t="shared" ref="CB34" si="109">IF(ISBLANK(AB$3),"",1)</f>
        <v/>
      </c>
      <c r="CC34" s="1394">
        <v>1.5</v>
      </c>
      <c r="CD34" s="1310" t="s">
        <v>373</v>
      </c>
      <c r="CE34" s="1311"/>
      <c r="CF34" s="1311"/>
      <c r="CG34" s="1311"/>
      <c r="CH34" s="1311"/>
      <c r="CI34" s="1312"/>
      <c r="CJ34" s="1205" t="str">
        <f t="shared" ref="CJ34" si="110">IF(ISBLANK(AF$3),"",1)</f>
        <v/>
      </c>
      <c r="CK34" s="1307">
        <v>1.5</v>
      </c>
      <c r="CL34" s="1310" t="s">
        <v>373</v>
      </c>
      <c r="CM34" s="1311"/>
      <c r="CN34" s="1311"/>
      <c r="CO34" s="1311"/>
      <c r="CP34" s="1311"/>
      <c r="CQ34" s="1312"/>
      <c r="CR34" s="1205" t="str">
        <f t="shared" ref="CR34" si="111">IF(ISBLANK(AJ$3),"",1)</f>
        <v/>
      </c>
      <c r="CS34" s="1322">
        <v>4.4000000000000004</v>
      </c>
      <c r="CT34" s="1198" t="s">
        <v>397</v>
      </c>
      <c r="CU34" s="1162"/>
      <c r="CV34" s="1162"/>
      <c r="CW34" s="1162"/>
      <c r="CX34" s="1162"/>
      <c r="CY34" s="1265"/>
      <c r="CZ34" s="1205" t="str">
        <f t="shared" ref="CZ34" si="112">IF(ISBLANK(AN$3),"",1)</f>
        <v/>
      </c>
      <c r="DA34" s="1258">
        <v>4.4000000000000004</v>
      </c>
      <c r="DB34" s="1198" t="s">
        <v>420</v>
      </c>
      <c r="DC34" s="1162"/>
      <c r="DD34" s="1162"/>
      <c r="DE34" s="1162"/>
      <c r="DF34" s="1162"/>
      <c r="DG34" s="1199"/>
      <c r="DH34" s="1226" t="str">
        <f t="shared" ref="DH34" si="113">IF(ISBLANK(AF$3),"",1)</f>
        <v/>
      </c>
      <c r="DI34" s="1258">
        <v>4.4000000000000004</v>
      </c>
      <c r="DJ34" s="1198" t="s">
        <v>420</v>
      </c>
      <c r="DK34" s="1162"/>
      <c r="DL34" s="1162"/>
      <c r="DM34" s="1162"/>
      <c r="DN34" s="1162"/>
      <c r="DO34" s="1199"/>
      <c r="DP34" s="1226" t="str">
        <f t="shared" ref="DP34" si="114">IF(ISBLANK(AV$3),"",1)</f>
        <v/>
      </c>
      <c r="DQ34" s="1304">
        <v>4.4000000000000004</v>
      </c>
      <c r="DR34" s="1198" t="s">
        <v>885</v>
      </c>
      <c r="DS34" s="1162"/>
      <c r="DT34" s="1162"/>
      <c r="DU34" s="1162"/>
      <c r="DV34" s="1162"/>
      <c r="DW34" s="1199"/>
      <c r="DX34" s="1226" t="str">
        <f t="shared" ref="DX34" si="115">IF(ISBLANK(AZ$3),"",1)</f>
        <v/>
      </c>
      <c r="DY34" s="1304">
        <v>4.4000000000000004</v>
      </c>
      <c r="DZ34" s="1198" t="s">
        <v>359</v>
      </c>
      <c r="EA34" s="1162"/>
      <c r="EB34" s="1162"/>
      <c r="EC34" s="1162"/>
      <c r="ED34" s="1162"/>
      <c r="EE34" s="1199"/>
      <c r="EF34" s="1226" t="str">
        <f t="shared" ref="EF34" si="116">IF(ISBLANK(BD$3),"",1)</f>
        <v/>
      </c>
      <c r="EG34" s="1258">
        <v>4.4000000000000004</v>
      </c>
      <c r="EH34" s="1198" t="s">
        <v>395</v>
      </c>
      <c r="EI34" s="1162"/>
      <c r="EJ34" s="1162"/>
      <c r="EK34" s="1162"/>
      <c r="EL34" s="1162"/>
      <c r="EM34" s="1199"/>
      <c r="EN34" s="1226" t="str">
        <f t="shared" ref="EN34" si="117">IF(ISBLANK(BH$3),"",1)</f>
        <v/>
      </c>
      <c r="EO34" s="1196">
        <v>4.4000000000000004</v>
      </c>
      <c r="EP34" s="1198" t="s">
        <v>417</v>
      </c>
      <c r="EQ34" s="1162"/>
      <c r="ER34" s="1162"/>
      <c r="ES34" s="1162"/>
      <c r="ET34" s="1162"/>
      <c r="EU34" s="1199"/>
      <c r="EV34" s="1226" t="str">
        <f t="shared" ref="EV34" si="118">IF(ISBLANK(BL$3),"",1)</f>
        <v/>
      </c>
    </row>
    <row r="35" spans="1:152" ht="15" customHeight="1">
      <c r="A35" s="1888" t="s">
        <v>761</v>
      </c>
      <c r="B35" s="1888"/>
      <c r="C35" s="1888"/>
      <c r="D35" s="1888"/>
      <c r="E35" s="1888"/>
      <c r="F35" s="1888"/>
      <c r="G35" s="1888"/>
      <c r="H35" s="1888"/>
      <c r="X35" s="332"/>
      <c r="Y35" s="1302"/>
      <c r="Z35" s="1163"/>
      <c r="AA35" s="1164"/>
      <c r="AB35" s="1164"/>
      <c r="AC35" s="1164"/>
      <c r="AD35" s="1164"/>
      <c r="AE35" s="1201"/>
      <c r="AF35" s="1206"/>
      <c r="AG35" s="1290"/>
      <c r="AH35" s="1163"/>
      <c r="AI35" s="1164"/>
      <c r="AJ35" s="1164"/>
      <c r="AK35" s="1164"/>
      <c r="AL35" s="1164"/>
      <c r="AM35" s="1201"/>
      <c r="AN35" s="1206"/>
      <c r="AO35" s="1258"/>
      <c r="AP35" s="1200"/>
      <c r="AQ35" s="1164"/>
      <c r="AR35" s="1164"/>
      <c r="AS35" s="1164"/>
      <c r="AT35" s="1164"/>
      <c r="AU35" s="1201"/>
      <c r="AV35" s="1342"/>
      <c r="AW35" s="1197"/>
      <c r="AX35" s="1200"/>
      <c r="AY35" s="1164"/>
      <c r="AZ35" s="1164"/>
      <c r="BA35" s="1164"/>
      <c r="BB35" s="1164"/>
      <c r="BC35" s="1201"/>
      <c r="BD35" s="1342"/>
      <c r="BE35" s="1258"/>
      <c r="BF35" s="1200"/>
      <c r="BG35" s="1164"/>
      <c r="BH35" s="1164"/>
      <c r="BI35" s="1164"/>
      <c r="BJ35" s="1164"/>
      <c r="BK35" s="1201"/>
      <c r="BL35" s="1342"/>
      <c r="BM35" s="1258"/>
      <c r="BN35" s="1200"/>
      <c r="BO35" s="1164"/>
      <c r="BP35" s="1164"/>
      <c r="BQ35" s="1164"/>
      <c r="BR35" s="1164"/>
      <c r="BS35" s="1201"/>
      <c r="BT35" s="1342"/>
      <c r="BU35" s="1392"/>
      <c r="BV35" s="1163"/>
      <c r="BW35" s="1164"/>
      <c r="BX35" s="1164"/>
      <c r="BY35" s="1164"/>
      <c r="BZ35" s="1164"/>
      <c r="CA35" s="1201"/>
      <c r="CB35" s="1206"/>
      <c r="CC35" s="1313"/>
      <c r="CD35" s="1295"/>
      <c r="CE35" s="1296"/>
      <c r="CF35" s="1296"/>
      <c r="CG35" s="1296"/>
      <c r="CH35" s="1296"/>
      <c r="CI35" s="1297"/>
      <c r="CJ35" s="1206"/>
      <c r="CK35" s="1308"/>
      <c r="CL35" s="1295"/>
      <c r="CM35" s="1296"/>
      <c r="CN35" s="1296"/>
      <c r="CO35" s="1296"/>
      <c r="CP35" s="1296"/>
      <c r="CQ35" s="1297"/>
      <c r="CR35" s="1206"/>
      <c r="CS35" s="1293"/>
      <c r="CT35" s="1200"/>
      <c r="CU35" s="1164"/>
      <c r="CV35" s="1164"/>
      <c r="CW35" s="1164"/>
      <c r="CX35" s="1164"/>
      <c r="CY35" s="1266"/>
      <c r="CZ35" s="1206"/>
      <c r="DA35" s="1258"/>
      <c r="DB35" s="1200"/>
      <c r="DC35" s="1164"/>
      <c r="DD35" s="1164"/>
      <c r="DE35" s="1164"/>
      <c r="DF35" s="1164"/>
      <c r="DG35" s="1201"/>
      <c r="DH35" s="1342"/>
      <c r="DI35" s="1258"/>
      <c r="DJ35" s="1200"/>
      <c r="DK35" s="1164"/>
      <c r="DL35" s="1164"/>
      <c r="DM35" s="1164"/>
      <c r="DN35" s="1164"/>
      <c r="DO35" s="1201"/>
      <c r="DP35" s="1342"/>
      <c r="DQ35" s="1290"/>
      <c r="DR35" s="1200"/>
      <c r="DS35" s="1164"/>
      <c r="DT35" s="1164"/>
      <c r="DU35" s="1164"/>
      <c r="DV35" s="1164"/>
      <c r="DW35" s="1201"/>
      <c r="DX35" s="1342"/>
      <c r="DY35" s="1290"/>
      <c r="DZ35" s="1200"/>
      <c r="EA35" s="1164"/>
      <c r="EB35" s="1164"/>
      <c r="EC35" s="1164"/>
      <c r="ED35" s="1164"/>
      <c r="EE35" s="1201"/>
      <c r="EF35" s="1342"/>
      <c r="EG35" s="1258"/>
      <c r="EH35" s="1200"/>
      <c r="EI35" s="1164"/>
      <c r="EJ35" s="1164"/>
      <c r="EK35" s="1164"/>
      <c r="EL35" s="1164"/>
      <c r="EM35" s="1201"/>
      <c r="EN35" s="1342"/>
      <c r="EO35" s="1197"/>
      <c r="EP35" s="1200"/>
      <c r="EQ35" s="1164"/>
      <c r="ER35" s="1164"/>
      <c r="ES35" s="1164"/>
      <c r="ET35" s="1164"/>
      <c r="EU35" s="1201"/>
      <c r="EV35" s="1342"/>
    </row>
    <row r="36" spans="1:152" ht="15" customHeight="1">
      <c r="A36" s="1888"/>
      <c r="B36" s="1888"/>
      <c r="C36" s="1888"/>
      <c r="D36" s="1888"/>
      <c r="E36" s="1888"/>
      <c r="F36" s="1888"/>
      <c r="G36" s="1888"/>
      <c r="H36" s="1888"/>
      <c r="X36" s="332"/>
      <c r="Y36" s="1303"/>
      <c r="Z36" s="1165"/>
      <c r="AA36" s="1166"/>
      <c r="AB36" s="1166"/>
      <c r="AC36" s="1166"/>
      <c r="AD36" s="1166"/>
      <c r="AE36" s="1292"/>
      <c r="AF36" s="1207"/>
      <c r="AG36" s="1291"/>
      <c r="AH36" s="1165"/>
      <c r="AI36" s="1166"/>
      <c r="AJ36" s="1166"/>
      <c r="AK36" s="1166"/>
      <c r="AL36" s="1166"/>
      <c r="AM36" s="1292"/>
      <c r="AN36" s="1207"/>
      <c r="AO36" s="1258"/>
      <c r="AP36" s="1202"/>
      <c r="AQ36" s="1203"/>
      <c r="AR36" s="1203"/>
      <c r="AS36" s="1203"/>
      <c r="AT36" s="1203"/>
      <c r="AU36" s="1204"/>
      <c r="AV36" s="1342"/>
      <c r="AW36" s="1197"/>
      <c r="AX36" s="1202"/>
      <c r="AY36" s="1203"/>
      <c r="AZ36" s="1203"/>
      <c r="BA36" s="1203"/>
      <c r="BB36" s="1203"/>
      <c r="BC36" s="1204"/>
      <c r="BD36" s="1342"/>
      <c r="BE36" s="1258"/>
      <c r="BF36" s="1202"/>
      <c r="BG36" s="1203"/>
      <c r="BH36" s="1203"/>
      <c r="BI36" s="1203"/>
      <c r="BJ36" s="1203"/>
      <c r="BK36" s="1204"/>
      <c r="BL36" s="1342"/>
      <c r="BM36" s="1258"/>
      <c r="BN36" s="1202"/>
      <c r="BO36" s="1203"/>
      <c r="BP36" s="1203"/>
      <c r="BQ36" s="1203"/>
      <c r="BR36" s="1203"/>
      <c r="BS36" s="1204"/>
      <c r="BT36" s="1342"/>
      <c r="BU36" s="1393"/>
      <c r="BV36" s="1165"/>
      <c r="BW36" s="1166"/>
      <c r="BX36" s="1166"/>
      <c r="BY36" s="1166"/>
      <c r="BZ36" s="1166"/>
      <c r="CA36" s="1292"/>
      <c r="CB36" s="1207"/>
      <c r="CC36" s="1314"/>
      <c r="CD36" s="1298"/>
      <c r="CE36" s="1299"/>
      <c r="CF36" s="1299"/>
      <c r="CG36" s="1299"/>
      <c r="CH36" s="1299"/>
      <c r="CI36" s="1300"/>
      <c r="CJ36" s="1207"/>
      <c r="CK36" s="1309"/>
      <c r="CL36" s="1298"/>
      <c r="CM36" s="1299"/>
      <c r="CN36" s="1299"/>
      <c r="CO36" s="1299"/>
      <c r="CP36" s="1299"/>
      <c r="CQ36" s="1300"/>
      <c r="CR36" s="1207"/>
      <c r="CS36" s="1306"/>
      <c r="CT36" s="1202"/>
      <c r="CU36" s="1203"/>
      <c r="CV36" s="1203"/>
      <c r="CW36" s="1203"/>
      <c r="CX36" s="1203"/>
      <c r="CY36" s="1305"/>
      <c r="CZ36" s="1207"/>
      <c r="DA36" s="1258"/>
      <c r="DB36" s="1202"/>
      <c r="DC36" s="1203"/>
      <c r="DD36" s="1203"/>
      <c r="DE36" s="1203"/>
      <c r="DF36" s="1203"/>
      <c r="DG36" s="1204"/>
      <c r="DH36" s="1342"/>
      <c r="DI36" s="1258"/>
      <c r="DJ36" s="1202"/>
      <c r="DK36" s="1203"/>
      <c r="DL36" s="1203"/>
      <c r="DM36" s="1203"/>
      <c r="DN36" s="1203"/>
      <c r="DO36" s="1204"/>
      <c r="DP36" s="1342"/>
      <c r="DQ36" s="1291"/>
      <c r="DR36" s="1202"/>
      <c r="DS36" s="1203"/>
      <c r="DT36" s="1203"/>
      <c r="DU36" s="1203"/>
      <c r="DV36" s="1203"/>
      <c r="DW36" s="1204"/>
      <c r="DX36" s="1342"/>
      <c r="DY36" s="1291"/>
      <c r="DZ36" s="1202"/>
      <c r="EA36" s="1203"/>
      <c r="EB36" s="1203"/>
      <c r="EC36" s="1203"/>
      <c r="ED36" s="1203"/>
      <c r="EE36" s="1204"/>
      <c r="EF36" s="1342"/>
      <c r="EG36" s="1258"/>
      <c r="EH36" s="1202"/>
      <c r="EI36" s="1203"/>
      <c r="EJ36" s="1203"/>
      <c r="EK36" s="1203"/>
      <c r="EL36" s="1203"/>
      <c r="EM36" s="1204"/>
      <c r="EN36" s="1342"/>
      <c r="EO36" s="1197"/>
      <c r="EP36" s="1202"/>
      <c r="EQ36" s="1203"/>
      <c r="ER36" s="1203"/>
      <c r="ES36" s="1203"/>
      <c r="ET36" s="1203"/>
      <c r="EU36" s="1204"/>
      <c r="EV36" s="1342"/>
    </row>
    <row r="37" spans="1:152" ht="15" customHeight="1">
      <c r="A37" s="1888"/>
      <c r="B37" s="1888"/>
      <c r="C37" s="1888"/>
      <c r="D37" s="1888"/>
      <c r="E37" s="1888"/>
      <c r="F37" s="1888"/>
      <c r="G37" s="1888"/>
      <c r="H37" s="1888"/>
      <c r="X37" s="332"/>
      <c r="Y37" s="1304">
        <v>4.4000000000000004</v>
      </c>
      <c r="Z37" s="1161" t="s">
        <v>878</v>
      </c>
      <c r="AA37" s="1162"/>
      <c r="AB37" s="1162"/>
      <c r="AC37" s="1162"/>
      <c r="AD37" s="1162"/>
      <c r="AE37" s="1199"/>
      <c r="AF37" s="1205" t="str">
        <f>IF(ISBLANK(D$3),"",1)</f>
        <v/>
      </c>
      <c r="AG37" s="1307">
        <v>1.5</v>
      </c>
      <c r="AH37" s="1315" t="s">
        <v>373</v>
      </c>
      <c r="AI37" s="1311"/>
      <c r="AJ37" s="1311"/>
      <c r="AK37" s="1311"/>
      <c r="AL37" s="1311"/>
      <c r="AM37" s="1316"/>
      <c r="AN37" s="1205" t="str">
        <f>IF(ISBLANK(H$3),"",1)</f>
        <v/>
      </c>
      <c r="AO37" s="1304">
        <v>4.4000000000000004</v>
      </c>
      <c r="AP37" s="1198" t="s">
        <v>359</v>
      </c>
      <c r="AQ37" s="1162"/>
      <c r="AR37" s="1162"/>
      <c r="AS37" s="1162"/>
      <c r="AT37" s="1162"/>
      <c r="AU37" s="1199"/>
      <c r="AV37" s="1226" t="str">
        <f t="shared" ref="AV37" si="119">IF(ISBLANK(L$3),"",1)</f>
        <v/>
      </c>
      <c r="AW37" s="1196">
        <v>4.4000000000000004</v>
      </c>
      <c r="AX37" s="1198" t="s">
        <v>887</v>
      </c>
      <c r="AY37" s="1162"/>
      <c r="AZ37" s="1162"/>
      <c r="BA37" s="1162"/>
      <c r="BB37" s="1162"/>
      <c r="BC37" s="1199"/>
      <c r="BD37" s="1226" t="str">
        <f t="shared" ref="BD37" si="120">IF(ISBLANK(P$3),"",1)</f>
        <v/>
      </c>
      <c r="BE37" s="1304">
        <v>4.4000000000000004</v>
      </c>
      <c r="BF37" s="1198" t="s">
        <v>359</v>
      </c>
      <c r="BG37" s="1162"/>
      <c r="BH37" s="1162"/>
      <c r="BI37" s="1162"/>
      <c r="BJ37" s="1162"/>
      <c r="BK37" s="1199"/>
      <c r="BL37" s="1226" t="str">
        <f t="shared" ref="BL37" si="121">IF(ISBLANK(T$3),"",1)</f>
        <v/>
      </c>
      <c r="BM37" s="1304">
        <v>4.4000000000000004</v>
      </c>
      <c r="BN37" s="1198" t="s">
        <v>359</v>
      </c>
      <c r="BO37" s="1162"/>
      <c r="BP37" s="1162"/>
      <c r="BQ37" s="1162"/>
      <c r="BR37" s="1162"/>
      <c r="BS37" s="1199"/>
      <c r="BT37" s="1226" t="str">
        <f t="shared" ref="BT37" si="122">IF(ISBLANK(X$3),"",1)</f>
        <v/>
      </c>
      <c r="BU37" s="1394">
        <v>1.5</v>
      </c>
      <c r="BV37" s="1310" t="s">
        <v>373</v>
      </c>
      <c r="BW37" s="1311"/>
      <c r="BX37" s="1311"/>
      <c r="BY37" s="1311"/>
      <c r="BZ37" s="1311"/>
      <c r="CA37" s="1312"/>
      <c r="CB37" s="1205" t="str">
        <f t="shared" ref="CB37" si="123">IF(ISBLANK(AB$3),"",1)</f>
        <v/>
      </c>
      <c r="CC37" s="1322">
        <v>4.4000000000000004</v>
      </c>
      <c r="CD37" s="1198" t="s">
        <v>397</v>
      </c>
      <c r="CE37" s="1162"/>
      <c r="CF37" s="1162"/>
      <c r="CG37" s="1162"/>
      <c r="CH37" s="1162"/>
      <c r="CI37" s="1265"/>
      <c r="CJ37" s="1205" t="str">
        <f t="shared" ref="CJ37" si="124">IF(ISBLANK(AF$3),"",1)</f>
        <v/>
      </c>
      <c r="CK37" s="1322">
        <v>4.4000000000000004</v>
      </c>
      <c r="CL37" s="1198" t="s">
        <v>425</v>
      </c>
      <c r="CM37" s="1162"/>
      <c r="CN37" s="1162"/>
      <c r="CO37" s="1162"/>
      <c r="CP37" s="1162"/>
      <c r="CQ37" s="1265"/>
      <c r="CR37" s="1205" t="str">
        <f t="shared" ref="CR37" si="125">IF(ISBLANK(AJ$3),"",1)</f>
        <v/>
      </c>
      <c r="CS37" s="248"/>
      <c r="CX37" s="273">
        <v>1.5</v>
      </c>
      <c r="CY37" s="240">
        <f>COUNTIF($CS$10:$CS$36,CX37)</f>
        <v>1</v>
      </c>
      <c r="CZ37" s="240" t="str">
        <f>IF($X$3=1,SUMIF($CS$10:$CS$36,CX37,$CZ$10:$CZ$36),"")</f>
        <v/>
      </c>
      <c r="DA37" s="1304">
        <v>4.4000000000000004</v>
      </c>
      <c r="DB37" s="1198" t="s">
        <v>359</v>
      </c>
      <c r="DC37" s="1162"/>
      <c r="DD37" s="1162"/>
      <c r="DE37" s="1162"/>
      <c r="DF37" s="1162"/>
      <c r="DG37" s="1199"/>
      <c r="DH37" s="1226" t="str">
        <f t="shared" ref="DH37" si="126">IF(ISBLANK(AF$3),"",1)</f>
        <v/>
      </c>
      <c r="DI37" s="1304">
        <v>4.4000000000000004</v>
      </c>
      <c r="DJ37" s="1198" t="s">
        <v>359</v>
      </c>
      <c r="DK37" s="1162"/>
      <c r="DL37" s="1162"/>
      <c r="DM37" s="1162"/>
      <c r="DN37" s="1162"/>
      <c r="DO37" s="1199"/>
      <c r="DP37" s="1226" t="str">
        <f t="shared" ref="DP37" si="127">IF(ISBLANK(AV$3),"",1)</f>
        <v/>
      </c>
      <c r="DQ37" s="1258">
        <v>4.4000000000000004</v>
      </c>
      <c r="DR37" s="1198" t="s">
        <v>395</v>
      </c>
      <c r="DS37" s="1162"/>
      <c r="DT37" s="1162"/>
      <c r="DU37" s="1162"/>
      <c r="DV37" s="1162"/>
      <c r="DW37" s="1199"/>
      <c r="DX37" s="1226" t="str">
        <f t="shared" ref="DX37" si="128">IF(ISBLANK(AZ$3),"",1)</f>
        <v/>
      </c>
      <c r="DY37" s="1258">
        <v>4.4000000000000004</v>
      </c>
      <c r="DZ37" s="1198" t="s">
        <v>395</v>
      </c>
      <c r="EA37" s="1162"/>
      <c r="EB37" s="1162"/>
      <c r="EC37" s="1162"/>
      <c r="ED37" s="1162"/>
      <c r="EE37" s="1199"/>
      <c r="EF37" s="1226" t="str">
        <f t="shared" ref="EF37" si="129">IF(ISBLANK(BD$3),"",1)</f>
        <v/>
      </c>
      <c r="EG37" s="1304">
        <v>4.4000000000000004</v>
      </c>
      <c r="EH37" s="1198" t="s">
        <v>878</v>
      </c>
      <c r="EI37" s="1162"/>
      <c r="EJ37" s="1162"/>
      <c r="EK37" s="1162"/>
      <c r="EL37" s="1162"/>
      <c r="EM37" s="1199"/>
      <c r="EN37" s="1226" t="str">
        <f t="shared" ref="EN37" si="130">IF(ISBLANK(BH$3),"",1)</f>
        <v/>
      </c>
      <c r="EO37" s="1196">
        <v>4.4000000000000004</v>
      </c>
      <c r="EP37" s="1198" t="s">
        <v>422</v>
      </c>
      <c r="EQ37" s="1162"/>
      <c r="ER37" s="1162"/>
      <c r="ES37" s="1162"/>
      <c r="ET37" s="1162"/>
      <c r="EU37" s="1199"/>
      <c r="EV37" s="1226" t="str">
        <f t="shared" ref="EV37" si="131">IF(ISBLANK(BL$3),"",1)</f>
        <v/>
      </c>
    </row>
    <row r="38" spans="1:152" ht="15" customHeight="1">
      <c r="A38" s="1884"/>
      <c r="B38" s="1885"/>
      <c r="C38" s="1885"/>
      <c r="D38" s="1885"/>
      <c r="E38" s="1885"/>
      <c r="F38" s="1885"/>
      <c r="G38" s="1885"/>
      <c r="H38" s="1885"/>
      <c r="I38" s="1885"/>
      <c r="J38" s="1885"/>
      <c r="K38" s="1885"/>
      <c r="L38" s="1885"/>
      <c r="M38" s="1885"/>
      <c r="N38" s="1885"/>
      <c r="O38" s="1885"/>
      <c r="P38" s="1885"/>
      <c r="Q38" s="1885"/>
      <c r="R38" s="1885"/>
      <c r="S38" s="1885"/>
      <c r="T38" s="1885"/>
      <c r="U38" s="1885"/>
      <c r="V38" s="1885"/>
      <c r="W38" s="1886"/>
      <c r="X38" s="332"/>
      <c r="Y38" s="1290"/>
      <c r="Z38" s="1163"/>
      <c r="AA38" s="1164"/>
      <c r="AB38" s="1164"/>
      <c r="AC38" s="1164"/>
      <c r="AD38" s="1164"/>
      <c r="AE38" s="1201"/>
      <c r="AF38" s="1206"/>
      <c r="AG38" s="1308"/>
      <c r="AH38" s="1317"/>
      <c r="AI38" s="1296"/>
      <c r="AJ38" s="1296"/>
      <c r="AK38" s="1296"/>
      <c r="AL38" s="1296"/>
      <c r="AM38" s="1318"/>
      <c r="AN38" s="1206"/>
      <c r="AO38" s="1290"/>
      <c r="AP38" s="1200"/>
      <c r="AQ38" s="1164"/>
      <c r="AR38" s="1164"/>
      <c r="AS38" s="1164"/>
      <c r="AT38" s="1164"/>
      <c r="AU38" s="1201"/>
      <c r="AV38" s="1342"/>
      <c r="AW38" s="1197"/>
      <c r="AX38" s="1200"/>
      <c r="AY38" s="1164"/>
      <c r="AZ38" s="1164"/>
      <c r="BA38" s="1164"/>
      <c r="BB38" s="1164"/>
      <c r="BC38" s="1201"/>
      <c r="BD38" s="1342"/>
      <c r="BE38" s="1290"/>
      <c r="BF38" s="1200"/>
      <c r="BG38" s="1164"/>
      <c r="BH38" s="1164"/>
      <c r="BI38" s="1164"/>
      <c r="BJ38" s="1164"/>
      <c r="BK38" s="1201"/>
      <c r="BL38" s="1342"/>
      <c r="BM38" s="1290"/>
      <c r="BN38" s="1200"/>
      <c r="BO38" s="1164"/>
      <c r="BP38" s="1164"/>
      <c r="BQ38" s="1164"/>
      <c r="BR38" s="1164"/>
      <c r="BS38" s="1201"/>
      <c r="BT38" s="1342"/>
      <c r="BU38" s="1313"/>
      <c r="BV38" s="1295"/>
      <c r="BW38" s="1296"/>
      <c r="BX38" s="1296"/>
      <c r="BY38" s="1296"/>
      <c r="BZ38" s="1296"/>
      <c r="CA38" s="1297"/>
      <c r="CB38" s="1206"/>
      <c r="CC38" s="1293"/>
      <c r="CD38" s="1200"/>
      <c r="CE38" s="1164"/>
      <c r="CF38" s="1164"/>
      <c r="CG38" s="1164"/>
      <c r="CH38" s="1164"/>
      <c r="CI38" s="1266"/>
      <c r="CJ38" s="1206"/>
      <c r="CK38" s="1293"/>
      <c r="CL38" s="1200"/>
      <c r="CM38" s="1164"/>
      <c r="CN38" s="1164"/>
      <c r="CO38" s="1164"/>
      <c r="CP38" s="1164"/>
      <c r="CQ38" s="1266"/>
      <c r="CR38" s="1206"/>
      <c r="CS38" s="248"/>
      <c r="CX38" s="275">
        <v>4.3</v>
      </c>
      <c r="CY38" s="240">
        <f>COUNTIF($CS$10:$CS$36,CX38)</f>
        <v>2</v>
      </c>
      <c r="CZ38" s="240" t="str">
        <f>IF($X$3=1,SUMIF($CS$10:$CS$36,CX38,$CZ$10:$CZ$36),"")</f>
        <v/>
      </c>
      <c r="DA38" s="1290"/>
      <c r="DB38" s="1200"/>
      <c r="DC38" s="1164"/>
      <c r="DD38" s="1164"/>
      <c r="DE38" s="1164"/>
      <c r="DF38" s="1164"/>
      <c r="DG38" s="1201"/>
      <c r="DH38" s="1342"/>
      <c r="DI38" s="1290"/>
      <c r="DJ38" s="1200"/>
      <c r="DK38" s="1164"/>
      <c r="DL38" s="1164"/>
      <c r="DM38" s="1164"/>
      <c r="DN38" s="1164"/>
      <c r="DO38" s="1201"/>
      <c r="DP38" s="1342"/>
      <c r="DQ38" s="1258"/>
      <c r="DR38" s="1200"/>
      <c r="DS38" s="1164"/>
      <c r="DT38" s="1164"/>
      <c r="DU38" s="1164"/>
      <c r="DV38" s="1164"/>
      <c r="DW38" s="1201"/>
      <c r="DX38" s="1342"/>
      <c r="DY38" s="1258"/>
      <c r="DZ38" s="1200"/>
      <c r="EA38" s="1164"/>
      <c r="EB38" s="1164"/>
      <c r="EC38" s="1164"/>
      <c r="ED38" s="1164"/>
      <c r="EE38" s="1201"/>
      <c r="EF38" s="1342"/>
      <c r="EG38" s="1290"/>
      <c r="EH38" s="1200"/>
      <c r="EI38" s="1164"/>
      <c r="EJ38" s="1164"/>
      <c r="EK38" s="1164"/>
      <c r="EL38" s="1164"/>
      <c r="EM38" s="1201"/>
      <c r="EN38" s="1342"/>
      <c r="EO38" s="1197"/>
      <c r="EP38" s="1200"/>
      <c r="EQ38" s="1164"/>
      <c r="ER38" s="1164"/>
      <c r="ES38" s="1164"/>
      <c r="ET38" s="1164"/>
      <c r="EU38" s="1201"/>
      <c r="EV38" s="1342"/>
    </row>
    <row r="39" spans="1:152" ht="15" customHeight="1">
      <c r="A39" s="1887"/>
      <c r="B39" s="1888"/>
      <c r="C39" s="1888"/>
      <c r="D39" s="1888"/>
      <c r="E39" s="1888"/>
      <c r="F39" s="1888"/>
      <c r="G39" s="1888"/>
      <c r="H39" s="1888"/>
      <c r="I39" s="1888"/>
      <c r="J39" s="1888"/>
      <c r="K39" s="1888"/>
      <c r="L39" s="1888"/>
      <c r="M39" s="1888"/>
      <c r="N39" s="1888"/>
      <c r="O39" s="1888"/>
      <c r="P39" s="1888"/>
      <c r="Q39" s="1888"/>
      <c r="R39" s="1888"/>
      <c r="S39" s="1888"/>
      <c r="T39" s="1888"/>
      <c r="U39" s="1888"/>
      <c r="V39" s="1888"/>
      <c r="W39" s="1889"/>
      <c r="X39" s="332"/>
      <c r="Y39" s="1291"/>
      <c r="Z39" s="1165"/>
      <c r="AA39" s="1166"/>
      <c r="AB39" s="1166"/>
      <c r="AC39" s="1166"/>
      <c r="AD39" s="1166"/>
      <c r="AE39" s="1292"/>
      <c r="AF39" s="1207"/>
      <c r="AG39" s="1309"/>
      <c r="AH39" s="1319"/>
      <c r="AI39" s="1320"/>
      <c r="AJ39" s="1320"/>
      <c r="AK39" s="1320"/>
      <c r="AL39" s="1320"/>
      <c r="AM39" s="1321"/>
      <c r="AN39" s="1207"/>
      <c r="AO39" s="1291"/>
      <c r="AP39" s="1202"/>
      <c r="AQ39" s="1203"/>
      <c r="AR39" s="1203"/>
      <c r="AS39" s="1203"/>
      <c r="AT39" s="1203"/>
      <c r="AU39" s="1204"/>
      <c r="AV39" s="1342"/>
      <c r="AW39" s="1197"/>
      <c r="AX39" s="1202"/>
      <c r="AY39" s="1203"/>
      <c r="AZ39" s="1203"/>
      <c r="BA39" s="1203"/>
      <c r="BB39" s="1203"/>
      <c r="BC39" s="1204"/>
      <c r="BD39" s="1342"/>
      <c r="BE39" s="1291"/>
      <c r="BF39" s="1202"/>
      <c r="BG39" s="1203"/>
      <c r="BH39" s="1203"/>
      <c r="BI39" s="1203"/>
      <c r="BJ39" s="1203"/>
      <c r="BK39" s="1204"/>
      <c r="BL39" s="1342"/>
      <c r="BM39" s="1291"/>
      <c r="BN39" s="1202"/>
      <c r="BO39" s="1203"/>
      <c r="BP39" s="1203"/>
      <c r="BQ39" s="1203"/>
      <c r="BR39" s="1203"/>
      <c r="BS39" s="1204"/>
      <c r="BT39" s="1342"/>
      <c r="BU39" s="1314"/>
      <c r="BV39" s="1298"/>
      <c r="BW39" s="1299"/>
      <c r="BX39" s="1299"/>
      <c r="BY39" s="1299"/>
      <c r="BZ39" s="1299"/>
      <c r="CA39" s="1300"/>
      <c r="CB39" s="1207"/>
      <c r="CC39" s="1306"/>
      <c r="CD39" s="1202"/>
      <c r="CE39" s="1203"/>
      <c r="CF39" s="1203"/>
      <c r="CG39" s="1203"/>
      <c r="CH39" s="1203"/>
      <c r="CI39" s="1305"/>
      <c r="CJ39" s="1207"/>
      <c r="CK39" s="1306"/>
      <c r="CL39" s="1202"/>
      <c r="CM39" s="1203"/>
      <c r="CN39" s="1203"/>
      <c r="CO39" s="1203"/>
      <c r="CP39" s="1203"/>
      <c r="CQ39" s="1305"/>
      <c r="CR39" s="1207"/>
      <c r="CS39" s="248"/>
      <c r="CX39" s="276">
        <v>4.4000000000000004</v>
      </c>
      <c r="CY39" s="240">
        <f>COUNTIF($CS$10:$CS$36,CX39)</f>
        <v>6</v>
      </c>
      <c r="CZ39" s="240" t="str">
        <f>IF($X$3=1,SUMIF($CS$10:$CS$36,CX39,$CZ$10:$CZ$36),"")</f>
        <v/>
      </c>
      <c r="DA39" s="1291"/>
      <c r="DB39" s="1202"/>
      <c r="DC39" s="1203"/>
      <c r="DD39" s="1203"/>
      <c r="DE39" s="1203"/>
      <c r="DF39" s="1203"/>
      <c r="DG39" s="1204"/>
      <c r="DH39" s="1342"/>
      <c r="DI39" s="1291"/>
      <c r="DJ39" s="1202"/>
      <c r="DK39" s="1203"/>
      <c r="DL39" s="1203"/>
      <c r="DM39" s="1203"/>
      <c r="DN39" s="1203"/>
      <c r="DO39" s="1204"/>
      <c r="DP39" s="1342"/>
      <c r="DQ39" s="1258"/>
      <c r="DR39" s="1202"/>
      <c r="DS39" s="1203"/>
      <c r="DT39" s="1203"/>
      <c r="DU39" s="1203"/>
      <c r="DV39" s="1203"/>
      <c r="DW39" s="1204"/>
      <c r="DX39" s="1342"/>
      <c r="DY39" s="1258"/>
      <c r="DZ39" s="1202"/>
      <c r="EA39" s="1203"/>
      <c r="EB39" s="1203"/>
      <c r="EC39" s="1203"/>
      <c r="ED39" s="1203"/>
      <c r="EE39" s="1204"/>
      <c r="EF39" s="1342"/>
      <c r="EG39" s="1291"/>
      <c r="EH39" s="1202"/>
      <c r="EI39" s="1203"/>
      <c r="EJ39" s="1203"/>
      <c r="EK39" s="1203"/>
      <c r="EL39" s="1203"/>
      <c r="EM39" s="1204"/>
      <c r="EN39" s="1342"/>
      <c r="EO39" s="1197"/>
      <c r="EP39" s="1202"/>
      <c r="EQ39" s="1203"/>
      <c r="ER39" s="1203"/>
      <c r="ES39" s="1203"/>
      <c r="ET39" s="1203"/>
      <c r="EU39" s="1204"/>
      <c r="EV39" s="1342"/>
    </row>
    <row r="40" spans="1:152" ht="15" customHeight="1">
      <c r="A40" s="1887"/>
      <c r="B40" s="1888"/>
      <c r="C40" s="1888"/>
      <c r="D40" s="1888"/>
      <c r="E40" s="1888"/>
      <c r="F40" s="1888"/>
      <c r="G40" s="1888"/>
      <c r="H40" s="1888"/>
      <c r="I40" s="1888"/>
      <c r="J40" s="1888"/>
      <c r="K40" s="1888"/>
      <c r="L40" s="1888"/>
      <c r="M40" s="1888"/>
      <c r="N40" s="1888"/>
      <c r="O40" s="1888"/>
      <c r="P40" s="1888"/>
      <c r="Q40" s="1888"/>
      <c r="R40" s="1888"/>
      <c r="S40" s="1888"/>
      <c r="T40" s="1888"/>
      <c r="U40" s="1888"/>
      <c r="V40" s="1888"/>
      <c r="W40" s="1889"/>
      <c r="X40" s="332"/>
      <c r="Y40" s="1307">
        <v>1.5</v>
      </c>
      <c r="Z40" s="1315" t="s">
        <v>373</v>
      </c>
      <c r="AA40" s="1311"/>
      <c r="AB40" s="1311"/>
      <c r="AC40" s="1311"/>
      <c r="AD40" s="1311"/>
      <c r="AE40" s="1316"/>
      <c r="AF40" s="1205" t="str">
        <f>IF(ISBLANK(D$3),"",1)</f>
        <v/>
      </c>
      <c r="AG40" s="1322">
        <v>4.4000000000000004</v>
      </c>
      <c r="AH40" s="1161" t="s">
        <v>397</v>
      </c>
      <c r="AI40" s="1162"/>
      <c r="AJ40" s="1162"/>
      <c r="AK40" s="1162"/>
      <c r="AL40" s="1162"/>
      <c r="AM40" s="1199"/>
      <c r="AN40" s="1205" t="str">
        <f>IF(ISBLANK(H$3),"",1)</f>
        <v/>
      </c>
      <c r="AO40" s="1258">
        <v>4.4000000000000004</v>
      </c>
      <c r="AP40" s="1198" t="s">
        <v>395</v>
      </c>
      <c r="AQ40" s="1162"/>
      <c r="AR40" s="1162"/>
      <c r="AS40" s="1162"/>
      <c r="AT40" s="1162"/>
      <c r="AU40" s="1199"/>
      <c r="AV40" s="1226" t="str">
        <f t="shared" ref="AV40" si="132">IF(ISBLANK(L$3),"",1)</f>
        <v/>
      </c>
      <c r="AW40" s="1304">
        <v>4.4000000000000004</v>
      </c>
      <c r="AX40" s="1198" t="s">
        <v>395</v>
      </c>
      <c r="AY40" s="1162"/>
      <c r="AZ40" s="1162"/>
      <c r="BA40" s="1162"/>
      <c r="BB40" s="1162"/>
      <c r="BC40" s="1199"/>
      <c r="BD40" s="1226" t="str">
        <f t="shared" ref="BD40" si="133">IF(ISBLANK(P$3),"",1)</f>
        <v/>
      </c>
      <c r="BE40" s="1258">
        <v>4.4000000000000004</v>
      </c>
      <c r="BF40" s="1198" t="s">
        <v>395</v>
      </c>
      <c r="BG40" s="1162"/>
      <c r="BH40" s="1162"/>
      <c r="BI40" s="1162"/>
      <c r="BJ40" s="1162"/>
      <c r="BK40" s="1199"/>
      <c r="BL40" s="1226" t="str">
        <f t="shared" ref="BL40" si="134">IF(ISBLANK(T$3),"",1)</f>
        <v/>
      </c>
      <c r="BM40" s="1258">
        <v>4.4000000000000004</v>
      </c>
      <c r="BN40" s="1198" t="s">
        <v>395</v>
      </c>
      <c r="BO40" s="1162"/>
      <c r="BP40" s="1162"/>
      <c r="BQ40" s="1162"/>
      <c r="BR40" s="1162"/>
      <c r="BS40" s="1199"/>
      <c r="BT40" s="1226" t="str">
        <f t="shared" ref="BT40" si="135">IF(ISBLANK(X$3),"",1)</f>
        <v/>
      </c>
      <c r="BU40" s="1322">
        <v>4.4000000000000004</v>
      </c>
      <c r="BV40" s="1198" t="s">
        <v>397</v>
      </c>
      <c r="BW40" s="1162"/>
      <c r="BX40" s="1162"/>
      <c r="BY40" s="1162"/>
      <c r="BZ40" s="1162"/>
      <c r="CA40" s="1265"/>
      <c r="CB40" s="1205" t="str">
        <f t="shared" ref="CB40" si="136">IF(ISBLANK(AB$3),"",1)</f>
        <v/>
      </c>
      <c r="CF40" s="247"/>
      <c r="CH40" s="273">
        <v>1.5</v>
      </c>
      <c r="CI40" s="240">
        <f>COUNTIF(CC10:CC39,CH40)</f>
        <v>1</v>
      </c>
      <c r="CJ40" s="240" t="str">
        <f>IF($P$3=1,SUMIF($CC$10:$CC$39,CH40,$CJ$10:$CJ$39),"")</f>
        <v/>
      </c>
      <c r="CN40" s="247"/>
      <c r="CP40" s="273">
        <v>1.5</v>
      </c>
      <c r="CQ40" s="240">
        <f>COUNTIF(CK10:CK39,CP40)</f>
        <v>1</v>
      </c>
      <c r="CR40" s="240" t="str">
        <f>IF($T$3=1,SUMIF($CK$10:$CK$39,CP40,$CR$10:$CR$39),"")</f>
        <v/>
      </c>
      <c r="DA40" s="1258">
        <v>4.4000000000000004</v>
      </c>
      <c r="DB40" s="1198" t="s">
        <v>395</v>
      </c>
      <c r="DC40" s="1162"/>
      <c r="DD40" s="1162"/>
      <c r="DE40" s="1162"/>
      <c r="DF40" s="1162"/>
      <c r="DG40" s="1199"/>
      <c r="DH40" s="1226" t="str">
        <f t="shared" ref="DH40" si="137">IF(ISBLANK(AF$3),"",1)</f>
        <v/>
      </c>
      <c r="DI40" s="1258">
        <v>4.4000000000000004</v>
      </c>
      <c r="DJ40" s="1198" t="s">
        <v>395</v>
      </c>
      <c r="DK40" s="1162"/>
      <c r="DL40" s="1162"/>
      <c r="DM40" s="1162"/>
      <c r="DN40" s="1162"/>
      <c r="DO40" s="1199"/>
      <c r="DP40" s="1226" t="str">
        <f t="shared" ref="DP40" si="138">IF(ISBLANK(AV$3),"",1)</f>
        <v/>
      </c>
      <c r="DQ40" s="1304">
        <v>4.4000000000000004</v>
      </c>
      <c r="DR40" s="1198" t="s">
        <v>878</v>
      </c>
      <c r="DS40" s="1162"/>
      <c r="DT40" s="1162"/>
      <c r="DU40" s="1162"/>
      <c r="DV40" s="1162"/>
      <c r="DW40" s="1199"/>
      <c r="DX40" s="1226" t="str">
        <f t="shared" ref="DX40" si="139">IF(ISBLANK(AZ$3),"",1)</f>
        <v/>
      </c>
      <c r="DY40" s="1304">
        <v>4.4000000000000004</v>
      </c>
      <c r="DZ40" s="1198" t="s">
        <v>878</v>
      </c>
      <c r="EA40" s="1162"/>
      <c r="EB40" s="1162"/>
      <c r="EC40" s="1162"/>
      <c r="ED40" s="1162"/>
      <c r="EE40" s="1199"/>
      <c r="EF40" s="1226" t="str">
        <f t="shared" ref="EF40" si="140">IF(ISBLANK(BD$3),"",1)</f>
        <v/>
      </c>
      <c r="EG40" s="1307">
        <v>1.5</v>
      </c>
      <c r="EH40" s="1198" t="s">
        <v>373</v>
      </c>
      <c r="EI40" s="1162"/>
      <c r="EJ40" s="1162"/>
      <c r="EK40" s="1162"/>
      <c r="EL40" s="1162"/>
      <c r="EM40" s="1199"/>
      <c r="EN40" s="1226" t="str">
        <f t="shared" ref="EN40" si="141">IF(ISBLANK(BH$3),"",1)</f>
        <v/>
      </c>
      <c r="EO40" s="1196">
        <v>4.4000000000000004</v>
      </c>
      <c r="EP40" s="1198" t="s">
        <v>420</v>
      </c>
      <c r="EQ40" s="1162"/>
      <c r="ER40" s="1162"/>
      <c r="ES40" s="1162"/>
      <c r="ET40" s="1162"/>
      <c r="EU40" s="1199"/>
      <c r="EV40" s="1226" t="str">
        <f t="shared" ref="EV40" si="142">IF(ISBLANK(BL$3),"",1)</f>
        <v/>
      </c>
    </row>
    <row r="41" spans="1:152" ht="15" customHeight="1">
      <c r="A41" s="1887"/>
      <c r="B41" s="1888"/>
      <c r="C41" s="1888"/>
      <c r="D41" s="1888"/>
      <c r="E41" s="1888"/>
      <c r="F41" s="1888"/>
      <c r="G41" s="1888"/>
      <c r="H41" s="1888"/>
      <c r="I41" s="1888"/>
      <c r="J41" s="1888"/>
      <c r="K41" s="1888"/>
      <c r="L41" s="1888"/>
      <c r="M41" s="1888"/>
      <c r="N41" s="1888"/>
      <c r="O41" s="1888"/>
      <c r="P41" s="1888"/>
      <c r="Q41" s="1888"/>
      <c r="R41" s="1888"/>
      <c r="S41" s="1888"/>
      <c r="T41" s="1888"/>
      <c r="U41" s="1888"/>
      <c r="V41" s="1888"/>
      <c r="W41" s="1889"/>
      <c r="X41" s="332"/>
      <c r="Y41" s="1308"/>
      <c r="Z41" s="1317"/>
      <c r="AA41" s="1296"/>
      <c r="AB41" s="1296"/>
      <c r="AC41" s="1296"/>
      <c r="AD41" s="1296"/>
      <c r="AE41" s="1318"/>
      <c r="AF41" s="1206"/>
      <c r="AG41" s="1293"/>
      <c r="AH41" s="1163"/>
      <c r="AI41" s="1164"/>
      <c r="AJ41" s="1164"/>
      <c r="AK41" s="1164"/>
      <c r="AL41" s="1164"/>
      <c r="AM41" s="1201"/>
      <c r="AN41" s="1206"/>
      <c r="AO41" s="1258"/>
      <c r="AP41" s="1200"/>
      <c r="AQ41" s="1164"/>
      <c r="AR41" s="1164"/>
      <c r="AS41" s="1164"/>
      <c r="AT41" s="1164"/>
      <c r="AU41" s="1201"/>
      <c r="AV41" s="1342"/>
      <c r="AW41" s="1290"/>
      <c r="AX41" s="1200"/>
      <c r="AY41" s="1164"/>
      <c r="AZ41" s="1164"/>
      <c r="BA41" s="1164"/>
      <c r="BB41" s="1164"/>
      <c r="BC41" s="1201"/>
      <c r="BD41" s="1342"/>
      <c r="BE41" s="1258"/>
      <c r="BF41" s="1200"/>
      <c r="BG41" s="1164"/>
      <c r="BH41" s="1164"/>
      <c r="BI41" s="1164"/>
      <c r="BJ41" s="1164"/>
      <c r="BK41" s="1201"/>
      <c r="BL41" s="1342"/>
      <c r="BM41" s="1258"/>
      <c r="BN41" s="1200"/>
      <c r="BO41" s="1164"/>
      <c r="BP41" s="1164"/>
      <c r="BQ41" s="1164"/>
      <c r="BR41" s="1164"/>
      <c r="BS41" s="1201"/>
      <c r="BT41" s="1342"/>
      <c r="BU41" s="1293"/>
      <c r="BV41" s="1200"/>
      <c r="BW41" s="1164"/>
      <c r="BX41" s="1164"/>
      <c r="BY41" s="1164"/>
      <c r="BZ41" s="1164"/>
      <c r="CA41" s="1266"/>
      <c r="CB41" s="1206"/>
      <c r="CF41" s="248"/>
      <c r="CH41" s="275">
        <v>4.3</v>
      </c>
      <c r="CI41" s="240">
        <f>COUNTIF(CC10:CC39,CH41)</f>
        <v>3</v>
      </c>
      <c r="CJ41" s="240" t="str">
        <f>IF($P$3=1,SUMIF($CC$10:$CC$39,CH41,$CJ$10:$CJ$39),"")</f>
        <v/>
      </c>
      <c r="CP41" s="275">
        <v>4.3</v>
      </c>
      <c r="CQ41" s="240">
        <f>COUNTIF(CK10:CK39,CP41)</f>
        <v>2</v>
      </c>
      <c r="CR41" s="240" t="str">
        <f>IF($T$3=1,SUMIF($CK$10:$CK$39,CP41,$CR$10:$CR$39),"")</f>
        <v/>
      </c>
      <c r="DA41" s="1258"/>
      <c r="DB41" s="1200"/>
      <c r="DC41" s="1164"/>
      <c r="DD41" s="1164"/>
      <c r="DE41" s="1164"/>
      <c r="DF41" s="1164"/>
      <c r="DG41" s="1201"/>
      <c r="DH41" s="1342"/>
      <c r="DI41" s="1258"/>
      <c r="DJ41" s="1200"/>
      <c r="DK41" s="1164"/>
      <c r="DL41" s="1164"/>
      <c r="DM41" s="1164"/>
      <c r="DN41" s="1164"/>
      <c r="DO41" s="1201"/>
      <c r="DP41" s="1342"/>
      <c r="DQ41" s="1290"/>
      <c r="DR41" s="1200"/>
      <c r="DS41" s="1164"/>
      <c r="DT41" s="1164"/>
      <c r="DU41" s="1164"/>
      <c r="DV41" s="1164"/>
      <c r="DW41" s="1201"/>
      <c r="DX41" s="1342"/>
      <c r="DY41" s="1290"/>
      <c r="DZ41" s="1200"/>
      <c r="EA41" s="1164"/>
      <c r="EB41" s="1164"/>
      <c r="EC41" s="1164"/>
      <c r="ED41" s="1164"/>
      <c r="EE41" s="1201"/>
      <c r="EF41" s="1342"/>
      <c r="EG41" s="1308"/>
      <c r="EH41" s="1200"/>
      <c r="EI41" s="1164"/>
      <c r="EJ41" s="1164"/>
      <c r="EK41" s="1164"/>
      <c r="EL41" s="1164"/>
      <c r="EM41" s="1201"/>
      <c r="EN41" s="1342"/>
      <c r="EO41" s="1197"/>
      <c r="EP41" s="1200"/>
      <c r="EQ41" s="1164"/>
      <c r="ER41" s="1164"/>
      <c r="ES41" s="1164"/>
      <c r="ET41" s="1164"/>
      <c r="EU41" s="1201"/>
      <c r="EV41" s="1342"/>
    </row>
    <row r="42" spans="1:152" ht="15" customHeight="1">
      <c r="A42" s="1887"/>
      <c r="B42" s="1888"/>
      <c r="C42" s="1888"/>
      <c r="D42" s="1888"/>
      <c r="E42" s="1888"/>
      <c r="F42" s="1888"/>
      <c r="G42" s="1888"/>
      <c r="H42" s="1888"/>
      <c r="I42" s="1888"/>
      <c r="J42" s="1888"/>
      <c r="K42" s="1888"/>
      <c r="L42" s="1888"/>
      <c r="M42" s="1888"/>
      <c r="N42" s="1888"/>
      <c r="O42" s="1888"/>
      <c r="P42" s="1888"/>
      <c r="Q42" s="1888"/>
      <c r="R42" s="1888"/>
      <c r="S42" s="1888"/>
      <c r="T42" s="1888"/>
      <c r="U42" s="1888"/>
      <c r="V42" s="1888"/>
      <c r="W42" s="1889"/>
      <c r="X42" s="332"/>
      <c r="Y42" s="1309"/>
      <c r="Z42" s="1319"/>
      <c r="AA42" s="1320"/>
      <c r="AB42" s="1320"/>
      <c r="AC42" s="1320"/>
      <c r="AD42" s="1320"/>
      <c r="AE42" s="1321"/>
      <c r="AF42" s="1207"/>
      <c r="AG42" s="1306"/>
      <c r="AH42" s="1165"/>
      <c r="AI42" s="1166"/>
      <c r="AJ42" s="1166"/>
      <c r="AK42" s="1166"/>
      <c r="AL42" s="1166"/>
      <c r="AM42" s="1292"/>
      <c r="AN42" s="1207"/>
      <c r="AO42" s="1258"/>
      <c r="AP42" s="1202"/>
      <c r="AQ42" s="1203"/>
      <c r="AR42" s="1203"/>
      <c r="AS42" s="1203"/>
      <c r="AT42" s="1203"/>
      <c r="AU42" s="1204"/>
      <c r="AV42" s="1342"/>
      <c r="AW42" s="1291"/>
      <c r="AX42" s="1202"/>
      <c r="AY42" s="1203"/>
      <c r="AZ42" s="1203"/>
      <c r="BA42" s="1203"/>
      <c r="BB42" s="1203"/>
      <c r="BC42" s="1204"/>
      <c r="BD42" s="1342"/>
      <c r="BE42" s="1258"/>
      <c r="BF42" s="1202"/>
      <c r="BG42" s="1203"/>
      <c r="BH42" s="1203"/>
      <c r="BI42" s="1203"/>
      <c r="BJ42" s="1203"/>
      <c r="BK42" s="1204"/>
      <c r="BL42" s="1342"/>
      <c r="BM42" s="1258"/>
      <c r="BN42" s="1202"/>
      <c r="BO42" s="1203"/>
      <c r="BP42" s="1203"/>
      <c r="BQ42" s="1203"/>
      <c r="BR42" s="1203"/>
      <c r="BS42" s="1204"/>
      <c r="BT42" s="1342"/>
      <c r="BU42" s="1306"/>
      <c r="BV42" s="1202"/>
      <c r="BW42" s="1203"/>
      <c r="BX42" s="1203"/>
      <c r="BY42" s="1203"/>
      <c r="BZ42" s="1203"/>
      <c r="CA42" s="1305"/>
      <c r="CB42" s="1207"/>
      <c r="CF42" s="248"/>
      <c r="CH42" s="276">
        <v>4.4000000000000004</v>
      </c>
      <c r="CI42" s="240">
        <f>COUNTIF(CC10:CC39,CH42)</f>
        <v>6</v>
      </c>
      <c r="CJ42" s="240" t="str">
        <f>IF($P$3=1,SUMIF($CC$10:$CC$39,CH42,$CJ$10:$CJ$39),"")</f>
        <v/>
      </c>
      <c r="CP42" s="276">
        <v>4.4000000000000004</v>
      </c>
      <c r="CQ42" s="240">
        <f>COUNTIF(CK10:CK39,CP42)</f>
        <v>7</v>
      </c>
      <c r="CR42" s="240" t="str">
        <f>IF($T$3=1,SUMIF($CK$10:$CK$39,CP42,$CR$10:$CR$39),"")</f>
        <v/>
      </c>
      <c r="DA42" s="1258"/>
      <c r="DB42" s="1202"/>
      <c r="DC42" s="1203"/>
      <c r="DD42" s="1203"/>
      <c r="DE42" s="1203"/>
      <c r="DF42" s="1203"/>
      <c r="DG42" s="1204"/>
      <c r="DH42" s="1342"/>
      <c r="DI42" s="1258"/>
      <c r="DJ42" s="1202"/>
      <c r="DK42" s="1203"/>
      <c r="DL42" s="1203"/>
      <c r="DM42" s="1203"/>
      <c r="DN42" s="1203"/>
      <c r="DO42" s="1204"/>
      <c r="DP42" s="1342"/>
      <c r="DQ42" s="1291"/>
      <c r="DR42" s="1202"/>
      <c r="DS42" s="1203"/>
      <c r="DT42" s="1203"/>
      <c r="DU42" s="1203"/>
      <c r="DV42" s="1203"/>
      <c r="DW42" s="1204"/>
      <c r="DX42" s="1342"/>
      <c r="DY42" s="1291"/>
      <c r="DZ42" s="1202"/>
      <c r="EA42" s="1203"/>
      <c r="EB42" s="1203"/>
      <c r="EC42" s="1203"/>
      <c r="ED42" s="1203"/>
      <c r="EE42" s="1204"/>
      <c r="EF42" s="1342"/>
      <c r="EG42" s="1309"/>
      <c r="EH42" s="1202"/>
      <c r="EI42" s="1203"/>
      <c r="EJ42" s="1203"/>
      <c r="EK42" s="1203"/>
      <c r="EL42" s="1203"/>
      <c r="EM42" s="1204"/>
      <c r="EN42" s="1342"/>
      <c r="EO42" s="1197"/>
      <c r="EP42" s="1202"/>
      <c r="EQ42" s="1203"/>
      <c r="ER42" s="1203"/>
      <c r="ES42" s="1203"/>
      <c r="ET42" s="1203"/>
      <c r="EU42" s="1204"/>
      <c r="EV42" s="1342"/>
    </row>
    <row r="43" spans="1:152" ht="15" customHeight="1">
      <c r="A43" s="1887"/>
      <c r="B43" s="1888"/>
      <c r="C43" s="1888"/>
      <c r="D43" s="1888"/>
      <c r="E43" s="1888"/>
      <c r="F43" s="1888"/>
      <c r="G43" s="1888"/>
      <c r="H43" s="1888"/>
      <c r="I43" s="1888"/>
      <c r="J43" s="1888"/>
      <c r="K43" s="1888"/>
      <c r="L43" s="1888"/>
      <c r="M43" s="1888"/>
      <c r="N43" s="1888"/>
      <c r="O43" s="1888"/>
      <c r="P43" s="1888"/>
      <c r="Q43" s="1888"/>
      <c r="R43" s="1888"/>
      <c r="S43" s="1888"/>
      <c r="T43" s="1888"/>
      <c r="U43" s="1888"/>
      <c r="V43" s="1888"/>
      <c r="W43" s="1889"/>
      <c r="X43" s="332"/>
      <c r="Y43" s="1301">
        <v>4.4000000000000004</v>
      </c>
      <c r="Z43" s="1161" t="s">
        <v>397</v>
      </c>
      <c r="AA43" s="1162"/>
      <c r="AB43" s="1162"/>
      <c r="AC43" s="1162"/>
      <c r="AD43" s="1162"/>
      <c r="AE43" s="1199"/>
      <c r="AF43" s="1205" t="str">
        <f>IF(ISBLANK(D$3),"",1)</f>
        <v/>
      </c>
      <c r="AG43" s="247"/>
      <c r="AL43" s="273">
        <v>1.5</v>
      </c>
      <c r="AM43" s="240">
        <f>COUNTIF(AG10:AG42,AL43)</f>
        <v>1</v>
      </c>
      <c r="AN43" s="240" t="str">
        <f>IF($H$3=1,SUMIF($AG$10:$AG$42,AL43,$AN$10:$AN$42),"")</f>
        <v/>
      </c>
      <c r="AO43" s="1304">
        <v>4.4000000000000004</v>
      </c>
      <c r="AP43" s="1198" t="s">
        <v>878</v>
      </c>
      <c r="AQ43" s="1162"/>
      <c r="AR43" s="1162"/>
      <c r="AS43" s="1162"/>
      <c r="AT43" s="1162"/>
      <c r="AU43" s="1199"/>
      <c r="AV43" s="1226" t="str">
        <f t="shared" ref="AV43" si="143">IF(ISBLANK(L$3),"",1)</f>
        <v/>
      </c>
      <c r="AW43" s="1196">
        <v>4.4000000000000004</v>
      </c>
      <c r="AX43" s="1198" t="s">
        <v>878</v>
      </c>
      <c r="AY43" s="1162"/>
      <c r="AZ43" s="1162"/>
      <c r="BA43" s="1162"/>
      <c r="BB43" s="1162"/>
      <c r="BC43" s="1199"/>
      <c r="BD43" s="1226" t="str">
        <f t="shared" ref="BD43" si="144">IF(ISBLANK(P$3),"",1)</f>
        <v/>
      </c>
      <c r="BE43" s="1304">
        <v>4.4000000000000004</v>
      </c>
      <c r="BF43" s="1198" t="s">
        <v>878</v>
      </c>
      <c r="BG43" s="1162"/>
      <c r="BH43" s="1162"/>
      <c r="BI43" s="1162"/>
      <c r="BJ43" s="1162"/>
      <c r="BK43" s="1199"/>
      <c r="BL43" s="1226" t="str">
        <f t="shared" ref="BL43" si="145">IF(ISBLANK(T$3),"",1)</f>
        <v/>
      </c>
      <c r="BM43" s="1304">
        <v>4.4000000000000004</v>
      </c>
      <c r="BN43" s="1198" t="s">
        <v>878</v>
      </c>
      <c r="BO43" s="1162"/>
      <c r="BP43" s="1162"/>
      <c r="BQ43" s="1162"/>
      <c r="BR43" s="1162"/>
      <c r="BS43" s="1199"/>
      <c r="BT43" s="1226" t="str">
        <f t="shared" ref="BT43" si="146">IF(ISBLANK(X$3),"",1)</f>
        <v/>
      </c>
      <c r="BU43" s="247"/>
      <c r="BZ43" s="273">
        <v>1.5</v>
      </c>
      <c r="CA43" s="240">
        <f>COUNTIF(BU10:BU42,BZ43)</f>
        <v>1</v>
      </c>
      <c r="CB43" s="240" t="str">
        <f>IF(L$3=1,SUMIF($BU$10:$BU$42,BZ43,$CB$10:$CB$42),"")</f>
        <v/>
      </c>
      <c r="DA43" s="1304">
        <v>4.4000000000000004</v>
      </c>
      <c r="DB43" s="1198" t="s">
        <v>878</v>
      </c>
      <c r="DC43" s="1162"/>
      <c r="DD43" s="1162"/>
      <c r="DE43" s="1162"/>
      <c r="DF43" s="1162"/>
      <c r="DG43" s="1199"/>
      <c r="DH43" s="1226" t="str">
        <f t="shared" ref="DH43" si="147">IF(ISBLANK(AF$3),"",1)</f>
        <v/>
      </c>
      <c r="DI43" s="1304">
        <v>4.4000000000000004</v>
      </c>
      <c r="DJ43" s="1198" t="s">
        <v>878</v>
      </c>
      <c r="DK43" s="1162"/>
      <c r="DL43" s="1162"/>
      <c r="DM43" s="1162"/>
      <c r="DN43" s="1162"/>
      <c r="DO43" s="1199"/>
      <c r="DP43" s="1226" t="str">
        <f t="shared" ref="DP43" si="148">IF(ISBLANK(AV$3),"",1)</f>
        <v/>
      </c>
      <c r="DQ43" s="1307">
        <v>1.5</v>
      </c>
      <c r="DR43" s="1198" t="s">
        <v>373</v>
      </c>
      <c r="DS43" s="1162"/>
      <c r="DT43" s="1162"/>
      <c r="DU43" s="1162"/>
      <c r="DV43" s="1162"/>
      <c r="DW43" s="1199"/>
      <c r="DX43" s="1226" t="str">
        <f t="shared" ref="DX43" si="149">IF(ISBLANK(AZ$3),"",1)</f>
        <v/>
      </c>
      <c r="DY43" s="1307">
        <v>1.5</v>
      </c>
      <c r="DZ43" s="1198" t="s">
        <v>373</v>
      </c>
      <c r="EA43" s="1162"/>
      <c r="EB43" s="1162"/>
      <c r="EC43" s="1162"/>
      <c r="ED43" s="1162"/>
      <c r="EE43" s="1199"/>
      <c r="EF43" s="1226" t="str">
        <f t="shared" ref="EF43" si="150">IF(ISBLANK(BD$3),"",1)</f>
        <v/>
      </c>
      <c r="EG43" s="1258">
        <v>4.4000000000000004</v>
      </c>
      <c r="EH43" s="1198" t="s">
        <v>397</v>
      </c>
      <c r="EI43" s="1162"/>
      <c r="EJ43" s="1162"/>
      <c r="EK43" s="1162"/>
      <c r="EL43" s="1162"/>
      <c r="EM43" s="1199"/>
      <c r="EN43" s="1226" t="str">
        <f t="shared" ref="EN43" si="151">IF(ISBLANK(BH$3),"",1)</f>
        <v/>
      </c>
      <c r="EO43" s="1304">
        <v>4.4000000000000004</v>
      </c>
      <c r="EP43" s="1198" t="s">
        <v>359</v>
      </c>
      <c r="EQ43" s="1162"/>
      <c r="ER43" s="1162"/>
      <c r="ES43" s="1162"/>
      <c r="ET43" s="1162"/>
      <c r="EU43" s="1199"/>
      <c r="EV43" s="1226" t="str">
        <f t="shared" ref="EV43" si="152">IF(ISBLANK(BL$3),"",1)</f>
        <v/>
      </c>
    </row>
    <row r="44" spans="1:152" ht="15" customHeight="1">
      <c r="A44" s="1887"/>
      <c r="B44" s="1888"/>
      <c r="C44" s="1888"/>
      <c r="D44" s="1888"/>
      <c r="E44" s="1888"/>
      <c r="F44" s="1888"/>
      <c r="G44" s="1888"/>
      <c r="H44" s="1888"/>
      <c r="I44" s="1888"/>
      <c r="J44" s="1888"/>
      <c r="K44" s="1888"/>
      <c r="L44" s="1888"/>
      <c r="M44" s="1888"/>
      <c r="N44" s="1888"/>
      <c r="O44" s="1888"/>
      <c r="P44" s="1888"/>
      <c r="Q44" s="1888"/>
      <c r="R44" s="1888"/>
      <c r="S44" s="1888"/>
      <c r="T44" s="1888"/>
      <c r="U44" s="1888"/>
      <c r="V44" s="1888"/>
      <c r="W44" s="1889"/>
      <c r="X44" s="332"/>
      <c r="Y44" s="1302"/>
      <c r="Z44" s="1163"/>
      <c r="AA44" s="1164"/>
      <c r="AB44" s="1164"/>
      <c r="AC44" s="1164"/>
      <c r="AD44" s="1164"/>
      <c r="AE44" s="1201"/>
      <c r="AF44" s="1206"/>
      <c r="AG44" s="248"/>
      <c r="AL44" s="275">
        <v>4.3</v>
      </c>
      <c r="AM44" s="240">
        <f>COUNTIF(AG10:AG42,AL44)</f>
        <v>4</v>
      </c>
      <c r="AN44" s="240" t="str">
        <f>IF($H$3=1,SUMIF($AG$10:$AG$42,AL44,$AN$10:$AN$42),"")</f>
        <v/>
      </c>
      <c r="AO44" s="1290"/>
      <c r="AP44" s="1200"/>
      <c r="AQ44" s="1164"/>
      <c r="AR44" s="1164"/>
      <c r="AS44" s="1164"/>
      <c r="AT44" s="1164"/>
      <c r="AU44" s="1201"/>
      <c r="AV44" s="1342"/>
      <c r="AW44" s="1197"/>
      <c r="AX44" s="1200"/>
      <c r="AY44" s="1164"/>
      <c r="AZ44" s="1164"/>
      <c r="BA44" s="1164"/>
      <c r="BB44" s="1164"/>
      <c r="BC44" s="1201"/>
      <c r="BD44" s="1342"/>
      <c r="BE44" s="1290"/>
      <c r="BF44" s="1200"/>
      <c r="BG44" s="1164"/>
      <c r="BH44" s="1164"/>
      <c r="BI44" s="1164"/>
      <c r="BJ44" s="1164"/>
      <c r="BK44" s="1201"/>
      <c r="BL44" s="1342"/>
      <c r="BM44" s="1290"/>
      <c r="BN44" s="1200"/>
      <c r="BO44" s="1164"/>
      <c r="BP44" s="1164"/>
      <c r="BQ44" s="1164"/>
      <c r="BR44" s="1164"/>
      <c r="BS44" s="1201"/>
      <c r="BT44" s="1342"/>
      <c r="BU44" s="248"/>
      <c r="BZ44" s="275">
        <v>4.3</v>
      </c>
      <c r="CA44" s="240">
        <f>COUNTIF(BU10:BU42,BZ44)</f>
        <v>4</v>
      </c>
      <c r="CB44" s="240" t="str">
        <f>IF(L$3=1,SUMIF($BU$10:$BU$42,BZ44,$CB$10:$CB$42),"")</f>
        <v/>
      </c>
      <c r="DA44" s="1290"/>
      <c r="DB44" s="1200"/>
      <c r="DC44" s="1164"/>
      <c r="DD44" s="1164"/>
      <c r="DE44" s="1164"/>
      <c r="DF44" s="1164"/>
      <c r="DG44" s="1201"/>
      <c r="DH44" s="1342"/>
      <c r="DI44" s="1290"/>
      <c r="DJ44" s="1200"/>
      <c r="DK44" s="1164"/>
      <c r="DL44" s="1164"/>
      <c r="DM44" s="1164"/>
      <c r="DN44" s="1164"/>
      <c r="DO44" s="1201"/>
      <c r="DP44" s="1342"/>
      <c r="DQ44" s="1308"/>
      <c r="DR44" s="1200"/>
      <c r="DS44" s="1164"/>
      <c r="DT44" s="1164"/>
      <c r="DU44" s="1164"/>
      <c r="DV44" s="1164"/>
      <c r="DW44" s="1201"/>
      <c r="DX44" s="1342"/>
      <c r="DY44" s="1308"/>
      <c r="DZ44" s="1200"/>
      <c r="EA44" s="1164"/>
      <c r="EB44" s="1164"/>
      <c r="EC44" s="1164"/>
      <c r="ED44" s="1164"/>
      <c r="EE44" s="1201"/>
      <c r="EF44" s="1342"/>
      <c r="EG44" s="1258"/>
      <c r="EH44" s="1200"/>
      <c r="EI44" s="1164"/>
      <c r="EJ44" s="1164"/>
      <c r="EK44" s="1164"/>
      <c r="EL44" s="1164"/>
      <c r="EM44" s="1201"/>
      <c r="EN44" s="1342"/>
      <c r="EO44" s="1290"/>
      <c r="EP44" s="1200"/>
      <c r="EQ44" s="1164"/>
      <c r="ER44" s="1164"/>
      <c r="ES44" s="1164"/>
      <c r="ET44" s="1164"/>
      <c r="EU44" s="1201"/>
      <c r="EV44" s="1342"/>
    </row>
    <row r="45" spans="1:152" ht="15" customHeight="1">
      <c r="A45" s="1887"/>
      <c r="B45" s="1888"/>
      <c r="C45" s="1888"/>
      <c r="D45" s="1888"/>
      <c r="E45" s="1888"/>
      <c r="F45" s="1888"/>
      <c r="G45" s="1888"/>
      <c r="H45" s="1888"/>
      <c r="I45" s="1888"/>
      <c r="J45" s="1888"/>
      <c r="K45" s="1888"/>
      <c r="L45" s="1888"/>
      <c r="M45" s="1888"/>
      <c r="N45" s="1888"/>
      <c r="O45" s="1888"/>
      <c r="P45" s="1888"/>
      <c r="Q45" s="1888"/>
      <c r="R45" s="1888"/>
      <c r="S45" s="1888"/>
      <c r="T45" s="1888"/>
      <c r="U45" s="1888"/>
      <c r="V45" s="1888"/>
      <c r="W45" s="1889"/>
      <c r="X45" s="332"/>
      <c r="Y45" s="1303"/>
      <c r="Z45" s="1165"/>
      <c r="AA45" s="1166"/>
      <c r="AB45" s="1166"/>
      <c r="AC45" s="1166"/>
      <c r="AD45" s="1166"/>
      <c r="AE45" s="1292"/>
      <c r="AF45" s="1207"/>
      <c r="AG45" s="248"/>
      <c r="AL45" s="276">
        <v>4.4000000000000004</v>
      </c>
      <c r="AM45" s="240">
        <f>COUNTIF(AG10:AG42,AL45)</f>
        <v>6</v>
      </c>
      <c r="AN45" s="240" t="str">
        <f>IF($H$3=1,SUMIF($AG$10:$AG$42,AL45,$AN$10:$AN$42),"")</f>
        <v/>
      </c>
      <c r="AO45" s="1291"/>
      <c r="AP45" s="1202"/>
      <c r="AQ45" s="1203"/>
      <c r="AR45" s="1203"/>
      <c r="AS45" s="1203"/>
      <c r="AT45" s="1203"/>
      <c r="AU45" s="1204"/>
      <c r="AV45" s="1342"/>
      <c r="AW45" s="1197"/>
      <c r="AX45" s="1202"/>
      <c r="AY45" s="1203"/>
      <c r="AZ45" s="1203"/>
      <c r="BA45" s="1203"/>
      <c r="BB45" s="1203"/>
      <c r="BC45" s="1204"/>
      <c r="BD45" s="1342"/>
      <c r="BE45" s="1291"/>
      <c r="BF45" s="1202"/>
      <c r="BG45" s="1203"/>
      <c r="BH45" s="1203"/>
      <c r="BI45" s="1203"/>
      <c r="BJ45" s="1203"/>
      <c r="BK45" s="1204"/>
      <c r="BL45" s="1342"/>
      <c r="BM45" s="1291"/>
      <c r="BN45" s="1202"/>
      <c r="BO45" s="1203"/>
      <c r="BP45" s="1203"/>
      <c r="BQ45" s="1203"/>
      <c r="BR45" s="1203"/>
      <c r="BS45" s="1204"/>
      <c r="BT45" s="1342"/>
      <c r="BU45" s="248"/>
      <c r="BZ45" s="276">
        <v>4.4000000000000004</v>
      </c>
      <c r="CA45" s="240">
        <f>COUNTIF(BU10:BU42,BZ45)</f>
        <v>6</v>
      </c>
      <c r="CB45" s="240" t="str">
        <f>IF(L$3=1,SUMIF($BU$10:$BU$42,BZ45,$CB$10:$CB$42),"")</f>
        <v/>
      </c>
      <c r="DA45" s="1291"/>
      <c r="DB45" s="1202"/>
      <c r="DC45" s="1203"/>
      <c r="DD45" s="1203"/>
      <c r="DE45" s="1203"/>
      <c r="DF45" s="1203"/>
      <c r="DG45" s="1204"/>
      <c r="DH45" s="1342"/>
      <c r="DI45" s="1291"/>
      <c r="DJ45" s="1202"/>
      <c r="DK45" s="1203"/>
      <c r="DL45" s="1203"/>
      <c r="DM45" s="1203"/>
      <c r="DN45" s="1203"/>
      <c r="DO45" s="1204"/>
      <c r="DP45" s="1342"/>
      <c r="DQ45" s="1309"/>
      <c r="DR45" s="1202"/>
      <c r="DS45" s="1203"/>
      <c r="DT45" s="1203"/>
      <c r="DU45" s="1203"/>
      <c r="DV45" s="1203"/>
      <c r="DW45" s="1204"/>
      <c r="DX45" s="1342"/>
      <c r="DY45" s="1309"/>
      <c r="DZ45" s="1202"/>
      <c r="EA45" s="1203"/>
      <c r="EB45" s="1203"/>
      <c r="EC45" s="1203"/>
      <c r="ED45" s="1203"/>
      <c r="EE45" s="1204"/>
      <c r="EF45" s="1342"/>
      <c r="EG45" s="1258"/>
      <c r="EH45" s="1202"/>
      <c r="EI45" s="1203"/>
      <c r="EJ45" s="1203"/>
      <c r="EK45" s="1203"/>
      <c r="EL45" s="1203"/>
      <c r="EM45" s="1204"/>
      <c r="EN45" s="1342"/>
      <c r="EO45" s="1291"/>
      <c r="EP45" s="1202"/>
      <c r="EQ45" s="1203"/>
      <c r="ER45" s="1203"/>
      <c r="ES45" s="1203"/>
      <c r="ET45" s="1203"/>
      <c r="EU45" s="1204"/>
      <c r="EV45" s="1342"/>
    </row>
    <row r="46" spans="1:152" ht="15" customHeight="1">
      <c r="A46" s="1887"/>
      <c r="B46" s="1888"/>
      <c r="C46" s="1888"/>
      <c r="D46" s="1888"/>
      <c r="E46" s="1888"/>
      <c r="F46" s="1888"/>
      <c r="G46" s="1888"/>
      <c r="H46" s="1888"/>
      <c r="I46" s="1888"/>
      <c r="J46" s="1888"/>
      <c r="K46" s="1888"/>
      <c r="L46" s="1888"/>
      <c r="M46" s="1888"/>
      <c r="N46" s="1888"/>
      <c r="O46" s="1888"/>
      <c r="P46" s="1888"/>
      <c r="Q46" s="1888"/>
      <c r="R46" s="1888"/>
      <c r="S46" s="1888"/>
      <c r="T46" s="1888"/>
      <c r="U46" s="1888"/>
      <c r="V46" s="1888"/>
      <c r="W46" s="1889"/>
      <c r="X46" s="332"/>
      <c r="Y46" s="242"/>
      <c r="AB46" s="247"/>
      <c r="AD46" s="273">
        <v>1.5</v>
      </c>
      <c r="AE46" s="240">
        <f>COUNTIF(Y10:Y45,AD46)</f>
        <v>1</v>
      </c>
      <c r="AF46" s="240" t="str">
        <f>IF($D$3=1,SUMIF($Y$10:$Y45,AD46,$AF$10:$AF$45),"")</f>
        <v/>
      </c>
      <c r="AG46" s="242"/>
      <c r="AO46" s="1307">
        <v>1.5</v>
      </c>
      <c r="AP46" s="1198" t="s">
        <v>373</v>
      </c>
      <c r="AQ46" s="1162"/>
      <c r="AR46" s="1162"/>
      <c r="AS46" s="1162"/>
      <c r="AT46" s="1162"/>
      <c r="AU46" s="1199"/>
      <c r="AV46" s="1226" t="str">
        <f t="shared" ref="AV46" si="153">IF(ISBLANK(L$3),"",1)</f>
        <v/>
      </c>
      <c r="AW46" s="1304">
        <v>1.5</v>
      </c>
      <c r="AX46" s="1198" t="s">
        <v>373</v>
      </c>
      <c r="AY46" s="1162"/>
      <c r="AZ46" s="1162"/>
      <c r="BA46" s="1162"/>
      <c r="BB46" s="1162"/>
      <c r="BC46" s="1199"/>
      <c r="BD46" s="1226" t="str">
        <f t="shared" ref="BD46" si="154">IF(ISBLANK(P$3),"",1)</f>
        <v/>
      </c>
      <c r="BE46" s="1307">
        <v>1.5</v>
      </c>
      <c r="BF46" s="1198" t="s">
        <v>373</v>
      </c>
      <c r="BG46" s="1162"/>
      <c r="BH46" s="1162"/>
      <c r="BI46" s="1162"/>
      <c r="BJ46" s="1162"/>
      <c r="BK46" s="1199"/>
      <c r="BL46" s="1226" t="str">
        <f t="shared" ref="BL46" si="155">IF(ISBLANK(T$3),"",1)</f>
        <v/>
      </c>
      <c r="BM46" s="1307">
        <v>1.5</v>
      </c>
      <c r="BN46" s="1198" t="s">
        <v>373</v>
      </c>
      <c r="BO46" s="1162"/>
      <c r="BP46" s="1162"/>
      <c r="BQ46" s="1162"/>
      <c r="BR46" s="1162"/>
      <c r="BS46" s="1199"/>
      <c r="BT46" s="1226" t="str">
        <f t="shared" ref="BT46" si="156">IF(ISBLANK(X$3),"",1)</f>
        <v/>
      </c>
      <c r="BV46" s="242"/>
      <c r="DA46" s="1307">
        <v>1.5</v>
      </c>
      <c r="DB46" s="1310" t="s">
        <v>373</v>
      </c>
      <c r="DC46" s="1311"/>
      <c r="DD46" s="1311"/>
      <c r="DE46" s="1311"/>
      <c r="DF46" s="1311"/>
      <c r="DG46" s="1316"/>
      <c r="DH46" s="1226" t="str">
        <f t="shared" ref="DH46" si="157">IF(ISBLANK(AF$3),"",1)</f>
        <v/>
      </c>
      <c r="DI46" s="1307">
        <v>1.5</v>
      </c>
      <c r="DJ46" s="1198" t="s">
        <v>373</v>
      </c>
      <c r="DK46" s="1162"/>
      <c r="DL46" s="1162"/>
      <c r="DM46" s="1162"/>
      <c r="DN46" s="1162"/>
      <c r="DO46" s="1199"/>
      <c r="DP46" s="1226" t="str">
        <f t="shared" ref="DP46" si="158">IF(ISBLANK(AV$3),"",1)</f>
        <v/>
      </c>
      <c r="DQ46" s="1258">
        <v>4.4000000000000004</v>
      </c>
      <c r="DR46" s="1198" t="s">
        <v>397</v>
      </c>
      <c r="DS46" s="1162"/>
      <c r="DT46" s="1162"/>
      <c r="DU46" s="1162"/>
      <c r="DV46" s="1162"/>
      <c r="DW46" s="1199"/>
      <c r="DX46" s="1226" t="str">
        <f t="shared" ref="DX46" si="159">IF(ISBLANK(AZ$3),"",1)</f>
        <v/>
      </c>
      <c r="DY46" s="1258">
        <v>4.4000000000000004</v>
      </c>
      <c r="DZ46" s="1198" t="s">
        <v>397</v>
      </c>
      <c r="EA46" s="1162"/>
      <c r="EB46" s="1162"/>
      <c r="EC46" s="1162"/>
      <c r="ED46" s="1162"/>
      <c r="EE46" s="1199"/>
      <c r="EF46" s="1226" t="str">
        <f t="shared" ref="EF46" si="160">IF(ISBLANK(BD$3),"",1)</f>
        <v/>
      </c>
      <c r="EJ46" s="247"/>
      <c r="EL46" s="273">
        <v>1.5</v>
      </c>
      <c r="EM46" s="240">
        <f>COUNTIF($EG$10:$EG$45,EL46)</f>
        <v>1</v>
      </c>
      <c r="EN46" s="240" t="str">
        <f>IF($AV$3=1,SUMIF($EG$10:$EG$45,EL46,$EN$10:$EN$45),"")</f>
        <v/>
      </c>
      <c r="EO46" s="1196">
        <v>4.4000000000000004</v>
      </c>
      <c r="EP46" s="1198" t="s">
        <v>395</v>
      </c>
      <c r="EQ46" s="1162"/>
      <c r="ER46" s="1162"/>
      <c r="ES46" s="1162"/>
      <c r="ET46" s="1162"/>
      <c r="EU46" s="1199"/>
      <c r="EV46" s="1226" t="str">
        <f t="shared" ref="EV46" si="161">IF(ISBLANK(BL$3),"",1)</f>
        <v/>
      </c>
    </row>
    <row r="47" spans="1:152" ht="15" customHeight="1">
      <c r="A47" s="1887"/>
      <c r="B47" s="1888"/>
      <c r="C47" s="1888"/>
      <c r="D47" s="1888"/>
      <c r="E47" s="1888"/>
      <c r="F47" s="1888"/>
      <c r="G47" s="1888"/>
      <c r="H47" s="1888"/>
      <c r="I47" s="1888"/>
      <c r="J47" s="1888"/>
      <c r="K47" s="1888"/>
      <c r="L47" s="1888"/>
      <c r="M47" s="1888"/>
      <c r="N47" s="1888"/>
      <c r="O47" s="1888"/>
      <c r="P47" s="1888"/>
      <c r="Q47" s="1888"/>
      <c r="R47" s="1888"/>
      <c r="S47" s="1888"/>
      <c r="T47" s="1888"/>
      <c r="U47" s="1888"/>
      <c r="V47" s="1888"/>
      <c r="W47" s="1889"/>
      <c r="X47" s="332"/>
      <c r="Y47" s="242"/>
      <c r="AB47" s="248"/>
      <c r="AD47" s="275">
        <v>4.3</v>
      </c>
      <c r="AE47" s="240">
        <f>COUNTIF(Y10:Y45,AD47)</f>
        <v>3</v>
      </c>
      <c r="AF47" s="240" t="str">
        <f>IF($D$3=1,SUMIF($Y$10:$Y45,AD47,$AF$10:$AF$45),"")</f>
        <v/>
      </c>
      <c r="AG47" s="242"/>
      <c r="AO47" s="1308"/>
      <c r="AP47" s="1200"/>
      <c r="AQ47" s="1164"/>
      <c r="AR47" s="1164"/>
      <c r="AS47" s="1164"/>
      <c r="AT47" s="1164"/>
      <c r="AU47" s="1201"/>
      <c r="AV47" s="1342"/>
      <c r="AW47" s="1290"/>
      <c r="AX47" s="1200"/>
      <c r="AY47" s="1164"/>
      <c r="AZ47" s="1164"/>
      <c r="BA47" s="1164"/>
      <c r="BB47" s="1164"/>
      <c r="BC47" s="1201"/>
      <c r="BD47" s="1342"/>
      <c r="BE47" s="1308"/>
      <c r="BF47" s="1200"/>
      <c r="BG47" s="1164"/>
      <c r="BH47" s="1164"/>
      <c r="BI47" s="1164"/>
      <c r="BJ47" s="1164"/>
      <c r="BK47" s="1201"/>
      <c r="BL47" s="1342"/>
      <c r="BM47" s="1308"/>
      <c r="BN47" s="1200"/>
      <c r="BO47" s="1164"/>
      <c r="BP47" s="1164"/>
      <c r="BQ47" s="1164"/>
      <c r="BR47" s="1164"/>
      <c r="BS47" s="1201"/>
      <c r="BT47" s="1342"/>
      <c r="BV47" s="242"/>
      <c r="DA47" s="1308"/>
      <c r="DB47" s="1295"/>
      <c r="DC47" s="1296"/>
      <c r="DD47" s="1296"/>
      <c r="DE47" s="1296"/>
      <c r="DF47" s="1296"/>
      <c r="DG47" s="1318"/>
      <c r="DH47" s="1342"/>
      <c r="DI47" s="1308"/>
      <c r="DJ47" s="1200"/>
      <c r="DK47" s="1164"/>
      <c r="DL47" s="1164"/>
      <c r="DM47" s="1164"/>
      <c r="DN47" s="1164"/>
      <c r="DO47" s="1201"/>
      <c r="DP47" s="1342"/>
      <c r="DQ47" s="1258"/>
      <c r="DR47" s="1200"/>
      <c r="DS47" s="1164"/>
      <c r="DT47" s="1164"/>
      <c r="DU47" s="1164"/>
      <c r="DV47" s="1164"/>
      <c r="DW47" s="1201"/>
      <c r="DX47" s="1342"/>
      <c r="DY47" s="1258"/>
      <c r="DZ47" s="1200"/>
      <c r="EA47" s="1164"/>
      <c r="EB47" s="1164"/>
      <c r="EC47" s="1164"/>
      <c r="ED47" s="1164"/>
      <c r="EE47" s="1201"/>
      <c r="EF47" s="1342"/>
      <c r="EJ47" s="248"/>
      <c r="EL47" s="274">
        <v>4.3</v>
      </c>
      <c r="EM47" s="240">
        <f>COUNTIF($EG$10:$EG$45,EL47)</f>
        <v>4</v>
      </c>
      <c r="EN47" s="240" t="str">
        <f>IF($AV$3=1,SUMIF($EG$10:$EG$45,EL47,$EN$10:$EN$45),"")</f>
        <v/>
      </c>
      <c r="EO47" s="1197"/>
      <c r="EP47" s="1200"/>
      <c r="EQ47" s="1164"/>
      <c r="ER47" s="1164"/>
      <c r="ES47" s="1164"/>
      <c r="ET47" s="1164"/>
      <c r="EU47" s="1201"/>
      <c r="EV47" s="1342"/>
    </row>
    <row r="48" spans="1:152" ht="15" customHeight="1">
      <c r="A48" s="1887"/>
      <c r="B48" s="1888"/>
      <c r="C48" s="1888"/>
      <c r="D48" s="1888"/>
      <c r="E48" s="1888"/>
      <c r="F48" s="1888"/>
      <c r="G48" s="1888"/>
      <c r="H48" s="1888"/>
      <c r="I48" s="1888"/>
      <c r="J48" s="1888"/>
      <c r="K48" s="1888"/>
      <c r="L48" s="1888"/>
      <c r="M48" s="1888"/>
      <c r="N48" s="1888"/>
      <c r="O48" s="1888"/>
      <c r="P48" s="1888"/>
      <c r="Q48" s="1888"/>
      <c r="R48" s="1888"/>
      <c r="S48" s="1888"/>
      <c r="T48" s="1888"/>
      <c r="U48" s="1888"/>
      <c r="V48" s="1888"/>
      <c r="W48" s="1889"/>
      <c r="X48" s="332"/>
      <c r="Y48" s="242"/>
      <c r="AB48" s="248"/>
      <c r="AD48" s="276">
        <v>4.4000000000000004</v>
      </c>
      <c r="AE48" s="240">
        <f>COUNTIF(Y10:Y45,AD48)</f>
        <v>8</v>
      </c>
      <c r="AF48" s="240" t="str">
        <f>IF($D$3=1,SUMIF($Y$10:$Y45,AD48,$AF$10:$AF$45),"")</f>
        <v/>
      </c>
      <c r="AO48" s="1309"/>
      <c r="AP48" s="1202"/>
      <c r="AQ48" s="1203"/>
      <c r="AR48" s="1203"/>
      <c r="AS48" s="1203"/>
      <c r="AT48" s="1203"/>
      <c r="AU48" s="1204"/>
      <c r="AV48" s="1342"/>
      <c r="AW48" s="1291"/>
      <c r="AX48" s="1202"/>
      <c r="AY48" s="1203"/>
      <c r="AZ48" s="1203"/>
      <c r="BA48" s="1203"/>
      <c r="BB48" s="1203"/>
      <c r="BC48" s="1204"/>
      <c r="BD48" s="1342"/>
      <c r="BE48" s="1309"/>
      <c r="BF48" s="1202"/>
      <c r="BG48" s="1203"/>
      <c r="BH48" s="1203"/>
      <c r="BI48" s="1203"/>
      <c r="BJ48" s="1203"/>
      <c r="BK48" s="1204"/>
      <c r="BL48" s="1342"/>
      <c r="BM48" s="1309"/>
      <c r="BN48" s="1202"/>
      <c r="BO48" s="1203"/>
      <c r="BP48" s="1203"/>
      <c r="BQ48" s="1203"/>
      <c r="BR48" s="1203"/>
      <c r="BS48" s="1204"/>
      <c r="BT48" s="1342"/>
      <c r="DA48" s="1309"/>
      <c r="DB48" s="1298"/>
      <c r="DC48" s="1299"/>
      <c r="DD48" s="1299"/>
      <c r="DE48" s="1299"/>
      <c r="DF48" s="1299"/>
      <c r="DG48" s="1335"/>
      <c r="DH48" s="1342"/>
      <c r="DI48" s="1309"/>
      <c r="DJ48" s="1202"/>
      <c r="DK48" s="1203"/>
      <c r="DL48" s="1203"/>
      <c r="DM48" s="1203"/>
      <c r="DN48" s="1203"/>
      <c r="DO48" s="1204"/>
      <c r="DP48" s="1342"/>
      <c r="DQ48" s="1258"/>
      <c r="DR48" s="1202"/>
      <c r="DS48" s="1203"/>
      <c r="DT48" s="1203"/>
      <c r="DU48" s="1203"/>
      <c r="DV48" s="1203"/>
      <c r="DW48" s="1204"/>
      <c r="DX48" s="1342"/>
      <c r="DY48" s="1258"/>
      <c r="DZ48" s="1202"/>
      <c r="EA48" s="1203"/>
      <c r="EB48" s="1203"/>
      <c r="EC48" s="1203"/>
      <c r="ED48" s="1203"/>
      <c r="EE48" s="1204"/>
      <c r="EF48" s="1342"/>
      <c r="EJ48" s="248"/>
      <c r="EL48" s="274">
        <v>4.4000000000000004</v>
      </c>
      <c r="EM48" s="240">
        <f>COUNTIF($EG$10:$EG$45,EL48)</f>
        <v>7</v>
      </c>
      <c r="EN48" s="240" t="str">
        <f>IF($AV$3=1,SUMIF($EG$10:$EG$45,EL48,$EN$10:$EN$45),"")</f>
        <v/>
      </c>
      <c r="EO48" s="1197"/>
      <c r="EP48" s="1202"/>
      <c r="EQ48" s="1203"/>
      <c r="ER48" s="1203"/>
      <c r="ES48" s="1203"/>
      <c r="ET48" s="1203"/>
      <c r="EU48" s="1204"/>
      <c r="EV48" s="1342"/>
    </row>
    <row r="49" spans="1:152" ht="15" customHeight="1">
      <c r="A49" s="1887"/>
      <c r="B49" s="1888"/>
      <c r="C49" s="1888"/>
      <c r="D49" s="1888"/>
      <c r="E49" s="1888"/>
      <c r="F49" s="1888"/>
      <c r="G49" s="1888"/>
      <c r="H49" s="1888"/>
      <c r="I49" s="1888"/>
      <c r="J49" s="1888"/>
      <c r="K49" s="1888"/>
      <c r="L49" s="1888"/>
      <c r="M49" s="1888"/>
      <c r="N49" s="1888"/>
      <c r="O49" s="1888"/>
      <c r="P49" s="1888"/>
      <c r="Q49" s="1888"/>
      <c r="R49" s="1888"/>
      <c r="S49" s="1888"/>
      <c r="T49" s="1888"/>
      <c r="U49" s="1888"/>
      <c r="V49" s="1888"/>
      <c r="W49" s="1889"/>
      <c r="X49" s="332"/>
      <c r="Y49" s="242"/>
      <c r="AB49" s="248"/>
      <c r="AD49" s="332"/>
      <c r="AE49" s="332"/>
      <c r="AF49" s="332"/>
      <c r="AO49" s="1307">
        <v>4.4000000000000004</v>
      </c>
      <c r="AP49" s="1198" t="s">
        <v>397</v>
      </c>
      <c r="AQ49" s="1162"/>
      <c r="AR49" s="1162"/>
      <c r="AS49" s="1162"/>
      <c r="AT49" s="1162"/>
      <c r="AU49" s="1199"/>
      <c r="AV49" s="1226" t="str">
        <f t="shared" ref="AV49" si="162">IF(ISBLANK(L$3),"",1)</f>
        <v/>
      </c>
      <c r="AX49" s="242"/>
      <c r="BB49" s="273">
        <v>1.5</v>
      </c>
      <c r="BC49" s="240">
        <f>COUNTIF($AW$10:$AW$48,BB49)</f>
        <v>1</v>
      </c>
      <c r="BD49" s="240" t="str">
        <f>IF($BD$3=1,SUMIF($AW$10:$AW$48,BB49,$BD$9:$BD$48),"")</f>
        <v/>
      </c>
      <c r="BE49" s="1307">
        <v>4.4000000000000004</v>
      </c>
      <c r="BF49" s="1198" t="s">
        <v>397</v>
      </c>
      <c r="BG49" s="1162"/>
      <c r="BH49" s="1162"/>
      <c r="BI49" s="1162"/>
      <c r="BJ49" s="1162"/>
      <c r="BK49" s="1199"/>
      <c r="BL49" s="1226" t="str">
        <f t="shared" ref="BL49" si="163">IF(ISBLANK(T$3),"",1)</f>
        <v/>
      </c>
      <c r="BM49" s="1307">
        <v>4.4000000000000004</v>
      </c>
      <c r="BN49" s="1198" t="s">
        <v>397</v>
      </c>
      <c r="BO49" s="1162"/>
      <c r="BP49" s="1162"/>
      <c r="BQ49" s="1162"/>
      <c r="BR49" s="1162"/>
      <c r="BS49" s="1199"/>
      <c r="BT49" s="1226" t="str">
        <f t="shared" ref="BT49" si="164">IF(ISBLANK(X$3),"",1)</f>
        <v/>
      </c>
      <c r="DA49" s="1307">
        <v>4.4000000000000004</v>
      </c>
      <c r="DB49" s="1310" t="s">
        <v>397</v>
      </c>
      <c r="DC49" s="1311"/>
      <c r="DD49" s="1311"/>
      <c r="DE49" s="1311"/>
      <c r="DF49" s="1311"/>
      <c r="DG49" s="1316"/>
      <c r="DH49" s="1226" t="str">
        <f t="shared" ref="DH49" si="165">IF(ISBLANK(AF$3),"",1)</f>
        <v/>
      </c>
      <c r="DI49" s="1307">
        <v>4.4000000000000004</v>
      </c>
      <c r="DJ49" s="1310" t="s">
        <v>397</v>
      </c>
      <c r="DK49" s="1311"/>
      <c r="DL49" s="1311"/>
      <c r="DM49" s="1311"/>
      <c r="DN49" s="1311"/>
      <c r="DO49" s="1316"/>
      <c r="DP49" s="1226" t="str">
        <f t="shared" ref="DP49" si="166">IF(ISBLANK(AV$3),"",1)</f>
        <v/>
      </c>
      <c r="DT49" s="247"/>
      <c r="DV49" s="273">
        <v>1.5</v>
      </c>
      <c r="DW49" s="240">
        <f>COUNTIF($DQ$10:$DQ$48,DV49)</f>
        <v>1</v>
      </c>
      <c r="DX49" s="240" t="str">
        <f>IF($AN$3=1,SUMIF($DQ$10:$DQ$48,DV49,$DX$10:$DX$48),"")</f>
        <v/>
      </c>
      <c r="EB49" s="247"/>
      <c r="ED49" s="273">
        <v>1.5</v>
      </c>
      <c r="EE49" s="240">
        <f>COUNTIF($DY$10:$DY$48,ED49)</f>
        <v>1</v>
      </c>
      <c r="EF49" s="240" t="str">
        <f>IF($AR$3=1,SUMIF($DY$10:$DY$48,ED49,$EF$10:$EF$48),"")</f>
        <v/>
      </c>
      <c r="EO49" s="1307">
        <v>4.4000000000000004</v>
      </c>
      <c r="EP49" s="1310" t="s">
        <v>363</v>
      </c>
      <c r="EQ49" s="1311"/>
      <c r="ER49" s="1311"/>
      <c r="ES49" s="1311"/>
      <c r="ET49" s="1311"/>
      <c r="EU49" s="1316"/>
      <c r="EV49" s="1226" t="str">
        <f t="shared" ref="EV49" si="167">IF(ISBLANK(BL$3),"",1)</f>
        <v/>
      </c>
    </row>
    <row r="50" spans="1:152" ht="15" customHeight="1">
      <c r="A50" s="1887"/>
      <c r="B50" s="1888"/>
      <c r="C50" s="1888"/>
      <c r="D50" s="1888"/>
      <c r="E50" s="1888"/>
      <c r="F50" s="1888"/>
      <c r="G50" s="1888"/>
      <c r="H50" s="1888"/>
      <c r="I50" s="1888"/>
      <c r="J50" s="1888"/>
      <c r="K50" s="1888"/>
      <c r="L50" s="1888"/>
      <c r="M50" s="1888"/>
      <c r="N50" s="1888"/>
      <c r="O50" s="1888"/>
      <c r="P50" s="1888"/>
      <c r="Q50" s="1888"/>
      <c r="R50" s="1888"/>
      <c r="S50" s="1888"/>
      <c r="T50" s="1888"/>
      <c r="U50" s="1888"/>
      <c r="V50" s="1888"/>
      <c r="W50" s="1889"/>
      <c r="X50" s="332"/>
      <c r="Y50" s="332"/>
      <c r="Z50" s="332"/>
      <c r="AA50" s="332"/>
      <c r="AB50" s="332"/>
      <c r="AC50" s="332"/>
      <c r="AD50" s="332"/>
      <c r="AE50" s="332"/>
      <c r="AF50" s="332"/>
      <c r="AO50" s="1308"/>
      <c r="AP50" s="1200"/>
      <c r="AQ50" s="1164"/>
      <c r="AR50" s="1164"/>
      <c r="AS50" s="1164"/>
      <c r="AT50" s="1164"/>
      <c r="AU50" s="1201"/>
      <c r="AV50" s="1342"/>
      <c r="AX50" s="242"/>
      <c r="BB50" s="274">
        <v>4.3</v>
      </c>
      <c r="BC50" s="240">
        <f>COUNTIF($AW$10:$AW$48,BB50)</f>
        <v>4</v>
      </c>
      <c r="BD50" s="240" t="str">
        <f>IF($BD$3=1,SUMIF($AW$10:$AW$48,BB50,$BD$9:$BD$48),"")</f>
        <v/>
      </c>
      <c r="BE50" s="1308"/>
      <c r="BF50" s="1200"/>
      <c r="BG50" s="1164"/>
      <c r="BH50" s="1164"/>
      <c r="BI50" s="1164"/>
      <c r="BJ50" s="1164"/>
      <c r="BK50" s="1201"/>
      <c r="BL50" s="1342"/>
      <c r="BM50" s="1308"/>
      <c r="BN50" s="1200"/>
      <c r="BO50" s="1164"/>
      <c r="BP50" s="1164"/>
      <c r="BQ50" s="1164"/>
      <c r="BR50" s="1164"/>
      <c r="BS50" s="1201"/>
      <c r="BT50" s="1342"/>
      <c r="DA50" s="1308"/>
      <c r="DB50" s="1295"/>
      <c r="DC50" s="1296"/>
      <c r="DD50" s="1296"/>
      <c r="DE50" s="1296"/>
      <c r="DF50" s="1296"/>
      <c r="DG50" s="1318"/>
      <c r="DH50" s="1342"/>
      <c r="DI50" s="1308"/>
      <c r="DJ50" s="1295"/>
      <c r="DK50" s="1296"/>
      <c r="DL50" s="1296"/>
      <c r="DM50" s="1296"/>
      <c r="DN50" s="1296"/>
      <c r="DO50" s="1318"/>
      <c r="DP50" s="1342"/>
      <c r="DT50" s="242"/>
      <c r="DV50" s="274">
        <v>4.3</v>
      </c>
      <c r="DW50" s="240">
        <f>COUNTIF($DQ$10:$DQ$48,DV50)</f>
        <v>5</v>
      </c>
      <c r="DX50" s="240" t="str">
        <f>IF($AN$3=1,SUMIF($DQ$10:$DQ$48,DV50,$DX$10:$DX$48),"")</f>
        <v/>
      </c>
      <c r="ED50" s="274">
        <v>4.3</v>
      </c>
      <c r="EE50" s="240">
        <f>COUNTIF($DY$10:$DY$48,ED50)</f>
        <v>6</v>
      </c>
      <c r="EF50" s="240" t="str">
        <f>IF($AR$3=1,SUMIF($DY$10:$DY$48,ED50,$EF$10:$EF$48),"")</f>
        <v/>
      </c>
      <c r="EO50" s="1308"/>
      <c r="EP50" s="1295"/>
      <c r="EQ50" s="1296"/>
      <c r="ER50" s="1296"/>
      <c r="ES50" s="1296"/>
      <c r="ET50" s="1296"/>
      <c r="EU50" s="1318"/>
      <c r="EV50" s="1342"/>
    </row>
    <row r="51" spans="1:152" ht="15" customHeight="1">
      <c r="A51" s="1887"/>
      <c r="B51" s="1888"/>
      <c r="C51" s="1888"/>
      <c r="D51" s="1888"/>
      <c r="E51" s="1888"/>
      <c r="F51" s="1888"/>
      <c r="G51" s="1888"/>
      <c r="H51" s="1888"/>
      <c r="I51" s="1888"/>
      <c r="J51" s="1888"/>
      <c r="K51" s="1888"/>
      <c r="L51" s="1888"/>
      <c r="M51" s="1888"/>
      <c r="N51" s="1888"/>
      <c r="O51" s="1888"/>
      <c r="P51" s="1888"/>
      <c r="Q51" s="1888"/>
      <c r="R51" s="1888"/>
      <c r="S51" s="1888"/>
      <c r="T51" s="1888"/>
      <c r="U51" s="1888"/>
      <c r="V51" s="1888"/>
      <c r="W51" s="1889"/>
      <c r="X51" s="332"/>
      <c r="Y51" s="332"/>
      <c r="Z51" s="332"/>
      <c r="AA51" s="332"/>
      <c r="AB51" s="332"/>
      <c r="AC51" s="332"/>
      <c r="AD51" s="332"/>
      <c r="AE51" s="332"/>
      <c r="AF51" s="332"/>
      <c r="AO51" s="1309"/>
      <c r="AP51" s="1202"/>
      <c r="AQ51" s="1203"/>
      <c r="AR51" s="1203"/>
      <c r="AS51" s="1203"/>
      <c r="AT51" s="1203"/>
      <c r="AU51" s="1204"/>
      <c r="AV51" s="1342"/>
      <c r="AX51" s="242"/>
      <c r="BB51" s="274">
        <v>4.4000000000000004</v>
      </c>
      <c r="BC51" s="240">
        <f>COUNTIF($AW$10:$AW$48,BB51)</f>
        <v>8</v>
      </c>
      <c r="BD51" s="240" t="str">
        <f>IF($BD$3=1,SUMIF($AW$10:$AW$48,BB51,$BD$9:$BD$48),"")</f>
        <v/>
      </c>
      <c r="BE51" s="1309"/>
      <c r="BF51" s="1202"/>
      <c r="BG51" s="1203"/>
      <c r="BH51" s="1203"/>
      <c r="BI51" s="1203"/>
      <c r="BJ51" s="1203"/>
      <c r="BK51" s="1204"/>
      <c r="BL51" s="1342"/>
      <c r="BM51" s="1309"/>
      <c r="BN51" s="1202"/>
      <c r="BO51" s="1203"/>
      <c r="BP51" s="1203"/>
      <c r="BQ51" s="1203"/>
      <c r="BR51" s="1203"/>
      <c r="BS51" s="1204"/>
      <c r="BT51" s="1342"/>
      <c r="DA51" s="1309"/>
      <c r="DB51" s="1298"/>
      <c r="DC51" s="1299"/>
      <c r="DD51" s="1299"/>
      <c r="DE51" s="1299"/>
      <c r="DF51" s="1299"/>
      <c r="DG51" s="1335"/>
      <c r="DH51" s="1342"/>
      <c r="DI51" s="1309"/>
      <c r="DJ51" s="1298"/>
      <c r="DK51" s="1299"/>
      <c r="DL51" s="1299"/>
      <c r="DM51" s="1299"/>
      <c r="DN51" s="1299"/>
      <c r="DO51" s="1335"/>
      <c r="DP51" s="1342"/>
      <c r="DT51" s="242"/>
      <c r="DV51" s="274">
        <v>4.4000000000000004</v>
      </c>
      <c r="DW51" s="240">
        <f>COUNTIF($DQ$10:$DQ$48,DV51)</f>
        <v>7</v>
      </c>
      <c r="DX51" s="240" t="str">
        <f>IF($AN$3=1,SUMIF($DQ$10:$DQ$48,DV51,$DX$10:$DX$48),"")</f>
        <v/>
      </c>
      <c r="ED51" s="274">
        <v>4.4000000000000004</v>
      </c>
      <c r="EE51" s="240">
        <f>COUNTIF($DY$10:$DY$48,ED51)</f>
        <v>6</v>
      </c>
      <c r="EF51" s="240" t="str">
        <f>IF($AR$3=1,SUMIF($DY$10:$DY$48,ED51,$EF$10:$EF$48),"")</f>
        <v/>
      </c>
      <c r="EO51" s="1309"/>
      <c r="EP51" s="1298"/>
      <c r="EQ51" s="1299"/>
      <c r="ER51" s="1299"/>
      <c r="ES51" s="1299"/>
      <c r="ET51" s="1299"/>
      <c r="EU51" s="1335"/>
      <c r="EV51" s="1342"/>
    </row>
    <row r="52" spans="1:152" ht="15" customHeight="1">
      <c r="A52" s="1887"/>
      <c r="B52" s="1888"/>
      <c r="C52" s="1888"/>
      <c r="D52" s="1888"/>
      <c r="E52" s="1888"/>
      <c r="F52" s="1888"/>
      <c r="G52" s="1888"/>
      <c r="H52" s="1888"/>
      <c r="I52" s="1888"/>
      <c r="J52" s="1888"/>
      <c r="K52" s="1888"/>
      <c r="L52" s="1888"/>
      <c r="M52" s="1888"/>
      <c r="N52" s="1888"/>
      <c r="O52" s="1888"/>
      <c r="P52" s="1888"/>
      <c r="Q52" s="1888"/>
      <c r="R52" s="1888"/>
      <c r="S52" s="1888"/>
      <c r="T52" s="1888"/>
      <c r="U52" s="1888"/>
      <c r="V52" s="1888"/>
      <c r="W52" s="1889"/>
      <c r="X52" s="332"/>
      <c r="Y52" s="332"/>
      <c r="Z52" s="332"/>
      <c r="AA52" s="332"/>
      <c r="AB52" s="332"/>
      <c r="AC52" s="332"/>
      <c r="AD52" s="332"/>
      <c r="AE52" s="332"/>
      <c r="AF52" s="332"/>
      <c r="AR52" s="247"/>
      <c r="AT52" s="273">
        <v>1.5</v>
      </c>
      <c r="AU52" s="240">
        <f>COUNTIF($AO$10:$AO$49,AT52)</f>
        <v>1</v>
      </c>
      <c r="AV52" s="240" t="str">
        <f>IF($AB$3=1,SUMIF($AO$10:$AO$49,AT52,$AV$10:$AV$49),"")</f>
        <v/>
      </c>
      <c r="AX52" s="242"/>
      <c r="BG52" s="242"/>
      <c r="BJ52" s="273">
        <v>1.5</v>
      </c>
      <c r="BK52" s="240">
        <f>COUNTIF($BE$10:$BE$49,BJ52)</f>
        <v>1</v>
      </c>
      <c r="BL52" s="240" t="str">
        <f>IF($BH$3=1,SUMIF($BE$10:$BE$49,BJ52,$BL$9:$BL$49),"")</f>
        <v/>
      </c>
      <c r="BP52" s="242"/>
      <c r="BR52" s="273">
        <v>1.5</v>
      </c>
      <c r="BS52" s="240">
        <f>COUNTIF($BM$10:$BM$49,BR52)</f>
        <v>1</v>
      </c>
      <c r="BT52" s="240" t="str">
        <f>IF($BL$3=1,SUMIF($BM$10:$BM$49,BR52,$BT$9:$BT$49),"")</f>
        <v/>
      </c>
      <c r="DA52" s="247"/>
      <c r="DF52" s="273">
        <v>1.5</v>
      </c>
      <c r="DG52" s="240">
        <f>COUNTIF($DA$10:$DA$49,DF52)</f>
        <v>1</v>
      </c>
      <c r="DH52" s="240" t="str">
        <f>IF($AF$3=1,SUMIF($DA$10:$DA$49,DF52,$DH$10:$DH$49),"")</f>
        <v/>
      </c>
      <c r="DI52" s="247"/>
      <c r="DJ52" s="247"/>
      <c r="DN52" s="273">
        <v>1.5</v>
      </c>
      <c r="DO52" s="240">
        <f>COUNTIF($DI$10:$DI$49,DN52)</f>
        <v>1</v>
      </c>
      <c r="DP52" s="240" t="str">
        <f>IF($AJ$3=1,SUMIF($DI$10:$DI$49,DN52,$DP$10:$DP$49),"")</f>
        <v/>
      </c>
      <c r="DT52" s="242"/>
      <c r="EO52" s="1307">
        <v>1.5</v>
      </c>
      <c r="EP52" s="1198" t="s">
        <v>373</v>
      </c>
      <c r="EQ52" s="1162"/>
      <c r="ER52" s="1162"/>
      <c r="ES52" s="1162"/>
      <c r="ET52" s="1162"/>
      <c r="EU52" s="1199"/>
      <c r="EV52" s="1226" t="str">
        <f t="shared" ref="EV52" si="168">IF(ISBLANK(BL$3),"",1)</f>
        <v/>
      </c>
    </row>
    <row r="53" spans="1:152" ht="15" customHeight="1">
      <c r="A53" s="1887"/>
      <c r="B53" s="1888"/>
      <c r="C53" s="1888"/>
      <c r="D53" s="1888"/>
      <c r="E53" s="1888"/>
      <c r="F53" s="1888"/>
      <c r="G53" s="1888"/>
      <c r="H53" s="1888"/>
      <c r="I53" s="1888"/>
      <c r="J53" s="1888"/>
      <c r="K53" s="1888"/>
      <c r="L53" s="1888"/>
      <c r="M53" s="1888"/>
      <c r="N53" s="1888"/>
      <c r="O53" s="1888"/>
      <c r="P53" s="1888"/>
      <c r="Q53" s="1888"/>
      <c r="R53" s="1888"/>
      <c r="S53" s="1888"/>
      <c r="T53" s="1888"/>
      <c r="U53" s="1888"/>
      <c r="V53" s="1888"/>
      <c r="W53" s="1889"/>
      <c r="X53" s="332"/>
      <c r="Y53" s="332"/>
      <c r="Z53" s="332"/>
      <c r="AA53" s="332"/>
      <c r="AB53" s="332"/>
      <c r="AC53" s="332"/>
      <c r="AD53" s="332"/>
      <c r="AE53" s="332"/>
      <c r="AF53" s="332"/>
      <c r="AR53" s="248"/>
      <c r="AT53" s="274">
        <v>4.3</v>
      </c>
      <c r="AU53" s="240">
        <f>COUNTIF($AO$10:$AO$49,AT53)</f>
        <v>6</v>
      </c>
      <c r="AV53" s="240" t="str">
        <f>IF($AB$3=1,SUMIF($AO$10:$AO$49,AT53,$AV$10:$AV$49),"")</f>
        <v/>
      </c>
      <c r="AX53" s="242"/>
      <c r="BG53" s="242"/>
      <c r="BJ53" s="274">
        <v>4.3</v>
      </c>
      <c r="BK53" s="240">
        <f>COUNTIF($BE$10:$BE$49,BJ53)</f>
        <v>6</v>
      </c>
      <c r="BL53" s="240" t="str">
        <f>IF($BH$3=1,SUMIF($BE$10:$BE$49,BJ53,$BL$9:$BL$49),"")</f>
        <v/>
      </c>
      <c r="BP53" s="242"/>
      <c r="BR53" s="274">
        <v>4.3</v>
      </c>
      <c r="BS53" s="240">
        <f>COUNTIF($BM$10:$BM$49,BR53)</f>
        <v>6</v>
      </c>
      <c r="BT53" s="240" t="str">
        <f>IF($BL$3=1,SUMIF($BM$10:$BM$49,BR53,$BT$9:$BT$49),"")</f>
        <v/>
      </c>
      <c r="DA53" s="248"/>
      <c r="DF53" s="274">
        <v>4.3</v>
      </c>
      <c r="DG53" s="240">
        <f>COUNTIF($DA$10:$DA$49,DF53)</f>
        <v>4</v>
      </c>
      <c r="DH53" s="240" t="str">
        <f>IF($AF$3=1,SUMIF($DA$10:$DA$49,DF53,$DH$10:$DH$49),"")</f>
        <v/>
      </c>
      <c r="DI53" s="248"/>
      <c r="DJ53" s="248"/>
      <c r="DN53" s="274">
        <v>4.3</v>
      </c>
      <c r="DO53" s="240">
        <f>COUNTIF($DI$10:$DI$49,DN53)</f>
        <v>5</v>
      </c>
      <c r="DP53" s="240" t="str">
        <f>IF($AJ$3=1,SUMIF($DI$10:$DI$49,DN53,$DP$10:$DP$49),"")</f>
        <v/>
      </c>
      <c r="DT53" s="242"/>
      <c r="EO53" s="1308"/>
      <c r="EP53" s="1200"/>
      <c r="EQ53" s="1164"/>
      <c r="ER53" s="1164"/>
      <c r="ES53" s="1164"/>
      <c r="ET53" s="1164"/>
      <c r="EU53" s="1201"/>
      <c r="EV53" s="1342"/>
    </row>
    <row r="54" spans="1:152" ht="15" customHeight="1">
      <c r="A54" s="1887"/>
      <c r="B54" s="1888"/>
      <c r="C54" s="1888"/>
      <c r="D54" s="1888"/>
      <c r="E54" s="1888"/>
      <c r="F54" s="1888"/>
      <c r="G54" s="1888"/>
      <c r="H54" s="1888"/>
      <c r="I54" s="1888"/>
      <c r="J54" s="1888"/>
      <c r="K54" s="1888"/>
      <c r="L54" s="1888"/>
      <c r="M54" s="1888"/>
      <c r="N54" s="1888"/>
      <c r="O54" s="1888"/>
      <c r="P54" s="1888"/>
      <c r="Q54" s="1888"/>
      <c r="R54" s="1888"/>
      <c r="S54" s="1888"/>
      <c r="T54" s="1888"/>
      <c r="U54" s="1888"/>
      <c r="V54" s="1888"/>
      <c r="W54" s="1889"/>
      <c r="X54" s="332"/>
      <c r="Y54" s="332"/>
      <c r="Z54" s="332"/>
      <c r="AA54" s="332"/>
      <c r="AB54" s="332"/>
      <c r="AC54" s="332"/>
      <c r="AD54" s="332"/>
      <c r="AE54" s="332"/>
      <c r="AF54" s="332"/>
      <c r="AR54" s="248"/>
      <c r="AT54" s="274">
        <v>4.4000000000000004</v>
      </c>
      <c r="AU54" s="240">
        <f>COUNTIF($AO$10:$AO$49,AT54)</f>
        <v>7</v>
      </c>
      <c r="AV54" s="240" t="str">
        <f>IF($AB$3=1,SUMIF($AO$10:$AO$49,AT54,$AV$10:$AV$49),"")</f>
        <v/>
      </c>
      <c r="AX54" s="242"/>
      <c r="BG54" s="242"/>
      <c r="BJ54" s="274">
        <v>4.4000000000000004</v>
      </c>
      <c r="BK54" s="240">
        <f>COUNTIF($BE$10:$BE$49,BJ54)</f>
        <v>7</v>
      </c>
      <c r="BL54" s="240" t="str">
        <f>IF($BH$3=1,SUMIF($BE$10:$BE$49,BJ54,$BL$9:$BL$49),"")</f>
        <v/>
      </c>
      <c r="BP54" s="242"/>
      <c r="BR54" s="274">
        <v>4.4000000000000004</v>
      </c>
      <c r="BS54" s="240">
        <f>COUNTIF($BM$10:$BM$49,BR54)</f>
        <v>7</v>
      </c>
      <c r="BT54" s="240" t="str">
        <f>IF($BL$3=1,SUMIF($BM$10:$BM$49,BR54,$BT$9:$BT$49),"")</f>
        <v/>
      </c>
      <c r="DA54" s="248"/>
      <c r="DF54" s="274">
        <v>4.4000000000000004</v>
      </c>
      <c r="DG54" s="240">
        <f>COUNTIF($DA$10:$DA$49,DF54)</f>
        <v>9</v>
      </c>
      <c r="DH54" s="240" t="str">
        <f>IF($AF$3=1,SUMIF($DA$10:$DA$49,DF54,$DH$10:$DH$49),"")</f>
        <v/>
      </c>
      <c r="DI54" s="248"/>
      <c r="DJ54" s="248"/>
      <c r="DN54" s="274">
        <v>4.4000000000000004</v>
      </c>
      <c r="DO54" s="240">
        <f>COUNTIF($DI$10:$DI$49,DN54)</f>
        <v>8</v>
      </c>
      <c r="DP54" s="240" t="str">
        <f>IF($AJ$3=1,SUMIF($DI$10:$DI$49,DN54,$DP$10:$DP$49),"")</f>
        <v/>
      </c>
      <c r="DT54" s="242"/>
      <c r="EO54" s="1309"/>
      <c r="EP54" s="1202"/>
      <c r="EQ54" s="1203"/>
      <c r="ER54" s="1203"/>
      <c r="ES54" s="1203"/>
      <c r="ET54" s="1203"/>
      <c r="EU54" s="1204"/>
      <c r="EV54" s="1342"/>
    </row>
    <row r="55" spans="1:152" ht="15" customHeight="1">
      <c r="A55" s="1890"/>
      <c r="B55" s="1891"/>
      <c r="C55" s="1891"/>
      <c r="D55" s="1891"/>
      <c r="E55" s="1891"/>
      <c r="F55" s="1891"/>
      <c r="G55" s="1891"/>
      <c r="H55" s="1891"/>
      <c r="I55" s="1891"/>
      <c r="J55" s="1891"/>
      <c r="K55" s="1891"/>
      <c r="L55" s="1891"/>
      <c r="M55" s="1891"/>
      <c r="N55" s="1891"/>
      <c r="O55" s="1891"/>
      <c r="P55" s="1891"/>
      <c r="Q55" s="1891"/>
      <c r="R55" s="1891"/>
      <c r="S55" s="1891"/>
      <c r="T55" s="1891"/>
      <c r="U55" s="1891"/>
      <c r="V55" s="1891"/>
      <c r="W55" s="1892"/>
      <c r="X55" s="332"/>
      <c r="Y55" s="332"/>
      <c r="Z55" s="332"/>
      <c r="AA55" s="332"/>
      <c r="AB55" s="332"/>
      <c r="AC55" s="332"/>
      <c r="AD55" s="332"/>
      <c r="AE55" s="332"/>
      <c r="AF55" s="332"/>
      <c r="AR55" s="248"/>
      <c r="AX55" s="242"/>
      <c r="BG55" s="242"/>
      <c r="BP55" s="242"/>
      <c r="DA55" s="248"/>
      <c r="DI55" s="248"/>
      <c r="DJ55" s="248"/>
      <c r="EO55" s="1196">
        <v>4.4000000000000004</v>
      </c>
      <c r="EP55" s="1198" t="s">
        <v>397</v>
      </c>
      <c r="EQ55" s="1162"/>
      <c r="ER55" s="1162"/>
      <c r="ES55" s="1162"/>
      <c r="ET55" s="1162"/>
      <c r="EU55" s="1199"/>
      <c r="EV55" s="1226" t="str">
        <f t="shared" ref="EV55" si="169">IF(ISBLANK(BL$3),"",1)</f>
        <v/>
      </c>
    </row>
    <row r="56" spans="1:152" ht="15" customHeight="1">
      <c r="A56" s="332"/>
      <c r="B56" s="332"/>
      <c r="C56" s="332"/>
      <c r="D56" s="332"/>
      <c r="E56" s="332"/>
      <c r="F56" s="332"/>
      <c r="G56" s="332"/>
      <c r="H56" s="332"/>
      <c r="I56" s="332"/>
      <c r="J56" s="332"/>
      <c r="K56" s="332"/>
      <c r="L56" s="332"/>
      <c r="M56" s="332"/>
      <c r="N56" s="332"/>
      <c r="O56" s="332"/>
      <c r="P56" s="332"/>
      <c r="Q56" s="332"/>
      <c r="R56" s="332"/>
      <c r="S56" s="332"/>
      <c r="T56" s="332"/>
      <c r="U56" s="332"/>
      <c r="V56" s="332"/>
      <c r="W56" s="332"/>
      <c r="X56" s="332"/>
      <c r="Y56" s="332"/>
      <c r="Z56" s="332"/>
      <c r="AA56" s="332"/>
      <c r="AB56" s="332"/>
      <c r="AC56" s="332"/>
      <c r="AD56" s="332"/>
      <c r="AE56" s="332"/>
      <c r="AF56" s="332"/>
      <c r="AR56" s="248"/>
      <c r="AX56" s="242"/>
      <c r="BG56" s="242"/>
      <c r="BP56" s="242"/>
      <c r="DA56" s="248"/>
      <c r="DI56" s="248"/>
      <c r="DJ56" s="248"/>
      <c r="EO56" s="1197"/>
      <c r="EP56" s="1200"/>
      <c r="EQ56" s="1164"/>
      <c r="ER56" s="1164"/>
      <c r="ES56" s="1164"/>
      <c r="ET56" s="1164"/>
      <c r="EU56" s="1201"/>
      <c r="EV56" s="1342"/>
    </row>
    <row r="57" spans="1:152" ht="15" customHeight="1">
      <c r="A57" s="332"/>
      <c r="B57" s="332"/>
      <c r="C57" s="332"/>
      <c r="D57" s="332"/>
      <c r="E57" s="332"/>
      <c r="F57" s="332"/>
      <c r="G57" s="332"/>
      <c r="H57" s="332"/>
      <c r="I57" s="332"/>
      <c r="J57" s="332"/>
      <c r="K57" s="332"/>
      <c r="L57" s="332"/>
      <c r="M57" s="332"/>
      <c r="N57" s="332"/>
      <c r="O57" s="332"/>
      <c r="P57" s="332"/>
      <c r="Q57" s="332"/>
      <c r="R57" s="332"/>
      <c r="S57" s="332"/>
      <c r="T57" s="332"/>
      <c r="U57" s="332"/>
      <c r="V57" s="332"/>
      <c r="W57" s="332"/>
      <c r="X57" s="332"/>
      <c r="Y57" s="332"/>
      <c r="Z57" s="332"/>
      <c r="AA57" s="332"/>
      <c r="AB57" s="332"/>
      <c r="AC57" s="332"/>
      <c r="AD57" s="332"/>
      <c r="AE57" s="332"/>
      <c r="AF57" s="332"/>
      <c r="AO57" s="52"/>
      <c r="AX57" s="242"/>
      <c r="BG57" s="242"/>
      <c r="BP57" s="242"/>
      <c r="EO57" s="1197"/>
      <c r="EP57" s="1202"/>
      <c r="EQ57" s="1203"/>
      <c r="ER57" s="1203"/>
      <c r="ES57" s="1203"/>
      <c r="ET57" s="1203"/>
      <c r="EU57" s="1204"/>
      <c r="EV57" s="1342"/>
    </row>
    <row r="58" spans="1:152" ht="15" customHeight="1">
      <c r="A58" s="332"/>
      <c r="B58" s="332"/>
      <c r="C58" s="332"/>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332"/>
      <c r="AC58" s="332"/>
      <c r="AD58" s="332"/>
      <c r="AE58" s="332"/>
      <c r="AF58" s="332"/>
      <c r="AO58" s="52"/>
      <c r="AX58" s="242"/>
      <c r="BG58" s="242"/>
      <c r="BP58" s="242"/>
      <c r="EO58" s="242"/>
      <c r="ET58" s="273">
        <v>1.5</v>
      </c>
      <c r="EU58" s="240">
        <f>COUNTIF($EO$10:$EO$57,ET58)</f>
        <v>1</v>
      </c>
      <c r="EV58" s="240" t="str">
        <f>IF($AZ$3=1,SUMIF($EO$10:$EO$57,ET58,$EV$10:$EV$57),"")</f>
        <v/>
      </c>
    </row>
    <row r="59" spans="1:152" ht="15" customHeight="1">
      <c r="A59" s="332"/>
      <c r="B59" s="332"/>
      <c r="C59" s="332"/>
      <c r="D59" s="332"/>
      <c r="E59" s="332"/>
      <c r="F59" s="332"/>
      <c r="G59" s="332"/>
      <c r="H59" s="332"/>
      <c r="I59" s="332"/>
      <c r="J59" s="332"/>
      <c r="K59" s="332"/>
      <c r="L59" s="332"/>
      <c r="M59" s="332"/>
      <c r="N59" s="332"/>
      <c r="O59" s="332"/>
      <c r="P59" s="332"/>
      <c r="Q59" s="332"/>
      <c r="R59" s="332"/>
      <c r="S59" s="332"/>
      <c r="T59" s="332"/>
      <c r="U59" s="332"/>
      <c r="V59" s="332"/>
      <c r="W59" s="332"/>
      <c r="X59" s="332"/>
      <c r="Y59" s="332"/>
      <c r="Z59" s="332"/>
      <c r="AA59" s="332"/>
      <c r="AB59" s="332"/>
      <c r="AC59" s="332"/>
      <c r="AD59" s="332"/>
      <c r="AE59" s="332"/>
      <c r="AF59" s="332"/>
      <c r="AO59" s="52"/>
      <c r="BG59" s="242"/>
      <c r="BP59" s="242"/>
      <c r="BZ59" s="606"/>
      <c r="CA59" s="606"/>
      <c r="CB59" s="606"/>
      <c r="EO59" s="242"/>
      <c r="ET59" s="274">
        <v>4.3</v>
      </c>
      <c r="EU59" s="240">
        <f>COUNTIF($EO$10:$EO$57,ET59)</f>
        <v>6</v>
      </c>
      <c r="EV59" s="240" t="str">
        <f>IF($AZ$3=1,SUMIF($EO$10:$EO$57,ET59,$EV$10:$EV$57),"")</f>
        <v/>
      </c>
    </row>
    <row r="60" spans="1:152" ht="15" customHeight="1">
      <c r="A60" s="332"/>
      <c r="B60" s="332"/>
      <c r="C60" s="332"/>
      <c r="D60" s="332"/>
      <c r="E60" s="332"/>
      <c r="F60" s="332"/>
      <c r="G60" s="332"/>
      <c r="H60" s="332"/>
      <c r="I60" s="332"/>
      <c r="J60" s="332"/>
      <c r="K60" s="332"/>
      <c r="L60" s="332"/>
      <c r="M60" s="332"/>
      <c r="N60" s="332"/>
      <c r="O60" s="332"/>
      <c r="P60" s="332"/>
      <c r="Q60" s="332"/>
      <c r="R60" s="332"/>
      <c r="S60" s="332"/>
      <c r="T60" s="332"/>
      <c r="U60" s="332"/>
      <c r="V60" s="332"/>
      <c r="W60" s="332"/>
      <c r="X60" s="332"/>
      <c r="Y60" s="332"/>
      <c r="Z60" s="332"/>
      <c r="AA60" s="332"/>
      <c r="AB60" s="332"/>
      <c r="AC60" s="332"/>
      <c r="AD60" s="332"/>
      <c r="AE60" s="332"/>
      <c r="AF60" s="332"/>
      <c r="AL60" s="332"/>
      <c r="AM60" s="332"/>
      <c r="AN60" s="332"/>
      <c r="AO60" s="52"/>
      <c r="BG60" s="242"/>
      <c r="BP60" s="242"/>
      <c r="BZ60" s="606"/>
      <c r="CA60" s="606"/>
      <c r="CB60" s="606"/>
      <c r="CH60" s="606"/>
      <c r="CI60" s="606"/>
      <c r="CJ60" s="606"/>
      <c r="EO60" s="242"/>
      <c r="ET60" s="274">
        <v>4.4000000000000004</v>
      </c>
      <c r="EU60" s="240">
        <f>COUNTIF($EO$10:$EO$57,ET60)</f>
        <v>9</v>
      </c>
      <c r="EV60" s="240" t="str">
        <f>IF($AZ$3=1,SUMIF($EO$10:$EO$57,ET60,$EV$10:$EV$57),"")</f>
        <v/>
      </c>
    </row>
    <row r="61" spans="1:152" ht="15" customHeight="1">
      <c r="A61" s="332"/>
      <c r="B61" s="332"/>
      <c r="C61" s="332"/>
      <c r="D61" s="332"/>
      <c r="E61" s="332"/>
      <c r="F61" s="332"/>
      <c r="G61" s="332"/>
      <c r="H61" s="332"/>
      <c r="I61" s="332"/>
      <c r="J61" s="332"/>
      <c r="K61" s="332"/>
      <c r="L61" s="332"/>
      <c r="M61" s="332"/>
      <c r="N61" s="332"/>
      <c r="O61" s="332"/>
      <c r="P61" s="332"/>
      <c r="Q61" s="332"/>
      <c r="R61" s="332"/>
      <c r="S61" s="332"/>
      <c r="T61" s="332"/>
      <c r="U61" s="332"/>
      <c r="V61" s="332"/>
      <c r="W61" s="332"/>
      <c r="X61" s="332"/>
      <c r="Y61" s="332"/>
      <c r="Z61" s="332"/>
      <c r="AA61" s="332"/>
      <c r="AB61" s="332"/>
      <c r="AC61" s="332"/>
      <c r="AD61" s="332"/>
      <c r="AE61" s="332"/>
      <c r="AF61" s="332"/>
      <c r="AG61" s="332"/>
      <c r="AH61" s="332"/>
      <c r="AI61" s="332"/>
      <c r="AJ61" s="332"/>
      <c r="AK61" s="332"/>
      <c r="AL61" s="332"/>
      <c r="AM61" s="332"/>
      <c r="AN61" s="332"/>
      <c r="AO61" s="52"/>
      <c r="AT61" s="332"/>
      <c r="AU61" s="332"/>
      <c r="AV61" s="332"/>
      <c r="AW61" s="332"/>
      <c r="AX61" s="332"/>
      <c r="AY61" s="332"/>
      <c r="AZ61" s="332"/>
      <c r="BA61" s="332"/>
      <c r="BB61" s="332"/>
      <c r="BC61" s="332"/>
      <c r="BD61" s="332"/>
      <c r="BJ61" s="332"/>
      <c r="BK61" s="332"/>
      <c r="BL61" s="332"/>
      <c r="BS61" s="606"/>
      <c r="BT61" s="606"/>
      <c r="BU61" s="606"/>
      <c r="BV61" s="606"/>
      <c r="BW61" s="606"/>
      <c r="BX61" s="606"/>
      <c r="BY61" s="606"/>
      <c r="BZ61" s="606"/>
      <c r="CA61" s="606"/>
      <c r="CB61" s="606"/>
      <c r="CC61" s="606"/>
      <c r="CD61" s="606"/>
      <c r="CE61" s="606"/>
      <c r="CF61" s="606"/>
      <c r="CG61" s="606"/>
      <c r="CH61" s="606"/>
      <c r="CI61" s="606"/>
      <c r="CJ61" s="606"/>
      <c r="CK61" s="606"/>
      <c r="CL61" s="606"/>
      <c r="CM61" s="606"/>
      <c r="CN61" s="606"/>
      <c r="EP61" s="242"/>
    </row>
    <row r="62" spans="1:152" ht="15" customHeight="1">
      <c r="A62" s="332"/>
      <c r="B62" s="332"/>
      <c r="C62" s="332"/>
      <c r="D62" s="332"/>
      <c r="E62" s="332"/>
      <c r="F62" s="332"/>
      <c r="G62" s="332"/>
      <c r="H62" s="332"/>
      <c r="I62" s="332"/>
      <c r="J62" s="332"/>
      <c r="K62" s="332"/>
      <c r="L62" s="332"/>
      <c r="M62" s="332"/>
      <c r="N62" s="332"/>
      <c r="O62" s="332"/>
      <c r="P62" s="332"/>
      <c r="Q62" s="332"/>
      <c r="R62" s="332"/>
      <c r="S62" s="332"/>
      <c r="T62" s="332"/>
      <c r="U62" s="332"/>
      <c r="V62" s="332"/>
      <c r="W62" s="332"/>
      <c r="X62" s="332"/>
      <c r="Y62" s="332"/>
      <c r="Z62" s="332"/>
      <c r="AA62" s="332"/>
      <c r="AB62" s="332"/>
      <c r="AC62" s="332"/>
      <c r="AD62" s="332"/>
      <c r="AE62" s="332"/>
      <c r="AF62" s="332"/>
      <c r="AG62" s="332"/>
      <c r="AH62" s="332"/>
      <c r="AI62" s="332"/>
      <c r="AJ62" s="332"/>
      <c r="AK62" s="332"/>
      <c r="AL62" s="332"/>
      <c r="AM62" s="332"/>
      <c r="AN62" s="332"/>
      <c r="AO62" s="52"/>
      <c r="AT62" s="332"/>
      <c r="AU62" s="332"/>
      <c r="AV62" s="332"/>
      <c r="AW62" s="332"/>
      <c r="AX62" s="332"/>
      <c r="AY62" s="332"/>
      <c r="AZ62" s="332"/>
      <c r="BA62" s="332"/>
      <c r="BB62" s="332"/>
      <c r="BC62" s="332"/>
      <c r="BD62" s="332"/>
      <c r="BJ62" s="332"/>
      <c r="BK62" s="332"/>
      <c r="BL62" s="332"/>
      <c r="BS62" s="606"/>
      <c r="BT62" s="606"/>
      <c r="BU62" s="606"/>
      <c r="BV62" s="606"/>
      <c r="BW62" s="606"/>
      <c r="BX62" s="606"/>
      <c r="BY62" s="606"/>
      <c r="BZ62" s="606"/>
      <c r="CA62" s="606"/>
      <c r="CB62" s="606"/>
      <c r="CC62" s="606"/>
      <c r="CD62" s="606"/>
      <c r="CE62" s="606"/>
      <c r="CF62" s="606"/>
      <c r="CG62" s="606"/>
      <c r="CH62" s="606"/>
      <c r="CI62" s="606"/>
      <c r="CJ62" s="606"/>
      <c r="CK62" s="606"/>
      <c r="CL62" s="606"/>
      <c r="CM62" s="606"/>
      <c r="CN62" s="606"/>
      <c r="EP62" s="242"/>
    </row>
    <row r="63" spans="1:152" ht="15" customHeight="1">
      <c r="A63" s="332"/>
      <c r="B63" s="332"/>
      <c r="C63" s="332"/>
      <c r="D63" s="332"/>
      <c r="E63" s="332"/>
      <c r="F63" s="332"/>
      <c r="G63" s="332"/>
      <c r="H63" s="332"/>
      <c r="I63" s="332"/>
      <c r="J63" s="332"/>
      <c r="K63" s="332"/>
      <c r="L63" s="332"/>
      <c r="M63" s="332"/>
      <c r="N63" s="332"/>
      <c r="O63" s="332"/>
      <c r="P63" s="332"/>
      <c r="Q63" s="332"/>
      <c r="R63" s="332"/>
      <c r="S63" s="332"/>
      <c r="T63" s="332"/>
      <c r="U63" s="332"/>
      <c r="V63" s="332"/>
      <c r="W63" s="332"/>
      <c r="X63" s="332"/>
      <c r="Y63" s="332"/>
      <c r="Z63" s="332"/>
      <c r="AA63" s="332"/>
      <c r="AB63" s="332"/>
      <c r="AC63" s="332"/>
      <c r="AD63" s="332"/>
      <c r="AE63" s="332"/>
      <c r="AF63" s="332"/>
      <c r="AG63" s="332"/>
      <c r="AH63" s="332"/>
      <c r="AI63" s="332"/>
      <c r="AJ63" s="332"/>
      <c r="AK63" s="332"/>
      <c r="AL63" s="332"/>
      <c r="AM63" s="332"/>
      <c r="AN63" s="332"/>
      <c r="AO63" s="332"/>
      <c r="AP63" s="332"/>
      <c r="AQ63" s="332"/>
      <c r="AR63" s="332"/>
      <c r="AS63" s="332"/>
      <c r="AT63" s="332"/>
      <c r="AU63" s="332"/>
      <c r="AV63" s="332"/>
      <c r="AW63" s="332"/>
      <c r="AX63" s="332"/>
      <c r="AY63" s="332"/>
      <c r="AZ63" s="332"/>
      <c r="BA63" s="332"/>
      <c r="BB63" s="332"/>
      <c r="BC63" s="332"/>
      <c r="BD63" s="332"/>
      <c r="BE63" s="332"/>
      <c r="BF63" s="332"/>
      <c r="BG63" s="332"/>
      <c r="BH63" s="332"/>
      <c r="BI63" s="332"/>
      <c r="BJ63" s="332"/>
      <c r="BK63" s="332"/>
      <c r="BL63" s="332"/>
      <c r="BM63" s="332"/>
      <c r="BN63" s="332"/>
      <c r="BO63" s="332"/>
      <c r="BP63" s="332"/>
      <c r="BS63" s="606"/>
      <c r="BT63" s="606"/>
      <c r="BU63" s="606"/>
      <c r="BV63" s="606"/>
      <c r="BW63" s="606"/>
      <c r="BX63" s="606"/>
      <c r="BY63" s="606"/>
      <c r="BZ63" s="606"/>
      <c r="CA63" s="606"/>
      <c r="CB63" s="606"/>
      <c r="CC63" s="606"/>
      <c r="CD63" s="606"/>
      <c r="CE63" s="606"/>
      <c r="CF63" s="606"/>
      <c r="CG63" s="606"/>
      <c r="CH63" s="606"/>
      <c r="CI63" s="606"/>
      <c r="CJ63" s="606"/>
      <c r="CK63" s="606"/>
      <c r="CL63" s="606"/>
      <c r="CM63" s="606"/>
      <c r="CN63" s="606"/>
    </row>
    <row r="64" spans="1:152" ht="15" customHeight="1">
      <c r="A64" s="332"/>
      <c r="B64" s="332"/>
      <c r="C64" s="332"/>
      <c r="D64" s="332"/>
      <c r="E64" s="332"/>
      <c r="F64" s="332"/>
      <c r="G64" s="332"/>
      <c r="H64" s="332"/>
      <c r="I64" s="332"/>
      <c r="J64" s="332"/>
      <c r="K64" s="332"/>
      <c r="L64" s="332"/>
      <c r="M64" s="332"/>
      <c r="N64" s="332"/>
      <c r="O64" s="332"/>
      <c r="P64" s="332"/>
      <c r="Q64" s="332"/>
      <c r="R64" s="332"/>
      <c r="S64" s="332"/>
      <c r="T64" s="332"/>
      <c r="U64" s="332"/>
      <c r="V64" s="332"/>
      <c r="W64" s="332"/>
      <c r="X64" s="332"/>
      <c r="Y64" s="332"/>
      <c r="Z64" s="332"/>
      <c r="AA64" s="332"/>
      <c r="AB64" s="332"/>
      <c r="AC64" s="332"/>
      <c r="AD64" s="332"/>
      <c r="AE64" s="332"/>
      <c r="AF64" s="332"/>
      <c r="AG64" s="332"/>
      <c r="AH64" s="332"/>
      <c r="AI64" s="332"/>
      <c r="AJ64" s="332"/>
      <c r="AK64" s="332"/>
      <c r="AL64" s="332"/>
      <c r="AM64" s="332"/>
      <c r="AN64" s="332"/>
      <c r="AO64" s="332"/>
      <c r="AP64" s="332"/>
      <c r="AQ64" s="332"/>
      <c r="AR64" s="332"/>
      <c r="AS64" s="332"/>
      <c r="AT64" s="332"/>
      <c r="AU64" s="332"/>
      <c r="AV64" s="332"/>
      <c r="AW64" s="332"/>
      <c r="AX64" s="332"/>
      <c r="AY64" s="332"/>
      <c r="AZ64" s="332"/>
      <c r="BA64" s="332"/>
      <c r="BB64" s="332"/>
      <c r="BC64" s="332"/>
      <c r="BD64" s="332"/>
      <c r="BE64" s="332"/>
      <c r="BF64" s="332"/>
      <c r="BG64" s="332"/>
      <c r="BH64" s="332"/>
      <c r="BI64" s="332"/>
      <c r="BJ64" s="332"/>
      <c r="BK64" s="332"/>
      <c r="BL64" s="332"/>
      <c r="BM64" s="332"/>
      <c r="BN64" s="332"/>
      <c r="BO64" s="332"/>
      <c r="BP64" s="332"/>
      <c r="BS64" s="606"/>
      <c r="BT64" s="606"/>
      <c r="BU64" s="606"/>
      <c r="BV64" s="606"/>
      <c r="BW64" s="606"/>
      <c r="BX64" s="606"/>
      <c r="BY64" s="606"/>
      <c r="BZ64" s="606"/>
      <c r="CA64" s="606"/>
      <c r="CB64" s="606"/>
      <c r="CC64" s="606"/>
      <c r="CD64" s="606"/>
      <c r="CE64" s="606"/>
      <c r="CF64" s="606"/>
      <c r="CG64" s="606"/>
      <c r="CK64" s="606"/>
      <c r="CL64" s="606"/>
      <c r="CM64" s="606"/>
      <c r="CN64" s="606"/>
    </row>
    <row r="65" spans="1:82" ht="15" customHeight="1">
      <c r="A65" s="332"/>
      <c r="B65" s="332"/>
      <c r="C65" s="332"/>
      <c r="D65" s="332"/>
      <c r="E65" s="332"/>
      <c r="F65" s="332"/>
      <c r="G65" s="332"/>
      <c r="H65" s="332"/>
      <c r="I65" s="332"/>
      <c r="J65" s="332"/>
      <c r="K65" s="332"/>
      <c r="L65" s="332"/>
      <c r="M65" s="332"/>
      <c r="N65" s="332"/>
      <c r="O65" s="332"/>
      <c r="P65" s="332"/>
      <c r="Q65" s="332"/>
      <c r="R65" s="332"/>
      <c r="S65" s="332"/>
      <c r="T65" s="332"/>
      <c r="U65" s="332"/>
      <c r="V65" s="332"/>
      <c r="W65" s="332"/>
      <c r="X65" s="332"/>
      <c r="Y65" s="332"/>
      <c r="Z65" s="332"/>
      <c r="AA65" s="332"/>
      <c r="AB65" s="332"/>
      <c r="AC65" s="332"/>
      <c r="AD65" s="332"/>
      <c r="AE65" s="332"/>
      <c r="AF65" s="332"/>
      <c r="AG65" s="332"/>
      <c r="AH65" s="332"/>
      <c r="AI65" s="332"/>
      <c r="AJ65" s="332"/>
      <c r="AK65" s="332"/>
      <c r="AL65" s="332"/>
      <c r="AM65" s="332"/>
      <c r="AN65" s="332"/>
      <c r="AO65" s="332"/>
      <c r="AP65" s="332"/>
      <c r="AQ65" s="332"/>
      <c r="AR65" s="332"/>
      <c r="AS65" s="332"/>
      <c r="AT65" s="332"/>
      <c r="AU65" s="332"/>
      <c r="AV65" s="332"/>
      <c r="AW65" s="332"/>
      <c r="AX65" s="332"/>
      <c r="AY65" s="332"/>
      <c r="AZ65" s="332"/>
      <c r="BA65" s="332"/>
      <c r="BB65" s="332"/>
      <c r="BC65" s="332"/>
      <c r="BD65" s="332"/>
      <c r="BE65" s="332"/>
      <c r="BF65" s="332"/>
      <c r="BG65" s="332"/>
      <c r="BH65" s="332"/>
      <c r="BI65" s="332"/>
      <c r="BJ65" s="332"/>
      <c r="BK65" s="332"/>
      <c r="BL65" s="332"/>
      <c r="BM65" s="332"/>
      <c r="BN65" s="332"/>
      <c r="BO65" s="332"/>
      <c r="BP65" s="332"/>
      <c r="BS65" s="606"/>
      <c r="BT65" s="606"/>
      <c r="BU65" s="606"/>
      <c r="BV65" s="606"/>
      <c r="BW65" s="606"/>
      <c r="BX65" s="606"/>
      <c r="BY65" s="606"/>
      <c r="BZ65" s="122"/>
      <c r="CA65" s="122"/>
      <c r="CB65" s="122"/>
      <c r="CC65" s="606"/>
      <c r="CD65" s="606"/>
    </row>
    <row r="66" spans="1:82" ht="15" customHeight="1">
      <c r="A66" s="332"/>
      <c r="B66" s="332"/>
      <c r="C66" s="332"/>
      <c r="D66" s="332"/>
      <c r="E66" s="332"/>
      <c r="F66" s="332"/>
      <c r="G66" s="332"/>
      <c r="H66" s="332"/>
      <c r="I66" s="332"/>
      <c r="J66" s="332"/>
      <c r="K66" s="332"/>
      <c r="L66" s="332"/>
      <c r="M66" s="332"/>
      <c r="N66" s="332"/>
      <c r="O66" s="332"/>
      <c r="P66" s="332"/>
      <c r="Q66" s="332"/>
      <c r="R66" s="332"/>
      <c r="S66" s="332"/>
      <c r="T66" s="332"/>
      <c r="U66" s="332"/>
      <c r="V66" s="332"/>
      <c r="W66" s="332"/>
      <c r="X66" s="332"/>
      <c r="Y66" s="332"/>
      <c r="Z66" s="332"/>
      <c r="AA66" s="332"/>
      <c r="AB66" s="332"/>
      <c r="AC66" s="332"/>
      <c r="AD66" s="332"/>
      <c r="AE66" s="332"/>
      <c r="AF66" s="332"/>
      <c r="AG66" s="332"/>
      <c r="AH66" s="332"/>
      <c r="AI66" s="332"/>
      <c r="AJ66" s="332"/>
      <c r="AK66" s="332"/>
      <c r="AL66" s="332"/>
      <c r="AM66" s="332"/>
      <c r="AN66" s="332"/>
      <c r="AO66" s="332"/>
      <c r="AP66" s="332"/>
      <c r="AQ66" s="332"/>
      <c r="AR66" s="332"/>
      <c r="AS66" s="332"/>
      <c r="AT66" s="332"/>
      <c r="AU66" s="332"/>
      <c r="AV66" s="332"/>
      <c r="AW66" s="332"/>
      <c r="AX66" s="332"/>
      <c r="AY66" s="332"/>
      <c r="AZ66" s="332"/>
      <c r="BA66" s="332"/>
      <c r="BB66" s="332"/>
      <c r="BC66" s="332"/>
      <c r="BD66" s="332"/>
      <c r="BE66" s="332"/>
      <c r="BF66" s="332"/>
      <c r="BG66" s="332"/>
      <c r="BH66" s="332"/>
      <c r="BI66" s="332"/>
      <c r="BJ66" s="332"/>
      <c r="BK66" s="332"/>
      <c r="BL66" s="332"/>
      <c r="BM66" s="332"/>
      <c r="BN66" s="332"/>
      <c r="BO66" s="332"/>
      <c r="BP66" s="332"/>
      <c r="BS66" s="606"/>
      <c r="BT66" s="606"/>
      <c r="BU66" s="606"/>
      <c r="BV66" s="606"/>
      <c r="BW66" s="606"/>
      <c r="BX66" s="606"/>
      <c r="BY66" s="606"/>
      <c r="CC66" s="606"/>
      <c r="CD66" s="606"/>
    </row>
    <row r="67" spans="1:82" ht="15" customHeight="1">
      <c r="A67" s="332"/>
      <c r="B67" s="332"/>
      <c r="C67" s="332"/>
      <c r="D67" s="332"/>
      <c r="E67" s="332"/>
      <c r="F67" s="332"/>
      <c r="G67" s="332"/>
      <c r="H67" s="332"/>
      <c r="I67" s="332"/>
      <c r="J67" s="332"/>
      <c r="K67" s="332"/>
      <c r="L67" s="332"/>
      <c r="M67" s="332"/>
      <c r="N67" s="332"/>
      <c r="O67" s="332"/>
      <c r="P67" s="332"/>
      <c r="Q67" s="332"/>
      <c r="R67" s="332"/>
      <c r="S67" s="332"/>
      <c r="T67" s="332"/>
      <c r="U67" s="332"/>
      <c r="V67" s="332"/>
      <c r="W67" s="332"/>
      <c r="X67" s="332"/>
      <c r="Y67" s="332"/>
      <c r="Z67" s="332"/>
      <c r="AA67" s="332"/>
      <c r="AB67" s="332"/>
      <c r="AC67" s="332"/>
      <c r="AD67" s="332"/>
      <c r="AE67" s="332"/>
      <c r="AF67" s="332"/>
      <c r="AG67" s="332"/>
      <c r="AH67" s="332"/>
      <c r="AI67" s="332"/>
      <c r="AJ67" s="332"/>
      <c r="AK67" s="332"/>
      <c r="AL67" s="332"/>
      <c r="AM67" s="332"/>
      <c r="AN67" s="332"/>
      <c r="AO67" s="332"/>
      <c r="AP67" s="332"/>
      <c r="AQ67" s="332"/>
      <c r="AR67" s="332"/>
      <c r="AS67" s="332"/>
      <c r="AT67" s="332"/>
      <c r="AU67" s="332"/>
      <c r="AV67" s="332"/>
      <c r="AW67" s="332"/>
      <c r="AX67" s="332"/>
      <c r="AY67" s="332"/>
      <c r="AZ67" s="332"/>
      <c r="BA67" s="332"/>
      <c r="BB67" s="332"/>
      <c r="BC67" s="332"/>
      <c r="BD67" s="332"/>
      <c r="BE67" s="332"/>
      <c r="BF67" s="332"/>
      <c r="BG67" s="332"/>
      <c r="BH67" s="332"/>
      <c r="BI67" s="332"/>
      <c r="BJ67" s="332"/>
      <c r="BK67" s="332"/>
      <c r="BL67" s="332"/>
      <c r="BM67" s="332"/>
      <c r="BN67" s="332"/>
      <c r="BO67" s="332"/>
      <c r="BP67" s="332"/>
      <c r="BS67" s="122"/>
      <c r="BT67" s="122"/>
      <c r="BU67" s="122"/>
      <c r="BV67" s="122"/>
      <c r="BW67" s="122"/>
      <c r="BX67" s="122"/>
      <c r="BY67" s="122"/>
      <c r="CC67" s="122"/>
      <c r="CD67" s="122"/>
    </row>
    <row r="68" spans="1:82" ht="15" customHeight="1">
      <c r="A68" s="332"/>
      <c r="B68" s="332"/>
      <c r="C68" s="332"/>
      <c r="D68" s="332"/>
      <c r="E68" s="332"/>
      <c r="F68" s="332"/>
      <c r="G68" s="332"/>
      <c r="H68" s="332"/>
      <c r="I68" s="332"/>
      <c r="J68" s="332"/>
      <c r="K68" s="332"/>
      <c r="L68" s="332"/>
      <c r="M68" s="332"/>
      <c r="N68" s="332"/>
      <c r="O68" s="332"/>
      <c r="P68" s="332"/>
      <c r="Q68" s="332"/>
      <c r="R68" s="332"/>
      <c r="S68" s="332"/>
      <c r="T68" s="332"/>
      <c r="U68" s="332"/>
      <c r="V68" s="332"/>
      <c r="W68" s="332"/>
      <c r="X68" s="332"/>
      <c r="Y68" s="332"/>
      <c r="Z68" s="332"/>
      <c r="AA68" s="332"/>
      <c r="AB68" s="332"/>
      <c r="AC68" s="332"/>
      <c r="AD68" s="332"/>
      <c r="AE68" s="332"/>
      <c r="AF68" s="332"/>
      <c r="AG68" s="332"/>
      <c r="AH68" s="332"/>
      <c r="AI68" s="332"/>
      <c r="AJ68" s="332"/>
      <c r="AK68" s="332"/>
      <c r="AL68" s="332"/>
      <c r="AM68" s="332"/>
      <c r="AN68" s="332"/>
      <c r="AO68" s="332"/>
      <c r="AP68" s="332"/>
      <c r="AQ68" s="332"/>
      <c r="AR68" s="332"/>
      <c r="AS68" s="332"/>
      <c r="AT68" s="332"/>
      <c r="AU68" s="332"/>
      <c r="AV68" s="332"/>
      <c r="AW68" s="332"/>
      <c r="AX68" s="332"/>
      <c r="AY68" s="332"/>
      <c r="AZ68" s="332"/>
      <c r="BA68" s="332"/>
      <c r="BB68" s="332"/>
      <c r="BC68" s="332"/>
      <c r="BD68" s="332"/>
      <c r="BE68" s="332"/>
      <c r="BF68" s="332"/>
      <c r="BG68" s="332"/>
      <c r="BH68" s="332"/>
      <c r="BI68" s="332"/>
      <c r="BJ68" s="332"/>
      <c r="BK68" s="332"/>
      <c r="BL68" s="332"/>
      <c r="BM68" s="332"/>
      <c r="BN68" s="332"/>
      <c r="BO68" s="332"/>
      <c r="BP68" s="332"/>
    </row>
    <row r="69" spans="1:82" ht="15" customHeight="1">
      <c r="A69" s="332"/>
      <c r="B69" s="332"/>
      <c r="C69" s="332"/>
      <c r="D69" s="332"/>
      <c r="E69" s="332"/>
      <c r="F69" s="332"/>
      <c r="G69" s="332"/>
      <c r="H69" s="332"/>
      <c r="I69" s="332"/>
      <c r="J69" s="332"/>
      <c r="K69" s="332"/>
      <c r="L69" s="332"/>
      <c r="M69" s="332"/>
      <c r="N69" s="332"/>
      <c r="O69" s="332"/>
      <c r="P69" s="332"/>
      <c r="Q69" s="332"/>
      <c r="R69" s="332"/>
      <c r="S69" s="332"/>
      <c r="T69" s="332"/>
      <c r="U69" s="332"/>
      <c r="V69" s="332"/>
      <c r="W69" s="332"/>
      <c r="X69" s="332"/>
      <c r="Y69" s="332"/>
      <c r="Z69" s="332"/>
      <c r="AA69" s="332"/>
      <c r="AB69" s="332"/>
      <c r="AC69" s="332"/>
      <c r="AD69" s="332"/>
      <c r="AE69" s="332"/>
      <c r="AF69" s="332"/>
      <c r="AG69" s="332"/>
      <c r="AH69" s="332"/>
      <c r="AI69" s="332"/>
      <c r="AJ69" s="332"/>
      <c r="AK69" s="332"/>
      <c r="AL69" s="332"/>
      <c r="AM69" s="332"/>
      <c r="AN69" s="332"/>
      <c r="AO69" s="332"/>
      <c r="AP69" s="332"/>
      <c r="AQ69" s="332"/>
      <c r="AR69" s="332"/>
      <c r="AS69" s="332"/>
      <c r="AT69" s="332"/>
      <c r="AU69" s="332"/>
      <c r="AV69" s="332"/>
      <c r="AW69" s="332"/>
      <c r="AX69" s="332"/>
      <c r="AY69" s="332"/>
      <c r="AZ69" s="332"/>
      <c r="BA69" s="332"/>
      <c r="BB69" s="332"/>
      <c r="BC69" s="332"/>
      <c r="BD69" s="332"/>
      <c r="BE69" s="332"/>
      <c r="BF69" s="332"/>
      <c r="BG69" s="332"/>
      <c r="BH69" s="332"/>
      <c r="BI69" s="332"/>
      <c r="BJ69" s="332"/>
      <c r="BK69" s="332"/>
      <c r="BL69" s="332"/>
      <c r="BM69" s="332"/>
      <c r="BN69" s="332"/>
      <c r="BO69" s="332"/>
      <c r="BP69" s="332"/>
    </row>
    <row r="70" spans="1:82" ht="15" customHeight="1">
      <c r="A70" s="332"/>
      <c r="B70" s="332"/>
      <c r="C70" s="332"/>
      <c r="D70" s="332"/>
      <c r="E70" s="332"/>
      <c r="F70" s="332"/>
      <c r="G70" s="332"/>
      <c r="H70" s="332"/>
      <c r="I70" s="332"/>
      <c r="J70" s="332"/>
      <c r="K70" s="332"/>
      <c r="L70" s="332"/>
      <c r="M70" s="332"/>
      <c r="N70" s="332"/>
      <c r="O70" s="332"/>
      <c r="P70" s="332"/>
      <c r="Q70" s="332"/>
      <c r="R70" s="332"/>
      <c r="S70" s="332"/>
      <c r="T70" s="332"/>
      <c r="U70" s="332"/>
      <c r="V70" s="332"/>
      <c r="W70" s="332"/>
      <c r="X70" s="332"/>
      <c r="Y70" s="332"/>
      <c r="Z70" s="332"/>
      <c r="AA70" s="332"/>
      <c r="AB70" s="332"/>
      <c r="AC70" s="332"/>
      <c r="AD70" s="332"/>
      <c r="AE70" s="332"/>
      <c r="AF70" s="332"/>
      <c r="AG70" s="332"/>
      <c r="AH70" s="332"/>
      <c r="AI70" s="332"/>
      <c r="AJ70" s="332"/>
      <c r="AK70" s="332"/>
      <c r="AL70" s="332"/>
      <c r="AM70" s="332"/>
      <c r="AN70" s="332"/>
      <c r="AO70" s="332"/>
      <c r="AP70" s="332"/>
      <c r="AQ70" s="332"/>
      <c r="AR70" s="332"/>
      <c r="AS70" s="332"/>
      <c r="AT70" s="332"/>
      <c r="AU70" s="332"/>
      <c r="AV70" s="332"/>
      <c r="AW70" s="332"/>
      <c r="AX70" s="332"/>
      <c r="AY70" s="332"/>
      <c r="AZ70" s="332"/>
      <c r="BA70" s="332"/>
      <c r="BB70" s="332"/>
      <c r="BC70" s="332"/>
      <c r="BD70" s="332"/>
      <c r="BE70" s="332"/>
      <c r="BF70" s="332"/>
      <c r="BG70" s="332"/>
      <c r="BH70" s="332"/>
      <c r="BI70" s="332"/>
      <c r="BJ70" s="332"/>
      <c r="BK70" s="332"/>
      <c r="BL70" s="332"/>
      <c r="BM70" s="332"/>
      <c r="BN70" s="332"/>
      <c r="BO70" s="332"/>
      <c r="BP70" s="332"/>
    </row>
    <row r="71" spans="1:82" ht="15" customHeight="1">
      <c r="A71" s="332"/>
      <c r="B71" s="332"/>
      <c r="C71" s="332"/>
      <c r="D71" s="332"/>
      <c r="E71" s="332"/>
      <c r="F71" s="332"/>
      <c r="G71" s="332"/>
      <c r="H71" s="332"/>
      <c r="I71" s="332"/>
      <c r="J71" s="332"/>
      <c r="K71" s="332"/>
      <c r="L71" s="332"/>
      <c r="M71" s="332"/>
      <c r="N71" s="332"/>
      <c r="O71" s="332"/>
      <c r="P71" s="332"/>
      <c r="Q71" s="332"/>
      <c r="R71" s="332"/>
      <c r="S71" s="332"/>
      <c r="T71" s="332"/>
      <c r="U71" s="332"/>
      <c r="V71" s="332"/>
      <c r="W71" s="332"/>
      <c r="X71" s="332"/>
      <c r="Y71" s="332"/>
      <c r="Z71" s="332"/>
      <c r="AA71" s="332"/>
      <c r="AB71" s="332"/>
      <c r="AC71" s="332"/>
      <c r="AD71" s="332"/>
      <c r="AE71" s="332"/>
      <c r="AF71" s="332"/>
      <c r="AG71" s="332"/>
      <c r="AH71" s="332"/>
      <c r="AI71" s="332"/>
      <c r="AJ71" s="332"/>
      <c r="AK71" s="332"/>
      <c r="AL71" s="332"/>
      <c r="AM71" s="332"/>
      <c r="AN71" s="332"/>
      <c r="AO71" s="332"/>
      <c r="AP71" s="332"/>
      <c r="AQ71" s="332"/>
      <c r="AR71" s="332"/>
      <c r="AS71" s="332"/>
      <c r="AT71" s="332"/>
      <c r="AU71" s="332"/>
      <c r="AV71" s="332"/>
      <c r="AW71" s="332"/>
      <c r="AX71" s="332"/>
      <c r="AY71" s="332"/>
      <c r="AZ71" s="332"/>
      <c r="BA71" s="332"/>
      <c r="BB71" s="332"/>
      <c r="BC71" s="332"/>
      <c r="BD71" s="332"/>
      <c r="BE71" s="332"/>
      <c r="BF71" s="332"/>
      <c r="BG71" s="332"/>
      <c r="BH71" s="332"/>
      <c r="BI71" s="332"/>
      <c r="BJ71" s="332"/>
      <c r="BK71" s="332"/>
      <c r="BL71" s="332"/>
      <c r="BM71" s="332"/>
      <c r="BN71" s="332"/>
      <c r="BO71" s="332"/>
      <c r="BP71" s="332"/>
    </row>
    <row r="72" spans="1:82" ht="15" customHeight="1">
      <c r="A72" s="332"/>
      <c r="B72" s="332"/>
      <c r="C72" s="332"/>
      <c r="D72" s="332"/>
      <c r="E72" s="332"/>
      <c r="F72" s="332"/>
      <c r="G72" s="332"/>
      <c r="H72" s="332"/>
      <c r="I72" s="332"/>
      <c r="J72" s="332"/>
      <c r="K72" s="332"/>
      <c r="L72" s="332"/>
      <c r="M72" s="332"/>
      <c r="N72" s="332"/>
      <c r="O72" s="332"/>
      <c r="P72" s="332"/>
      <c r="Q72" s="332"/>
      <c r="R72" s="332"/>
      <c r="S72" s="332"/>
      <c r="T72" s="332"/>
      <c r="U72" s="332"/>
      <c r="V72" s="332"/>
      <c r="W72" s="332"/>
      <c r="X72" s="332"/>
      <c r="Y72" s="332"/>
      <c r="Z72" s="332"/>
      <c r="AA72" s="332"/>
      <c r="AB72" s="332"/>
      <c r="AC72" s="332"/>
      <c r="AD72" s="332"/>
      <c r="AE72" s="332"/>
      <c r="AF72" s="332"/>
      <c r="AG72" s="332"/>
      <c r="AH72" s="332"/>
      <c r="AI72" s="332"/>
      <c r="AJ72" s="332"/>
      <c r="AK72" s="332"/>
      <c r="AL72" s="332"/>
      <c r="AM72" s="332"/>
      <c r="AN72" s="332"/>
      <c r="AO72" s="332"/>
      <c r="AP72" s="332"/>
      <c r="AQ72" s="332"/>
      <c r="AR72" s="332"/>
      <c r="AS72" s="332"/>
      <c r="AT72" s="332"/>
      <c r="AU72" s="332"/>
      <c r="AV72" s="332"/>
      <c r="AW72" s="332"/>
      <c r="AX72" s="332"/>
      <c r="AY72" s="332"/>
      <c r="AZ72" s="332"/>
      <c r="BA72" s="332"/>
      <c r="BB72" s="332"/>
      <c r="BC72" s="332"/>
      <c r="BD72" s="332"/>
      <c r="BE72" s="332"/>
      <c r="BF72" s="332"/>
      <c r="BG72" s="332"/>
      <c r="BH72" s="332"/>
      <c r="BI72" s="332"/>
      <c r="BJ72" s="332"/>
      <c r="BK72" s="332"/>
      <c r="BL72" s="332"/>
      <c r="BM72" s="332"/>
      <c r="BN72" s="332"/>
      <c r="BO72" s="332"/>
      <c r="BP72" s="332"/>
    </row>
    <row r="73" spans="1:82" ht="15" customHeight="1">
      <c r="A73" s="332"/>
      <c r="B73" s="332"/>
      <c r="C73" s="332"/>
      <c r="D73" s="332"/>
      <c r="E73" s="332"/>
      <c r="F73" s="332"/>
      <c r="G73" s="332"/>
      <c r="H73" s="332"/>
      <c r="I73" s="332"/>
      <c r="J73" s="332"/>
      <c r="K73" s="332"/>
      <c r="L73" s="332"/>
      <c r="M73" s="332"/>
      <c r="N73" s="332"/>
      <c r="O73" s="332"/>
      <c r="P73" s="332"/>
      <c r="Q73" s="332"/>
      <c r="R73" s="332"/>
      <c r="S73" s="332"/>
      <c r="T73" s="332"/>
      <c r="U73" s="332"/>
      <c r="V73" s="332"/>
      <c r="W73" s="332"/>
      <c r="X73" s="332"/>
      <c r="Y73" s="332"/>
      <c r="Z73" s="332"/>
      <c r="AA73" s="332"/>
      <c r="AB73" s="332"/>
      <c r="AC73" s="332"/>
      <c r="AD73" s="332"/>
      <c r="AE73" s="332"/>
      <c r="AF73" s="332"/>
      <c r="AG73" s="332"/>
      <c r="AH73" s="332"/>
      <c r="AI73" s="332"/>
      <c r="AJ73" s="332"/>
      <c r="AK73" s="332"/>
      <c r="AL73" s="332"/>
      <c r="AM73" s="332"/>
      <c r="AN73" s="332"/>
      <c r="AO73" s="332"/>
      <c r="AP73" s="332"/>
      <c r="AQ73" s="332"/>
      <c r="AR73" s="332"/>
      <c r="AS73" s="332"/>
      <c r="AT73" s="332"/>
      <c r="AU73" s="332"/>
      <c r="AV73" s="332"/>
      <c r="AW73" s="332"/>
      <c r="AX73" s="332"/>
      <c r="AY73" s="332"/>
      <c r="AZ73" s="332"/>
      <c r="BA73" s="332"/>
      <c r="BB73" s="332"/>
      <c r="BC73" s="332"/>
      <c r="BD73" s="332"/>
      <c r="BE73" s="332"/>
      <c r="BF73" s="332"/>
      <c r="BG73" s="332"/>
      <c r="BH73" s="332"/>
      <c r="BI73" s="332"/>
      <c r="BJ73" s="332"/>
      <c r="BK73" s="332"/>
      <c r="BL73" s="332"/>
      <c r="BM73" s="332"/>
      <c r="BN73" s="332"/>
      <c r="BO73" s="332"/>
      <c r="BP73" s="332"/>
    </row>
    <row r="74" spans="1:82" ht="15" customHeight="1">
      <c r="A74" s="332"/>
      <c r="B74" s="332"/>
      <c r="C74" s="332"/>
      <c r="D74" s="332"/>
      <c r="E74" s="332"/>
      <c r="F74" s="332"/>
      <c r="G74" s="332"/>
      <c r="H74" s="332"/>
      <c r="I74" s="332"/>
      <c r="J74" s="332"/>
      <c r="K74" s="332"/>
      <c r="L74" s="332"/>
      <c r="M74" s="332"/>
      <c r="N74" s="332"/>
      <c r="O74" s="332"/>
      <c r="P74" s="332"/>
      <c r="Q74" s="332"/>
      <c r="R74" s="332"/>
      <c r="S74" s="332"/>
      <c r="T74" s="332"/>
      <c r="U74" s="332"/>
      <c r="V74" s="332"/>
      <c r="W74" s="332"/>
      <c r="X74" s="332"/>
      <c r="Y74" s="332"/>
      <c r="Z74" s="332"/>
      <c r="AA74" s="332"/>
      <c r="AB74" s="332"/>
      <c r="AC74" s="332"/>
      <c r="AD74" s="332"/>
      <c r="AE74" s="332"/>
      <c r="AF74" s="332"/>
      <c r="AG74" s="332"/>
      <c r="AH74" s="332"/>
      <c r="AI74" s="332"/>
      <c r="AJ74" s="332"/>
      <c r="AK74" s="332"/>
      <c r="AL74" s="332"/>
      <c r="AM74" s="332"/>
      <c r="AN74" s="332"/>
      <c r="AO74" s="332"/>
      <c r="AP74" s="332"/>
      <c r="AQ74" s="332"/>
      <c r="AR74" s="332"/>
      <c r="AS74" s="332"/>
      <c r="AT74" s="332"/>
      <c r="AU74" s="332"/>
      <c r="AV74" s="332"/>
      <c r="AW74" s="332"/>
      <c r="AX74" s="332"/>
      <c r="AY74" s="332"/>
      <c r="AZ74" s="332"/>
      <c r="BA74" s="332"/>
      <c r="BB74" s="332"/>
      <c r="BC74" s="332"/>
      <c r="BD74" s="332"/>
      <c r="BE74" s="332"/>
      <c r="BF74" s="332"/>
      <c r="BG74" s="332"/>
      <c r="BH74" s="332"/>
      <c r="BI74" s="332"/>
      <c r="BJ74" s="332"/>
      <c r="BK74" s="332"/>
      <c r="BL74" s="332"/>
      <c r="BM74" s="332"/>
      <c r="BN74" s="332"/>
      <c r="BO74" s="332"/>
      <c r="BP74" s="332"/>
    </row>
    <row r="75" spans="1:82" ht="15" customHeight="1">
      <c r="A75" s="332"/>
      <c r="B75" s="332"/>
      <c r="C75" s="332"/>
      <c r="D75" s="332"/>
      <c r="E75" s="332"/>
      <c r="F75" s="332"/>
      <c r="G75" s="332"/>
      <c r="H75" s="332"/>
      <c r="I75" s="332"/>
      <c r="J75" s="332"/>
      <c r="K75" s="332"/>
      <c r="L75" s="332"/>
      <c r="M75" s="332"/>
      <c r="N75" s="332"/>
      <c r="O75" s="332"/>
      <c r="P75" s="332"/>
      <c r="Q75" s="332"/>
      <c r="R75" s="332"/>
      <c r="S75" s="332"/>
      <c r="T75" s="332"/>
      <c r="U75" s="332"/>
      <c r="V75" s="332"/>
      <c r="W75" s="332"/>
      <c r="X75" s="332"/>
      <c r="Y75" s="332"/>
      <c r="Z75" s="332"/>
      <c r="AA75" s="332"/>
      <c r="AB75" s="332"/>
      <c r="AC75" s="332"/>
      <c r="AD75" s="332"/>
      <c r="AE75" s="332"/>
      <c r="AF75" s="332"/>
      <c r="AG75" s="332"/>
      <c r="AH75" s="332"/>
      <c r="AI75" s="332"/>
      <c r="AJ75" s="332"/>
      <c r="AK75" s="332"/>
      <c r="AL75" s="332"/>
      <c r="AM75" s="332"/>
      <c r="AN75" s="332"/>
      <c r="AO75" s="332"/>
      <c r="AP75" s="332"/>
      <c r="AQ75" s="332"/>
      <c r="AR75" s="332"/>
      <c r="AS75" s="332"/>
      <c r="AT75" s="332"/>
      <c r="AU75" s="332"/>
      <c r="AV75" s="332"/>
      <c r="AW75" s="332"/>
      <c r="AX75" s="332"/>
      <c r="AY75" s="332"/>
      <c r="AZ75" s="332"/>
      <c r="BA75" s="332"/>
      <c r="BB75" s="332"/>
      <c r="BC75" s="332"/>
      <c r="BD75" s="332"/>
      <c r="BE75" s="332"/>
      <c r="BF75" s="332"/>
      <c r="BG75" s="332"/>
      <c r="BH75" s="332"/>
      <c r="BI75" s="332"/>
      <c r="BJ75" s="332"/>
      <c r="BK75" s="332"/>
      <c r="BL75" s="332"/>
      <c r="BM75" s="332"/>
      <c r="BN75" s="332"/>
      <c r="BO75" s="332"/>
      <c r="BP75" s="332"/>
    </row>
    <row r="76" spans="1:82" ht="15" customHeight="1">
      <c r="A76" s="332"/>
      <c r="B76" s="332"/>
      <c r="C76" s="332"/>
      <c r="D76" s="332"/>
      <c r="E76" s="332"/>
      <c r="F76" s="332"/>
      <c r="G76" s="332"/>
      <c r="H76" s="332"/>
      <c r="I76" s="332"/>
      <c r="J76" s="332"/>
      <c r="K76" s="332"/>
      <c r="L76" s="332"/>
      <c r="M76" s="332"/>
      <c r="N76" s="332"/>
      <c r="O76" s="332"/>
      <c r="P76" s="332"/>
      <c r="Q76" s="332"/>
      <c r="R76" s="332"/>
      <c r="S76" s="332"/>
      <c r="T76" s="332"/>
      <c r="U76" s="332"/>
      <c r="V76" s="332"/>
      <c r="W76" s="332"/>
      <c r="X76" s="332"/>
      <c r="Y76" s="332"/>
      <c r="Z76" s="332"/>
      <c r="AA76" s="332"/>
      <c r="AB76" s="332"/>
      <c r="AC76" s="332"/>
      <c r="AD76" s="332"/>
      <c r="AE76" s="332"/>
      <c r="AF76" s="332"/>
      <c r="AG76" s="332"/>
      <c r="AH76" s="332"/>
      <c r="AI76" s="332"/>
      <c r="AJ76" s="332"/>
      <c r="AK76" s="332"/>
      <c r="AL76" s="332"/>
      <c r="AM76" s="332"/>
      <c r="AN76" s="332"/>
      <c r="AO76" s="332"/>
      <c r="AP76" s="332"/>
      <c r="AQ76" s="332"/>
      <c r="AR76" s="332"/>
      <c r="AS76" s="332"/>
      <c r="AT76" s="332"/>
      <c r="AU76" s="332"/>
      <c r="AV76" s="332"/>
      <c r="AW76" s="332"/>
      <c r="AX76" s="332"/>
      <c r="AY76" s="332"/>
      <c r="AZ76" s="332"/>
      <c r="BA76" s="332"/>
      <c r="BB76" s="332"/>
      <c r="BC76" s="332"/>
      <c r="BD76" s="332"/>
      <c r="BE76" s="332"/>
      <c r="BF76" s="332"/>
      <c r="BG76" s="332"/>
      <c r="BH76" s="332"/>
      <c r="BI76" s="332"/>
      <c r="BJ76" s="332"/>
      <c r="BK76" s="332"/>
      <c r="BL76" s="332"/>
      <c r="BM76" s="332"/>
      <c r="BN76" s="332"/>
      <c r="BO76" s="332"/>
      <c r="BP76" s="332"/>
    </row>
    <row r="77" spans="1:82" ht="15" customHeight="1">
      <c r="A77" s="332"/>
      <c r="B77" s="332"/>
      <c r="C77" s="332"/>
      <c r="D77" s="332"/>
      <c r="E77" s="332"/>
      <c r="F77" s="332"/>
      <c r="G77" s="332"/>
      <c r="H77" s="332"/>
      <c r="I77" s="332"/>
      <c r="J77" s="332"/>
      <c r="K77" s="332"/>
      <c r="L77" s="332"/>
      <c r="M77" s="332"/>
      <c r="N77" s="332"/>
      <c r="O77" s="332"/>
      <c r="P77" s="332"/>
      <c r="Q77" s="332"/>
      <c r="R77" s="332"/>
      <c r="S77" s="332"/>
      <c r="T77" s="332"/>
      <c r="U77" s="332"/>
      <c r="V77" s="332"/>
      <c r="W77" s="332"/>
      <c r="X77" s="332"/>
      <c r="Y77" s="332"/>
      <c r="Z77" s="332"/>
      <c r="AA77" s="332"/>
      <c r="AB77" s="332"/>
      <c r="AC77" s="332"/>
      <c r="AD77" s="332"/>
      <c r="AE77" s="332"/>
      <c r="AF77" s="332"/>
      <c r="AG77" s="332"/>
      <c r="AH77" s="332"/>
      <c r="AI77" s="332"/>
      <c r="AJ77" s="332"/>
      <c r="AK77" s="332"/>
      <c r="AL77" s="332"/>
      <c r="AM77" s="332"/>
      <c r="AN77" s="332"/>
      <c r="AO77" s="332"/>
      <c r="AP77" s="332"/>
      <c r="AQ77" s="332"/>
      <c r="AR77" s="332"/>
      <c r="AS77" s="332"/>
      <c r="AT77" s="332"/>
      <c r="AU77" s="332"/>
      <c r="AV77" s="332"/>
      <c r="AW77" s="332"/>
      <c r="AX77" s="332"/>
      <c r="AY77" s="332"/>
      <c r="AZ77" s="332"/>
      <c r="BA77" s="332"/>
      <c r="BB77" s="332"/>
      <c r="BC77" s="332"/>
      <c r="BD77" s="332"/>
      <c r="BE77" s="332"/>
      <c r="BF77" s="332"/>
      <c r="BG77" s="332"/>
      <c r="BH77" s="332"/>
      <c r="BI77" s="332"/>
      <c r="BJ77" s="332"/>
      <c r="BK77" s="332"/>
      <c r="BL77" s="332"/>
      <c r="BM77" s="332"/>
      <c r="BN77" s="332"/>
      <c r="BO77" s="332"/>
      <c r="BP77" s="332"/>
    </row>
    <row r="78" spans="1:82" ht="15" customHeight="1">
      <c r="A78" s="332"/>
      <c r="B78" s="332"/>
      <c r="C78" s="332"/>
      <c r="D78" s="332"/>
      <c r="E78" s="332"/>
      <c r="F78" s="332"/>
      <c r="G78" s="332"/>
      <c r="H78" s="332"/>
      <c r="I78" s="332"/>
      <c r="J78" s="332"/>
      <c r="K78" s="332"/>
      <c r="L78" s="332"/>
      <c r="M78" s="332"/>
      <c r="N78" s="332"/>
      <c r="O78" s="332"/>
      <c r="P78" s="332"/>
      <c r="Q78" s="332"/>
      <c r="R78" s="332"/>
      <c r="S78" s="332"/>
      <c r="T78" s="332"/>
      <c r="U78" s="332"/>
      <c r="V78" s="332"/>
      <c r="W78" s="332"/>
      <c r="X78" s="332"/>
      <c r="Y78" s="332"/>
      <c r="Z78" s="332"/>
      <c r="AA78" s="332"/>
      <c r="AB78" s="332"/>
      <c r="AC78" s="332"/>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c r="BB78" s="332"/>
      <c r="BC78" s="332"/>
      <c r="BD78" s="332"/>
      <c r="BE78" s="332"/>
      <c r="BF78" s="332"/>
      <c r="BG78" s="332"/>
      <c r="BH78" s="332"/>
      <c r="BI78" s="332"/>
      <c r="BJ78" s="332"/>
      <c r="BK78" s="332"/>
      <c r="BL78" s="332"/>
      <c r="BM78" s="332"/>
      <c r="BN78" s="332"/>
      <c r="BO78" s="332"/>
      <c r="BP78" s="332"/>
    </row>
    <row r="79" spans="1:82" ht="15" customHeight="1">
      <c r="A79" s="332"/>
      <c r="B79" s="332"/>
      <c r="C79" s="332"/>
      <c r="D79" s="332"/>
      <c r="E79" s="332"/>
      <c r="F79" s="332"/>
      <c r="G79" s="332"/>
      <c r="H79" s="332"/>
      <c r="I79" s="332"/>
      <c r="J79" s="332"/>
      <c r="K79" s="332"/>
      <c r="L79" s="332"/>
      <c r="M79" s="332"/>
      <c r="N79" s="332"/>
      <c r="O79" s="332"/>
      <c r="P79" s="332"/>
      <c r="Q79" s="332"/>
      <c r="R79" s="332"/>
      <c r="S79" s="332"/>
      <c r="T79" s="332"/>
      <c r="U79" s="332"/>
      <c r="V79" s="332"/>
      <c r="W79" s="332"/>
      <c r="X79" s="332"/>
      <c r="Y79" s="332"/>
      <c r="Z79" s="332"/>
      <c r="AA79" s="332"/>
      <c r="AB79" s="332"/>
      <c r="AC79" s="332"/>
      <c r="AD79" s="332"/>
      <c r="AE79" s="332"/>
      <c r="AF79" s="332"/>
      <c r="AG79" s="332"/>
      <c r="AH79" s="332"/>
      <c r="AI79" s="332"/>
      <c r="AJ79" s="332"/>
      <c r="AK79" s="332"/>
      <c r="AL79" s="332"/>
      <c r="AM79" s="332"/>
      <c r="AN79" s="332"/>
      <c r="AO79" s="332"/>
      <c r="AP79" s="332"/>
      <c r="AQ79" s="332"/>
      <c r="AR79" s="332"/>
      <c r="AS79" s="332"/>
      <c r="AT79" s="332"/>
      <c r="AU79" s="332"/>
      <c r="AV79" s="332"/>
      <c r="AW79" s="332"/>
      <c r="AX79" s="332"/>
      <c r="AY79" s="332"/>
      <c r="AZ79" s="332"/>
      <c r="BA79" s="332"/>
      <c r="BB79" s="332"/>
      <c r="BC79" s="332"/>
      <c r="BD79" s="332"/>
      <c r="BE79" s="332"/>
      <c r="BF79" s="332"/>
      <c r="BG79" s="332"/>
      <c r="BH79" s="332"/>
      <c r="BI79" s="332"/>
      <c r="BJ79" s="332"/>
      <c r="BK79" s="332"/>
      <c r="BL79" s="332"/>
      <c r="BM79" s="332"/>
      <c r="BN79" s="332"/>
      <c r="BO79" s="332"/>
      <c r="BP79" s="332"/>
    </row>
    <row r="80" spans="1:82" ht="15" customHeight="1">
      <c r="A80" s="332"/>
      <c r="B80" s="332"/>
      <c r="C80" s="332"/>
      <c r="D80" s="332"/>
      <c r="E80" s="332"/>
      <c r="F80" s="332"/>
      <c r="G80" s="332"/>
      <c r="H80" s="332"/>
      <c r="I80" s="332"/>
      <c r="J80" s="332"/>
      <c r="K80" s="332"/>
      <c r="L80" s="332"/>
      <c r="M80" s="332"/>
      <c r="N80" s="332"/>
      <c r="O80" s="332"/>
      <c r="P80" s="332"/>
      <c r="Q80" s="332"/>
      <c r="R80" s="332"/>
      <c r="S80" s="332"/>
      <c r="T80" s="332"/>
      <c r="U80" s="332"/>
      <c r="V80" s="332"/>
      <c r="W80" s="332"/>
      <c r="X80" s="332"/>
      <c r="Y80" s="332"/>
      <c r="Z80" s="332"/>
      <c r="AA80" s="332"/>
      <c r="AB80" s="332"/>
      <c r="AC80" s="332"/>
      <c r="AD80" s="332"/>
      <c r="AE80" s="332"/>
      <c r="AF80" s="332"/>
      <c r="AG80" s="332"/>
      <c r="AH80" s="332"/>
      <c r="AI80" s="332"/>
      <c r="AJ80" s="332"/>
      <c r="AK80" s="332"/>
      <c r="AL80" s="332"/>
      <c r="AM80" s="332"/>
      <c r="AN80" s="332"/>
      <c r="AO80" s="332"/>
      <c r="AP80" s="332"/>
      <c r="AQ80" s="332"/>
      <c r="AR80" s="332"/>
      <c r="AS80" s="332"/>
      <c r="AT80" s="332"/>
      <c r="AU80" s="332"/>
      <c r="AV80" s="332"/>
      <c r="AW80" s="332"/>
      <c r="AX80" s="332"/>
      <c r="AY80" s="332"/>
      <c r="AZ80" s="332"/>
      <c r="BA80" s="332"/>
      <c r="BB80" s="332"/>
      <c r="BC80" s="332"/>
      <c r="BD80" s="332"/>
      <c r="BE80" s="332"/>
      <c r="BF80" s="332"/>
      <c r="BG80" s="332"/>
      <c r="BH80" s="332"/>
      <c r="BI80" s="332"/>
      <c r="BJ80" s="332"/>
      <c r="BK80" s="332"/>
      <c r="BL80" s="332"/>
      <c r="BM80" s="332"/>
      <c r="BN80" s="332"/>
      <c r="BO80" s="332"/>
      <c r="BP80" s="332"/>
    </row>
    <row r="81" spans="1:68" ht="15" customHeight="1">
      <c r="A81" s="332"/>
      <c r="B81" s="332"/>
      <c r="C81" s="332"/>
      <c r="D81" s="332"/>
      <c r="E81" s="332"/>
      <c r="F81" s="332"/>
      <c r="G81" s="332"/>
      <c r="H81" s="332"/>
      <c r="I81" s="332"/>
      <c r="J81" s="332"/>
      <c r="K81" s="332"/>
      <c r="L81" s="332"/>
      <c r="M81" s="332"/>
      <c r="N81" s="332"/>
      <c r="O81" s="332"/>
      <c r="P81" s="332"/>
      <c r="Q81" s="332"/>
      <c r="R81" s="332"/>
      <c r="S81" s="332"/>
      <c r="T81" s="332"/>
      <c r="U81" s="332"/>
      <c r="V81" s="332"/>
      <c r="W81" s="332"/>
      <c r="X81" s="332"/>
      <c r="Y81" s="332"/>
      <c r="Z81" s="332"/>
      <c r="AA81" s="332"/>
      <c r="AB81" s="332"/>
      <c r="AC81" s="332"/>
      <c r="AD81" s="332"/>
      <c r="AE81" s="332"/>
      <c r="AF81" s="332"/>
      <c r="AG81" s="332"/>
      <c r="AH81" s="332"/>
      <c r="AI81" s="332"/>
      <c r="AJ81" s="332"/>
      <c r="AK81" s="332"/>
      <c r="AL81" s="332"/>
      <c r="AM81" s="332"/>
      <c r="AN81" s="332"/>
      <c r="AO81" s="332"/>
      <c r="AP81" s="332"/>
      <c r="AQ81" s="332"/>
      <c r="AR81" s="332"/>
      <c r="AS81" s="332"/>
      <c r="AT81" s="332"/>
      <c r="AU81" s="332"/>
      <c r="AV81" s="332"/>
      <c r="AW81" s="332"/>
      <c r="AX81" s="332"/>
      <c r="AY81" s="332"/>
      <c r="AZ81" s="332"/>
      <c r="BA81" s="332"/>
      <c r="BB81" s="332"/>
      <c r="BC81" s="332"/>
      <c r="BD81" s="332"/>
      <c r="BE81" s="332"/>
      <c r="BF81" s="332"/>
      <c r="BG81" s="332"/>
      <c r="BH81" s="332"/>
      <c r="BI81" s="332"/>
      <c r="BJ81" s="332"/>
      <c r="BK81" s="332"/>
      <c r="BL81" s="332"/>
      <c r="BM81" s="332"/>
      <c r="BN81" s="332"/>
      <c r="BO81" s="332"/>
      <c r="BP81" s="332"/>
    </row>
    <row r="82" spans="1:68" ht="15" customHeight="1">
      <c r="A82" s="332"/>
      <c r="B82" s="332"/>
      <c r="C82" s="332"/>
      <c r="D82" s="332"/>
      <c r="E82" s="332"/>
      <c r="F82" s="332"/>
      <c r="G82" s="332"/>
      <c r="H82" s="332"/>
      <c r="I82" s="332"/>
      <c r="J82" s="332"/>
      <c r="K82" s="332"/>
      <c r="L82" s="332"/>
      <c r="M82" s="332"/>
      <c r="N82" s="332"/>
      <c r="O82" s="332"/>
      <c r="P82" s="332"/>
      <c r="Q82" s="332"/>
      <c r="R82" s="332"/>
      <c r="S82" s="332"/>
      <c r="T82" s="332"/>
      <c r="U82" s="332"/>
      <c r="V82" s="332"/>
      <c r="W82" s="332"/>
      <c r="X82" s="332"/>
      <c r="Y82" s="332"/>
      <c r="Z82" s="332"/>
      <c r="AA82" s="332"/>
      <c r="AB82" s="332"/>
      <c r="AC82" s="332"/>
      <c r="AD82" s="332"/>
      <c r="AE82" s="332"/>
      <c r="AF82" s="332"/>
      <c r="AG82" s="332"/>
      <c r="AH82" s="332"/>
      <c r="AI82" s="332"/>
      <c r="AJ82" s="332"/>
      <c r="AK82" s="332"/>
      <c r="AL82" s="332"/>
      <c r="AM82" s="332"/>
      <c r="AN82" s="332"/>
      <c r="AO82" s="332"/>
      <c r="AP82" s="332"/>
      <c r="AQ82" s="332"/>
      <c r="AR82" s="332"/>
      <c r="AS82" s="332"/>
      <c r="AT82" s="332"/>
      <c r="AU82" s="332"/>
      <c r="AV82" s="332"/>
      <c r="AW82" s="332"/>
      <c r="AX82" s="332"/>
      <c r="AY82" s="332"/>
      <c r="AZ82" s="332"/>
      <c r="BA82" s="332"/>
      <c r="BB82" s="332"/>
      <c r="BC82" s="332"/>
      <c r="BD82" s="332"/>
      <c r="BE82" s="332"/>
      <c r="BF82" s="332"/>
      <c r="BG82" s="332"/>
      <c r="BH82" s="332"/>
      <c r="BI82" s="332"/>
      <c r="BJ82" s="332"/>
      <c r="BK82" s="332"/>
      <c r="BL82" s="332"/>
      <c r="BM82" s="332"/>
      <c r="BN82" s="332"/>
      <c r="BO82" s="332"/>
      <c r="BP82" s="332"/>
    </row>
    <row r="83" spans="1:68" ht="15" customHeight="1">
      <c r="A83" s="332"/>
      <c r="B83" s="332"/>
      <c r="C83" s="332"/>
      <c r="D83" s="332"/>
      <c r="E83" s="332"/>
      <c r="F83" s="332"/>
      <c r="G83" s="332"/>
      <c r="H83" s="332"/>
      <c r="I83" s="332"/>
      <c r="J83" s="332"/>
      <c r="K83" s="332"/>
      <c r="L83" s="332"/>
      <c r="M83" s="332"/>
      <c r="N83" s="332"/>
      <c r="O83" s="332"/>
      <c r="P83" s="332"/>
      <c r="Q83" s="332"/>
      <c r="R83" s="332"/>
      <c r="S83" s="332"/>
      <c r="T83" s="332"/>
      <c r="U83" s="332"/>
      <c r="V83" s="332"/>
      <c r="W83" s="332"/>
      <c r="X83" s="332"/>
      <c r="Y83" s="332"/>
      <c r="Z83" s="332"/>
      <c r="AA83" s="332"/>
      <c r="AB83" s="332"/>
      <c r="AC83" s="332"/>
      <c r="AD83" s="332"/>
      <c r="AE83" s="332"/>
      <c r="AF83" s="332"/>
      <c r="AG83" s="332"/>
      <c r="AH83" s="332"/>
      <c r="AI83" s="332"/>
      <c r="AJ83" s="332"/>
      <c r="AK83" s="332"/>
      <c r="AL83" s="332"/>
      <c r="AM83" s="332"/>
      <c r="AN83" s="332"/>
      <c r="AO83" s="332"/>
      <c r="AP83" s="332"/>
      <c r="AQ83" s="332"/>
      <c r="AR83" s="332"/>
      <c r="AS83" s="332"/>
      <c r="AT83" s="332"/>
      <c r="AU83" s="332"/>
      <c r="AV83" s="332"/>
      <c r="AW83" s="332"/>
      <c r="AX83" s="332"/>
      <c r="AY83" s="332"/>
      <c r="AZ83" s="332"/>
      <c r="BA83" s="332"/>
      <c r="BB83" s="332"/>
      <c r="BC83" s="332"/>
      <c r="BD83" s="332"/>
      <c r="BE83" s="332"/>
      <c r="BF83" s="332"/>
      <c r="BG83" s="332"/>
      <c r="BH83" s="332"/>
      <c r="BI83" s="332"/>
      <c r="BJ83" s="332"/>
      <c r="BK83" s="332"/>
      <c r="BL83" s="332"/>
      <c r="BM83" s="332"/>
      <c r="BN83" s="332"/>
      <c r="BO83" s="332"/>
      <c r="BP83" s="332"/>
    </row>
    <row r="84" spans="1:68" ht="15" customHeight="1">
      <c r="A84" s="332"/>
      <c r="B84" s="332"/>
      <c r="C84" s="332"/>
      <c r="D84" s="332"/>
      <c r="E84" s="332"/>
      <c r="F84" s="332"/>
      <c r="G84" s="332"/>
      <c r="H84" s="332"/>
      <c r="I84" s="332"/>
      <c r="J84" s="332"/>
      <c r="K84" s="332"/>
      <c r="L84" s="332"/>
      <c r="M84" s="332"/>
      <c r="N84" s="332"/>
      <c r="O84" s="332"/>
      <c r="P84" s="332"/>
      <c r="Q84" s="332"/>
      <c r="R84" s="332"/>
      <c r="S84" s="332"/>
      <c r="T84" s="332"/>
      <c r="U84" s="332"/>
      <c r="V84" s="332"/>
      <c r="W84" s="332"/>
      <c r="X84" s="332"/>
      <c r="Y84" s="332"/>
      <c r="Z84" s="332"/>
      <c r="AA84" s="332"/>
      <c r="AB84" s="332"/>
      <c r="AC84" s="332"/>
      <c r="AD84" s="332"/>
      <c r="AE84" s="332"/>
      <c r="AF84" s="332"/>
      <c r="AG84" s="332"/>
      <c r="AH84" s="332"/>
      <c r="AI84" s="332"/>
      <c r="AJ84" s="332"/>
      <c r="AK84" s="332"/>
      <c r="AL84" s="332"/>
      <c r="AM84" s="332"/>
      <c r="AN84" s="332"/>
      <c r="AO84" s="332"/>
      <c r="AP84" s="332"/>
      <c r="AQ84" s="332"/>
      <c r="AR84" s="332"/>
      <c r="AS84" s="332"/>
      <c r="AT84" s="332"/>
      <c r="AU84" s="332"/>
      <c r="AV84" s="332"/>
      <c r="AW84" s="332"/>
      <c r="AX84" s="332"/>
      <c r="AY84" s="332"/>
      <c r="AZ84" s="332"/>
      <c r="BA84" s="332"/>
      <c r="BB84" s="332"/>
      <c r="BC84" s="332"/>
      <c r="BD84" s="332"/>
      <c r="BE84" s="332"/>
      <c r="BF84" s="332"/>
      <c r="BG84" s="332"/>
      <c r="BH84" s="332"/>
      <c r="BI84" s="332"/>
      <c r="BJ84" s="332"/>
      <c r="BK84" s="332"/>
      <c r="BL84" s="332"/>
      <c r="BM84" s="332"/>
      <c r="BN84" s="332"/>
      <c r="BO84" s="332"/>
      <c r="BP84" s="332"/>
    </row>
    <row r="85" spans="1:68" ht="15" customHeight="1">
      <c r="A85" s="332"/>
      <c r="B85" s="332"/>
      <c r="C85" s="332"/>
      <c r="D85" s="332"/>
      <c r="E85" s="332"/>
      <c r="F85" s="332"/>
      <c r="G85" s="332"/>
      <c r="H85" s="332"/>
      <c r="I85" s="332"/>
      <c r="J85" s="332"/>
      <c r="K85" s="332"/>
      <c r="L85" s="332"/>
      <c r="M85" s="332"/>
      <c r="N85" s="332"/>
      <c r="O85" s="332"/>
      <c r="P85" s="332"/>
      <c r="Q85" s="332"/>
      <c r="R85" s="332"/>
      <c r="S85" s="332"/>
      <c r="T85" s="332"/>
      <c r="U85" s="332"/>
      <c r="V85" s="332"/>
      <c r="W85" s="332"/>
      <c r="X85" s="332"/>
      <c r="Y85" s="332"/>
      <c r="Z85" s="332"/>
      <c r="AA85" s="332"/>
      <c r="AB85" s="332"/>
      <c r="AC85" s="332"/>
      <c r="AD85" s="332"/>
      <c r="AE85" s="332"/>
      <c r="AF85" s="332"/>
      <c r="AG85" s="332"/>
      <c r="AH85" s="332"/>
      <c r="AI85" s="332"/>
      <c r="AJ85" s="332"/>
      <c r="AK85" s="332"/>
      <c r="AL85" s="332"/>
      <c r="AM85" s="332"/>
      <c r="AN85" s="332"/>
      <c r="AO85" s="332"/>
      <c r="AP85" s="332"/>
      <c r="AQ85" s="332"/>
      <c r="AR85" s="332"/>
      <c r="AS85" s="332"/>
      <c r="AT85" s="332"/>
      <c r="AU85" s="332"/>
      <c r="AV85" s="332"/>
      <c r="AW85" s="332"/>
      <c r="AX85" s="332"/>
      <c r="AY85" s="332"/>
      <c r="AZ85" s="332"/>
      <c r="BA85" s="332"/>
      <c r="BB85" s="332"/>
      <c r="BC85" s="332"/>
      <c r="BD85" s="332"/>
      <c r="BE85" s="332"/>
      <c r="BF85" s="332"/>
      <c r="BG85" s="332"/>
      <c r="BH85" s="332"/>
      <c r="BI85" s="332"/>
      <c r="BJ85" s="332"/>
      <c r="BK85" s="332"/>
      <c r="BL85" s="332"/>
      <c r="BM85" s="332"/>
      <c r="BN85" s="332"/>
      <c r="BO85" s="332"/>
      <c r="BP85" s="332"/>
    </row>
    <row r="86" spans="1:68" ht="15" customHeight="1">
      <c r="A86" s="332"/>
      <c r="B86" s="332"/>
      <c r="C86" s="332"/>
      <c r="D86" s="332"/>
      <c r="E86" s="332"/>
      <c r="F86" s="332"/>
      <c r="G86" s="332"/>
      <c r="H86" s="332"/>
      <c r="I86" s="332"/>
      <c r="J86" s="332"/>
      <c r="K86" s="332"/>
      <c r="L86" s="332"/>
      <c r="M86" s="332"/>
      <c r="N86" s="332"/>
      <c r="O86" s="332"/>
      <c r="P86" s="332"/>
      <c r="Q86" s="332"/>
      <c r="R86" s="332"/>
      <c r="S86" s="332"/>
      <c r="T86" s="332"/>
      <c r="U86" s="332"/>
      <c r="V86" s="332"/>
      <c r="W86" s="332"/>
      <c r="X86" s="332"/>
      <c r="Y86" s="332"/>
      <c r="Z86" s="332"/>
      <c r="AA86" s="332"/>
      <c r="AB86" s="332"/>
      <c r="AC86" s="332"/>
      <c r="AD86" s="332"/>
      <c r="AE86" s="332"/>
      <c r="AF86" s="332"/>
      <c r="AG86" s="332"/>
      <c r="AH86" s="332"/>
      <c r="AI86" s="332"/>
      <c r="AJ86" s="332"/>
      <c r="AK86" s="332"/>
      <c r="AL86" s="332"/>
      <c r="AM86" s="332"/>
      <c r="AN86" s="332"/>
      <c r="AO86" s="332"/>
      <c r="AP86" s="332"/>
      <c r="AQ86" s="332"/>
      <c r="AR86" s="332"/>
      <c r="AS86" s="332"/>
      <c r="AT86" s="332"/>
      <c r="AU86" s="332"/>
      <c r="AV86" s="332"/>
      <c r="AW86" s="332"/>
      <c r="AX86" s="332"/>
      <c r="AY86" s="332"/>
      <c r="AZ86" s="332"/>
      <c r="BA86" s="332"/>
      <c r="BB86" s="332"/>
      <c r="BC86" s="332"/>
      <c r="BD86" s="332"/>
      <c r="BE86" s="332"/>
      <c r="BF86" s="332"/>
      <c r="BG86" s="332"/>
      <c r="BH86" s="332"/>
      <c r="BI86" s="332"/>
      <c r="BJ86" s="332"/>
      <c r="BK86" s="332"/>
      <c r="BL86" s="332"/>
      <c r="BM86" s="332"/>
      <c r="BN86" s="332"/>
      <c r="BO86" s="332"/>
      <c r="BP86" s="332"/>
    </row>
    <row r="87" spans="1:68" ht="15" customHeight="1">
      <c r="A87" s="332"/>
      <c r="B87" s="332"/>
      <c r="C87" s="332"/>
      <c r="D87" s="332"/>
      <c r="E87" s="332"/>
      <c r="F87" s="332"/>
      <c r="G87" s="332"/>
      <c r="H87" s="332"/>
      <c r="I87" s="332"/>
      <c r="J87" s="332"/>
      <c r="K87" s="332"/>
      <c r="L87" s="332"/>
      <c r="M87" s="332"/>
      <c r="N87" s="332"/>
      <c r="O87" s="332"/>
      <c r="P87" s="332"/>
      <c r="Q87" s="332"/>
      <c r="R87" s="332"/>
      <c r="S87" s="332"/>
      <c r="T87" s="332"/>
      <c r="U87" s="332"/>
      <c r="V87" s="332"/>
      <c r="W87" s="332"/>
      <c r="X87" s="332"/>
      <c r="Y87" s="332"/>
      <c r="Z87" s="332"/>
      <c r="AA87" s="332"/>
      <c r="AB87" s="332"/>
      <c r="AC87" s="332"/>
      <c r="AD87" s="332"/>
      <c r="AE87" s="332"/>
      <c r="AF87" s="332"/>
      <c r="AG87" s="332"/>
      <c r="AH87" s="332"/>
      <c r="AI87" s="332"/>
      <c r="AJ87" s="332"/>
      <c r="AK87" s="332"/>
      <c r="AL87" s="332"/>
      <c r="AM87" s="332"/>
      <c r="AN87" s="332"/>
      <c r="AO87" s="332"/>
      <c r="AP87" s="332"/>
      <c r="AQ87" s="332"/>
      <c r="AR87" s="332"/>
      <c r="AS87" s="332"/>
      <c r="AT87" s="332"/>
      <c r="AU87" s="332"/>
      <c r="AV87" s="332"/>
      <c r="AW87" s="332"/>
      <c r="AX87" s="332"/>
      <c r="AY87" s="332"/>
      <c r="AZ87" s="332"/>
      <c r="BA87" s="332"/>
      <c r="BB87" s="332"/>
      <c r="BC87" s="332"/>
      <c r="BD87" s="332"/>
      <c r="BE87" s="332"/>
      <c r="BF87" s="332"/>
      <c r="BG87" s="332"/>
      <c r="BH87" s="332"/>
      <c r="BI87" s="332"/>
      <c r="BJ87" s="332"/>
      <c r="BK87" s="332"/>
      <c r="BL87" s="332"/>
      <c r="BM87" s="332"/>
      <c r="BN87" s="332"/>
      <c r="BO87" s="332"/>
      <c r="BP87" s="332"/>
    </row>
    <row r="88" spans="1:68" ht="15" customHeight="1">
      <c r="A88" s="332"/>
      <c r="B88" s="332"/>
      <c r="C88" s="332"/>
      <c r="D88" s="332"/>
      <c r="E88" s="332"/>
      <c r="F88" s="332"/>
      <c r="G88" s="332"/>
      <c r="H88" s="332"/>
      <c r="I88" s="332"/>
      <c r="J88" s="332"/>
      <c r="K88" s="332"/>
      <c r="L88" s="332"/>
      <c r="M88" s="332"/>
      <c r="N88" s="332"/>
      <c r="O88" s="332"/>
      <c r="P88" s="332"/>
      <c r="Q88" s="332"/>
      <c r="R88" s="332"/>
      <c r="S88" s="332"/>
      <c r="T88" s="332"/>
      <c r="U88" s="332"/>
      <c r="V88" s="332"/>
      <c r="W88" s="332"/>
      <c r="X88" s="332"/>
      <c r="Y88" s="332"/>
      <c r="Z88" s="332"/>
      <c r="AA88" s="332"/>
      <c r="AB88" s="332"/>
      <c r="AC88" s="332"/>
      <c r="AD88" s="332"/>
      <c r="AE88" s="332"/>
      <c r="AF88" s="332"/>
      <c r="AG88" s="332"/>
      <c r="AH88" s="332"/>
      <c r="AI88" s="332"/>
      <c r="AJ88" s="332"/>
      <c r="AK88" s="332"/>
      <c r="AL88" s="332"/>
      <c r="AM88" s="332"/>
      <c r="AN88" s="332"/>
      <c r="AO88" s="332"/>
      <c r="AP88" s="332"/>
      <c r="AQ88" s="332"/>
      <c r="AR88" s="332"/>
      <c r="AS88" s="332"/>
      <c r="AT88" s="332"/>
      <c r="AU88" s="332"/>
      <c r="AV88" s="332"/>
      <c r="AW88" s="332"/>
      <c r="AX88" s="332"/>
      <c r="AY88" s="332"/>
      <c r="AZ88" s="332"/>
      <c r="BA88" s="332"/>
      <c r="BB88" s="332"/>
      <c r="BC88" s="332"/>
      <c r="BD88" s="332"/>
      <c r="BE88" s="332"/>
      <c r="BF88" s="332"/>
      <c r="BG88" s="332"/>
      <c r="BH88" s="332"/>
      <c r="BI88" s="332"/>
      <c r="BJ88" s="332"/>
      <c r="BK88" s="332"/>
      <c r="BL88" s="332"/>
      <c r="BM88" s="332"/>
      <c r="BN88" s="332"/>
      <c r="BO88" s="332"/>
      <c r="BP88" s="332"/>
    </row>
    <row r="89" spans="1:68" ht="15" customHeight="1">
      <c r="A89" s="332"/>
      <c r="B89" s="332"/>
      <c r="C89" s="332"/>
      <c r="D89" s="332"/>
      <c r="E89" s="332"/>
      <c r="F89" s="332"/>
      <c r="G89" s="332"/>
      <c r="H89" s="332"/>
      <c r="I89" s="332"/>
      <c r="J89" s="332"/>
      <c r="K89" s="332"/>
      <c r="L89" s="332"/>
      <c r="M89" s="332"/>
      <c r="N89" s="332"/>
      <c r="O89" s="332"/>
      <c r="P89" s="332"/>
      <c r="Q89" s="332"/>
      <c r="R89" s="332"/>
      <c r="S89" s="332"/>
      <c r="T89" s="332"/>
      <c r="U89" s="332"/>
      <c r="V89" s="332"/>
      <c r="W89" s="332"/>
      <c r="X89" s="332"/>
      <c r="Y89" s="332"/>
      <c r="Z89" s="332"/>
      <c r="AA89" s="332"/>
      <c r="AB89" s="332"/>
      <c r="AC89" s="332"/>
      <c r="AD89" s="332"/>
      <c r="AE89" s="332"/>
      <c r="AF89" s="332"/>
      <c r="AG89" s="332"/>
      <c r="AH89" s="332"/>
      <c r="AI89" s="332"/>
      <c r="AJ89" s="332"/>
      <c r="AK89" s="332"/>
      <c r="AL89" s="332"/>
      <c r="AM89" s="332"/>
      <c r="AN89" s="332"/>
      <c r="AO89" s="332"/>
      <c r="AP89" s="332"/>
      <c r="AQ89" s="332"/>
      <c r="AR89" s="332"/>
      <c r="AS89" s="332"/>
      <c r="AT89" s="332"/>
      <c r="AU89" s="332"/>
      <c r="AV89" s="332"/>
      <c r="AW89" s="332"/>
      <c r="AX89" s="332"/>
      <c r="AY89" s="332"/>
      <c r="AZ89" s="332"/>
      <c r="BA89" s="332"/>
      <c r="BB89" s="332"/>
      <c r="BC89" s="332"/>
      <c r="BD89" s="332"/>
      <c r="BE89" s="332"/>
      <c r="BF89" s="332"/>
      <c r="BG89" s="332"/>
      <c r="BH89" s="332"/>
      <c r="BI89" s="332"/>
      <c r="BJ89" s="332"/>
      <c r="BK89" s="332"/>
      <c r="BL89" s="332"/>
      <c r="BM89" s="332"/>
      <c r="BN89" s="332"/>
      <c r="BO89" s="332"/>
      <c r="BP89" s="332"/>
    </row>
    <row r="90" spans="1:68" ht="15" customHeight="1">
      <c r="A90" s="332"/>
      <c r="B90" s="332"/>
      <c r="C90" s="332"/>
      <c r="D90" s="332"/>
      <c r="E90" s="332"/>
      <c r="F90" s="332"/>
      <c r="G90" s="332"/>
      <c r="H90" s="332"/>
      <c r="I90" s="332"/>
      <c r="J90" s="332"/>
      <c r="K90" s="332"/>
      <c r="L90" s="332"/>
      <c r="M90" s="332"/>
      <c r="N90" s="332"/>
      <c r="O90" s="332"/>
      <c r="P90" s="332"/>
      <c r="Q90" s="332"/>
      <c r="R90" s="332"/>
      <c r="S90" s="332"/>
      <c r="T90" s="332"/>
      <c r="U90" s="332"/>
      <c r="V90" s="332"/>
      <c r="W90" s="332"/>
      <c r="X90" s="332"/>
      <c r="Y90" s="332"/>
      <c r="Z90" s="332"/>
      <c r="AA90" s="332"/>
      <c r="AB90" s="332"/>
      <c r="AC90" s="332"/>
      <c r="AD90" s="332"/>
      <c r="AE90" s="332"/>
      <c r="AF90" s="332"/>
      <c r="AG90" s="332"/>
      <c r="AH90" s="332"/>
      <c r="AI90" s="332"/>
      <c r="AJ90" s="332"/>
      <c r="AK90" s="332"/>
      <c r="AL90" s="332"/>
      <c r="AM90" s="332"/>
      <c r="AN90" s="332"/>
      <c r="AO90" s="332"/>
      <c r="AP90" s="332"/>
      <c r="AQ90" s="332"/>
      <c r="AR90" s="332"/>
      <c r="AS90" s="332"/>
      <c r="AT90" s="332"/>
      <c r="AU90" s="332"/>
      <c r="AV90" s="332"/>
      <c r="AW90" s="332"/>
      <c r="AX90" s="332"/>
      <c r="AY90" s="332"/>
      <c r="AZ90" s="332"/>
      <c r="BA90" s="332"/>
      <c r="BB90" s="332"/>
      <c r="BC90" s="332"/>
      <c r="BD90" s="332"/>
      <c r="BE90" s="332"/>
      <c r="BF90" s="332"/>
      <c r="BG90" s="332"/>
      <c r="BH90" s="332"/>
      <c r="BI90" s="332"/>
      <c r="BJ90" s="332"/>
      <c r="BK90" s="332"/>
      <c r="BL90" s="332"/>
      <c r="BM90" s="332"/>
      <c r="BN90" s="332"/>
      <c r="BO90" s="332"/>
      <c r="BP90" s="332"/>
    </row>
    <row r="91" spans="1:68" ht="15" customHeight="1">
      <c r="A91" s="332"/>
      <c r="B91" s="332"/>
      <c r="C91" s="332"/>
      <c r="D91" s="332"/>
      <c r="E91" s="332"/>
      <c r="F91" s="332"/>
      <c r="G91" s="332"/>
      <c r="H91" s="332"/>
      <c r="I91" s="332"/>
      <c r="J91" s="332"/>
      <c r="K91" s="332"/>
      <c r="L91" s="332"/>
      <c r="M91" s="332"/>
      <c r="N91" s="332"/>
      <c r="O91" s="332"/>
      <c r="P91" s="332"/>
      <c r="Q91" s="332"/>
      <c r="R91" s="332"/>
      <c r="S91" s="332"/>
      <c r="T91" s="332"/>
      <c r="U91" s="332"/>
      <c r="V91" s="332"/>
      <c r="W91" s="332"/>
      <c r="X91" s="332"/>
      <c r="Y91" s="332"/>
      <c r="Z91" s="332"/>
      <c r="AA91" s="332"/>
      <c r="AB91" s="332"/>
      <c r="AC91" s="332"/>
      <c r="AD91" s="332"/>
      <c r="AE91" s="332"/>
      <c r="AF91" s="332"/>
      <c r="AG91" s="332"/>
      <c r="AH91" s="332"/>
      <c r="AI91" s="332"/>
      <c r="AJ91" s="332"/>
      <c r="AK91" s="332"/>
      <c r="AL91" s="332"/>
      <c r="AM91" s="332"/>
      <c r="AN91" s="332"/>
      <c r="AO91" s="332"/>
      <c r="AP91" s="332"/>
      <c r="AQ91" s="332"/>
      <c r="AR91" s="332"/>
      <c r="AS91" s="332"/>
      <c r="AT91" s="332"/>
      <c r="AU91" s="332"/>
      <c r="AV91" s="332"/>
      <c r="AW91" s="332"/>
      <c r="AX91" s="332"/>
      <c r="AY91" s="332"/>
      <c r="AZ91" s="332"/>
      <c r="BA91" s="332"/>
      <c r="BB91" s="332"/>
      <c r="BC91" s="332"/>
      <c r="BD91" s="332"/>
      <c r="BE91" s="332"/>
      <c r="BF91" s="332"/>
      <c r="BG91" s="332"/>
      <c r="BH91" s="332"/>
      <c r="BI91" s="332"/>
      <c r="BJ91" s="332"/>
      <c r="BK91" s="332"/>
      <c r="BL91" s="332"/>
      <c r="BM91" s="332"/>
      <c r="BN91" s="332"/>
      <c r="BO91" s="332"/>
      <c r="BP91" s="332"/>
    </row>
    <row r="92" spans="1:68" ht="15" customHeight="1">
      <c r="A92" s="332"/>
      <c r="B92" s="332"/>
      <c r="C92" s="332"/>
      <c r="D92" s="332"/>
      <c r="E92" s="332"/>
      <c r="F92" s="332"/>
      <c r="G92" s="332"/>
      <c r="H92" s="332"/>
      <c r="I92" s="332"/>
      <c r="J92" s="332"/>
      <c r="K92" s="332"/>
      <c r="L92" s="332"/>
      <c r="M92" s="332"/>
      <c r="N92" s="332"/>
      <c r="O92" s="332"/>
      <c r="P92" s="332"/>
      <c r="Q92" s="332"/>
      <c r="R92" s="332"/>
      <c r="S92" s="332"/>
      <c r="T92" s="332"/>
      <c r="U92" s="332"/>
      <c r="V92" s="332"/>
      <c r="W92" s="332"/>
      <c r="X92" s="332"/>
      <c r="Y92" s="332"/>
      <c r="Z92" s="332"/>
      <c r="AA92" s="332"/>
      <c r="AB92" s="332"/>
      <c r="AC92" s="332"/>
      <c r="AD92" s="332"/>
      <c r="AE92" s="332"/>
      <c r="AF92" s="332"/>
      <c r="AG92" s="332"/>
      <c r="AH92" s="332"/>
      <c r="AI92" s="332"/>
      <c r="AJ92" s="332"/>
      <c r="AK92" s="332"/>
      <c r="AL92" s="332"/>
      <c r="AM92" s="332"/>
      <c r="AN92" s="332"/>
      <c r="AO92" s="332"/>
      <c r="AP92" s="332"/>
      <c r="AQ92" s="332"/>
      <c r="AR92" s="332"/>
      <c r="AS92" s="332"/>
      <c r="AT92" s="332"/>
      <c r="AU92" s="332"/>
      <c r="AV92" s="332"/>
      <c r="AW92" s="332"/>
      <c r="AX92" s="332"/>
      <c r="AY92" s="332"/>
      <c r="AZ92" s="332"/>
      <c r="BA92" s="332"/>
      <c r="BB92" s="332"/>
      <c r="BC92" s="332"/>
      <c r="BD92" s="332"/>
      <c r="BE92" s="332"/>
      <c r="BF92" s="332"/>
      <c r="BG92" s="332"/>
      <c r="BH92" s="332"/>
      <c r="BI92" s="332"/>
      <c r="BJ92" s="332"/>
      <c r="BK92" s="332"/>
      <c r="BL92" s="332"/>
      <c r="BM92" s="332"/>
      <c r="BN92" s="332"/>
      <c r="BO92" s="332"/>
      <c r="BP92" s="332"/>
    </row>
    <row r="93" spans="1:68" ht="15" customHeight="1">
      <c r="A93" s="332"/>
      <c r="B93" s="332"/>
      <c r="C93" s="332"/>
      <c r="D93" s="332"/>
      <c r="E93" s="332"/>
      <c r="F93" s="332"/>
      <c r="G93" s="332"/>
      <c r="H93" s="332"/>
      <c r="I93" s="332"/>
      <c r="J93" s="332"/>
      <c r="K93" s="332"/>
      <c r="L93" s="332"/>
      <c r="M93" s="332"/>
      <c r="N93" s="332"/>
      <c r="O93" s="332"/>
      <c r="P93" s="332"/>
      <c r="Q93" s="332"/>
      <c r="R93" s="332"/>
      <c r="S93" s="332"/>
      <c r="T93" s="332"/>
      <c r="U93" s="332"/>
      <c r="V93" s="332"/>
      <c r="W93" s="332"/>
      <c r="X93" s="332"/>
      <c r="Y93" s="332"/>
      <c r="Z93" s="332"/>
      <c r="AA93" s="332"/>
      <c r="AB93" s="332"/>
      <c r="AC93" s="332"/>
      <c r="AD93" s="332"/>
      <c r="AE93" s="332"/>
      <c r="AF93" s="332"/>
      <c r="AG93" s="332"/>
      <c r="AH93" s="332"/>
      <c r="AI93" s="332"/>
      <c r="AJ93" s="332"/>
      <c r="AK93" s="332"/>
      <c r="AL93" s="332"/>
      <c r="AM93" s="332"/>
      <c r="AN93" s="332"/>
      <c r="AO93" s="332"/>
      <c r="AP93" s="332"/>
      <c r="AQ93" s="332"/>
      <c r="AR93" s="332"/>
      <c r="AS93" s="332"/>
      <c r="AT93" s="332"/>
      <c r="AU93" s="332"/>
      <c r="AV93" s="332"/>
      <c r="AW93" s="332"/>
      <c r="AX93" s="332"/>
      <c r="AY93" s="332"/>
      <c r="AZ93" s="332"/>
      <c r="BA93" s="332"/>
      <c r="BB93" s="332"/>
      <c r="BC93" s="332"/>
      <c r="BD93" s="332"/>
      <c r="BE93" s="332"/>
      <c r="BF93" s="332"/>
      <c r="BG93" s="332"/>
      <c r="BH93" s="332"/>
      <c r="BI93" s="332"/>
      <c r="BJ93" s="332"/>
      <c r="BK93" s="332"/>
      <c r="BL93" s="332"/>
      <c r="BM93" s="332"/>
      <c r="BN93" s="332"/>
      <c r="BO93" s="332"/>
      <c r="BP93" s="332"/>
    </row>
    <row r="94" spans="1:68" ht="15" customHeight="1">
      <c r="A94" s="332"/>
      <c r="B94" s="332"/>
      <c r="C94" s="332"/>
      <c r="D94" s="332"/>
      <c r="E94" s="332"/>
      <c r="F94" s="332"/>
      <c r="G94" s="332"/>
      <c r="H94" s="332"/>
      <c r="I94" s="332"/>
      <c r="J94" s="332"/>
      <c r="K94" s="332"/>
      <c r="L94" s="332"/>
      <c r="M94" s="332"/>
      <c r="N94" s="332"/>
      <c r="O94" s="332"/>
      <c r="P94" s="332"/>
      <c r="Q94" s="332"/>
      <c r="R94" s="332"/>
      <c r="S94" s="332"/>
      <c r="T94" s="332"/>
      <c r="U94" s="332"/>
      <c r="V94" s="332"/>
      <c r="W94" s="332"/>
      <c r="X94" s="332"/>
      <c r="Y94" s="332"/>
      <c r="Z94" s="332"/>
      <c r="AA94" s="332"/>
      <c r="AB94" s="332"/>
      <c r="AC94" s="332"/>
      <c r="AD94" s="332"/>
      <c r="AE94" s="332"/>
      <c r="AF94" s="332"/>
      <c r="AG94" s="332"/>
      <c r="AH94" s="332"/>
      <c r="AI94" s="332"/>
      <c r="AJ94" s="332"/>
      <c r="AK94" s="332"/>
      <c r="AL94" s="332"/>
      <c r="AM94" s="332"/>
      <c r="AN94" s="332"/>
      <c r="AO94" s="332"/>
      <c r="AP94" s="332"/>
      <c r="AQ94" s="332"/>
      <c r="AR94" s="332"/>
      <c r="AS94" s="332"/>
      <c r="AT94" s="332"/>
      <c r="AU94" s="332"/>
      <c r="AV94" s="332"/>
      <c r="AW94" s="332"/>
      <c r="AX94" s="332"/>
      <c r="AY94" s="332"/>
      <c r="AZ94" s="332"/>
      <c r="BA94" s="332"/>
      <c r="BB94" s="332"/>
      <c r="BC94" s="332"/>
      <c r="BD94" s="332"/>
      <c r="BE94" s="332"/>
      <c r="BF94" s="332"/>
      <c r="BG94" s="332"/>
      <c r="BH94" s="332"/>
      <c r="BI94" s="332"/>
      <c r="BJ94" s="332"/>
      <c r="BK94" s="332"/>
      <c r="BL94" s="332"/>
      <c r="BM94" s="332"/>
      <c r="BN94" s="332"/>
      <c r="BO94" s="332"/>
      <c r="BP94" s="332"/>
    </row>
    <row r="95" spans="1:68" ht="15" customHeight="1">
      <c r="A95" s="332"/>
      <c r="B95" s="332"/>
      <c r="C95" s="332"/>
      <c r="D95" s="332"/>
      <c r="E95" s="332"/>
      <c r="F95" s="332"/>
      <c r="G95" s="332"/>
      <c r="H95" s="332"/>
      <c r="I95" s="332"/>
      <c r="J95" s="332"/>
      <c r="K95" s="332"/>
      <c r="L95" s="332"/>
      <c r="M95" s="332"/>
      <c r="N95" s="332"/>
      <c r="O95" s="332"/>
      <c r="P95" s="332"/>
      <c r="Q95" s="332"/>
      <c r="R95" s="332"/>
      <c r="S95" s="332"/>
      <c r="T95" s="332"/>
      <c r="U95" s="332"/>
      <c r="V95" s="332"/>
      <c r="W95" s="332"/>
      <c r="X95" s="332"/>
      <c r="Y95" s="332"/>
      <c r="Z95" s="332"/>
      <c r="AA95" s="332"/>
      <c r="AB95" s="332"/>
      <c r="AC95" s="332"/>
      <c r="AD95" s="332"/>
      <c r="AE95" s="332"/>
      <c r="AF95" s="332"/>
      <c r="AG95" s="332"/>
      <c r="AH95" s="332"/>
      <c r="AI95" s="332"/>
      <c r="AJ95" s="332"/>
      <c r="AK95" s="332"/>
      <c r="AL95" s="332"/>
      <c r="AM95" s="332"/>
      <c r="AN95" s="332"/>
      <c r="AO95" s="332"/>
      <c r="AP95" s="332"/>
      <c r="AQ95" s="332"/>
      <c r="AR95" s="332"/>
      <c r="AS95" s="332"/>
      <c r="AT95" s="332"/>
      <c r="AU95" s="332"/>
      <c r="AV95" s="332"/>
      <c r="AW95" s="332"/>
      <c r="AX95" s="332"/>
      <c r="AY95" s="332"/>
      <c r="AZ95" s="332"/>
      <c r="BA95" s="332"/>
      <c r="BB95" s="332"/>
      <c r="BC95" s="332"/>
      <c r="BD95" s="332"/>
      <c r="BE95" s="332"/>
      <c r="BF95" s="332"/>
      <c r="BG95" s="332"/>
      <c r="BH95" s="332"/>
      <c r="BI95" s="332"/>
      <c r="BJ95" s="332"/>
      <c r="BK95" s="332"/>
      <c r="BL95" s="332"/>
      <c r="BM95" s="332"/>
      <c r="BN95" s="332"/>
      <c r="BO95" s="332"/>
      <c r="BP95" s="332"/>
    </row>
    <row r="96" spans="1:68" ht="15" customHeight="1">
      <c r="A96" s="332"/>
      <c r="B96" s="332"/>
      <c r="C96" s="332"/>
      <c r="D96" s="332"/>
      <c r="E96" s="332"/>
      <c r="F96" s="332"/>
      <c r="G96" s="332"/>
      <c r="H96" s="332"/>
      <c r="I96" s="332"/>
      <c r="J96" s="332"/>
      <c r="K96" s="332"/>
      <c r="L96" s="332"/>
      <c r="M96" s="332"/>
      <c r="N96" s="332"/>
      <c r="O96" s="332"/>
      <c r="P96" s="332"/>
      <c r="Q96" s="332"/>
      <c r="R96" s="332"/>
      <c r="S96" s="332"/>
      <c r="T96" s="332"/>
      <c r="U96" s="332"/>
      <c r="V96" s="332"/>
      <c r="W96" s="332"/>
      <c r="X96" s="332"/>
      <c r="Y96" s="332"/>
      <c r="Z96" s="332"/>
      <c r="AA96" s="332"/>
      <c r="AB96" s="332"/>
      <c r="AC96" s="332"/>
      <c r="AD96" s="332"/>
      <c r="AE96" s="332"/>
      <c r="AF96" s="332"/>
      <c r="AG96" s="332"/>
      <c r="AH96" s="332"/>
      <c r="AI96" s="332"/>
      <c r="AJ96" s="332"/>
      <c r="AK96" s="332"/>
      <c r="AL96" s="332"/>
      <c r="AM96" s="332"/>
      <c r="AN96" s="332"/>
      <c r="AO96" s="332"/>
      <c r="AP96" s="332"/>
      <c r="AQ96" s="332"/>
      <c r="AR96" s="332"/>
      <c r="AS96" s="332"/>
      <c r="AT96" s="332"/>
      <c r="AU96" s="332"/>
      <c r="AV96" s="332"/>
      <c r="AW96" s="332"/>
      <c r="AX96" s="332"/>
      <c r="AY96" s="332"/>
      <c r="AZ96" s="332"/>
      <c r="BA96" s="332"/>
      <c r="BB96" s="332"/>
      <c r="BC96" s="332"/>
      <c r="BD96" s="332"/>
      <c r="BE96" s="332"/>
      <c r="BF96" s="332"/>
      <c r="BG96" s="332"/>
      <c r="BH96" s="332"/>
      <c r="BI96" s="332"/>
      <c r="BJ96" s="332"/>
      <c r="BK96" s="332"/>
      <c r="BL96" s="332"/>
      <c r="BM96" s="332"/>
      <c r="BN96" s="332"/>
      <c r="BO96" s="332"/>
      <c r="BP96" s="332"/>
    </row>
    <row r="97" spans="1:68" ht="15" customHeight="1">
      <c r="A97" s="332"/>
      <c r="B97" s="332"/>
      <c r="C97" s="332"/>
      <c r="D97" s="332"/>
      <c r="E97" s="332"/>
      <c r="F97" s="332"/>
      <c r="G97" s="332"/>
      <c r="H97" s="332"/>
      <c r="I97" s="332"/>
      <c r="J97" s="332"/>
      <c r="K97" s="332"/>
      <c r="L97" s="332"/>
      <c r="M97" s="332"/>
      <c r="N97" s="332"/>
      <c r="O97" s="332"/>
      <c r="P97" s="332"/>
      <c r="Q97" s="332"/>
      <c r="R97" s="332"/>
      <c r="S97" s="332"/>
      <c r="T97" s="332"/>
      <c r="U97" s="332"/>
      <c r="V97" s="332"/>
      <c r="W97" s="332"/>
      <c r="X97" s="332"/>
      <c r="Y97" s="332"/>
      <c r="Z97" s="332"/>
      <c r="AA97" s="332"/>
      <c r="AB97" s="332"/>
      <c r="AC97" s="332"/>
      <c r="AD97" s="332"/>
      <c r="AE97" s="332"/>
      <c r="AF97" s="332"/>
      <c r="AG97" s="332"/>
      <c r="AH97" s="332"/>
      <c r="AI97" s="332"/>
      <c r="AJ97" s="332"/>
      <c r="AK97" s="332"/>
      <c r="AL97" s="332"/>
      <c r="AM97" s="332"/>
      <c r="AN97" s="332"/>
      <c r="AO97" s="332"/>
      <c r="AP97" s="332"/>
      <c r="AQ97" s="332"/>
      <c r="AR97" s="332"/>
      <c r="AS97" s="332"/>
      <c r="AT97" s="332"/>
      <c r="AU97" s="332"/>
      <c r="AV97" s="332"/>
      <c r="AW97" s="332"/>
      <c r="AX97" s="332"/>
      <c r="AY97" s="332"/>
      <c r="AZ97" s="332"/>
      <c r="BA97" s="332"/>
      <c r="BB97" s="332"/>
      <c r="BC97" s="332"/>
      <c r="BD97" s="332"/>
      <c r="BE97" s="332"/>
      <c r="BF97" s="332"/>
      <c r="BG97" s="332"/>
      <c r="BH97" s="332"/>
      <c r="BI97" s="332"/>
      <c r="BJ97" s="332"/>
      <c r="BK97" s="332"/>
      <c r="BL97" s="332"/>
      <c r="BM97" s="332"/>
      <c r="BN97" s="332"/>
      <c r="BO97" s="332"/>
      <c r="BP97" s="332"/>
    </row>
    <row r="98" spans="1:68" ht="15" customHeight="1">
      <c r="A98" s="332"/>
      <c r="B98" s="332"/>
      <c r="C98" s="332"/>
      <c r="D98" s="332"/>
      <c r="E98" s="332"/>
      <c r="F98" s="332"/>
      <c r="G98" s="332"/>
      <c r="H98" s="332"/>
      <c r="I98" s="332"/>
      <c r="J98" s="332"/>
      <c r="K98" s="332"/>
      <c r="L98" s="332"/>
      <c r="M98" s="332"/>
      <c r="N98" s="332"/>
      <c r="O98" s="332"/>
      <c r="P98" s="332"/>
      <c r="Q98" s="332"/>
      <c r="R98" s="332"/>
      <c r="S98" s="332"/>
      <c r="T98" s="332"/>
      <c r="U98" s="332"/>
      <c r="V98" s="332"/>
      <c r="W98" s="332"/>
      <c r="X98" s="332"/>
      <c r="Y98" s="332"/>
      <c r="Z98" s="332"/>
      <c r="AA98" s="332"/>
      <c r="AB98" s="332"/>
      <c r="AC98" s="332"/>
      <c r="AD98" s="332"/>
      <c r="AE98" s="332"/>
      <c r="AF98" s="332"/>
      <c r="AG98" s="332"/>
      <c r="AH98" s="332"/>
      <c r="AI98" s="332"/>
      <c r="AJ98" s="332"/>
      <c r="AK98" s="332"/>
      <c r="AL98" s="332"/>
      <c r="AM98" s="332"/>
      <c r="AN98" s="332"/>
      <c r="AO98" s="332"/>
      <c r="AP98" s="332"/>
      <c r="AQ98" s="332"/>
      <c r="AR98" s="332"/>
      <c r="AS98" s="332"/>
      <c r="AT98" s="332"/>
      <c r="AU98" s="332"/>
      <c r="AV98" s="332"/>
      <c r="AW98" s="332"/>
      <c r="AX98" s="332"/>
      <c r="AY98" s="332"/>
      <c r="AZ98" s="332"/>
      <c r="BA98" s="332"/>
      <c r="BB98" s="332"/>
      <c r="BC98" s="332"/>
      <c r="BD98" s="332"/>
      <c r="BE98" s="332"/>
      <c r="BF98" s="332"/>
      <c r="BG98" s="332"/>
      <c r="BH98" s="332"/>
      <c r="BI98" s="332"/>
      <c r="BJ98" s="332"/>
      <c r="BK98" s="332"/>
      <c r="BL98" s="332"/>
      <c r="BM98" s="332"/>
      <c r="BN98" s="332"/>
      <c r="BO98" s="332"/>
      <c r="BP98" s="332"/>
    </row>
    <row r="99" spans="1:68" ht="15" customHeight="1">
      <c r="A99" s="332"/>
      <c r="B99" s="332"/>
      <c r="C99" s="332"/>
      <c r="D99" s="332"/>
      <c r="E99" s="332"/>
      <c r="F99" s="332"/>
      <c r="G99" s="332"/>
      <c r="H99" s="332"/>
      <c r="I99" s="332"/>
      <c r="J99" s="332"/>
      <c r="K99" s="332"/>
      <c r="L99" s="332"/>
      <c r="M99" s="332"/>
      <c r="N99" s="332"/>
      <c r="O99" s="332"/>
      <c r="P99" s="332"/>
      <c r="Q99" s="332"/>
      <c r="R99" s="332"/>
      <c r="S99" s="332"/>
      <c r="T99" s="332"/>
      <c r="U99" s="332"/>
      <c r="V99" s="332"/>
      <c r="W99" s="332"/>
      <c r="X99" s="332"/>
      <c r="Y99" s="332"/>
      <c r="Z99" s="332"/>
      <c r="AA99" s="332"/>
      <c r="AB99" s="332"/>
      <c r="AC99" s="332"/>
      <c r="AD99" s="332"/>
      <c r="AE99" s="332"/>
      <c r="AF99" s="332"/>
      <c r="AG99" s="332"/>
      <c r="AH99" s="332"/>
      <c r="AI99" s="332"/>
      <c r="AJ99" s="332"/>
      <c r="AK99" s="332"/>
      <c r="AL99" s="332"/>
      <c r="AM99" s="332"/>
      <c r="AN99" s="332"/>
      <c r="AO99" s="332"/>
      <c r="AP99" s="332"/>
      <c r="AQ99" s="332"/>
      <c r="AR99" s="332"/>
      <c r="AS99" s="332"/>
      <c r="AT99" s="332"/>
      <c r="AU99" s="332"/>
      <c r="AV99" s="332"/>
      <c r="AW99" s="332"/>
      <c r="AX99" s="332"/>
      <c r="AY99" s="332"/>
      <c r="AZ99" s="332"/>
      <c r="BA99" s="332"/>
      <c r="BB99" s="332"/>
      <c r="BC99" s="332"/>
      <c r="BD99" s="332"/>
      <c r="BE99" s="332"/>
      <c r="BF99" s="332"/>
      <c r="BG99" s="332"/>
      <c r="BH99" s="332"/>
      <c r="BI99" s="332"/>
      <c r="BJ99" s="332"/>
      <c r="BK99" s="332"/>
      <c r="BL99" s="332"/>
      <c r="BM99" s="332"/>
      <c r="BN99" s="332"/>
      <c r="BO99" s="332"/>
      <c r="BP99" s="332"/>
    </row>
    <row r="100" spans="1:68" ht="15" customHeight="1">
      <c r="A100" s="332"/>
      <c r="B100" s="332"/>
      <c r="C100" s="332"/>
      <c r="D100" s="332"/>
      <c r="E100" s="332"/>
      <c r="F100" s="332"/>
      <c r="G100" s="332"/>
      <c r="H100" s="332"/>
      <c r="I100" s="332"/>
      <c r="J100" s="332"/>
      <c r="K100" s="332"/>
      <c r="L100" s="332"/>
      <c r="M100" s="332"/>
      <c r="N100" s="332"/>
      <c r="O100" s="332"/>
      <c r="P100" s="332"/>
      <c r="Q100" s="332"/>
      <c r="R100" s="332"/>
      <c r="S100" s="332"/>
      <c r="T100" s="332"/>
      <c r="U100" s="332"/>
      <c r="V100" s="332"/>
      <c r="W100" s="332"/>
      <c r="X100" s="332"/>
      <c r="Y100" s="332"/>
      <c r="Z100" s="332"/>
      <c r="AA100" s="332"/>
      <c r="AB100" s="332"/>
      <c r="AC100" s="332"/>
      <c r="AD100" s="332"/>
      <c r="AE100" s="332"/>
      <c r="AF100" s="332"/>
      <c r="AG100" s="332"/>
      <c r="AH100" s="332"/>
      <c r="AI100" s="332"/>
      <c r="AJ100" s="332"/>
      <c r="AK100" s="332"/>
      <c r="AL100" s="332"/>
      <c r="AM100" s="332"/>
      <c r="AN100" s="332"/>
      <c r="AO100" s="332"/>
      <c r="AP100" s="332"/>
      <c r="AQ100" s="332"/>
      <c r="AR100" s="332"/>
      <c r="AS100" s="332"/>
      <c r="AT100" s="332"/>
      <c r="AU100" s="332"/>
      <c r="AV100" s="332"/>
      <c r="AW100" s="332"/>
      <c r="AX100" s="332"/>
      <c r="AY100" s="332"/>
      <c r="AZ100" s="332"/>
      <c r="BA100" s="332"/>
      <c r="BB100" s="332"/>
      <c r="BC100" s="332"/>
      <c r="BD100" s="332"/>
      <c r="BE100" s="332"/>
      <c r="BF100" s="332"/>
      <c r="BG100" s="332"/>
      <c r="BH100" s="332"/>
      <c r="BI100" s="332"/>
      <c r="BJ100" s="332"/>
      <c r="BK100" s="332"/>
      <c r="BL100" s="332"/>
      <c r="BM100" s="332"/>
      <c r="BN100" s="332"/>
      <c r="BO100" s="332"/>
      <c r="BP100" s="332"/>
    </row>
    <row r="101" spans="1:68" ht="15" customHeight="1">
      <c r="A101" s="332"/>
      <c r="B101" s="332"/>
      <c r="C101" s="332"/>
      <c r="D101" s="332"/>
      <c r="E101" s="332"/>
      <c r="F101" s="332"/>
      <c r="G101" s="332"/>
      <c r="H101" s="332"/>
      <c r="I101" s="332"/>
      <c r="J101" s="332"/>
      <c r="K101" s="332"/>
      <c r="L101" s="332"/>
      <c r="M101" s="332"/>
      <c r="N101" s="332"/>
      <c r="O101" s="332"/>
      <c r="P101" s="332"/>
      <c r="Q101" s="332"/>
      <c r="R101" s="332"/>
      <c r="S101" s="332"/>
      <c r="T101" s="332"/>
      <c r="U101" s="332"/>
      <c r="V101" s="332"/>
      <c r="W101" s="332"/>
      <c r="X101" s="332"/>
      <c r="Y101" s="332"/>
      <c r="Z101" s="332"/>
      <c r="AA101" s="332"/>
      <c r="AB101" s="332"/>
      <c r="AC101" s="332"/>
      <c r="AD101" s="332"/>
      <c r="AE101" s="332"/>
      <c r="AF101" s="332"/>
      <c r="AG101" s="332"/>
      <c r="AH101" s="332"/>
      <c r="AI101" s="332"/>
      <c r="AJ101" s="332"/>
      <c r="AK101" s="332"/>
      <c r="AL101" s="332"/>
      <c r="AM101" s="332"/>
      <c r="AN101" s="332"/>
      <c r="AO101" s="332"/>
      <c r="AP101" s="332"/>
      <c r="AQ101" s="332"/>
      <c r="AR101" s="332"/>
      <c r="AS101" s="332"/>
      <c r="AT101" s="332"/>
      <c r="AU101" s="332"/>
      <c r="AV101" s="332"/>
      <c r="AW101" s="332"/>
      <c r="AX101" s="332"/>
      <c r="AY101" s="332"/>
      <c r="AZ101" s="332"/>
      <c r="BA101" s="332"/>
      <c r="BB101" s="332"/>
      <c r="BC101" s="332"/>
      <c r="BD101" s="332"/>
      <c r="BE101" s="332"/>
      <c r="BF101" s="332"/>
      <c r="BG101" s="332"/>
      <c r="BH101" s="332"/>
      <c r="BI101" s="332"/>
      <c r="BJ101" s="332"/>
      <c r="BK101" s="332"/>
      <c r="BL101" s="332"/>
      <c r="BM101" s="332"/>
      <c r="BN101" s="332"/>
      <c r="BO101" s="332"/>
      <c r="BP101" s="332"/>
    </row>
    <row r="102" spans="1:68" ht="15" customHeight="1">
      <c r="A102" s="332"/>
      <c r="B102" s="332"/>
      <c r="C102" s="332"/>
      <c r="D102" s="332"/>
      <c r="E102" s="332"/>
      <c r="F102" s="332"/>
      <c r="G102" s="332"/>
      <c r="H102" s="332"/>
      <c r="I102" s="332"/>
      <c r="J102" s="332"/>
      <c r="K102" s="332"/>
      <c r="L102" s="332"/>
      <c r="M102" s="332"/>
      <c r="N102" s="332"/>
      <c r="O102" s="332"/>
      <c r="P102" s="332"/>
      <c r="Q102" s="332"/>
      <c r="R102" s="332"/>
      <c r="S102" s="332"/>
      <c r="T102" s="332"/>
      <c r="U102" s="332"/>
      <c r="V102" s="332"/>
      <c r="W102" s="332"/>
      <c r="X102" s="332"/>
      <c r="Y102" s="332"/>
      <c r="Z102" s="332"/>
      <c r="AA102" s="332"/>
      <c r="AB102" s="332"/>
      <c r="AC102" s="332"/>
      <c r="AD102" s="332"/>
      <c r="AE102" s="332"/>
      <c r="AF102" s="332"/>
      <c r="AG102" s="332"/>
      <c r="AH102" s="332"/>
      <c r="AI102" s="332"/>
      <c r="AJ102" s="332"/>
      <c r="AK102" s="332"/>
      <c r="AL102" s="332"/>
      <c r="AM102" s="332"/>
      <c r="AN102" s="332"/>
      <c r="AO102" s="332"/>
      <c r="AP102" s="332"/>
      <c r="AQ102" s="332"/>
      <c r="AR102" s="332"/>
      <c r="AS102" s="332"/>
      <c r="AT102" s="332"/>
      <c r="AU102" s="332"/>
      <c r="AV102" s="332"/>
      <c r="AW102" s="332"/>
      <c r="AX102" s="332"/>
      <c r="AY102" s="332"/>
      <c r="AZ102" s="332"/>
      <c r="BA102" s="332"/>
      <c r="BB102" s="332"/>
      <c r="BC102" s="332"/>
      <c r="BD102" s="332"/>
      <c r="BE102" s="332"/>
      <c r="BF102" s="332"/>
      <c r="BG102" s="332"/>
      <c r="BH102" s="332"/>
      <c r="BI102" s="332"/>
      <c r="BJ102" s="332"/>
      <c r="BK102" s="332"/>
      <c r="BL102" s="332"/>
      <c r="BM102" s="332"/>
      <c r="BN102" s="332"/>
      <c r="BO102" s="332"/>
      <c r="BP102" s="332"/>
    </row>
    <row r="103" spans="1:68" ht="15" customHeight="1">
      <c r="A103" s="332"/>
      <c r="B103" s="332"/>
      <c r="C103" s="332"/>
      <c r="D103" s="332"/>
      <c r="E103" s="332"/>
      <c r="F103" s="332"/>
      <c r="G103" s="332"/>
      <c r="H103" s="332"/>
      <c r="I103" s="332"/>
      <c r="J103" s="332"/>
      <c r="K103" s="332"/>
      <c r="L103" s="332"/>
      <c r="M103" s="332"/>
      <c r="N103" s="332"/>
      <c r="O103" s="332"/>
      <c r="P103" s="332"/>
      <c r="Q103" s="332"/>
      <c r="R103" s="332"/>
      <c r="S103" s="332"/>
      <c r="T103" s="332"/>
      <c r="U103" s="332"/>
      <c r="V103" s="332"/>
      <c r="W103" s="332"/>
      <c r="X103" s="332"/>
      <c r="Y103" s="332"/>
      <c r="Z103" s="332"/>
      <c r="AA103" s="332"/>
      <c r="AB103" s="332"/>
      <c r="AC103" s="332"/>
      <c r="AD103" s="332"/>
      <c r="AE103" s="332"/>
      <c r="AF103" s="332"/>
      <c r="AG103" s="332"/>
      <c r="AH103" s="332"/>
      <c r="AI103" s="332"/>
      <c r="AJ103" s="332"/>
      <c r="AK103" s="332"/>
      <c r="AL103" s="332"/>
      <c r="AM103" s="332"/>
      <c r="AN103" s="332"/>
      <c r="AO103" s="332"/>
      <c r="AP103" s="332"/>
      <c r="AQ103" s="332"/>
      <c r="AR103" s="332"/>
      <c r="AS103" s="332"/>
      <c r="AT103" s="332"/>
      <c r="AU103" s="332"/>
      <c r="AV103" s="332"/>
      <c r="AW103" s="332"/>
      <c r="AX103" s="332"/>
      <c r="AY103" s="332"/>
      <c r="AZ103" s="332"/>
      <c r="BA103" s="332"/>
      <c r="BB103" s="332"/>
      <c r="BC103" s="332"/>
      <c r="BD103" s="332"/>
      <c r="BE103" s="332"/>
      <c r="BF103" s="332"/>
      <c r="BG103" s="332"/>
      <c r="BH103" s="332"/>
      <c r="BI103" s="332"/>
      <c r="BJ103" s="332"/>
      <c r="BK103" s="332"/>
      <c r="BL103" s="332"/>
      <c r="BM103" s="332"/>
      <c r="BN103" s="332"/>
      <c r="BO103" s="332"/>
      <c r="BP103" s="332"/>
    </row>
    <row r="104" spans="1:68" ht="15" customHeight="1">
      <c r="A104" s="332"/>
      <c r="B104" s="332"/>
      <c r="C104" s="332"/>
      <c r="D104" s="332"/>
      <c r="E104" s="332"/>
      <c r="F104" s="332"/>
      <c r="G104" s="332"/>
      <c r="H104" s="332"/>
      <c r="I104" s="332"/>
      <c r="J104" s="332"/>
      <c r="K104" s="332"/>
      <c r="L104" s="332"/>
      <c r="M104" s="332"/>
      <c r="N104" s="332"/>
      <c r="O104" s="332"/>
      <c r="P104" s="332"/>
      <c r="Q104" s="332"/>
      <c r="R104" s="332"/>
      <c r="S104" s="332"/>
      <c r="T104" s="332"/>
      <c r="U104" s="332"/>
      <c r="V104" s="332"/>
      <c r="W104" s="332"/>
      <c r="X104" s="332"/>
      <c r="Y104" s="332"/>
      <c r="Z104" s="332"/>
      <c r="AA104" s="332"/>
      <c r="AB104" s="332"/>
      <c r="AC104" s="332"/>
      <c r="AD104" s="332"/>
      <c r="AE104" s="332"/>
      <c r="AF104" s="332"/>
      <c r="AG104" s="332"/>
      <c r="AH104" s="332"/>
      <c r="AI104" s="332"/>
      <c r="AJ104" s="332"/>
      <c r="AK104" s="332"/>
      <c r="AL104" s="332"/>
      <c r="AM104" s="332"/>
      <c r="AN104" s="332"/>
      <c r="AO104" s="332"/>
      <c r="AP104" s="332"/>
      <c r="AQ104" s="332"/>
      <c r="AR104" s="332"/>
      <c r="AS104" s="332"/>
      <c r="AT104" s="332"/>
      <c r="AU104" s="332"/>
      <c r="AV104" s="332"/>
      <c r="AW104" s="332"/>
      <c r="AX104" s="332"/>
      <c r="AY104" s="332"/>
      <c r="AZ104" s="332"/>
      <c r="BA104" s="332"/>
      <c r="BB104" s="332"/>
      <c r="BC104" s="332"/>
      <c r="BD104" s="332"/>
      <c r="BE104" s="332"/>
      <c r="BF104" s="332"/>
      <c r="BG104" s="332"/>
      <c r="BH104" s="332"/>
      <c r="BI104" s="332"/>
      <c r="BJ104" s="332"/>
      <c r="BK104" s="332"/>
      <c r="BL104" s="332"/>
      <c r="BM104" s="332"/>
      <c r="BN104" s="332"/>
      <c r="BO104" s="332"/>
      <c r="BP104" s="332"/>
    </row>
    <row r="105" spans="1:68" ht="15" customHeight="1">
      <c r="A105" s="332"/>
      <c r="B105" s="332"/>
      <c r="C105" s="332"/>
      <c r="D105" s="332"/>
      <c r="E105" s="332"/>
      <c r="F105" s="332"/>
      <c r="G105" s="332"/>
      <c r="H105" s="332"/>
      <c r="I105" s="332"/>
      <c r="J105" s="332"/>
      <c r="K105" s="332"/>
      <c r="L105" s="332"/>
      <c r="M105" s="332"/>
      <c r="N105" s="332"/>
      <c r="O105" s="332"/>
      <c r="P105" s="332"/>
      <c r="Q105" s="332"/>
      <c r="R105" s="332"/>
      <c r="S105" s="332"/>
      <c r="T105" s="332"/>
      <c r="U105" s="332"/>
      <c r="V105" s="332"/>
      <c r="W105" s="332"/>
      <c r="X105" s="332"/>
      <c r="Y105" s="332"/>
      <c r="Z105" s="332"/>
      <c r="AA105" s="332"/>
      <c r="AB105" s="332"/>
      <c r="AC105" s="332"/>
      <c r="AD105" s="332"/>
      <c r="AE105" s="332"/>
      <c r="AF105" s="332"/>
      <c r="AG105" s="332"/>
      <c r="AH105" s="332"/>
      <c r="AI105" s="332"/>
      <c r="AJ105" s="332"/>
      <c r="AK105" s="332"/>
      <c r="AL105" s="332"/>
      <c r="AM105" s="332"/>
      <c r="AN105" s="332"/>
      <c r="AO105" s="332"/>
      <c r="AP105" s="332"/>
      <c r="AQ105" s="332"/>
      <c r="AR105" s="332"/>
      <c r="AS105" s="332"/>
      <c r="AT105" s="332"/>
      <c r="AU105" s="332"/>
      <c r="AV105" s="332"/>
      <c r="AW105" s="332"/>
      <c r="AX105" s="332"/>
      <c r="AY105" s="332"/>
      <c r="AZ105" s="332"/>
      <c r="BA105" s="332"/>
      <c r="BB105" s="332"/>
      <c r="BC105" s="332"/>
      <c r="BD105" s="332"/>
      <c r="BE105" s="332"/>
      <c r="BF105" s="332"/>
      <c r="BG105" s="332"/>
      <c r="BH105" s="332"/>
      <c r="BI105" s="332"/>
      <c r="BJ105" s="332"/>
      <c r="BK105" s="332"/>
      <c r="BL105" s="332"/>
      <c r="BM105" s="332"/>
      <c r="BN105" s="332"/>
      <c r="BO105" s="332"/>
      <c r="BP105" s="332"/>
    </row>
    <row r="106" spans="1:68" ht="15" customHeight="1">
      <c r="A106" s="332"/>
      <c r="B106" s="332"/>
      <c r="C106" s="332"/>
      <c r="D106" s="332"/>
      <c r="E106" s="332"/>
      <c r="F106" s="332"/>
      <c r="G106" s="332"/>
      <c r="H106" s="332"/>
      <c r="I106" s="332"/>
      <c r="J106" s="332"/>
      <c r="K106" s="332"/>
      <c r="L106" s="332"/>
      <c r="M106" s="332"/>
      <c r="N106" s="332"/>
      <c r="O106" s="332"/>
      <c r="P106" s="332"/>
      <c r="Q106" s="332"/>
      <c r="R106" s="332"/>
      <c r="S106" s="332"/>
      <c r="T106" s="332"/>
      <c r="U106" s="332"/>
      <c r="V106" s="332"/>
      <c r="W106" s="332"/>
      <c r="X106" s="332"/>
      <c r="Y106" s="332"/>
      <c r="Z106" s="332"/>
      <c r="AA106" s="332"/>
      <c r="AB106" s="332"/>
      <c r="AC106" s="332"/>
      <c r="AD106" s="332"/>
      <c r="AE106" s="332"/>
      <c r="AF106" s="332"/>
      <c r="AG106" s="332"/>
      <c r="AH106" s="332"/>
      <c r="AI106" s="332"/>
      <c r="AJ106" s="332"/>
      <c r="AK106" s="332"/>
      <c r="AL106" s="332"/>
      <c r="AM106" s="332"/>
      <c r="AN106" s="332"/>
      <c r="AO106" s="332"/>
      <c r="AP106" s="332"/>
      <c r="AQ106" s="332"/>
      <c r="AR106" s="332"/>
      <c r="AS106" s="332"/>
      <c r="AT106" s="332"/>
      <c r="AU106" s="332"/>
      <c r="AV106" s="332"/>
      <c r="AW106" s="332"/>
      <c r="AX106" s="332"/>
      <c r="AY106" s="332"/>
      <c r="AZ106" s="332"/>
      <c r="BA106" s="332"/>
      <c r="BB106" s="332"/>
      <c r="BC106" s="332"/>
      <c r="BD106" s="332"/>
      <c r="BE106" s="332"/>
      <c r="BF106" s="332"/>
      <c r="BG106" s="332"/>
      <c r="BH106" s="332"/>
      <c r="BI106" s="332"/>
      <c r="BJ106" s="332"/>
      <c r="BK106" s="332"/>
      <c r="BL106" s="332"/>
      <c r="BM106" s="332"/>
      <c r="BN106" s="332"/>
      <c r="BO106" s="332"/>
      <c r="BP106" s="332"/>
    </row>
    <row r="107" spans="1:68" ht="15" customHeight="1">
      <c r="A107" s="332"/>
      <c r="B107" s="332"/>
      <c r="C107" s="332"/>
      <c r="D107" s="332"/>
      <c r="E107" s="332"/>
      <c r="F107" s="332"/>
      <c r="G107" s="332"/>
      <c r="H107" s="332"/>
      <c r="I107" s="332"/>
      <c r="J107" s="332"/>
      <c r="K107" s="332"/>
      <c r="L107" s="332"/>
      <c r="M107" s="332"/>
      <c r="N107" s="332"/>
      <c r="O107" s="332"/>
      <c r="P107" s="332"/>
      <c r="Q107" s="332"/>
      <c r="R107" s="332"/>
      <c r="S107" s="332"/>
      <c r="T107" s="332"/>
      <c r="U107" s="332"/>
      <c r="V107" s="332"/>
      <c r="W107" s="332"/>
      <c r="X107" s="332"/>
      <c r="Y107" s="332"/>
      <c r="Z107" s="332"/>
      <c r="AA107" s="332"/>
      <c r="AB107" s="332"/>
      <c r="AC107" s="332"/>
      <c r="AD107" s="332"/>
      <c r="AE107" s="332"/>
      <c r="AF107" s="332"/>
      <c r="AG107" s="332"/>
      <c r="AH107" s="332"/>
      <c r="AI107" s="332"/>
      <c r="AJ107" s="332"/>
      <c r="AK107" s="332"/>
      <c r="AL107" s="332"/>
      <c r="AM107" s="332"/>
      <c r="AN107" s="332"/>
      <c r="AO107" s="332"/>
      <c r="AP107" s="332"/>
      <c r="AQ107" s="332"/>
      <c r="AR107" s="332"/>
      <c r="AS107" s="332"/>
      <c r="AT107" s="332"/>
      <c r="AU107" s="332"/>
      <c r="AV107" s="332"/>
      <c r="AW107" s="332"/>
      <c r="AX107" s="332"/>
      <c r="AY107" s="332"/>
      <c r="AZ107" s="332"/>
      <c r="BA107" s="332"/>
      <c r="BB107" s="332"/>
      <c r="BC107" s="332"/>
      <c r="BD107" s="332"/>
      <c r="BE107" s="332"/>
      <c r="BF107" s="332"/>
      <c r="BG107" s="332"/>
      <c r="BH107" s="332"/>
      <c r="BI107" s="332"/>
      <c r="BJ107" s="332"/>
      <c r="BK107" s="332"/>
      <c r="BL107" s="332"/>
      <c r="BM107" s="332"/>
      <c r="BN107" s="332"/>
      <c r="BO107" s="332"/>
      <c r="BP107" s="332"/>
    </row>
    <row r="108" spans="1:68" ht="15" customHeight="1">
      <c r="A108" s="332"/>
      <c r="B108" s="332"/>
      <c r="C108" s="332"/>
      <c r="D108" s="332"/>
      <c r="E108" s="332"/>
      <c r="F108" s="332"/>
      <c r="G108" s="332"/>
      <c r="H108" s="332"/>
      <c r="I108" s="332"/>
      <c r="J108" s="332"/>
      <c r="K108" s="332"/>
      <c r="L108" s="332"/>
      <c r="M108" s="332"/>
      <c r="N108" s="332"/>
      <c r="O108" s="332"/>
      <c r="P108" s="332"/>
      <c r="Q108" s="332"/>
      <c r="R108" s="332"/>
      <c r="S108" s="332"/>
      <c r="T108" s="332"/>
      <c r="U108" s="332"/>
      <c r="V108" s="332"/>
      <c r="W108" s="332"/>
      <c r="X108" s="332"/>
      <c r="Y108" s="332"/>
      <c r="Z108" s="332"/>
      <c r="AA108" s="332"/>
      <c r="AB108" s="332"/>
      <c r="AC108" s="332"/>
      <c r="AD108" s="332"/>
      <c r="AE108" s="332"/>
      <c r="AF108" s="332"/>
      <c r="AG108" s="332"/>
      <c r="AH108" s="332"/>
      <c r="AI108" s="332"/>
      <c r="AJ108" s="332"/>
      <c r="AK108" s="332"/>
      <c r="AL108" s="332"/>
      <c r="AM108" s="332"/>
      <c r="AN108" s="332"/>
      <c r="AO108" s="332"/>
      <c r="AP108" s="332"/>
      <c r="AQ108" s="332"/>
      <c r="AR108" s="332"/>
      <c r="AS108" s="332"/>
      <c r="AT108" s="332"/>
      <c r="AU108" s="332"/>
      <c r="AV108" s="332"/>
      <c r="AW108" s="332"/>
      <c r="AX108" s="332"/>
      <c r="AY108" s="332"/>
      <c r="AZ108" s="332"/>
      <c r="BA108" s="332"/>
      <c r="BB108" s="332"/>
      <c r="BC108" s="332"/>
      <c r="BD108" s="332"/>
      <c r="BE108" s="332"/>
      <c r="BF108" s="332"/>
      <c r="BG108" s="332"/>
      <c r="BH108" s="332"/>
      <c r="BI108" s="332"/>
      <c r="BJ108" s="332"/>
      <c r="BK108" s="332"/>
      <c r="BL108" s="332"/>
      <c r="BM108" s="332"/>
      <c r="BN108" s="332"/>
      <c r="BO108" s="332"/>
      <c r="BP108" s="332"/>
    </row>
    <row r="109" spans="1:68" ht="15" customHeight="1">
      <c r="A109" s="332"/>
      <c r="B109" s="332"/>
      <c r="C109" s="332"/>
      <c r="D109" s="332"/>
      <c r="E109" s="332"/>
      <c r="F109" s="332"/>
      <c r="G109" s="332"/>
      <c r="H109" s="332"/>
      <c r="I109" s="332"/>
      <c r="J109" s="332"/>
      <c r="K109" s="332"/>
      <c r="L109" s="332"/>
      <c r="M109" s="332"/>
      <c r="N109" s="332"/>
      <c r="O109" s="332"/>
      <c r="P109" s="332"/>
      <c r="Q109" s="332"/>
      <c r="R109" s="332"/>
      <c r="S109" s="332"/>
      <c r="T109" s="332"/>
      <c r="U109" s="332"/>
      <c r="V109" s="332"/>
      <c r="W109" s="332"/>
      <c r="X109" s="332"/>
      <c r="Y109" s="332"/>
      <c r="Z109" s="332"/>
      <c r="AA109" s="332"/>
      <c r="AB109" s="332"/>
      <c r="AC109" s="332"/>
      <c r="AD109" s="332"/>
      <c r="AE109" s="332"/>
      <c r="AF109" s="332"/>
      <c r="AG109" s="332"/>
      <c r="AH109" s="332"/>
      <c r="AI109" s="332"/>
      <c r="AJ109" s="332"/>
      <c r="AK109" s="332"/>
      <c r="AL109" s="332"/>
      <c r="AM109" s="332"/>
      <c r="AN109" s="332"/>
      <c r="AO109" s="332"/>
      <c r="AP109" s="332"/>
      <c r="AQ109" s="332"/>
      <c r="AR109" s="332"/>
      <c r="AS109" s="332"/>
      <c r="AT109" s="332"/>
      <c r="AU109" s="332"/>
      <c r="AV109" s="332"/>
      <c r="AW109" s="332"/>
      <c r="AX109" s="332"/>
      <c r="AY109" s="332"/>
      <c r="AZ109" s="332"/>
      <c r="BA109" s="332"/>
      <c r="BB109" s="332"/>
      <c r="BC109" s="332"/>
      <c r="BD109" s="332"/>
      <c r="BE109" s="332"/>
      <c r="BF109" s="332"/>
      <c r="BG109" s="332"/>
      <c r="BH109" s="332"/>
      <c r="BI109" s="332"/>
      <c r="BJ109" s="332"/>
      <c r="BK109" s="332"/>
      <c r="BL109" s="332"/>
      <c r="BM109" s="332"/>
      <c r="BN109" s="332"/>
      <c r="BO109" s="332"/>
      <c r="BP109" s="332"/>
    </row>
    <row r="110" spans="1:68" ht="25.5" customHeight="1">
      <c r="A110" s="332"/>
      <c r="B110" s="332"/>
      <c r="C110" s="332"/>
      <c r="D110" s="332"/>
      <c r="E110" s="332"/>
      <c r="F110" s="332"/>
      <c r="G110" s="332"/>
      <c r="H110" s="332"/>
      <c r="I110" s="332"/>
      <c r="J110" s="332"/>
      <c r="K110" s="332"/>
      <c r="L110" s="332"/>
      <c r="M110" s="332"/>
      <c r="N110" s="332"/>
      <c r="O110" s="332"/>
      <c r="P110" s="332"/>
      <c r="Q110" s="332"/>
      <c r="R110" s="332"/>
      <c r="S110" s="332"/>
      <c r="T110" s="332"/>
      <c r="U110" s="332"/>
      <c r="V110" s="332"/>
      <c r="W110" s="332"/>
      <c r="X110" s="332"/>
      <c r="Y110" s="332"/>
      <c r="Z110" s="332"/>
      <c r="AA110" s="332"/>
      <c r="AB110" s="332"/>
      <c r="AC110" s="332"/>
      <c r="AD110" s="332"/>
      <c r="AE110" s="332"/>
      <c r="AF110" s="332"/>
      <c r="AG110" s="332"/>
      <c r="AH110" s="332"/>
      <c r="AI110" s="332"/>
      <c r="AJ110" s="332"/>
      <c r="AK110" s="332"/>
      <c r="AL110" s="332"/>
      <c r="AM110" s="332"/>
      <c r="AN110" s="332"/>
      <c r="AO110" s="332"/>
      <c r="AP110" s="332"/>
      <c r="AQ110" s="332"/>
      <c r="AR110" s="332"/>
      <c r="AS110" s="332"/>
      <c r="AT110" s="332"/>
      <c r="AU110" s="332"/>
      <c r="AV110" s="332"/>
      <c r="AW110" s="332"/>
      <c r="AX110" s="332"/>
      <c r="AY110" s="332"/>
      <c r="AZ110" s="332"/>
      <c r="BA110" s="332"/>
      <c r="BB110" s="332"/>
      <c r="BC110" s="332"/>
      <c r="BD110" s="332"/>
      <c r="BE110" s="332"/>
      <c r="BF110" s="332"/>
      <c r="BG110" s="332"/>
      <c r="BH110" s="332"/>
      <c r="BI110" s="332"/>
      <c r="BJ110" s="332"/>
      <c r="BK110" s="332"/>
      <c r="BL110" s="332"/>
      <c r="BM110" s="332"/>
      <c r="BN110" s="332"/>
      <c r="BO110" s="332"/>
      <c r="BP110" s="332"/>
    </row>
    <row r="111" spans="1:68" ht="25.5" customHeight="1">
      <c r="A111" s="332"/>
      <c r="B111" s="332"/>
      <c r="C111" s="332"/>
      <c r="D111" s="332"/>
      <c r="E111" s="332"/>
      <c r="F111" s="332"/>
      <c r="G111" s="332"/>
      <c r="H111" s="332"/>
      <c r="I111" s="332"/>
      <c r="J111" s="332"/>
      <c r="K111" s="332"/>
      <c r="L111" s="332"/>
      <c r="M111" s="332"/>
      <c r="N111" s="332"/>
      <c r="O111" s="332"/>
      <c r="P111" s="332"/>
      <c r="Q111" s="332"/>
      <c r="R111" s="332"/>
      <c r="S111" s="332"/>
      <c r="T111" s="332"/>
      <c r="U111" s="332"/>
      <c r="V111" s="332"/>
      <c r="W111" s="332"/>
      <c r="X111" s="332"/>
      <c r="Y111" s="332"/>
      <c r="Z111" s="332"/>
      <c r="AA111" s="332"/>
      <c r="AB111" s="332"/>
      <c r="AC111" s="332"/>
      <c r="AD111" s="332"/>
      <c r="AE111" s="332"/>
      <c r="AF111" s="332"/>
      <c r="AG111" s="332"/>
      <c r="AH111" s="332"/>
      <c r="AI111" s="332"/>
      <c r="AJ111" s="332"/>
      <c r="AK111" s="332"/>
      <c r="AL111" s="332"/>
      <c r="AM111" s="332"/>
      <c r="AN111" s="332"/>
      <c r="AO111" s="332"/>
      <c r="AP111" s="332"/>
      <c r="AQ111" s="332"/>
      <c r="AR111" s="332"/>
      <c r="AS111" s="332"/>
      <c r="AT111" s="332"/>
      <c r="AU111" s="332"/>
      <c r="AV111" s="332"/>
      <c r="AW111" s="332"/>
      <c r="AX111" s="332"/>
      <c r="AY111" s="332"/>
      <c r="AZ111" s="332"/>
      <c r="BA111" s="332"/>
      <c r="BB111" s="332"/>
      <c r="BC111" s="332"/>
      <c r="BD111" s="332"/>
      <c r="BE111" s="332"/>
      <c r="BF111" s="332"/>
      <c r="BG111" s="332"/>
      <c r="BH111" s="332"/>
      <c r="BI111" s="332"/>
      <c r="BJ111" s="332"/>
      <c r="BK111" s="332"/>
      <c r="BL111" s="332"/>
      <c r="BM111" s="332"/>
      <c r="BN111" s="332"/>
      <c r="BO111" s="332"/>
      <c r="BP111" s="332"/>
    </row>
    <row r="112" spans="1:68" ht="25.5" customHeight="1">
      <c r="A112" s="332"/>
      <c r="B112" s="332"/>
      <c r="C112" s="332"/>
      <c r="D112" s="332"/>
      <c r="E112" s="332"/>
      <c r="F112" s="332"/>
      <c r="G112" s="332"/>
      <c r="H112" s="332"/>
      <c r="I112" s="332"/>
      <c r="J112" s="332"/>
      <c r="K112" s="332"/>
      <c r="L112" s="332"/>
      <c r="M112" s="332"/>
      <c r="N112" s="332"/>
      <c r="O112" s="332"/>
      <c r="P112" s="332"/>
      <c r="Q112" s="332"/>
      <c r="R112" s="332"/>
      <c r="S112" s="332"/>
      <c r="T112" s="332"/>
      <c r="U112" s="332"/>
      <c r="V112" s="332"/>
      <c r="W112" s="332"/>
      <c r="X112" s="332"/>
      <c r="Y112" s="332"/>
      <c r="Z112" s="332"/>
      <c r="AA112" s="332"/>
      <c r="AB112" s="332"/>
      <c r="AC112" s="332"/>
      <c r="AD112" s="332"/>
      <c r="AE112" s="332"/>
      <c r="AF112" s="332"/>
      <c r="AG112" s="332"/>
      <c r="AH112" s="332"/>
      <c r="AI112" s="332"/>
      <c r="AJ112" s="332"/>
      <c r="AK112" s="332"/>
      <c r="AL112" s="332"/>
      <c r="AM112" s="332"/>
      <c r="AN112" s="332"/>
      <c r="AO112" s="332"/>
      <c r="AP112" s="332"/>
      <c r="AQ112" s="332"/>
      <c r="AR112" s="332"/>
      <c r="AS112" s="332"/>
      <c r="AT112" s="332"/>
      <c r="AU112" s="332"/>
      <c r="AV112" s="332"/>
      <c r="AW112" s="332"/>
      <c r="AX112" s="332"/>
      <c r="AY112" s="332"/>
      <c r="AZ112" s="332"/>
      <c r="BA112" s="332"/>
      <c r="BB112" s="332"/>
      <c r="BC112" s="332"/>
      <c r="BD112" s="332"/>
      <c r="BE112" s="332"/>
      <c r="BF112" s="332"/>
      <c r="BG112" s="332"/>
      <c r="BH112" s="332"/>
      <c r="BI112" s="332"/>
      <c r="BJ112" s="332"/>
      <c r="BK112" s="332"/>
      <c r="BL112" s="332"/>
      <c r="BM112" s="332"/>
      <c r="BN112" s="332"/>
      <c r="BO112" s="332"/>
      <c r="BP112" s="332"/>
    </row>
    <row r="113" spans="1:68" ht="15" customHeight="1">
      <c r="A113" s="332"/>
      <c r="B113" s="332"/>
      <c r="C113" s="332"/>
      <c r="D113" s="332"/>
      <c r="E113" s="332"/>
      <c r="F113" s="332"/>
      <c r="G113" s="332"/>
      <c r="H113" s="332"/>
      <c r="I113" s="332"/>
      <c r="J113" s="332"/>
      <c r="K113" s="332"/>
      <c r="L113" s="332"/>
      <c r="M113" s="332"/>
      <c r="N113" s="332"/>
      <c r="O113" s="332"/>
      <c r="P113" s="332"/>
      <c r="Q113" s="332"/>
      <c r="R113" s="332"/>
      <c r="S113" s="332"/>
      <c r="T113" s="332"/>
      <c r="U113" s="332"/>
      <c r="V113" s="332"/>
      <c r="W113" s="332"/>
      <c r="X113" s="332"/>
      <c r="Y113" s="332"/>
      <c r="Z113" s="332"/>
      <c r="AA113" s="332"/>
      <c r="AB113" s="332"/>
      <c r="AC113" s="332"/>
      <c r="AD113" s="332"/>
      <c r="AE113" s="332"/>
      <c r="AF113" s="332"/>
      <c r="AG113" s="332"/>
      <c r="AH113" s="332"/>
      <c r="AI113" s="332"/>
      <c r="AJ113" s="332"/>
      <c r="AK113" s="332"/>
      <c r="AL113" s="332"/>
      <c r="AM113" s="332"/>
      <c r="AN113" s="332"/>
      <c r="AO113" s="332"/>
      <c r="AP113" s="332"/>
      <c r="AQ113" s="332"/>
      <c r="AR113" s="332"/>
      <c r="AS113" s="332"/>
      <c r="AT113" s="332"/>
      <c r="AU113" s="332"/>
      <c r="AV113" s="332"/>
      <c r="AW113" s="332"/>
      <c r="AX113" s="332"/>
      <c r="AY113" s="332"/>
      <c r="AZ113" s="332"/>
      <c r="BA113" s="332"/>
      <c r="BB113" s="332"/>
      <c r="BC113" s="332"/>
      <c r="BD113" s="332"/>
      <c r="BE113" s="332"/>
      <c r="BF113" s="332"/>
      <c r="BG113" s="332"/>
      <c r="BH113" s="332"/>
      <c r="BI113" s="332"/>
      <c r="BJ113" s="332"/>
      <c r="BK113" s="332"/>
      <c r="BL113" s="332"/>
      <c r="BM113" s="332"/>
      <c r="BN113" s="332"/>
      <c r="BO113" s="332"/>
      <c r="BP113" s="332"/>
    </row>
    <row r="114" spans="1:68" ht="15" customHeight="1">
      <c r="A114" s="332"/>
      <c r="B114" s="332"/>
      <c r="C114" s="332"/>
      <c r="D114" s="332"/>
      <c r="E114" s="332"/>
      <c r="F114" s="332"/>
      <c r="G114" s="332"/>
      <c r="H114" s="332"/>
      <c r="I114" s="332"/>
      <c r="J114" s="332"/>
      <c r="K114" s="332"/>
      <c r="L114" s="332"/>
      <c r="M114" s="332"/>
      <c r="N114" s="332"/>
      <c r="O114" s="332"/>
      <c r="P114" s="332"/>
      <c r="Q114" s="332"/>
      <c r="R114" s="332"/>
      <c r="S114" s="332"/>
      <c r="T114" s="332"/>
      <c r="U114" s="332"/>
      <c r="V114" s="332"/>
      <c r="W114" s="332"/>
      <c r="X114" s="332"/>
      <c r="Y114" s="332"/>
      <c r="Z114" s="332"/>
      <c r="AA114" s="332"/>
      <c r="AB114" s="332"/>
      <c r="AC114" s="332"/>
      <c r="AD114" s="332"/>
      <c r="AE114" s="332"/>
      <c r="AF114" s="332"/>
      <c r="AG114" s="332"/>
      <c r="AH114" s="332"/>
      <c r="AI114" s="332"/>
      <c r="AJ114" s="332"/>
      <c r="AK114" s="332"/>
      <c r="AL114" s="332"/>
      <c r="AM114" s="332"/>
      <c r="AN114" s="332"/>
      <c r="AO114" s="332"/>
      <c r="AP114" s="332"/>
      <c r="AQ114" s="332"/>
      <c r="AR114" s="332"/>
      <c r="AS114" s="332"/>
      <c r="AT114" s="332"/>
      <c r="AU114" s="332"/>
      <c r="AV114" s="332"/>
      <c r="AW114" s="332"/>
      <c r="AX114" s="332"/>
      <c r="AY114" s="332"/>
      <c r="AZ114" s="332"/>
      <c r="BA114" s="332"/>
      <c r="BB114" s="332"/>
      <c r="BC114" s="332"/>
      <c r="BD114" s="332"/>
      <c r="BE114" s="332"/>
      <c r="BF114" s="332"/>
      <c r="BG114" s="332"/>
      <c r="BH114" s="332"/>
      <c r="BI114" s="332"/>
      <c r="BJ114" s="332"/>
      <c r="BK114" s="332"/>
      <c r="BL114" s="332"/>
      <c r="BM114" s="332"/>
      <c r="BN114" s="332"/>
      <c r="BO114" s="332"/>
      <c r="BP114" s="332"/>
    </row>
    <row r="115" spans="1:68" ht="15" customHeight="1">
      <c r="A115" s="332"/>
      <c r="B115" s="332"/>
      <c r="C115" s="332"/>
      <c r="D115" s="332"/>
      <c r="E115" s="332"/>
      <c r="F115" s="332"/>
      <c r="G115" s="332"/>
      <c r="H115" s="332"/>
      <c r="I115" s="332"/>
      <c r="J115" s="332"/>
      <c r="K115" s="332"/>
      <c r="L115" s="332"/>
      <c r="M115" s="332"/>
      <c r="N115" s="332"/>
      <c r="O115" s="332"/>
      <c r="P115" s="332"/>
      <c r="Q115" s="332"/>
      <c r="R115" s="332"/>
      <c r="S115" s="332"/>
      <c r="T115" s="332"/>
      <c r="U115" s="332"/>
      <c r="V115" s="332"/>
      <c r="W115" s="332"/>
      <c r="X115" s="332"/>
      <c r="Y115" s="332"/>
      <c r="Z115" s="332"/>
      <c r="AA115" s="332"/>
      <c r="AB115" s="332"/>
      <c r="AC115" s="332"/>
      <c r="AD115" s="332"/>
      <c r="AE115" s="332"/>
      <c r="AF115" s="332"/>
      <c r="AG115" s="332"/>
      <c r="AH115" s="332"/>
      <c r="AI115" s="332"/>
      <c r="AJ115" s="332"/>
      <c r="AK115" s="332"/>
      <c r="AL115" s="332"/>
      <c r="AM115" s="332"/>
      <c r="AN115" s="332"/>
      <c r="AO115" s="332"/>
      <c r="AP115" s="332"/>
      <c r="AQ115" s="332"/>
      <c r="AR115" s="332"/>
      <c r="AS115" s="332"/>
      <c r="AT115" s="332"/>
      <c r="AU115" s="332"/>
      <c r="AV115" s="332"/>
      <c r="AW115" s="332"/>
      <c r="AX115" s="332"/>
      <c r="AY115" s="332"/>
      <c r="AZ115" s="332"/>
      <c r="BA115" s="332"/>
      <c r="BB115" s="332"/>
      <c r="BC115" s="332"/>
      <c r="BD115" s="332"/>
      <c r="BE115" s="332"/>
      <c r="BF115" s="332"/>
      <c r="BG115" s="332"/>
      <c r="BH115" s="332"/>
      <c r="BI115" s="332"/>
      <c r="BJ115" s="332"/>
      <c r="BK115" s="332"/>
      <c r="BL115" s="332"/>
      <c r="BM115" s="332"/>
      <c r="BN115" s="332"/>
      <c r="BO115" s="332"/>
      <c r="BP115" s="332"/>
    </row>
    <row r="116" spans="1:68" ht="15" customHeight="1">
      <c r="A116" s="332"/>
      <c r="B116" s="332"/>
      <c r="C116" s="332"/>
      <c r="D116" s="332"/>
      <c r="E116" s="332"/>
      <c r="F116" s="332"/>
      <c r="G116" s="332"/>
      <c r="H116" s="332"/>
      <c r="I116" s="332"/>
      <c r="J116" s="332"/>
      <c r="K116" s="332"/>
      <c r="L116" s="332"/>
      <c r="M116" s="332"/>
      <c r="N116" s="332"/>
      <c r="O116" s="332"/>
      <c r="P116" s="332"/>
      <c r="Q116" s="332"/>
      <c r="R116" s="332"/>
      <c r="S116" s="332"/>
      <c r="T116" s="332"/>
      <c r="U116" s="332"/>
      <c r="V116" s="332"/>
      <c r="W116" s="332"/>
      <c r="X116" s="332"/>
      <c r="Y116" s="332"/>
      <c r="Z116" s="332"/>
      <c r="AA116" s="332"/>
      <c r="AB116" s="332"/>
      <c r="AC116" s="332"/>
      <c r="AD116" s="332"/>
      <c r="AE116" s="332"/>
      <c r="AF116" s="332"/>
      <c r="AG116" s="332"/>
      <c r="AH116" s="332"/>
      <c r="AI116" s="332"/>
      <c r="AJ116" s="332"/>
      <c r="AK116" s="332"/>
      <c r="AL116" s="332"/>
      <c r="AM116" s="332"/>
      <c r="AN116" s="332"/>
      <c r="AO116" s="332"/>
      <c r="AP116" s="332"/>
      <c r="AQ116" s="332"/>
      <c r="AR116" s="332"/>
      <c r="AS116" s="332"/>
      <c r="AT116" s="332"/>
      <c r="AU116" s="332"/>
      <c r="AV116" s="332"/>
      <c r="AW116" s="332"/>
      <c r="AX116" s="332"/>
      <c r="AY116" s="332"/>
      <c r="AZ116" s="332"/>
      <c r="BA116" s="332"/>
      <c r="BB116" s="332"/>
      <c r="BC116" s="332"/>
      <c r="BD116" s="332"/>
      <c r="BE116" s="332"/>
      <c r="BF116" s="332"/>
      <c r="BG116" s="332"/>
      <c r="BH116" s="332"/>
      <c r="BI116" s="332"/>
      <c r="BJ116" s="332"/>
      <c r="BK116" s="332"/>
      <c r="BL116" s="332"/>
      <c r="BM116" s="332"/>
      <c r="BN116" s="332"/>
      <c r="BO116" s="332"/>
      <c r="BP116" s="332"/>
    </row>
    <row r="117" spans="1:68" ht="15" customHeight="1">
      <c r="A117" s="332"/>
      <c r="B117" s="332"/>
      <c r="C117" s="332"/>
      <c r="D117" s="332"/>
      <c r="E117" s="332"/>
      <c r="F117" s="332"/>
      <c r="G117" s="332"/>
      <c r="H117" s="332"/>
      <c r="I117" s="332"/>
      <c r="J117" s="332"/>
      <c r="K117" s="332"/>
      <c r="L117" s="332"/>
      <c r="M117" s="332"/>
      <c r="N117" s="332"/>
      <c r="O117" s="332"/>
      <c r="P117" s="332"/>
      <c r="Q117" s="332"/>
      <c r="R117" s="332"/>
      <c r="S117" s="332"/>
      <c r="T117" s="332"/>
      <c r="U117" s="332"/>
      <c r="V117" s="332"/>
      <c r="W117" s="332"/>
      <c r="X117" s="332"/>
      <c r="Y117" s="332"/>
      <c r="Z117" s="332"/>
      <c r="AA117" s="332"/>
      <c r="AB117" s="332"/>
      <c r="AC117" s="332"/>
      <c r="AD117" s="332"/>
      <c r="AE117" s="332"/>
      <c r="AF117" s="332"/>
      <c r="AG117" s="332"/>
      <c r="AH117" s="332"/>
      <c r="AI117" s="332"/>
      <c r="AJ117" s="332"/>
      <c r="AK117" s="332"/>
      <c r="AL117" s="332"/>
      <c r="AM117" s="332"/>
      <c r="AN117" s="332"/>
      <c r="AO117" s="332"/>
      <c r="AP117" s="332"/>
      <c r="AQ117" s="332"/>
      <c r="AR117" s="332"/>
      <c r="AS117" s="332"/>
      <c r="AT117" s="332"/>
      <c r="AU117" s="332"/>
      <c r="AV117" s="332"/>
      <c r="AW117" s="332"/>
      <c r="AX117" s="332"/>
      <c r="AY117" s="332"/>
      <c r="AZ117" s="332"/>
      <c r="BA117" s="332"/>
      <c r="BB117" s="332"/>
      <c r="BC117" s="332"/>
      <c r="BD117" s="332"/>
      <c r="BE117" s="332"/>
      <c r="BF117" s="332"/>
      <c r="BG117" s="332"/>
      <c r="BH117" s="332"/>
      <c r="BI117" s="332"/>
      <c r="BJ117" s="332"/>
      <c r="BK117" s="332"/>
      <c r="BL117" s="332"/>
      <c r="BM117" s="332"/>
      <c r="BN117" s="332"/>
      <c r="BO117" s="332"/>
      <c r="BP117" s="332"/>
    </row>
    <row r="118" spans="1:68" ht="15" customHeight="1">
      <c r="A118" s="332"/>
      <c r="B118" s="332"/>
      <c r="C118" s="332"/>
      <c r="D118" s="332"/>
      <c r="E118" s="332"/>
      <c r="F118" s="332"/>
      <c r="G118" s="332"/>
      <c r="H118" s="332"/>
      <c r="I118" s="332"/>
      <c r="J118" s="332"/>
      <c r="K118" s="332"/>
      <c r="L118" s="332"/>
      <c r="M118" s="332"/>
      <c r="N118" s="332"/>
      <c r="O118" s="332"/>
      <c r="P118" s="332"/>
      <c r="Q118" s="332"/>
      <c r="R118" s="332"/>
      <c r="S118" s="332"/>
      <c r="T118" s="332"/>
      <c r="U118" s="332"/>
      <c r="V118" s="332"/>
      <c r="W118" s="332"/>
      <c r="X118" s="332"/>
      <c r="Y118" s="332"/>
      <c r="Z118" s="332"/>
      <c r="AA118" s="332"/>
      <c r="AB118" s="332"/>
      <c r="AC118" s="332"/>
      <c r="AD118" s="332"/>
      <c r="AE118" s="332"/>
      <c r="AF118" s="332"/>
      <c r="AG118" s="332"/>
      <c r="AH118" s="332"/>
      <c r="AI118" s="332"/>
      <c r="AJ118" s="332"/>
      <c r="AK118" s="332"/>
      <c r="AL118" s="332"/>
      <c r="AM118" s="332"/>
      <c r="AN118" s="332"/>
      <c r="AO118" s="332"/>
      <c r="AP118" s="332"/>
      <c r="AQ118" s="332"/>
      <c r="AR118" s="332"/>
      <c r="AS118" s="332"/>
      <c r="AT118" s="332"/>
      <c r="AU118" s="332"/>
      <c r="AV118" s="332"/>
      <c r="AW118" s="332"/>
      <c r="AX118" s="332"/>
      <c r="AY118" s="332"/>
      <c r="AZ118" s="332"/>
      <c r="BA118" s="332"/>
      <c r="BB118" s="332"/>
      <c r="BC118" s="332"/>
      <c r="BD118" s="332"/>
      <c r="BE118" s="332"/>
      <c r="BF118" s="332"/>
      <c r="BG118" s="332"/>
      <c r="BH118" s="332"/>
      <c r="BI118" s="332"/>
      <c r="BJ118" s="332"/>
      <c r="BK118" s="332"/>
      <c r="BL118" s="332"/>
      <c r="BM118" s="332"/>
      <c r="BN118" s="332"/>
      <c r="BO118" s="332"/>
      <c r="BP118" s="332"/>
    </row>
    <row r="119" spans="1:68" ht="15" customHeight="1">
      <c r="A119" s="332"/>
      <c r="B119" s="332"/>
      <c r="C119" s="332"/>
      <c r="D119" s="332"/>
      <c r="E119" s="332"/>
      <c r="F119" s="332"/>
      <c r="G119" s="332"/>
      <c r="H119" s="332"/>
      <c r="I119" s="332"/>
      <c r="J119" s="332"/>
      <c r="K119" s="332"/>
      <c r="L119" s="332"/>
      <c r="M119" s="332"/>
      <c r="N119" s="332"/>
      <c r="O119" s="332"/>
      <c r="P119" s="332"/>
      <c r="Q119" s="332"/>
      <c r="R119" s="332"/>
      <c r="S119" s="332"/>
      <c r="T119" s="332"/>
      <c r="U119" s="332"/>
      <c r="V119" s="332"/>
      <c r="W119" s="332"/>
      <c r="X119" s="332"/>
      <c r="Y119" s="332"/>
      <c r="Z119" s="332"/>
      <c r="AA119" s="332"/>
      <c r="AB119" s="332"/>
      <c r="AC119" s="332"/>
      <c r="AD119" s="332"/>
      <c r="AE119" s="332"/>
      <c r="AF119" s="332"/>
      <c r="AG119" s="332"/>
      <c r="AH119" s="332"/>
      <c r="AI119" s="332"/>
      <c r="AJ119" s="332"/>
      <c r="AK119" s="332"/>
      <c r="AL119" s="332"/>
      <c r="AM119" s="332"/>
      <c r="AN119" s="332"/>
      <c r="AO119" s="332"/>
      <c r="AP119" s="332"/>
      <c r="AQ119" s="332"/>
      <c r="AR119" s="332"/>
      <c r="AS119" s="332"/>
      <c r="AT119" s="332"/>
      <c r="AU119" s="332"/>
      <c r="AV119" s="332"/>
      <c r="AW119" s="332"/>
      <c r="AX119" s="332"/>
      <c r="AY119" s="332"/>
      <c r="AZ119" s="332"/>
      <c r="BA119" s="332"/>
      <c r="BB119" s="332"/>
      <c r="BC119" s="332"/>
      <c r="BD119" s="332"/>
      <c r="BE119" s="332"/>
      <c r="BF119" s="332"/>
      <c r="BG119" s="332"/>
      <c r="BH119" s="332"/>
      <c r="BI119" s="332"/>
      <c r="BJ119" s="332"/>
      <c r="BK119" s="332"/>
      <c r="BL119" s="332"/>
      <c r="BM119" s="332"/>
      <c r="BN119" s="332"/>
      <c r="BO119" s="332"/>
      <c r="BP119" s="332"/>
    </row>
    <row r="120" spans="1:68" ht="15" customHeight="1">
      <c r="A120" s="332"/>
      <c r="B120" s="332"/>
      <c r="C120" s="332"/>
      <c r="D120" s="332"/>
      <c r="E120" s="332"/>
      <c r="F120" s="332"/>
      <c r="G120" s="332"/>
      <c r="H120" s="332"/>
      <c r="I120" s="332"/>
      <c r="J120" s="332"/>
      <c r="K120" s="332"/>
      <c r="L120" s="332"/>
      <c r="M120" s="332"/>
      <c r="N120" s="332"/>
      <c r="O120" s="332"/>
      <c r="P120" s="332"/>
      <c r="Q120" s="332"/>
      <c r="R120" s="332"/>
      <c r="S120" s="332"/>
      <c r="T120" s="332"/>
      <c r="U120" s="332"/>
      <c r="V120" s="332"/>
      <c r="W120" s="332"/>
      <c r="X120" s="332"/>
      <c r="Y120" s="332"/>
      <c r="Z120" s="332"/>
      <c r="AA120" s="332"/>
      <c r="AB120" s="332"/>
      <c r="AC120" s="332"/>
      <c r="AD120" s="332"/>
      <c r="AE120" s="332"/>
      <c r="AF120" s="332"/>
      <c r="AG120" s="332"/>
      <c r="AH120" s="332"/>
      <c r="AI120" s="332"/>
      <c r="AJ120" s="332"/>
      <c r="AK120" s="332"/>
      <c r="AL120" s="332"/>
      <c r="AM120" s="332"/>
      <c r="AN120" s="332"/>
      <c r="AO120" s="332"/>
      <c r="AP120" s="332"/>
      <c r="AQ120" s="332"/>
      <c r="AR120" s="332"/>
      <c r="AS120" s="332"/>
      <c r="AT120" s="332"/>
      <c r="AU120" s="332"/>
      <c r="AV120" s="332"/>
      <c r="AW120" s="332"/>
      <c r="AX120" s="332"/>
      <c r="AY120" s="332"/>
      <c r="AZ120" s="332"/>
      <c r="BA120" s="332"/>
      <c r="BB120" s="332"/>
      <c r="BC120" s="332"/>
      <c r="BD120" s="332"/>
      <c r="BE120" s="332"/>
      <c r="BF120" s="332"/>
      <c r="BG120" s="332"/>
      <c r="BH120" s="332"/>
      <c r="BI120" s="332"/>
      <c r="BJ120" s="332"/>
      <c r="BK120" s="332"/>
      <c r="BL120" s="332"/>
      <c r="BM120" s="332"/>
      <c r="BN120" s="332"/>
      <c r="BO120" s="332"/>
      <c r="BP120" s="332"/>
    </row>
    <row r="121" spans="1:68" ht="15" customHeight="1">
      <c r="A121" s="332"/>
      <c r="B121" s="332"/>
      <c r="C121" s="332"/>
      <c r="D121" s="332"/>
      <c r="E121" s="332"/>
      <c r="F121" s="332"/>
      <c r="G121" s="332"/>
      <c r="H121" s="332"/>
      <c r="I121" s="332"/>
      <c r="J121" s="332"/>
      <c r="K121" s="332"/>
      <c r="L121" s="332"/>
      <c r="M121" s="332"/>
      <c r="N121" s="332"/>
      <c r="O121" s="332"/>
      <c r="P121" s="332"/>
      <c r="Q121" s="332"/>
      <c r="R121" s="332"/>
      <c r="S121" s="332"/>
      <c r="T121" s="332"/>
      <c r="U121" s="332"/>
      <c r="V121" s="332"/>
      <c r="W121" s="332"/>
      <c r="X121" s="332"/>
      <c r="Y121" s="332"/>
      <c r="Z121" s="332"/>
      <c r="AA121" s="332"/>
      <c r="AB121" s="332"/>
      <c r="AC121" s="332"/>
      <c r="AD121" s="332"/>
      <c r="AE121" s="332"/>
      <c r="AF121" s="332"/>
      <c r="AG121" s="332"/>
      <c r="AH121" s="332"/>
      <c r="AI121" s="332"/>
      <c r="AJ121" s="332"/>
      <c r="AK121" s="332"/>
      <c r="AL121" s="332"/>
      <c r="AM121" s="332"/>
      <c r="AN121" s="332"/>
      <c r="AO121" s="332"/>
      <c r="AP121" s="332"/>
      <c r="AQ121" s="332"/>
      <c r="AR121" s="332"/>
      <c r="AS121" s="332"/>
      <c r="AT121" s="332"/>
      <c r="AU121" s="332"/>
      <c r="AV121" s="332"/>
      <c r="AW121" s="332"/>
      <c r="AX121" s="332"/>
      <c r="AY121" s="332"/>
      <c r="AZ121" s="332"/>
      <c r="BA121" s="332"/>
      <c r="BB121" s="332"/>
      <c r="BC121" s="332"/>
      <c r="BD121" s="332"/>
      <c r="BE121" s="332"/>
      <c r="BF121" s="332"/>
      <c r="BG121" s="332"/>
      <c r="BH121" s="332"/>
      <c r="BI121" s="332"/>
      <c r="BJ121" s="332"/>
      <c r="BK121" s="332"/>
      <c r="BL121" s="332"/>
      <c r="BM121" s="332"/>
      <c r="BN121" s="332"/>
      <c r="BO121" s="332"/>
      <c r="BP121" s="332"/>
    </row>
    <row r="122" spans="1:68" ht="15" customHeight="1">
      <c r="A122" s="332"/>
      <c r="B122" s="332"/>
      <c r="C122" s="332"/>
      <c r="D122" s="332"/>
      <c r="E122" s="332"/>
      <c r="F122" s="332"/>
      <c r="G122" s="332"/>
      <c r="H122" s="332"/>
      <c r="I122" s="332"/>
      <c r="J122" s="332"/>
      <c r="K122" s="332"/>
      <c r="L122" s="332"/>
      <c r="M122" s="332"/>
      <c r="N122" s="332"/>
      <c r="O122" s="332"/>
      <c r="P122" s="332"/>
      <c r="Q122" s="332"/>
      <c r="R122" s="332"/>
      <c r="S122" s="332"/>
      <c r="T122" s="332"/>
      <c r="U122" s="332"/>
      <c r="V122" s="332"/>
      <c r="W122" s="332"/>
      <c r="X122" s="332"/>
      <c r="Y122" s="332"/>
      <c r="Z122" s="332"/>
      <c r="AA122" s="332"/>
      <c r="AB122" s="332"/>
      <c r="AC122" s="332"/>
      <c r="AD122" s="332"/>
      <c r="AE122" s="332"/>
      <c r="AF122" s="332"/>
      <c r="AG122" s="332"/>
      <c r="AH122" s="332"/>
      <c r="AI122" s="332"/>
      <c r="AJ122" s="332"/>
      <c r="AK122" s="332"/>
      <c r="AL122" s="332"/>
      <c r="AM122" s="332"/>
      <c r="AN122" s="332"/>
      <c r="AO122" s="332"/>
      <c r="AP122" s="332"/>
      <c r="AQ122" s="332"/>
      <c r="AR122" s="332"/>
      <c r="AS122" s="332"/>
      <c r="AT122" s="332"/>
      <c r="AU122" s="332"/>
      <c r="AV122" s="332"/>
      <c r="AW122" s="332"/>
      <c r="AX122" s="332"/>
      <c r="AY122" s="332"/>
      <c r="AZ122" s="332"/>
      <c r="BA122" s="332"/>
      <c r="BB122" s="332"/>
      <c r="BC122" s="332"/>
      <c r="BD122" s="332"/>
      <c r="BE122" s="332"/>
      <c r="BF122" s="332"/>
      <c r="BG122" s="332"/>
      <c r="BH122" s="332"/>
      <c r="BI122" s="332"/>
      <c r="BJ122" s="332"/>
      <c r="BK122" s="332"/>
      <c r="BL122" s="332"/>
      <c r="BM122" s="332"/>
      <c r="BN122" s="332"/>
      <c r="BO122" s="332"/>
      <c r="BP122" s="332"/>
    </row>
    <row r="123" spans="1:68" ht="15" customHeight="1">
      <c r="A123" s="332"/>
      <c r="B123" s="332"/>
      <c r="C123" s="332"/>
      <c r="D123" s="332"/>
      <c r="E123" s="332"/>
      <c r="F123" s="332"/>
      <c r="G123" s="332"/>
      <c r="H123" s="332"/>
      <c r="I123" s="332"/>
      <c r="J123" s="332"/>
      <c r="K123" s="332"/>
      <c r="L123" s="332"/>
      <c r="M123" s="332"/>
      <c r="N123" s="332"/>
      <c r="O123" s="332"/>
      <c r="P123" s="332"/>
      <c r="Q123" s="332"/>
      <c r="R123" s="332"/>
      <c r="S123" s="332"/>
      <c r="T123" s="332"/>
      <c r="U123" s="332"/>
      <c r="V123" s="332"/>
      <c r="W123" s="332"/>
      <c r="X123" s="332"/>
      <c r="Y123" s="332"/>
      <c r="Z123" s="332"/>
      <c r="AA123" s="332"/>
      <c r="AB123" s="332"/>
      <c r="AC123" s="332"/>
      <c r="AD123" s="332"/>
      <c r="AE123" s="332"/>
      <c r="AF123" s="332"/>
      <c r="AG123" s="332"/>
      <c r="AH123" s="332"/>
      <c r="AI123" s="332"/>
      <c r="AJ123" s="332"/>
      <c r="AK123" s="332"/>
      <c r="AL123" s="332"/>
      <c r="AM123" s="332"/>
      <c r="AN123" s="332"/>
      <c r="AO123" s="332"/>
      <c r="AP123" s="332"/>
      <c r="AQ123" s="332"/>
      <c r="AR123" s="332"/>
      <c r="AS123" s="332"/>
      <c r="AT123" s="332"/>
      <c r="AU123" s="332"/>
      <c r="AV123" s="332"/>
      <c r="AW123" s="332"/>
      <c r="AX123" s="332"/>
      <c r="AY123" s="332"/>
      <c r="AZ123" s="332"/>
      <c r="BA123" s="332"/>
      <c r="BB123" s="332"/>
      <c r="BC123" s="332"/>
      <c r="BD123" s="332"/>
      <c r="BE123" s="332"/>
      <c r="BF123" s="332"/>
      <c r="BG123" s="332"/>
      <c r="BH123" s="332"/>
      <c r="BI123" s="332"/>
      <c r="BJ123" s="332"/>
      <c r="BK123" s="332"/>
      <c r="BL123" s="332"/>
      <c r="BM123" s="332"/>
      <c r="BN123" s="332"/>
      <c r="BO123" s="332"/>
      <c r="BP123" s="332"/>
    </row>
    <row r="124" spans="1:68" ht="15" customHeight="1">
      <c r="A124" s="332"/>
      <c r="B124" s="332"/>
      <c r="C124" s="332"/>
      <c r="D124" s="332"/>
      <c r="E124" s="332"/>
      <c r="F124" s="332"/>
      <c r="G124" s="332"/>
      <c r="H124" s="332"/>
      <c r="I124" s="332"/>
      <c r="J124" s="332"/>
      <c r="K124" s="332"/>
      <c r="L124" s="332"/>
      <c r="M124" s="332"/>
      <c r="N124" s="332"/>
      <c r="O124" s="332"/>
      <c r="P124" s="332"/>
      <c r="Q124" s="332"/>
      <c r="R124" s="332"/>
      <c r="S124" s="332"/>
      <c r="T124" s="332"/>
      <c r="U124" s="332"/>
      <c r="V124" s="332"/>
      <c r="W124" s="332"/>
      <c r="X124" s="332"/>
      <c r="Y124" s="332"/>
      <c r="Z124" s="332"/>
      <c r="AA124" s="332"/>
      <c r="AB124" s="332"/>
      <c r="AC124" s="332"/>
      <c r="AD124" s="332"/>
      <c r="AE124" s="332"/>
      <c r="AF124" s="332"/>
      <c r="AG124" s="332"/>
      <c r="AH124" s="332"/>
      <c r="AI124" s="332"/>
      <c r="AJ124" s="332"/>
      <c r="AK124" s="332"/>
      <c r="AL124" s="332"/>
      <c r="AM124" s="332"/>
      <c r="AN124" s="332"/>
      <c r="AO124" s="332"/>
      <c r="AP124" s="332"/>
      <c r="AQ124" s="332"/>
      <c r="AR124" s="332"/>
      <c r="AS124" s="332"/>
      <c r="AT124" s="332"/>
      <c r="AU124" s="332"/>
      <c r="AV124" s="332"/>
      <c r="AW124" s="332"/>
      <c r="AX124" s="332"/>
      <c r="AY124" s="332"/>
      <c r="AZ124" s="332"/>
      <c r="BA124" s="332"/>
      <c r="BB124" s="332"/>
      <c r="BC124" s="332"/>
      <c r="BD124" s="332"/>
      <c r="BE124" s="332"/>
      <c r="BF124" s="332"/>
      <c r="BG124" s="332"/>
      <c r="BH124" s="332"/>
      <c r="BI124" s="332"/>
      <c r="BJ124" s="332"/>
      <c r="BK124" s="332"/>
      <c r="BL124" s="332"/>
      <c r="BM124" s="332"/>
      <c r="BN124" s="332"/>
      <c r="BO124" s="332"/>
      <c r="BP124" s="332"/>
    </row>
    <row r="125" spans="1:68" ht="15" customHeight="1">
      <c r="A125" s="332"/>
      <c r="B125" s="332"/>
      <c r="C125" s="332"/>
      <c r="D125" s="332"/>
      <c r="E125" s="332"/>
      <c r="F125" s="332"/>
      <c r="G125" s="332"/>
      <c r="H125" s="332"/>
      <c r="I125" s="332"/>
      <c r="J125" s="332"/>
      <c r="K125" s="332"/>
      <c r="L125" s="332"/>
      <c r="M125" s="332"/>
      <c r="N125" s="332"/>
      <c r="O125" s="332"/>
      <c r="P125" s="332"/>
      <c r="Q125" s="332"/>
      <c r="R125" s="332"/>
      <c r="S125" s="332"/>
      <c r="T125" s="332"/>
      <c r="U125" s="332"/>
      <c r="V125" s="332"/>
      <c r="W125" s="332"/>
      <c r="X125" s="332"/>
      <c r="Y125" s="332"/>
      <c r="Z125" s="332"/>
      <c r="AA125" s="332"/>
      <c r="AB125" s="332"/>
      <c r="AC125" s="332"/>
      <c r="AD125" s="332"/>
      <c r="AE125" s="332"/>
      <c r="AF125" s="332"/>
      <c r="AG125" s="332"/>
      <c r="AH125" s="332"/>
      <c r="AI125" s="332"/>
      <c r="AJ125" s="332"/>
      <c r="AK125" s="332"/>
      <c r="AL125" s="332"/>
      <c r="AM125" s="332"/>
      <c r="AN125" s="332"/>
      <c r="AO125" s="332"/>
      <c r="AP125" s="332"/>
      <c r="AQ125" s="332"/>
      <c r="AR125" s="332"/>
      <c r="AS125" s="332"/>
      <c r="AT125" s="332"/>
      <c r="AU125" s="332"/>
      <c r="AV125" s="332"/>
      <c r="AW125" s="332"/>
      <c r="AX125" s="332"/>
      <c r="AY125" s="332"/>
      <c r="AZ125" s="332"/>
      <c r="BA125" s="332"/>
      <c r="BB125" s="332"/>
      <c r="BC125" s="332"/>
      <c r="BD125" s="332"/>
      <c r="BE125" s="332"/>
      <c r="BF125" s="332"/>
      <c r="BG125" s="332"/>
      <c r="BH125" s="332"/>
      <c r="BI125" s="332"/>
      <c r="BJ125" s="332"/>
      <c r="BK125" s="332"/>
      <c r="BL125" s="332"/>
      <c r="BM125" s="332"/>
      <c r="BN125" s="332"/>
      <c r="BO125" s="332"/>
      <c r="BP125" s="332"/>
    </row>
    <row r="126" spans="1:68" ht="15" customHeight="1">
      <c r="A126" s="332"/>
      <c r="B126" s="332"/>
      <c r="C126" s="332"/>
      <c r="D126" s="332"/>
      <c r="E126" s="332"/>
      <c r="F126" s="332"/>
      <c r="G126" s="332"/>
      <c r="H126" s="332"/>
      <c r="I126" s="332"/>
      <c r="J126" s="332"/>
      <c r="K126" s="332"/>
      <c r="L126" s="332"/>
      <c r="M126" s="332"/>
      <c r="N126" s="332"/>
      <c r="O126" s="332"/>
      <c r="P126" s="332"/>
      <c r="Q126" s="332"/>
      <c r="R126" s="332"/>
      <c r="S126" s="332"/>
      <c r="T126" s="332"/>
      <c r="U126" s="332"/>
      <c r="V126" s="332"/>
      <c r="W126" s="332"/>
      <c r="X126" s="332"/>
      <c r="Y126" s="332"/>
      <c r="Z126" s="332"/>
      <c r="AA126" s="332"/>
      <c r="AB126" s="332"/>
      <c r="AC126" s="332"/>
      <c r="AD126" s="332"/>
      <c r="AE126" s="332"/>
      <c r="AF126" s="332"/>
      <c r="AG126" s="332"/>
      <c r="AH126" s="332"/>
      <c r="AI126" s="332"/>
      <c r="AJ126" s="332"/>
      <c r="AK126" s="332"/>
      <c r="AL126" s="332"/>
      <c r="AM126" s="332"/>
      <c r="AN126" s="332"/>
      <c r="AO126" s="332"/>
      <c r="AP126" s="332"/>
      <c r="AQ126" s="332"/>
      <c r="AR126" s="332"/>
      <c r="AS126" s="332"/>
      <c r="AT126" s="332"/>
      <c r="AU126" s="332"/>
      <c r="AV126" s="332"/>
      <c r="AW126" s="332"/>
      <c r="AX126" s="332"/>
      <c r="AY126" s="332"/>
      <c r="AZ126" s="332"/>
      <c r="BA126" s="332"/>
      <c r="BB126" s="332"/>
      <c r="BC126" s="332"/>
      <c r="BD126" s="332"/>
      <c r="BE126" s="332"/>
      <c r="BF126" s="332"/>
      <c r="BG126" s="332"/>
      <c r="BH126" s="332"/>
      <c r="BI126" s="332"/>
      <c r="BJ126" s="332"/>
      <c r="BK126" s="332"/>
      <c r="BL126" s="332"/>
      <c r="BM126" s="332"/>
      <c r="BN126" s="332"/>
      <c r="BO126" s="332"/>
      <c r="BP126" s="332"/>
    </row>
    <row r="127" spans="1:68" ht="15" customHeight="1">
      <c r="A127" s="332"/>
      <c r="B127" s="332"/>
      <c r="C127" s="332"/>
      <c r="D127" s="332"/>
      <c r="E127" s="332"/>
      <c r="F127" s="332"/>
      <c r="G127" s="332"/>
      <c r="H127" s="332"/>
      <c r="I127" s="332"/>
      <c r="J127" s="332"/>
      <c r="K127" s="332"/>
      <c r="L127" s="332"/>
      <c r="M127" s="332"/>
      <c r="N127" s="332"/>
      <c r="O127" s="332"/>
      <c r="P127" s="332"/>
      <c r="Q127" s="332"/>
      <c r="R127" s="332"/>
      <c r="S127" s="332"/>
      <c r="T127" s="332"/>
      <c r="U127" s="332"/>
      <c r="V127" s="332"/>
      <c r="W127" s="332"/>
      <c r="X127" s="332"/>
      <c r="Y127" s="332"/>
      <c r="Z127" s="332"/>
      <c r="AA127" s="332"/>
      <c r="AB127" s="332"/>
      <c r="AC127" s="332"/>
      <c r="AD127" s="332"/>
      <c r="AE127" s="332"/>
      <c r="AF127" s="332"/>
      <c r="AG127" s="332"/>
      <c r="AH127" s="332"/>
      <c r="AI127" s="332"/>
      <c r="AJ127" s="332"/>
      <c r="AK127" s="332"/>
      <c r="AL127" s="332"/>
      <c r="AM127" s="332"/>
      <c r="AN127" s="332"/>
      <c r="AO127" s="332"/>
      <c r="AP127" s="332"/>
      <c r="AQ127" s="332"/>
      <c r="AR127" s="332"/>
      <c r="AS127" s="332"/>
      <c r="AT127" s="332"/>
      <c r="AU127" s="332"/>
      <c r="AV127" s="332"/>
      <c r="AW127" s="332"/>
      <c r="AX127" s="332"/>
      <c r="AY127" s="332"/>
      <c r="AZ127" s="332"/>
      <c r="BA127" s="332"/>
      <c r="BB127" s="332"/>
      <c r="BC127" s="332"/>
      <c r="BD127" s="332"/>
      <c r="BE127" s="332"/>
      <c r="BF127" s="332"/>
      <c r="BG127" s="332"/>
      <c r="BH127" s="332"/>
      <c r="BI127" s="332"/>
      <c r="BJ127" s="332"/>
      <c r="BK127" s="332"/>
      <c r="BL127" s="332"/>
      <c r="BM127" s="332"/>
      <c r="BN127" s="332"/>
      <c r="BO127" s="332"/>
      <c r="BP127" s="332"/>
    </row>
    <row r="128" spans="1:68" ht="15" customHeight="1">
      <c r="A128" s="332"/>
      <c r="B128" s="332"/>
      <c r="C128" s="332"/>
      <c r="D128" s="332"/>
      <c r="E128" s="332"/>
      <c r="F128" s="332"/>
      <c r="G128" s="332"/>
      <c r="H128" s="332"/>
      <c r="I128" s="332"/>
      <c r="J128" s="332"/>
      <c r="K128" s="332"/>
      <c r="L128" s="332"/>
      <c r="M128" s="332"/>
      <c r="N128" s="332"/>
      <c r="O128" s="332"/>
      <c r="P128" s="332"/>
      <c r="Q128" s="332"/>
      <c r="R128" s="332"/>
      <c r="S128" s="332"/>
      <c r="T128" s="332"/>
      <c r="U128" s="332"/>
      <c r="V128" s="332"/>
      <c r="W128" s="332"/>
      <c r="X128" s="332"/>
      <c r="Y128" s="332"/>
      <c r="Z128" s="332"/>
      <c r="AA128" s="332"/>
      <c r="AB128" s="332"/>
      <c r="AC128" s="332"/>
      <c r="AD128" s="332"/>
      <c r="AE128" s="332"/>
      <c r="AF128" s="332"/>
      <c r="AG128" s="332"/>
      <c r="AH128" s="332"/>
      <c r="AI128" s="332"/>
      <c r="AJ128" s="332"/>
      <c r="AK128" s="332"/>
      <c r="AL128" s="332"/>
      <c r="AM128" s="332"/>
      <c r="AN128" s="332"/>
      <c r="AO128" s="332"/>
      <c r="AP128" s="332"/>
      <c r="AQ128" s="332"/>
      <c r="AR128" s="332"/>
      <c r="AS128" s="332"/>
      <c r="AT128" s="332"/>
      <c r="AU128" s="332"/>
      <c r="AV128" s="332"/>
      <c r="AW128" s="332"/>
      <c r="AX128" s="332"/>
      <c r="AY128" s="332"/>
      <c r="AZ128" s="332"/>
      <c r="BA128" s="332"/>
      <c r="BB128" s="332"/>
      <c r="BC128" s="332"/>
      <c r="BD128" s="332"/>
      <c r="BE128" s="332"/>
      <c r="BF128" s="332"/>
      <c r="BG128" s="332"/>
      <c r="BH128" s="332"/>
      <c r="BI128" s="332"/>
      <c r="BJ128" s="332"/>
      <c r="BK128" s="332"/>
      <c r="BL128" s="332"/>
      <c r="BM128" s="332"/>
      <c r="BN128" s="332"/>
      <c r="BO128" s="332"/>
      <c r="BP128" s="332"/>
    </row>
    <row r="129" spans="1:68" ht="15" customHeight="1">
      <c r="A129" s="332"/>
      <c r="B129" s="332"/>
      <c r="C129" s="332"/>
      <c r="D129" s="332"/>
      <c r="E129" s="332"/>
      <c r="F129" s="332"/>
      <c r="G129" s="332"/>
      <c r="H129" s="332"/>
      <c r="I129" s="332"/>
      <c r="J129" s="332"/>
      <c r="K129" s="332"/>
      <c r="L129" s="332"/>
      <c r="M129" s="332"/>
      <c r="N129" s="332"/>
      <c r="O129" s="332"/>
      <c r="P129" s="332"/>
      <c r="Q129" s="332"/>
      <c r="R129" s="332"/>
      <c r="S129" s="332"/>
      <c r="T129" s="332"/>
      <c r="U129" s="332"/>
      <c r="V129" s="332"/>
      <c r="W129" s="332"/>
      <c r="X129" s="332"/>
      <c r="Y129" s="332"/>
      <c r="Z129" s="332"/>
      <c r="AA129" s="332"/>
      <c r="AB129" s="332"/>
      <c r="AC129" s="332"/>
      <c r="AD129" s="332"/>
      <c r="AE129" s="332"/>
      <c r="AF129" s="332"/>
      <c r="AG129" s="332"/>
      <c r="AH129" s="332"/>
      <c r="AI129" s="332"/>
      <c r="AJ129" s="332"/>
      <c r="AK129" s="332"/>
      <c r="AL129" s="332"/>
      <c r="AM129" s="332"/>
      <c r="AN129" s="332"/>
      <c r="AO129" s="332"/>
      <c r="AP129" s="332"/>
      <c r="AQ129" s="332"/>
      <c r="AR129" s="332"/>
      <c r="AS129" s="332"/>
      <c r="AT129" s="332"/>
      <c r="AU129" s="332"/>
      <c r="AV129" s="332"/>
      <c r="AW129" s="332"/>
      <c r="AX129" s="332"/>
      <c r="AY129" s="332"/>
      <c r="AZ129" s="332"/>
      <c r="BA129" s="332"/>
      <c r="BB129" s="332"/>
      <c r="BC129" s="332"/>
      <c r="BD129" s="332"/>
      <c r="BE129" s="332"/>
      <c r="BF129" s="332"/>
      <c r="BG129" s="332"/>
      <c r="BH129" s="332"/>
      <c r="BI129" s="332"/>
      <c r="BJ129" s="332"/>
      <c r="BK129" s="332"/>
      <c r="BL129" s="332"/>
      <c r="BM129" s="332"/>
      <c r="BN129" s="332"/>
      <c r="BO129" s="332"/>
      <c r="BP129" s="332"/>
    </row>
    <row r="130" spans="1:68" ht="15" customHeight="1">
      <c r="A130" s="332"/>
      <c r="B130" s="332"/>
      <c r="C130" s="332"/>
      <c r="D130" s="332"/>
      <c r="E130" s="332"/>
      <c r="F130" s="332"/>
      <c r="G130" s="332"/>
      <c r="H130" s="332"/>
      <c r="I130" s="332"/>
      <c r="J130" s="332"/>
      <c r="K130" s="332"/>
      <c r="L130" s="332"/>
      <c r="M130" s="332"/>
      <c r="N130" s="332"/>
      <c r="O130" s="332"/>
      <c r="P130" s="332"/>
      <c r="Q130" s="332"/>
      <c r="R130" s="332"/>
      <c r="S130" s="332"/>
      <c r="T130" s="332"/>
      <c r="U130" s="332"/>
      <c r="V130" s="332"/>
      <c r="W130" s="332"/>
      <c r="X130" s="332"/>
      <c r="Y130" s="332"/>
      <c r="Z130" s="332"/>
      <c r="AA130" s="332"/>
      <c r="AB130" s="332"/>
      <c r="AC130" s="332"/>
      <c r="AD130" s="332"/>
      <c r="AE130" s="332"/>
      <c r="AF130" s="332"/>
      <c r="AG130" s="332"/>
      <c r="AH130" s="332"/>
      <c r="AI130" s="332"/>
      <c r="AJ130" s="332"/>
      <c r="AK130" s="332"/>
      <c r="AL130" s="332"/>
      <c r="AM130" s="332"/>
      <c r="AN130" s="332"/>
      <c r="AO130" s="332"/>
      <c r="AP130" s="332"/>
      <c r="AQ130" s="332"/>
      <c r="AR130" s="332"/>
      <c r="AS130" s="332"/>
      <c r="AT130" s="332"/>
      <c r="AU130" s="332"/>
      <c r="AV130" s="332"/>
      <c r="AW130" s="332"/>
      <c r="AX130" s="332"/>
      <c r="AY130" s="332"/>
      <c r="AZ130" s="332"/>
      <c r="BA130" s="332"/>
      <c r="BB130" s="332"/>
      <c r="BC130" s="332"/>
      <c r="BD130" s="332"/>
      <c r="BE130" s="332"/>
      <c r="BF130" s="332"/>
      <c r="BG130" s="332"/>
      <c r="BH130" s="332"/>
      <c r="BI130" s="332"/>
      <c r="BJ130" s="332"/>
      <c r="BK130" s="332"/>
      <c r="BL130" s="332"/>
      <c r="BM130" s="332"/>
      <c r="BN130" s="332"/>
      <c r="BO130" s="332"/>
      <c r="BP130" s="332"/>
    </row>
    <row r="131" spans="1:68" ht="15" customHeight="1">
      <c r="A131" s="332"/>
      <c r="B131" s="332"/>
      <c r="C131" s="332"/>
      <c r="D131" s="332"/>
      <c r="E131" s="332"/>
      <c r="F131" s="332"/>
      <c r="G131" s="332"/>
      <c r="H131" s="332"/>
      <c r="I131" s="332"/>
      <c r="J131" s="332"/>
      <c r="K131" s="332"/>
      <c r="L131" s="332"/>
      <c r="M131" s="332"/>
      <c r="N131" s="332"/>
      <c r="O131" s="332"/>
      <c r="P131" s="332"/>
      <c r="Q131" s="332"/>
      <c r="R131" s="332"/>
      <c r="S131" s="332"/>
      <c r="T131" s="332"/>
      <c r="U131" s="332"/>
      <c r="V131" s="332"/>
      <c r="W131" s="332"/>
      <c r="X131" s="332"/>
      <c r="Y131" s="332"/>
      <c r="Z131" s="332"/>
      <c r="AA131" s="332"/>
      <c r="AB131" s="332"/>
      <c r="AC131" s="332"/>
      <c r="AD131" s="332"/>
      <c r="AE131" s="332"/>
      <c r="AF131" s="332"/>
      <c r="AG131" s="332"/>
      <c r="AH131" s="332"/>
      <c r="AI131" s="332"/>
      <c r="AJ131" s="332"/>
      <c r="AK131" s="332"/>
      <c r="AL131" s="332"/>
      <c r="AM131" s="332"/>
      <c r="AN131" s="332"/>
      <c r="AO131" s="332"/>
      <c r="AP131" s="332"/>
      <c r="AQ131" s="332"/>
      <c r="AR131" s="332"/>
      <c r="AS131" s="332"/>
      <c r="AT131" s="332"/>
      <c r="AU131" s="332"/>
      <c r="AV131" s="332"/>
      <c r="AW131" s="332"/>
      <c r="AX131" s="332"/>
      <c r="AY131" s="332"/>
      <c r="AZ131" s="332"/>
      <c r="BA131" s="332"/>
      <c r="BB131" s="332"/>
      <c r="BC131" s="332"/>
      <c r="BD131" s="332"/>
      <c r="BE131" s="332"/>
      <c r="BF131" s="332"/>
      <c r="BG131" s="332"/>
      <c r="BH131" s="332"/>
      <c r="BI131" s="332"/>
      <c r="BJ131" s="332"/>
      <c r="BK131" s="332"/>
      <c r="BL131" s="332"/>
      <c r="BM131" s="332"/>
      <c r="BN131" s="332"/>
      <c r="BO131" s="332"/>
      <c r="BP131" s="332"/>
    </row>
    <row r="132" spans="1:68" ht="15" customHeight="1">
      <c r="A132" s="332"/>
      <c r="B132" s="332"/>
      <c r="C132" s="332"/>
      <c r="D132" s="332"/>
      <c r="E132" s="332"/>
      <c r="F132" s="332"/>
      <c r="G132" s="332"/>
      <c r="H132" s="332"/>
      <c r="I132" s="332"/>
      <c r="J132" s="332"/>
      <c r="K132" s="332"/>
      <c r="L132" s="332"/>
      <c r="M132" s="332"/>
      <c r="N132" s="332"/>
      <c r="O132" s="332"/>
      <c r="P132" s="332"/>
      <c r="Q132" s="332"/>
      <c r="R132" s="332"/>
      <c r="S132" s="332"/>
      <c r="T132" s="332"/>
      <c r="U132" s="332"/>
      <c r="V132" s="332"/>
      <c r="W132" s="332"/>
      <c r="X132" s="332"/>
      <c r="Y132" s="332"/>
      <c r="Z132" s="332"/>
      <c r="AA132" s="332"/>
      <c r="AB132" s="332"/>
      <c r="AC132" s="332"/>
      <c r="AD132" s="332"/>
      <c r="AE132" s="332"/>
      <c r="AF132" s="332"/>
      <c r="AG132" s="332"/>
      <c r="AH132" s="332"/>
      <c r="AI132" s="332"/>
      <c r="AJ132" s="332"/>
      <c r="AK132" s="332"/>
      <c r="AL132" s="332"/>
      <c r="AM132" s="332"/>
      <c r="AN132" s="332"/>
      <c r="AO132" s="332"/>
      <c r="AP132" s="332"/>
      <c r="AQ132" s="332"/>
      <c r="AR132" s="332"/>
      <c r="AS132" s="332"/>
      <c r="AT132" s="332"/>
      <c r="AU132" s="332"/>
      <c r="AV132" s="332"/>
      <c r="AW132" s="332"/>
      <c r="AX132" s="332"/>
      <c r="AY132" s="332"/>
      <c r="AZ132" s="332"/>
      <c r="BA132" s="332"/>
      <c r="BB132" s="332"/>
      <c r="BC132" s="332"/>
      <c r="BD132" s="332"/>
      <c r="BE132" s="332"/>
      <c r="BF132" s="332"/>
      <c r="BG132" s="332"/>
      <c r="BH132" s="332"/>
      <c r="BI132" s="332"/>
      <c r="BJ132" s="332"/>
      <c r="BK132" s="332"/>
      <c r="BL132" s="332"/>
      <c r="BM132" s="332"/>
      <c r="BN132" s="332"/>
      <c r="BO132" s="332"/>
      <c r="BP132" s="332"/>
    </row>
    <row r="133" spans="1:68" ht="15" customHeight="1">
      <c r="A133" s="332"/>
      <c r="B133" s="332"/>
      <c r="C133" s="332"/>
      <c r="D133" s="332"/>
      <c r="E133" s="332"/>
      <c r="F133" s="332"/>
      <c r="G133" s="332"/>
      <c r="H133" s="332"/>
      <c r="I133" s="332"/>
      <c r="J133" s="332"/>
      <c r="K133" s="332"/>
      <c r="L133" s="332"/>
      <c r="M133" s="332"/>
      <c r="N133" s="332"/>
      <c r="O133" s="332"/>
      <c r="P133" s="332"/>
      <c r="Q133" s="332"/>
      <c r="R133" s="332"/>
      <c r="S133" s="332"/>
      <c r="T133" s="332"/>
      <c r="U133" s="332"/>
      <c r="V133" s="332"/>
      <c r="W133" s="332"/>
      <c r="X133" s="332"/>
      <c r="Y133" s="332"/>
      <c r="Z133" s="332"/>
      <c r="AA133" s="332"/>
      <c r="AB133" s="332"/>
      <c r="AC133" s="332"/>
      <c r="AD133" s="332"/>
      <c r="AE133" s="332"/>
      <c r="AF133" s="332"/>
      <c r="AG133" s="332"/>
      <c r="AH133" s="332"/>
      <c r="AI133" s="332"/>
      <c r="AJ133" s="332"/>
      <c r="AK133" s="332"/>
      <c r="AL133" s="332"/>
      <c r="AM133" s="332"/>
      <c r="AN133" s="332"/>
      <c r="AO133" s="332"/>
      <c r="AP133" s="332"/>
      <c r="AQ133" s="332"/>
      <c r="AR133" s="332"/>
      <c r="AS133" s="332"/>
      <c r="AT133" s="332"/>
      <c r="AU133" s="332"/>
      <c r="AV133" s="332"/>
      <c r="AW133" s="332"/>
      <c r="AX133" s="332"/>
      <c r="AY133" s="332"/>
      <c r="AZ133" s="332"/>
      <c r="BA133" s="332"/>
      <c r="BB133" s="332"/>
      <c r="BC133" s="332"/>
      <c r="BD133" s="332"/>
      <c r="BE133" s="332"/>
      <c r="BF133" s="332"/>
      <c r="BG133" s="332"/>
      <c r="BH133" s="332"/>
      <c r="BI133" s="332"/>
      <c r="BJ133" s="332"/>
      <c r="BK133" s="332"/>
      <c r="BL133" s="332"/>
      <c r="BM133" s="332"/>
      <c r="BN133" s="332"/>
      <c r="BO133" s="332"/>
      <c r="BP133" s="332"/>
    </row>
    <row r="134" spans="1:68" ht="15" customHeight="1">
      <c r="A134" s="332"/>
      <c r="B134" s="332"/>
      <c r="C134" s="332"/>
      <c r="D134" s="332"/>
      <c r="E134" s="332"/>
      <c r="F134" s="332"/>
      <c r="G134" s="332"/>
      <c r="H134" s="332"/>
      <c r="I134" s="332"/>
      <c r="J134" s="332"/>
      <c r="K134" s="332"/>
      <c r="L134" s="332"/>
      <c r="M134" s="332"/>
      <c r="N134" s="332"/>
      <c r="O134" s="332"/>
      <c r="P134" s="332"/>
      <c r="Q134" s="332"/>
      <c r="R134" s="332"/>
      <c r="S134" s="332"/>
      <c r="T134" s="332"/>
      <c r="U134" s="332"/>
      <c r="V134" s="332"/>
      <c r="W134" s="332"/>
      <c r="X134" s="332"/>
      <c r="Y134" s="332"/>
      <c r="Z134" s="332"/>
      <c r="AA134" s="332"/>
      <c r="AB134" s="332"/>
      <c r="AC134" s="332"/>
      <c r="AD134" s="332"/>
      <c r="AE134" s="332"/>
      <c r="AF134" s="332"/>
      <c r="AG134" s="332"/>
      <c r="AH134" s="332"/>
      <c r="AI134" s="332"/>
      <c r="AJ134" s="332"/>
      <c r="AK134" s="332"/>
      <c r="AL134" s="332"/>
      <c r="AM134" s="332"/>
      <c r="AN134" s="332"/>
      <c r="AO134" s="332"/>
      <c r="AP134" s="332"/>
      <c r="AQ134" s="332"/>
      <c r="AR134" s="332"/>
      <c r="AS134" s="332"/>
      <c r="AT134" s="332"/>
      <c r="AU134" s="332"/>
      <c r="AV134" s="332"/>
      <c r="AW134" s="332"/>
      <c r="AX134" s="332"/>
      <c r="AY134" s="332"/>
      <c r="AZ134" s="332"/>
      <c r="BA134" s="332"/>
      <c r="BB134" s="332"/>
      <c r="BC134" s="332"/>
      <c r="BD134" s="332"/>
      <c r="BE134" s="332"/>
      <c r="BF134" s="332"/>
      <c r="BG134" s="332"/>
      <c r="BH134" s="332"/>
      <c r="BI134" s="332"/>
      <c r="BJ134" s="332"/>
      <c r="BK134" s="332"/>
      <c r="BL134" s="332"/>
      <c r="BM134" s="332"/>
      <c r="BN134" s="332"/>
      <c r="BO134" s="332"/>
      <c r="BP134" s="332"/>
    </row>
    <row r="135" spans="1:68" ht="15" customHeight="1">
      <c r="A135" s="332"/>
      <c r="B135" s="332"/>
      <c r="C135" s="332"/>
      <c r="D135" s="332"/>
      <c r="E135" s="332"/>
      <c r="F135" s="332"/>
      <c r="G135" s="332"/>
      <c r="H135" s="332"/>
      <c r="I135" s="332"/>
      <c r="J135" s="332"/>
      <c r="K135" s="332"/>
      <c r="L135" s="332"/>
      <c r="M135" s="332"/>
      <c r="N135" s="332"/>
      <c r="O135" s="332"/>
      <c r="P135" s="332"/>
      <c r="Q135" s="332"/>
      <c r="R135" s="332"/>
      <c r="S135" s="332"/>
      <c r="T135" s="332"/>
      <c r="U135" s="332"/>
      <c r="V135" s="332"/>
      <c r="W135" s="332"/>
      <c r="X135" s="332"/>
      <c r="Y135" s="332"/>
      <c r="Z135" s="332"/>
      <c r="AA135" s="332"/>
      <c r="AB135" s="332"/>
      <c r="AC135" s="332"/>
      <c r="AD135" s="332"/>
      <c r="AE135" s="332"/>
      <c r="AF135" s="332"/>
      <c r="AG135" s="332"/>
      <c r="AH135" s="332"/>
      <c r="AI135" s="332"/>
      <c r="AJ135" s="332"/>
      <c r="AK135" s="332"/>
      <c r="AL135" s="332"/>
      <c r="AM135" s="332"/>
      <c r="AN135" s="332"/>
      <c r="AO135" s="332"/>
      <c r="AP135" s="332"/>
      <c r="AQ135" s="332"/>
      <c r="AR135" s="332"/>
      <c r="AS135" s="332"/>
      <c r="AT135" s="332"/>
      <c r="AU135" s="332"/>
      <c r="AV135" s="332"/>
      <c r="AW135" s="332"/>
      <c r="AX135" s="332"/>
      <c r="AY135" s="332"/>
      <c r="AZ135" s="332"/>
      <c r="BA135" s="332"/>
      <c r="BB135" s="332"/>
      <c r="BC135" s="332"/>
      <c r="BD135" s="332"/>
      <c r="BE135" s="332"/>
      <c r="BF135" s="332"/>
      <c r="BG135" s="332"/>
      <c r="BH135" s="332"/>
      <c r="BI135" s="332"/>
      <c r="BJ135" s="332"/>
      <c r="BK135" s="332"/>
      <c r="BL135" s="332"/>
      <c r="BM135" s="332"/>
      <c r="BN135" s="332"/>
      <c r="BO135" s="332"/>
      <c r="BP135" s="332"/>
    </row>
    <row r="136" spans="1:68" ht="15" customHeight="1">
      <c r="A136" s="332"/>
      <c r="B136" s="332"/>
      <c r="C136" s="332"/>
      <c r="D136" s="332"/>
      <c r="E136" s="332"/>
      <c r="F136" s="332"/>
      <c r="G136" s="332"/>
      <c r="H136" s="332"/>
      <c r="I136" s="332"/>
      <c r="J136" s="332"/>
      <c r="K136" s="332"/>
      <c r="L136" s="332"/>
      <c r="M136" s="332"/>
      <c r="N136" s="332"/>
      <c r="O136" s="332"/>
      <c r="P136" s="332"/>
      <c r="Q136" s="332"/>
      <c r="R136" s="332"/>
      <c r="S136" s="332"/>
      <c r="T136" s="332"/>
      <c r="U136" s="332"/>
      <c r="V136" s="332"/>
      <c r="W136" s="332"/>
      <c r="X136" s="332"/>
      <c r="Y136" s="332"/>
      <c r="Z136" s="332"/>
      <c r="AA136" s="332"/>
      <c r="AB136" s="332"/>
      <c r="AC136" s="332"/>
      <c r="AD136" s="332"/>
      <c r="AE136" s="332"/>
      <c r="AF136" s="332"/>
      <c r="AG136" s="332"/>
      <c r="AH136" s="332"/>
      <c r="AI136" s="332"/>
      <c r="AJ136" s="332"/>
      <c r="AK136" s="332"/>
      <c r="AL136" s="332"/>
      <c r="AM136" s="332"/>
      <c r="AN136" s="332"/>
      <c r="AO136" s="332"/>
      <c r="AP136" s="332"/>
      <c r="AQ136" s="332"/>
      <c r="AR136" s="332"/>
      <c r="AS136" s="332"/>
      <c r="AT136" s="332"/>
      <c r="AU136" s="332"/>
      <c r="AV136" s="332"/>
      <c r="AW136" s="332"/>
      <c r="AX136" s="332"/>
      <c r="AY136" s="332"/>
      <c r="AZ136" s="332"/>
      <c r="BA136" s="332"/>
      <c r="BB136" s="332"/>
      <c r="BC136" s="332"/>
      <c r="BD136" s="332"/>
      <c r="BE136" s="332"/>
      <c r="BF136" s="332"/>
      <c r="BG136" s="332"/>
      <c r="BH136" s="332"/>
      <c r="BI136" s="332"/>
      <c r="BJ136" s="332"/>
      <c r="BK136" s="332"/>
      <c r="BL136" s="332"/>
      <c r="BM136" s="332"/>
      <c r="BN136" s="332"/>
      <c r="BO136" s="332"/>
      <c r="BP136" s="332"/>
    </row>
    <row r="137" spans="1:68" ht="15" customHeight="1">
      <c r="A137" s="332"/>
      <c r="B137" s="332"/>
      <c r="C137" s="332"/>
      <c r="D137" s="332"/>
      <c r="E137" s="332"/>
      <c r="F137" s="332"/>
      <c r="G137" s="332"/>
      <c r="H137" s="332"/>
      <c r="I137" s="332"/>
      <c r="J137" s="332"/>
      <c r="K137" s="332"/>
      <c r="L137" s="332"/>
      <c r="M137" s="332"/>
      <c r="N137" s="332"/>
      <c r="O137" s="332"/>
      <c r="P137" s="332"/>
      <c r="Q137" s="332"/>
      <c r="R137" s="332"/>
      <c r="S137" s="332"/>
      <c r="T137" s="332"/>
      <c r="U137" s="332"/>
      <c r="V137" s="332"/>
      <c r="W137" s="332"/>
      <c r="X137" s="332"/>
      <c r="Y137" s="332"/>
      <c r="Z137" s="332"/>
      <c r="AA137" s="332"/>
      <c r="AB137" s="332"/>
      <c r="AC137" s="332"/>
      <c r="AD137" s="332"/>
      <c r="AE137" s="332"/>
      <c r="AF137" s="332"/>
      <c r="AG137" s="332"/>
      <c r="AH137" s="332"/>
      <c r="AI137" s="332"/>
      <c r="AJ137" s="332"/>
      <c r="AK137" s="332"/>
      <c r="AL137" s="332"/>
      <c r="AM137" s="332"/>
      <c r="AN137" s="332"/>
      <c r="AO137" s="332"/>
      <c r="AP137" s="332"/>
      <c r="AQ137" s="332"/>
      <c r="AR137" s="332"/>
      <c r="AS137" s="332"/>
      <c r="AT137" s="332"/>
      <c r="AU137" s="332"/>
      <c r="AV137" s="332"/>
      <c r="AW137" s="332"/>
      <c r="AX137" s="332"/>
      <c r="AY137" s="332"/>
      <c r="AZ137" s="332"/>
      <c r="BA137" s="332"/>
      <c r="BB137" s="332"/>
      <c r="BC137" s="332"/>
      <c r="BD137" s="332"/>
      <c r="BE137" s="332"/>
      <c r="BF137" s="332"/>
      <c r="BG137" s="332"/>
      <c r="BH137" s="332"/>
      <c r="BI137" s="332"/>
      <c r="BJ137" s="332"/>
      <c r="BK137" s="332"/>
      <c r="BL137" s="332"/>
      <c r="BM137" s="332"/>
      <c r="BN137" s="332"/>
      <c r="BO137" s="332"/>
      <c r="BP137" s="332"/>
    </row>
    <row r="138" spans="1:68" ht="15" customHeight="1">
      <c r="A138" s="332"/>
      <c r="B138" s="332"/>
      <c r="C138" s="332"/>
      <c r="D138" s="332"/>
      <c r="E138" s="332"/>
      <c r="F138" s="332"/>
      <c r="G138" s="332"/>
      <c r="H138" s="332"/>
      <c r="I138" s="332"/>
      <c r="J138" s="332"/>
      <c r="K138" s="332"/>
      <c r="L138" s="332"/>
      <c r="M138" s="332"/>
      <c r="N138" s="332"/>
      <c r="O138" s="332"/>
      <c r="P138" s="332"/>
      <c r="Q138" s="332"/>
      <c r="R138" s="332"/>
      <c r="S138" s="332"/>
      <c r="T138" s="332"/>
      <c r="U138" s="332"/>
      <c r="V138" s="332"/>
      <c r="W138" s="332"/>
      <c r="X138" s="332"/>
      <c r="Y138" s="332"/>
      <c r="Z138" s="332"/>
      <c r="AA138" s="332"/>
      <c r="AB138" s="332"/>
      <c r="AC138" s="332"/>
      <c r="AD138" s="332"/>
      <c r="AE138" s="332"/>
      <c r="AF138" s="332"/>
      <c r="AG138" s="332"/>
      <c r="AH138" s="332"/>
      <c r="AI138" s="332"/>
      <c r="AJ138" s="332"/>
      <c r="AK138" s="332"/>
      <c r="AL138" s="332"/>
      <c r="AM138" s="332"/>
      <c r="AN138" s="332"/>
      <c r="AO138" s="332"/>
      <c r="AP138" s="332"/>
      <c r="AQ138" s="332"/>
      <c r="AR138" s="332"/>
      <c r="AS138" s="332"/>
      <c r="AT138" s="332"/>
      <c r="AU138" s="332"/>
      <c r="AV138" s="332"/>
      <c r="AW138" s="332"/>
      <c r="AX138" s="332"/>
      <c r="AY138" s="332"/>
      <c r="AZ138" s="332"/>
      <c r="BA138" s="332"/>
      <c r="BB138" s="332"/>
      <c r="BC138" s="332"/>
      <c r="BD138" s="332"/>
      <c r="BE138" s="332"/>
      <c r="BF138" s="332"/>
      <c r="BG138" s="332"/>
      <c r="BH138" s="332"/>
      <c r="BI138" s="332"/>
      <c r="BJ138" s="332"/>
      <c r="BK138" s="332"/>
      <c r="BL138" s="332"/>
      <c r="BM138" s="332"/>
      <c r="BN138" s="332"/>
      <c r="BO138" s="332"/>
      <c r="BP138" s="332"/>
    </row>
    <row r="139" spans="1:68" ht="15" customHeight="1">
      <c r="A139" s="332"/>
      <c r="B139" s="332"/>
      <c r="C139" s="332"/>
      <c r="D139" s="332"/>
      <c r="E139" s="332"/>
      <c r="F139" s="332"/>
      <c r="G139" s="332"/>
      <c r="H139" s="332"/>
      <c r="I139" s="332"/>
      <c r="J139" s="332"/>
      <c r="K139" s="332"/>
      <c r="L139" s="332"/>
      <c r="M139" s="332"/>
      <c r="N139" s="332"/>
      <c r="O139" s="332"/>
      <c r="P139" s="332"/>
      <c r="Q139" s="332"/>
      <c r="R139" s="332"/>
      <c r="S139" s="332"/>
      <c r="T139" s="332"/>
      <c r="U139" s="332"/>
      <c r="V139" s="332"/>
      <c r="W139" s="332"/>
      <c r="X139" s="332"/>
      <c r="Y139" s="332"/>
      <c r="Z139" s="332"/>
      <c r="AA139" s="332"/>
      <c r="AB139" s="332"/>
      <c r="AC139" s="332"/>
      <c r="AD139" s="332"/>
      <c r="AE139" s="332"/>
      <c r="AF139" s="332"/>
      <c r="AG139" s="332"/>
      <c r="AH139" s="332"/>
      <c r="AI139" s="332"/>
      <c r="AJ139" s="332"/>
      <c r="AK139" s="332"/>
      <c r="AL139" s="332"/>
      <c r="AM139" s="332"/>
      <c r="AN139" s="332"/>
      <c r="AO139" s="332"/>
      <c r="AP139" s="332"/>
      <c r="AQ139" s="332"/>
      <c r="AR139" s="332"/>
      <c r="AS139" s="332"/>
      <c r="AT139" s="332"/>
      <c r="AU139" s="332"/>
      <c r="AV139" s="332"/>
      <c r="AW139" s="332"/>
      <c r="AX139" s="332"/>
      <c r="AY139" s="332"/>
      <c r="AZ139" s="332"/>
      <c r="BA139" s="332"/>
      <c r="BB139" s="332"/>
      <c r="BC139" s="332"/>
      <c r="BD139" s="332"/>
      <c r="BE139" s="332"/>
      <c r="BF139" s="332"/>
      <c r="BG139" s="332"/>
      <c r="BH139" s="332"/>
      <c r="BI139" s="332"/>
      <c r="BJ139" s="332"/>
      <c r="BK139" s="332"/>
      <c r="BL139" s="332"/>
      <c r="BM139" s="332"/>
      <c r="BN139" s="332"/>
      <c r="BO139" s="332"/>
      <c r="BP139" s="332"/>
    </row>
    <row r="140" spans="1:68" ht="15" customHeight="1">
      <c r="A140" s="332"/>
      <c r="B140" s="332"/>
      <c r="C140" s="332"/>
      <c r="D140" s="332"/>
      <c r="E140" s="332"/>
      <c r="F140" s="332"/>
      <c r="G140" s="332"/>
      <c r="H140" s="332"/>
      <c r="I140" s="332"/>
      <c r="J140" s="332"/>
      <c r="K140" s="332"/>
      <c r="L140" s="332"/>
      <c r="M140" s="332"/>
      <c r="N140" s="332"/>
      <c r="O140" s="332"/>
      <c r="P140" s="332"/>
      <c r="Q140" s="332"/>
      <c r="R140" s="332"/>
      <c r="S140" s="332"/>
      <c r="T140" s="332"/>
      <c r="U140" s="332"/>
      <c r="V140" s="332"/>
      <c r="W140" s="332"/>
      <c r="X140" s="332"/>
      <c r="Y140" s="332"/>
      <c r="Z140" s="332"/>
      <c r="AA140" s="332"/>
      <c r="AB140" s="332"/>
      <c r="AC140" s="332"/>
      <c r="AD140" s="332"/>
      <c r="AE140" s="332"/>
      <c r="AF140" s="332"/>
      <c r="AG140" s="332"/>
      <c r="AH140" s="332"/>
      <c r="AI140" s="332"/>
      <c r="AJ140" s="332"/>
      <c r="AK140" s="332"/>
      <c r="AL140" s="332"/>
      <c r="AM140" s="332"/>
      <c r="AN140" s="332"/>
      <c r="AO140" s="332"/>
      <c r="AP140" s="332"/>
      <c r="AQ140" s="332"/>
      <c r="AR140" s="332"/>
      <c r="AS140" s="332"/>
      <c r="AT140" s="332"/>
      <c r="AU140" s="332"/>
      <c r="AV140" s="332"/>
      <c r="AW140" s="332"/>
      <c r="AX140" s="332"/>
      <c r="AY140" s="332"/>
      <c r="AZ140" s="332"/>
      <c r="BA140" s="332"/>
      <c r="BB140" s="332"/>
      <c r="BC140" s="332"/>
      <c r="BD140" s="332"/>
      <c r="BE140" s="332"/>
      <c r="BF140" s="332"/>
      <c r="BG140" s="332"/>
      <c r="BH140" s="332"/>
      <c r="BI140" s="332"/>
      <c r="BJ140" s="332"/>
      <c r="BK140" s="332"/>
      <c r="BL140" s="332"/>
      <c r="BM140" s="332"/>
      <c r="BN140" s="332"/>
      <c r="BO140" s="332"/>
      <c r="BP140" s="332"/>
    </row>
    <row r="141" spans="1:68" ht="15" customHeight="1">
      <c r="A141" s="332"/>
      <c r="B141" s="332"/>
      <c r="C141" s="332"/>
      <c r="D141" s="332"/>
      <c r="E141" s="332"/>
      <c r="F141" s="332"/>
      <c r="G141" s="332"/>
      <c r="H141" s="332"/>
      <c r="I141" s="332"/>
      <c r="J141" s="332"/>
      <c r="K141" s="332"/>
      <c r="L141" s="332"/>
      <c r="M141" s="332"/>
      <c r="N141" s="332"/>
      <c r="O141" s="332"/>
      <c r="P141" s="332"/>
      <c r="Q141" s="332"/>
      <c r="R141" s="332"/>
      <c r="S141" s="332"/>
      <c r="T141" s="332"/>
      <c r="U141" s="332"/>
      <c r="V141" s="332"/>
      <c r="W141" s="332"/>
      <c r="X141" s="332"/>
      <c r="Y141" s="332"/>
      <c r="Z141" s="332"/>
      <c r="AA141" s="332"/>
      <c r="AB141" s="332"/>
      <c r="AC141" s="332"/>
      <c r="AD141" s="332"/>
      <c r="AE141" s="332"/>
      <c r="AF141" s="332"/>
      <c r="AG141" s="332"/>
      <c r="AH141" s="332"/>
      <c r="AI141" s="332"/>
      <c r="AJ141" s="332"/>
      <c r="AK141" s="332"/>
      <c r="AL141" s="332"/>
      <c r="AM141" s="332"/>
      <c r="AN141" s="332"/>
      <c r="AO141" s="332"/>
      <c r="AP141" s="332"/>
      <c r="AQ141" s="332"/>
      <c r="AR141" s="332"/>
      <c r="AS141" s="332"/>
      <c r="AT141" s="332"/>
      <c r="AU141" s="332"/>
      <c r="AV141" s="332"/>
      <c r="AW141" s="332"/>
      <c r="AX141" s="332"/>
      <c r="AY141" s="332"/>
      <c r="AZ141" s="332"/>
      <c r="BA141" s="332"/>
      <c r="BB141" s="332"/>
      <c r="BC141" s="332"/>
      <c r="BD141" s="332"/>
      <c r="BE141" s="332"/>
      <c r="BF141" s="332"/>
      <c r="BG141" s="332"/>
      <c r="BH141" s="332"/>
      <c r="BI141" s="332"/>
      <c r="BJ141" s="332"/>
      <c r="BK141" s="332"/>
      <c r="BL141" s="332"/>
      <c r="BM141" s="332"/>
      <c r="BN141" s="332"/>
      <c r="BO141" s="332"/>
      <c r="BP141" s="332"/>
    </row>
    <row r="142" spans="1:68" ht="15" customHeight="1">
      <c r="A142" s="332"/>
      <c r="B142" s="332"/>
      <c r="C142" s="332"/>
      <c r="D142" s="332"/>
      <c r="E142" s="332"/>
      <c r="F142" s="332"/>
      <c r="G142" s="332"/>
      <c r="H142" s="332"/>
      <c r="I142" s="332"/>
      <c r="J142" s="332"/>
      <c r="K142" s="332"/>
      <c r="L142" s="332"/>
      <c r="M142" s="332"/>
      <c r="N142" s="332"/>
      <c r="O142" s="332"/>
      <c r="P142" s="332"/>
      <c r="Q142" s="332"/>
      <c r="R142" s="332"/>
      <c r="S142" s="332"/>
      <c r="T142" s="332"/>
      <c r="U142" s="332"/>
      <c r="V142" s="332"/>
      <c r="W142" s="332"/>
      <c r="X142" s="332"/>
      <c r="Y142" s="332"/>
      <c r="Z142" s="332"/>
      <c r="AA142" s="332"/>
      <c r="AB142" s="332"/>
      <c r="AC142" s="332"/>
      <c r="AD142" s="332"/>
      <c r="AE142" s="332"/>
      <c r="AF142" s="332"/>
      <c r="AG142" s="332"/>
      <c r="AH142" s="332"/>
      <c r="AI142" s="332"/>
      <c r="AJ142" s="332"/>
      <c r="AK142" s="332"/>
      <c r="AL142" s="332"/>
      <c r="AM142" s="332"/>
      <c r="AN142" s="332"/>
      <c r="AO142" s="332"/>
      <c r="AP142" s="332"/>
      <c r="AQ142" s="332"/>
      <c r="AR142" s="332"/>
      <c r="AS142" s="332"/>
      <c r="AT142" s="332"/>
      <c r="AU142" s="332"/>
      <c r="AV142" s="332"/>
      <c r="AW142" s="332"/>
      <c r="AX142" s="332"/>
      <c r="AY142" s="332"/>
      <c r="AZ142" s="332"/>
      <c r="BA142" s="332"/>
      <c r="BB142" s="332"/>
      <c r="BC142" s="332"/>
      <c r="BD142" s="332"/>
      <c r="BE142" s="332"/>
      <c r="BF142" s="332"/>
      <c r="BG142" s="332"/>
      <c r="BH142" s="332"/>
      <c r="BI142" s="332"/>
      <c r="BJ142" s="332"/>
      <c r="BK142" s="332"/>
      <c r="BL142" s="332"/>
      <c r="BM142" s="332"/>
      <c r="BN142" s="332"/>
      <c r="BO142" s="332"/>
      <c r="BP142" s="332"/>
    </row>
    <row r="143" spans="1:68" ht="15" customHeight="1">
      <c r="A143" s="332"/>
      <c r="B143" s="332"/>
      <c r="C143" s="332"/>
      <c r="D143" s="332"/>
      <c r="E143" s="332"/>
      <c r="F143" s="332"/>
      <c r="G143" s="332"/>
      <c r="H143" s="332"/>
      <c r="I143" s="332"/>
      <c r="J143" s="332"/>
      <c r="K143" s="332"/>
      <c r="L143" s="332"/>
      <c r="M143" s="332"/>
      <c r="N143" s="332"/>
      <c r="O143" s="332"/>
      <c r="P143" s="332"/>
      <c r="Q143" s="332"/>
      <c r="R143" s="332"/>
      <c r="S143" s="332"/>
      <c r="T143" s="332"/>
      <c r="U143" s="332"/>
      <c r="V143" s="332"/>
      <c r="W143" s="332"/>
      <c r="X143" s="332"/>
      <c r="Y143" s="332"/>
      <c r="Z143" s="332"/>
      <c r="AA143" s="332"/>
      <c r="AB143" s="332"/>
      <c r="AC143" s="332"/>
      <c r="AD143" s="332"/>
      <c r="AE143" s="332"/>
      <c r="AF143" s="332"/>
      <c r="AG143" s="332"/>
      <c r="AH143" s="332"/>
      <c r="AI143" s="332"/>
      <c r="AJ143" s="332"/>
      <c r="AK143" s="332"/>
      <c r="AL143" s="332"/>
      <c r="AM143" s="332"/>
      <c r="AN143" s="332"/>
      <c r="AO143" s="332"/>
      <c r="AP143" s="332"/>
      <c r="AQ143" s="332"/>
      <c r="AR143" s="332"/>
      <c r="AS143" s="332"/>
      <c r="AT143" s="332"/>
      <c r="AU143" s="332"/>
      <c r="AV143" s="332"/>
      <c r="AW143" s="332"/>
      <c r="AX143" s="332"/>
      <c r="AY143" s="332"/>
      <c r="AZ143" s="332"/>
      <c r="BA143" s="332"/>
      <c r="BB143" s="332"/>
      <c r="BC143" s="332"/>
      <c r="BD143" s="332"/>
      <c r="BE143" s="332"/>
      <c r="BF143" s="332"/>
      <c r="BG143" s="332"/>
      <c r="BH143" s="332"/>
      <c r="BI143" s="332"/>
      <c r="BJ143" s="332"/>
      <c r="BK143" s="332"/>
      <c r="BL143" s="332"/>
      <c r="BM143" s="332"/>
      <c r="BN143" s="332"/>
      <c r="BO143" s="332"/>
      <c r="BP143" s="332"/>
    </row>
    <row r="144" spans="1:68" ht="15" customHeight="1">
      <c r="A144" s="332"/>
      <c r="B144" s="332"/>
      <c r="C144" s="332"/>
      <c r="D144" s="332"/>
      <c r="E144" s="332"/>
      <c r="F144" s="332"/>
      <c r="G144" s="332"/>
      <c r="H144" s="332"/>
      <c r="I144" s="332"/>
      <c r="J144" s="332"/>
      <c r="K144" s="332"/>
      <c r="L144" s="332"/>
      <c r="M144" s="332"/>
      <c r="N144" s="332"/>
      <c r="O144" s="332"/>
      <c r="P144" s="332"/>
      <c r="Q144" s="332"/>
      <c r="R144" s="332"/>
      <c r="S144" s="332"/>
      <c r="T144" s="332"/>
      <c r="U144" s="332"/>
      <c r="V144" s="332"/>
      <c r="W144" s="332"/>
      <c r="X144" s="332"/>
      <c r="Y144" s="332"/>
      <c r="Z144" s="332"/>
      <c r="AA144" s="332"/>
      <c r="AB144" s="332"/>
      <c r="AC144" s="332"/>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c r="BB144" s="332"/>
      <c r="BC144" s="332"/>
      <c r="BD144" s="332"/>
      <c r="BE144" s="332"/>
      <c r="BF144" s="332"/>
      <c r="BG144" s="332"/>
      <c r="BH144" s="332"/>
      <c r="BI144" s="332"/>
      <c r="BJ144" s="332"/>
      <c r="BK144" s="332"/>
      <c r="BL144" s="332"/>
      <c r="BM144" s="332"/>
      <c r="BN144" s="332"/>
      <c r="BO144" s="332"/>
      <c r="BP144" s="332"/>
    </row>
    <row r="145" spans="1:68" ht="15" customHeight="1">
      <c r="A145" s="332"/>
      <c r="B145" s="332"/>
      <c r="C145" s="332"/>
      <c r="D145" s="332"/>
      <c r="E145" s="332"/>
      <c r="F145" s="332"/>
      <c r="G145" s="332"/>
      <c r="H145" s="332"/>
      <c r="I145" s="332"/>
      <c r="J145" s="332"/>
      <c r="K145" s="332"/>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2"/>
      <c r="BK145" s="332"/>
      <c r="BL145" s="332"/>
      <c r="BM145" s="332"/>
      <c r="BN145" s="332"/>
      <c r="BO145" s="332"/>
      <c r="BP145" s="332"/>
    </row>
    <row r="146" spans="1:68" ht="15" customHeight="1">
      <c r="A146" s="332"/>
      <c r="B146" s="332"/>
      <c r="C146" s="332"/>
      <c r="D146" s="332"/>
      <c r="E146" s="332"/>
      <c r="F146" s="332"/>
      <c r="G146" s="332"/>
      <c r="H146" s="332"/>
      <c r="I146" s="332"/>
      <c r="J146" s="332"/>
      <c r="K146" s="332"/>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2"/>
      <c r="BK146" s="332"/>
      <c r="BL146" s="332"/>
      <c r="BM146" s="332"/>
      <c r="BN146" s="332"/>
      <c r="BO146" s="332"/>
      <c r="BP146" s="332"/>
    </row>
    <row r="147" spans="1:68" ht="15" customHeight="1">
      <c r="A147" s="332"/>
      <c r="B147" s="332"/>
      <c r="C147" s="332"/>
      <c r="D147" s="332"/>
      <c r="E147" s="332"/>
      <c r="F147" s="332"/>
      <c r="G147" s="332"/>
      <c r="H147" s="332"/>
      <c r="I147" s="332"/>
      <c r="J147" s="332"/>
      <c r="K147" s="332"/>
      <c r="L147" s="332"/>
      <c r="M147" s="332"/>
      <c r="N147" s="332"/>
      <c r="O147" s="332"/>
      <c r="P147" s="332"/>
      <c r="Q147" s="332"/>
      <c r="R147" s="332"/>
      <c r="S147" s="332"/>
      <c r="T147" s="332"/>
      <c r="U147" s="332"/>
      <c r="V147" s="332"/>
      <c r="W147" s="332"/>
      <c r="X147" s="332"/>
      <c r="Y147" s="332"/>
      <c r="Z147" s="332"/>
      <c r="AA147" s="332"/>
      <c r="AB147" s="332"/>
      <c r="AC147" s="332"/>
      <c r="AD147" s="332"/>
      <c r="AE147" s="332"/>
      <c r="AF147" s="332"/>
      <c r="AG147" s="332"/>
      <c r="AH147" s="332"/>
      <c r="AI147" s="332"/>
      <c r="AJ147" s="332"/>
      <c r="AK147" s="332"/>
      <c r="AL147" s="332"/>
      <c r="AM147" s="332"/>
      <c r="AN147" s="332"/>
      <c r="AO147" s="332"/>
      <c r="AP147" s="332"/>
      <c r="AQ147" s="332"/>
      <c r="AR147" s="332"/>
      <c r="AS147" s="332"/>
      <c r="AT147" s="332"/>
      <c r="AU147" s="332"/>
      <c r="AV147" s="332"/>
      <c r="AW147" s="332"/>
      <c r="AX147" s="332"/>
      <c r="AY147" s="332"/>
      <c r="AZ147" s="332"/>
      <c r="BA147" s="332"/>
      <c r="BB147" s="332"/>
      <c r="BC147" s="332"/>
      <c r="BD147" s="332"/>
      <c r="BE147" s="332"/>
      <c r="BF147" s="332"/>
      <c r="BG147" s="332"/>
      <c r="BH147" s="332"/>
      <c r="BI147" s="332"/>
      <c r="BJ147" s="332"/>
      <c r="BK147" s="332"/>
      <c r="BL147" s="332"/>
      <c r="BM147" s="332"/>
      <c r="BN147" s="332"/>
      <c r="BO147" s="332"/>
      <c r="BP147" s="332"/>
    </row>
    <row r="148" spans="1:68" ht="15" customHeight="1">
      <c r="A148" s="332"/>
      <c r="B148" s="332"/>
      <c r="C148" s="332"/>
      <c r="D148" s="332"/>
      <c r="E148" s="332"/>
      <c r="F148" s="332"/>
      <c r="G148" s="332"/>
      <c r="H148" s="332"/>
      <c r="I148" s="332"/>
      <c r="J148" s="332"/>
      <c r="K148" s="332"/>
      <c r="L148" s="332"/>
      <c r="M148" s="332"/>
      <c r="N148" s="332"/>
      <c r="O148" s="332"/>
      <c r="P148" s="332"/>
      <c r="Q148" s="332"/>
      <c r="R148" s="332"/>
      <c r="S148" s="332"/>
      <c r="T148" s="332"/>
      <c r="U148" s="332"/>
      <c r="V148" s="332"/>
      <c r="W148" s="332"/>
      <c r="X148" s="332"/>
      <c r="Y148" s="332"/>
      <c r="Z148" s="332"/>
      <c r="AA148" s="332"/>
      <c r="AB148" s="332"/>
      <c r="AC148" s="332"/>
      <c r="AD148" s="332"/>
      <c r="AE148" s="332"/>
      <c r="AF148" s="332"/>
      <c r="AG148" s="332"/>
      <c r="AH148" s="332"/>
      <c r="AI148" s="332"/>
      <c r="AJ148" s="332"/>
      <c r="AK148" s="332"/>
      <c r="AL148" s="332"/>
      <c r="AM148" s="332"/>
      <c r="AN148" s="332"/>
      <c r="AO148" s="332"/>
      <c r="AP148" s="332"/>
      <c r="AQ148" s="332"/>
      <c r="AR148" s="332"/>
      <c r="AS148" s="332"/>
      <c r="AT148" s="332"/>
      <c r="AU148" s="332"/>
      <c r="AV148" s="332"/>
      <c r="AW148" s="332"/>
      <c r="AX148" s="332"/>
      <c r="AY148" s="332"/>
      <c r="AZ148" s="332"/>
      <c r="BA148" s="332"/>
      <c r="BB148" s="332"/>
      <c r="BC148" s="332"/>
      <c r="BD148" s="332"/>
      <c r="BE148" s="332"/>
      <c r="BF148" s="332"/>
      <c r="BG148" s="332"/>
      <c r="BH148" s="332"/>
      <c r="BI148" s="332"/>
      <c r="BJ148" s="332"/>
      <c r="BK148" s="332"/>
      <c r="BL148" s="332"/>
      <c r="BM148" s="332"/>
      <c r="BN148" s="332"/>
      <c r="BO148" s="332"/>
      <c r="BP148" s="332"/>
    </row>
    <row r="149" spans="1:68" ht="15" customHeight="1">
      <c r="A149" s="332"/>
      <c r="B149" s="332"/>
      <c r="C149" s="332"/>
      <c r="D149" s="332"/>
      <c r="E149" s="332"/>
      <c r="F149" s="332"/>
      <c r="G149" s="332"/>
      <c r="H149" s="332"/>
      <c r="I149" s="332"/>
      <c r="J149" s="332"/>
      <c r="K149" s="332"/>
      <c r="L149" s="332"/>
      <c r="M149" s="332"/>
      <c r="N149" s="332"/>
      <c r="O149" s="332"/>
      <c r="P149" s="332"/>
      <c r="Q149" s="332"/>
      <c r="R149" s="332"/>
      <c r="S149" s="332"/>
      <c r="T149" s="332"/>
      <c r="U149" s="332"/>
      <c r="V149" s="332"/>
      <c r="W149" s="332"/>
      <c r="X149" s="332"/>
      <c r="Y149" s="332"/>
      <c r="Z149" s="332"/>
      <c r="AA149" s="332"/>
      <c r="AB149" s="332"/>
      <c r="AC149" s="332"/>
      <c r="AD149" s="332"/>
      <c r="AE149" s="332"/>
      <c r="AF149" s="332"/>
      <c r="AG149" s="332"/>
      <c r="AH149" s="332"/>
      <c r="AI149" s="332"/>
      <c r="AJ149" s="332"/>
      <c r="AK149" s="332"/>
      <c r="AL149" s="332"/>
      <c r="AM149" s="332"/>
      <c r="AN149" s="332"/>
      <c r="AO149" s="332"/>
      <c r="AP149" s="332"/>
      <c r="AQ149" s="332"/>
      <c r="AR149" s="332"/>
      <c r="AS149" s="332"/>
      <c r="AT149" s="332"/>
      <c r="AU149" s="332"/>
      <c r="AV149" s="332"/>
      <c r="AW149" s="332"/>
      <c r="AX149" s="332"/>
      <c r="AY149" s="332"/>
      <c r="AZ149" s="332"/>
      <c r="BA149" s="332"/>
      <c r="BB149" s="332"/>
      <c r="BC149" s="332"/>
      <c r="BD149" s="332"/>
      <c r="BE149" s="332"/>
      <c r="BF149" s="332"/>
      <c r="BG149" s="332"/>
      <c r="BH149" s="332"/>
      <c r="BI149" s="332"/>
      <c r="BJ149" s="332"/>
      <c r="BK149" s="332"/>
      <c r="BL149" s="332"/>
      <c r="BM149" s="332"/>
      <c r="BN149" s="332"/>
      <c r="BO149" s="332"/>
      <c r="BP149" s="332"/>
    </row>
    <row r="150" spans="1:68" ht="15" customHeight="1">
      <c r="A150" s="332"/>
      <c r="B150" s="332"/>
      <c r="C150" s="332"/>
      <c r="D150" s="332"/>
      <c r="E150" s="332"/>
      <c r="F150" s="332"/>
      <c r="G150" s="332"/>
      <c r="H150" s="332"/>
      <c r="I150" s="332"/>
      <c r="J150" s="332"/>
      <c r="K150" s="332"/>
      <c r="L150" s="332"/>
      <c r="M150" s="332"/>
      <c r="N150" s="332"/>
      <c r="O150" s="332"/>
      <c r="P150" s="332"/>
      <c r="Q150" s="332"/>
      <c r="R150" s="332"/>
      <c r="S150" s="332"/>
      <c r="T150" s="332"/>
      <c r="U150" s="332"/>
      <c r="V150" s="332"/>
      <c r="W150" s="332"/>
      <c r="X150" s="332"/>
      <c r="Y150" s="332"/>
      <c r="Z150" s="332"/>
      <c r="AA150" s="332"/>
      <c r="AB150" s="332"/>
      <c r="AC150" s="332"/>
      <c r="AD150" s="332"/>
      <c r="AE150" s="332"/>
      <c r="AF150" s="332"/>
      <c r="AG150" s="332"/>
      <c r="AH150" s="332"/>
      <c r="AI150" s="332"/>
      <c r="AJ150" s="332"/>
      <c r="AK150" s="332"/>
      <c r="AL150" s="332"/>
      <c r="AM150" s="332"/>
      <c r="AN150" s="332"/>
      <c r="AO150" s="332"/>
      <c r="AP150" s="332"/>
      <c r="AQ150" s="332"/>
      <c r="AR150" s="332"/>
      <c r="AS150" s="332"/>
      <c r="AT150" s="332"/>
      <c r="AU150" s="332"/>
      <c r="AV150" s="332"/>
      <c r="AW150" s="332"/>
      <c r="AX150" s="332"/>
      <c r="AY150" s="332"/>
      <c r="AZ150" s="332"/>
      <c r="BA150" s="332"/>
      <c r="BB150" s="332"/>
      <c r="BC150" s="332"/>
      <c r="BD150" s="332"/>
      <c r="BE150" s="332"/>
      <c r="BF150" s="332"/>
      <c r="BG150" s="332"/>
      <c r="BH150" s="332"/>
      <c r="BI150" s="332"/>
      <c r="BJ150" s="332"/>
      <c r="BK150" s="332"/>
      <c r="BL150" s="332"/>
      <c r="BM150" s="332"/>
      <c r="BN150" s="332"/>
      <c r="BO150" s="332"/>
      <c r="BP150" s="332"/>
    </row>
    <row r="151" spans="1:68" ht="15" customHeight="1">
      <c r="A151" s="332"/>
      <c r="B151" s="332"/>
      <c r="C151" s="332"/>
      <c r="D151" s="332"/>
      <c r="E151" s="332"/>
      <c r="F151" s="332"/>
      <c r="G151" s="332"/>
      <c r="H151" s="332"/>
      <c r="I151" s="332"/>
      <c r="J151" s="332"/>
      <c r="K151" s="332"/>
      <c r="L151" s="332"/>
      <c r="M151" s="332"/>
      <c r="N151" s="332"/>
      <c r="O151" s="332"/>
      <c r="P151" s="332"/>
      <c r="Q151" s="332"/>
      <c r="R151" s="332"/>
      <c r="S151" s="332"/>
      <c r="T151" s="332"/>
      <c r="U151" s="332"/>
      <c r="V151" s="332"/>
      <c r="W151" s="332"/>
      <c r="X151" s="332"/>
      <c r="Y151" s="332"/>
      <c r="Z151" s="332"/>
      <c r="AA151" s="332"/>
      <c r="AB151" s="332"/>
      <c r="AC151" s="332"/>
      <c r="AD151" s="332"/>
      <c r="AE151" s="332"/>
      <c r="AF151" s="332"/>
      <c r="AG151" s="332"/>
      <c r="AH151" s="332"/>
      <c r="AI151" s="332"/>
      <c r="AJ151" s="332"/>
      <c r="AK151" s="332"/>
      <c r="AL151" s="332"/>
      <c r="AM151" s="332"/>
      <c r="AN151" s="332"/>
      <c r="AO151" s="332"/>
      <c r="AP151" s="332"/>
      <c r="AQ151" s="332"/>
      <c r="AR151" s="332"/>
      <c r="AS151" s="332"/>
      <c r="AT151" s="332"/>
      <c r="AU151" s="332"/>
      <c r="AV151" s="332"/>
      <c r="AW151" s="332"/>
      <c r="AX151" s="332"/>
      <c r="AY151" s="332"/>
      <c r="AZ151" s="332"/>
      <c r="BA151" s="332"/>
      <c r="BB151" s="332"/>
      <c r="BC151" s="332"/>
      <c r="BD151" s="332"/>
      <c r="BE151" s="332"/>
      <c r="BF151" s="332"/>
      <c r="BG151" s="332"/>
      <c r="BH151" s="332"/>
      <c r="BI151" s="332"/>
      <c r="BJ151" s="332"/>
      <c r="BK151" s="332"/>
      <c r="BL151" s="332"/>
      <c r="BM151" s="332"/>
      <c r="BN151" s="332"/>
      <c r="BO151" s="332"/>
      <c r="BP151" s="332"/>
    </row>
    <row r="152" spans="1:68" ht="15" customHeight="1">
      <c r="A152" s="332"/>
      <c r="B152" s="332"/>
      <c r="C152" s="332"/>
      <c r="D152" s="332"/>
      <c r="E152" s="332"/>
      <c r="F152" s="332"/>
      <c r="G152" s="332"/>
      <c r="H152" s="332"/>
      <c r="I152" s="332"/>
      <c r="J152" s="332"/>
      <c r="K152" s="332"/>
      <c r="L152" s="332"/>
      <c r="M152" s="332"/>
      <c r="N152" s="332"/>
      <c r="O152" s="332"/>
      <c r="P152" s="332"/>
      <c r="Q152" s="332"/>
      <c r="R152" s="332"/>
      <c r="S152" s="332"/>
      <c r="T152" s="332"/>
      <c r="U152" s="332"/>
      <c r="V152" s="332"/>
      <c r="W152" s="332"/>
      <c r="X152" s="332"/>
      <c r="Y152" s="332"/>
      <c r="Z152" s="332"/>
      <c r="AA152" s="332"/>
      <c r="AB152" s="332"/>
      <c r="AC152" s="332"/>
      <c r="AD152" s="332"/>
      <c r="AE152" s="332"/>
      <c r="AF152" s="332"/>
      <c r="AG152" s="332"/>
      <c r="AH152" s="332"/>
      <c r="AI152" s="332"/>
      <c r="AJ152" s="332"/>
      <c r="AK152" s="332"/>
      <c r="AL152" s="332"/>
      <c r="AM152" s="332"/>
      <c r="AN152" s="332"/>
      <c r="AO152" s="332"/>
      <c r="AP152" s="332"/>
      <c r="AQ152" s="332"/>
      <c r="AR152" s="332"/>
      <c r="AS152" s="332"/>
      <c r="AT152" s="332"/>
      <c r="AU152" s="332"/>
      <c r="AV152" s="332"/>
      <c r="AW152" s="332"/>
      <c r="AX152" s="332"/>
      <c r="AY152" s="332"/>
      <c r="AZ152" s="332"/>
      <c r="BA152" s="332"/>
      <c r="BB152" s="332"/>
      <c r="BC152" s="332"/>
      <c r="BD152" s="332"/>
      <c r="BE152" s="332"/>
      <c r="BF152" s="332"/>
      <c r="BG152" s="332"/>
      <c r="BH152" s="332"/>
      <c r="BI152" s="332"/>
      <c r="BJ152" s="332"/>
      <c r="BK152" s="332"/>
      <c r="BL152" s="332"/>
      <c r="BM152" s="332"/>
      <c r="BN152" s="332"/>
      <c r="BO152" s="332"/>
      <c r="BP152" s="332"/>
    </row>
    <row r="153" spans="1:68" ht="15" customHeight="1">
      <c r="A153" s="332"/>
      <c r="B153" s="332"/>
      <c r="C153" s="332"/>
      <c r="D153" s="332"/>
      <c r="E153" s="332"/>
      <c r="F153" s="332"/>
      <c r="G153" s="332"/>
      <c r="H153" s="332"/>
      <c r="I153" s="332"/>
      <c r="J153" s="332"/>
      <c r="K153" s="332"/>
      <c r="L153" s="332"/>
      <c r="M153" s="332"/>
      <c r="N153" s="332"/>
      <c r="O153" s="332"/>
      <c r="P153" s="332"/>
      <c r="Q153" s="332"/>
      <c r="R153" s="332"/>
      <c r="S153" s="332"/>
      <c r="T153" s="332"/>
      <c r="U153" s="332"/>
      <c r="V153" s="332"/>
      <c r="W153" s="332"/>
      <c r="X153" s="332"/>
      <c r="Y153" s="332"/>
      <c r="Z153" s="332"/>
      <c r="AA153" s="332"/>
      <c r="AB153" s="332"/>
      <c r="AC153" s="332"/>
      <c r="AD153" s="332"/>
      <c r="AE153" s="332"/>
      <c r="AF153" s="332"/>
      <c r="AG153" s="332"/>
      <c r="AH153" s="332"/>
      <c r="AI153" s="332"/>
      <c r="AJ153" s="332"/>
      <c r="AK153" s="332"/>
      <c r="AL153" s="332"/>
      <c r="AM153" s="332"/>
      <c r="AN153" s="332"/>
      <c r="AO153" s="332"/>
      <c r="AP153" s="332"/>
      <c r="AQ153" s="332"/>
      <c r="AR153" s="332"/>
      <c r="AS153" s="332"/>
      <c r="AT153" s="332"/>
      <c r="AU153" s="332"/>
      <c r="AV153" s="332"/>
      <c r="AW153" s="332"/>
      <c r="AX153" s="332"/>
      <c r="AY153" s="332"/>
      <c r="AZ153" s="332"/>
      <c r="BA153" s="332"/>
      <c r="BB153" s="332"/>
      <c r="BC153" s="332"/>
      <c r="BD153" s="332"/>
      <c r="BE153" s="332"/>
      <c r="BF153" s="332"/>
      <c r="BG153" s="332"/>
      <c r="BH153" s="332"/>
      <c r="BI153" s="332"/>
      <c r="BJ153" s="332"/>
      <c r="BK153" s="332"/>
      <c r="BL153" s="332"/>
      <c r="BM153" s="332"/>
      <c r="BN153" s="332"/>
      <c r="BO153" s="332"/>
      <c r="BP153" s="332"/>
    </row>
    <row r="154" spans="1:68" ht="15" customHeight="1">
      <c r="A154" s="332"/>
      <c r="B154" s="332"/>
      <c r="C154" s="332"/>
      <c r="D154" s="332"/>
      <c r="E154" s="332"/>
      <c r="F154" s="332"/>
      <c r="G154" s="332"/>
      <c r="H154" s="332"/>
      <c r="I154" s="332"/>
      <c r="J154" s="332"/>
      <c r="K154" s="332"/>
      <c r="L154" s="332"/>
      <c r="M154" s="332"/>
      <c r="N154" s="332"/>
      <c r="O154" s="332"/>
      <c r="P154" s="332"/>
      <c r="Q154" s="332"/>
      <c r="R154" s="332"/>
      <c r="S154" s="332"/>
      <c r="T154" s="332"/>
      <c r="U154" s="332"/>
      <c r="V154" s="332"/>
      <c r="W154" s="332"/>
      <c r="X154" s="332"/>
      <c r="Y154" s="332"/>
      <c r="Z154" s="332"/>
      <c r="AA154" s="332"/>
      <c r="AB154" s="332"/>
      <c r="AC154" s="332"/>
      <c r="AD154" s="332"/>
      <c r="AE154" s="332"/>
      <c r="AF154" s="332"/>
      <c r="AG154" s="332"/>
      <c r="AH154" s="332"/>
      <c r="AI154" s="332"/>
      <c r="AJ154" s="332"/>
      <c r="AK154" s="332"/>
      <c r="AL154" s="332"/>
      <c r="AM154" s="332"/>
      <c r="AN154" s="332"/>
      <c r="AO154" s="332"/>
      <c r="AP154" s="332"/>
      <c r="AQ154" s="332"/>
      <c r="AR154" s="332"/>
      <c r="AS154" s="332"/>
      <c r="AT154" s="332"/>
      <c r="AU154" s="332"/>
      <c r="AV154" s="332"/>
      <c r="AW154" s="332"/>
      <c r="AX154" s="332"/>
      <c r="AY154" s="332"/>
      <c r="AZ154" s="332"/>
      <c r="BA154" s="332"/>
      <c r="BB154" s="332"/>
      <c r="BC154" s="332"/>
      <c r="BD154" s="332"/>
      <c r="BE154" s="332"/>
      <c r="BF154" s="332"/>
      <c r="BG154" s="332"/>
      <c r="BH154" s="332"/>
      <c r="BI154" s="332"/>
      <c r="BJ154" s="332"/>
      <c r="BK154" s="332"/>
      <c r="BL154" s="332"/>
      <c r="BM154" s="332"/>
      <c r="BN154" s="332"/>
      <c r="BO154" s="332"/>
      <c r="BP154" s="332"/>
    </row>
    <row r="155" spans="1:68" ht="15" customHeight="1">
      <c r="A155" s="332"/>
      <c r="B155" s="332"/>
      <c r="C155" s="332"/>
      <c r="D155" s="332"/>
      <c r="E155" s="332"/>
      <c r="F155" s="332"/>
      <c r="G155" s="332"/>
      <c r="H155" s="332"/>
      <c r="I155" s="332"/>
      <c r="J155" s="332"/>
      <c r="K155" s="332"/>
      <c r="L155" s="332"/>
      <c r="M155" s="332"/>
      <c r="N155" s="332"/>
      <c r="O155" s="332"/>
      <c r="P155" s="332"/>
      <c r="Q155" s="332"/>
      <c r="R155" s="332"/>
      <c r="S155" s="332"/>
      <c r="T155" s="332"/>
      <c r="U155" s="332"/>
      <c r="V155" s="332"/>
      <c r="W155" s="332"/>
      <c r="X155" s="332"/>
      <c r="Y155" s="332"/>
      <c r="Z155" s="332"/>
      <c r="AA155" s="332"/>
      <c r="AB155" s="332"/>
      <c r="AC155" s="332"/>
      <c r="AD155" s="332"/>
      <c r="AE155" s="332"/>
      <c r="AF155" s="332"/>
      <c r="AG155" s="332"/>
      <c r="AH155" s="332"/>
      <c r="AI155" s="332"/>
      <c r="AJ155" s="332"/>
      <c r="AK155" s="332"/>
      <c r="AL155" s="332"/>
      <c r="AM155" s="332"/>
      <c r="AN155" s="332"/>
      <c r="AO155" s="332"/>
      <c r="AP155" s="332"/>
      <c r="AQ155" s="332"/>
      <c r="AR155" s="332"/>
      <c r="AS155" s="332"/>
      <c r="AT155" s="332"/>
      <c r="AU155" s="332"/>
      <c r="AV155" s="332"/>
      <c r="AW155" s="332"/>
      <c r="AX155" s="332"/>
      <c r="AY155" s="332"/>
      <c r="AZ155" s="332"/>
      <c r="BA155" s="332"/>
      <c r="BB155" s="332"/>
      <c r="BC155" s="332"/>
      <c r="BD155" s="332"/>
      <c r="BE155" s="332"/>
      <c r="BF155" s="332"/>
      <c r="BG155" s="332"/>
      <c r="BH155" s="332"/>
      <c r="BI155" s="332"/>
      <c r="BJ155" s="332"/>
      <c r="BK155" s="332"/>
      <c r="BL155" s="332"/>
      <c r="BM155" s="332"/>
      <c r="BN155" s="332"/>
      <c r="BO155" s="332"/>
      <c r="BP155" s="332"/>
    </row>
    <row r="156" spans="1:68" ht="15" customHeight="1">
      <c r="A156" s="332"/>
      <c r="B156" s="332"/>
      <c r="C156" s="332"/>
      <c r="D156" s="332"/>
      <c r="E156" s="332"/>
      <c r="F156" s="332"/>
      <c r="G156" s="332"/>
      <c r="H156" s="332"/>
      <c r="I156" s="332"/>
      <c r="J156" s="332"/>
      <c r="K156" s="332"/>
      <c r="L156" s="332"/>
      <c r="M156" s="332"/>
      <c r="N156" s="332"/>
      <c r="O156" s="332"/>
      <c r="P156" s="332"/>
      <c r="Q156" s="332"/>
      <c r="R156" s="332"/>
      <c r="S156" s="332"/>
      <c r="T156" s="332"/>
      <c r="U156" s="332"/>
      <c r="V156" s="332"/>
      <c r="W156" s="332"/>
      <c r="X156" s="332"/>
      <c r="Y156" s="332"/>
      <c r="Z156" s="332"/>
      <c r="AA156" s="332"/>
      <c r="AB156" s="332"/>
      <c r="AC156" s="332"/>
      <c r="AD156" s="332"/>
      <c r="AE156" s="332"/>
      <c r="AF156" s="332"/>
      <c r="AG156" s="332"/>
      <c r="AH156" s="332"/>
      <c r="AI156" s="332"/>
      <c r="AJ156" s="332"/>
      <c r="AK156" s="332"/>
      <c r="AL156" s="332"/>
      <c r="AM156" s="332"/>
      <c r="AN156" s="332"/>
      <c r="AO156" s="332"/>
      <c r="AP156" s="332"/>
      <c r="AQ156" s="332"/>
      <c r="AR156" s="332"/>
      <c r="AS156" s="332"/>
      <c r="AT156" s="332"/>
      <c r="AU156" s="332"/>
      <c r="AV156" s="332"/>
      <c r="AW156" s="332"/>
      <c r="AX156" s="332"/>
      <c r="AY156" s="332"/>
      <c r="AZ156" s="332"/>
      <c r="BA156" s="332"/>
      <c r="BB156" s="332"/>
      <c r="BC156" s="332"/>
      <c r="BD156" s="332"/>
      <c r="BE156" s="332"/>
      <c r="BF156" s="332"/>
      <c r="BG156" s="332"/>
      <c r="BH156" s="332"/>
      <c r="BI156" s="332"/>
      <c r="BJ156" s="332"/>
      <c r="BK156" s="332"/>
      <c r="BL156" s="332"/>
      <c r="BM156" s="332"/>
      <c r="BN156" s="332"/>
      <c r="BO156" s="332"/>
      <c r="BP156" s="332"/>
    </row>
    <row r="157" spans="1:68" ht="15" customHeight="1">
      <c r="A157" s="332"/>
      <c r="B157" s="332"/>
      <c r="C157" s="332"/>
      <c r="D157" s="332"/>
      <c r="E157" s="332"/>
      <c r="F157" s="332"/>
      <c r="G157" s="332"/>
      <c r="H157" s="332"/>
      <c r="I157" s="332"/>
      <c r="J157" s="332"/>
      <c r="K157" s="332"/>
      <c r="L157" s="332"/>
      <c r="M157" s="332"/>
      <c r="N157" s="332"/>
      <c r="O157" s="332"/>
      <c r="P157" s="332"/>
      <c r="Q157" s="332"/>
      <c r="R157" s="332"/>
      <c r="S157" s="332"/>
      <c r="T157" s="332"/>
      <c r="U157" s="332"/>
      <c r="V157" s="332"/>
      <c r="W157" s="332"/>
      <c r="X157" s="332"/>
      <c r="Y157" s="332"/>
      <c r="Z157" s="332"/>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c r="BB157" s="332"/>
      <c r="BC157" s="332"/>
      <c r="BD157" s="332"/>
      <c r="BE157" s="332"/>
      <c r="BF157" s="332"/>
      <c r="BG157" s="332"/>
      <c r="BH157" s="332"/>
      <c r="BI157" s="332"/>
      <c r="BJ157" s="332"/>
      <c r="BK157" s="332"/>
      <c r="BL157" s="332"/>
      <c r="BM157" s="332"/>
      <c r="BN157" s="332"/>
      <c r="BO157" s="332"/>
      <c r="BP157" s="332"/>
    </row>
    <row r="158" spans="1:68" ht="15" customHeight="1">
      <c r="A158" s="332"/>
      <c r="B158" s="332"/>
      <c r="C158" s="332"/>
      <c r="D158" s="332"/>
      <c r="E158" s="332"/>
      <c r="F158" s="332"/>
      <c r="G158" s="332"/>
      <c r="H158" s="332"/>
      <c r="I158" s="332"/>
      <c r="J158" s="332"/>
      <c r="K158" s="332"/>
      <c r="L158" s="332"/>
      <c r="M158" s="332"/>
      <c r="N158" s="332"/>
      <c r="O158" s="332"/>
      <c r="P158" s="332"/>
      <c r="Q158" s="332"/>
      <c r="R158" s="332"/>
      <c r="S158" s="332"/>
      <c r="T158" s="332"/>
      <c r="U158" s="332"/>
      <c r="V158" s="332"/>
      <c r="W158" s="332"/>
      <c r="X158" s="332"/>
      <c r="Y158" s="332"/>
      <c r="Z158" s="332"/>
      <c r="AA158" s="332"/>
      <c r="AB158" s="332"/>
      <c r="AC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2"/>
      <c r="BK158" s="332"/>
      <c r="BL158" s="332"/>
      <c r="BM158" s="332"/>
      <c r="BN158" s="332"/>
      <c r="BO158" s="332"/>
      <c r="BP158" s="332"/>
    </row>
    <row r="159" spans="1:68" ht="15" customHeight="1">
      <c r="A159" s="332"/>
      <c r="B159" s="332"/>
      <c r="C159" s="332"/>
      <c r="D159" s="332"/>
      <c r="E159" s="332"/>
      <c r="F159" s="332"/>
      <c r="G159" s="332"/>
      <c r="H159" s="332"/>
      <c r="I159" s="332"/>
      <c r="J159" s="332"/>
      <c r="K159" s="332"/>
      <c r="L159" s="332"/>
      <c r="M159" s="332"/>
      <c r="N159" s="332"/>
      <c r="O159" s="332"/>
      <c r="P159" s="332"/>
      <c r="Q159" s="332"/>
      <c r="R159" s="332"/>
      <c r="S159" s="332"/>
      <c r="T159" s="332"/>
      <c r="U159" s="332"/>
      <c r="V159" s="332"/>
      <c r="W159" s="332"/>
      <c r="X159" s="332"/>
      <c r="Y159" s="332"/>
      <c r="Z159" s="332"/>
      <c r="AA159" s="332"/>
      <c r="AB159" s="332"/>
      <c r="AC159" s="332"/>
      <c r="AG159" s="332"/>
      <c r="AH159" s="332"/>
      <c r="AI159" s="332"/>
      <c r="AJ159" s="332"/>
      <c r="AK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2"/>
      <c r="BK159" s="332"/>
      <c r="BL159" s="332"/>
      <c r="BM159" s="332"/>
      <c r="BN159" s="332"/>
      <c r="BO159" s="332"/>
      <c r="BP159" s="332"/>
    </row>
    <row r="160" spans="1:68" ht="15" customHeight="1">
      <c r="AO160" s="332"/>
      <c r="AP160" s="332"/>
      <c r="AQ160" s="332"/>
      <c r="AR160" s="332"/>
      <c r="AS160" s="332"/>
      <c r="BE160" s="332"/>
      <c r="BF160" s="332"/>
      <c r="BG160" s="332"/>
      <c r="BH160" s="332"/>
      <c r="BI160" s="332"/>
      <c r="BM160" s="332"/>
      <c r="BN160" s="332"/>
      <c r="BO160" s="332"/>
      <c r="BP160" s="332"/>
    </row>
    <row r="161" spans="41:68" ht="15" customHeight="1">
      <c r="AO161" s="332"/>
      <c r="AP161" s="332"/>
      <c r="AQ161" s="332"/>
      <c r="AR161" s="332"/>
      <c r="AS161" s="332"/>
      <c r="BE161" s="332"/>
      <c r="BF161" s="332"/>
      <c r="BG161" s="332"/>
      <c r="BH161" s="332"/>
      <c r="BI161" s="332"/>
      <c r="BM161" s="332"/>
      <c r="BN161" s="332"/>
      <c r="BO161" s="332"/>
      <c r="BP161" s="332"/>
    </row>
  </sheetData>
  <sheetProtection sheet="1" objects="1" scenarios="1"/>
  <customSheetViews>
    <customSheetView guid="{B4419C5D-1877-4ABB-A46F-9E0AFFC75B59}" scale="85" showPageBreaks="1" showGridLines="0" printArea="1" state="veryHidden" view="pageBreakPreview">
      <selection activeCell="DQ7" sqref="DQ7:EV60"/>
      <rowBreaks count="1" manualBreakCount="1">
        <brk id="101" max="151" man="1"/>
      </rowBreaks>
      <colBreaks count="1" manualBreakCount="1">
        <brk id="80" max="62" man="1"/>
      </colBreaks>
      <pageMargins left="0.7" right="0.7" top="0.75" bottom="0.75" header="0.3" footer="0.3"/>
      <pageSetup paperSize="9" scale="38" fitToWidth="2" fitToHeight="0" orientation="portrait" r:id="rId1"/>
    </customSheetView>
  </customSheetViews>
  <mergeCells count="812">
    <mergeCell ref="AW43:AW45"/>
    <mergeCell ref="AX43:BC45"/>
    <mergeCell ref="BT40:BT42"/>
    <mergeCell ref="AW40:AW42"/>
    <mergeCell ref="AX40:BC42"/>
    <mergeCell ref="BD40:BD42"/>
    <mergeCell ref="BE49:BE51"/>
    <mergeCell ref="BL49:BL51"/>
    <mergeCell ref="BM49:BM51"/>
    <mergeCell ref="BT49:BT51"/>
    <mergeCell ref="BE46:BE48"/>
    <mergeCell ref="BF46:BK48"/>
    <mergeCell ref="BL46:BL48"/>
    <mergeCell ref="BM46:BM48"/>
    <mergeCell ref="BN46:BS48"/>
    <mergeCell ref="BT46:BT48"/>
    <mergeCell ref="AW46:AW48"/>
    <mergeCell ref="AX46:BC48"/>
    <mergeCell ref="BD46:BD48"/>
    <mergeCell ref="BE43:BE45"/>
    <mergeCell ref="BF43:BK45"/>
    <mergeCell ref="BM43:BM45"/>
    <mergeCell ref="BN43:BS45"/>
    <mergeCell ref="BD43:BD45"/>
    <mergeCell ref="BE22:BE24"/>
    <mergeCell ref="BF22:BK24"/>
    <mergeCell ref="BL22:BL24"/>
    <mergeCell ref="BM22:BM24"/>
    <mergeCell ref="BN22:BS24"/>
    <mergeCell ref="BT22:BT24"/>
    <mergeCell ref="BT28:BT30"/>
    <mergeCell ref="AW25:AW27"/>
    <mergeCell ref="AX25:BC27"/>
    <mergeCell ref="BD22:BD24"/>
    <mergeCell ref="BE25:BE27"/>
    <mergeCell ref="BF25:BK27"/>
    <mergeCell ref="BL25:BL27"/>
    <mergeCell ref="BM25:BM27"/>
    <mergeCell ref="BN25:BS27"/>
    <mergeCell ref="BT25:BT27"/>
    <mergeCell ref="BD25:BD27"/>
    <mergeCell ref="BD28:BD30"/>
    <mergeCell ref="AW28:AW30"/>
    <mergeCell ref="AX28:BC30"/>
    <mergeCell ref="BE28:BE30"/>
    <mergeCell ref="BF28:BK30"/>
    <mergeCell ref="BL28:BL30"/>
    <mergeCell ref="BM28:BM30"/>
    <mergeCell ref="BF13:BK15"/>
    <mergeCell ref="BL13:BL15"/>
    <mergeCell ref="BM13:BM15"/>
    <mergeCell ref="BN13:BS15"/>
    <mergeCell ref="BT13:BT15"/>
    <mergeCell ref="BD16:BD18"/>
    <mergeCell ref="BE19:BE21"/>
    <mergeCell ref="BF19:BK21"/>
    <mergeCell ref="BL19:BL21"/>
    <mergeCell ref="BM19:BM21"/>
    <mergeCell ref="BN19:BS21"/>
    <mergeCell ref="BT19:BT21"/>
    <mergeCell ref="BE16:BE18"/>
    <mergeCell ref="BF16:BK18"/>
    <mergeCell ref="BL16:BL18"/>
    <mergeCell ref="BM16:BM18"/>
    <mergeCell ref="BN16:BS18"/>
    <mergeCell ref="BT16:BT18"/>
    <mergeCell ref="BD19:BD21"/>
    <mergeCell ref="AB3:AB5"/>
    <mergeCell ref="CT10:CY12"/>
    <mergeCell ref="CZ10:CZ12"/>
    <mergeCell ref="CJ10:CJ12"/>
    <mergeCell ref="CK10:CK12"/>
    <mergeCell ref="CL10:CQ12"/>
    <mergeCell ref="CR10:CR12"/>
    <mergeCell ref="CS10:CS12"/>
    <mergeCell ref="CK13:CK15"/>
    <mergeCell ref="CL13:CQ15"/>
    <mergeCell ref="CR13:CR15"/>
    <mergeCell ref="CS13:CS15"/>
    <mergeCell ref="CT13:CY15"/>
    <mergeCell ref="CZ13:CZ15"/>
    <mergeCell ref="BU13:BU15"/>
    <mergeCell ref="BV13:CA15"/>
    <mergeCell ref="CB13:CB15"/>
    <mergeCell ref="CC13:CC15"/>
    <mergeCell ref="CD13:CI15"/>
    <mergeCell ref="CJ13:CJ15"/>
    <mergeCell ref="CL7:CR9"/>
    <mergeCell ref="BN10:BS12"/>
    <mergeCell ref="BT10:BT12"/>
    <mergeCell ref="AW13:AW15"/>
    <mergeCell ref="CT16:CY18"/>
    <mergeCell ref="CZ16:CZ18"/>
    <mergeCell ref="CJ16:CJ18"/>
    <mergeCell ref="A3:C5"/>
    <mergeCell ref="D3:D5"/>
    <mergeCell ref="E3:G5"/>
    <mergeCell ref="H3:H5"/>
    <mergeCell ref="I3:K5"/>
    <mergeCell ref="L3:L5"/>
    <mergeCell ref="M3:O5"/>
    <mergeCell ref="P3:P5"/>
    <mergeCell ref="H7:H9"/>
    <mergeCell ref="I7:I9"/>
    <mergeCell ref="J7:J9"/>
    <mergeCell ref="K7:K9"/>
    <mergeCell ref="Q3:S5"/>
    <mergeCell ref="T3:T5"/>
    <mergeCell ref="U3:W5"/>
    <mergeCell ref="X3:X5"/>
    <mergeCell ref="Y3:AA5"/>
    <mergeCell ref="CS7:CS9"/>
    <mergeCell ref="CT7:CZ9"/>
    <mergeCell ref="CD7:CJ9"/>
    <mergeCell ref="CK7:CK9"/>
    <mergeCell ref="BK1:BM2"/>
    <mergeCell ref="BN1:BP2"/>
    <mergeCell ref="AO3:AQ5"/>
    <mergeCell ref="AR3:AR5"/>
    <mergeCell ref="AS3:AU5"/>
    <mergeCell ref="AV3:AV5"/>
    <mergeCell ref="AW3:AY5"/>
    <mergeCell ref="AZ3:AZ5"/>
    <mergeCell ref="AC3:AE5"/>
    <mergeCell ref="AF3:AF5"/>
    <mergeCell ref="AG3:AI5"/>
    <mergeCell ref="AJ3:AJ5"/>
    <mergeCell ref="AK3:AM5"/>
    <mergeCell ref="AN3:AN5"/>
    <mergeCell ref="BA3:BC5"/>
    <mergeCell ref="BD3:BD5"/>
    <mergeCell ref="BE3:BG5"/>
    <mergeCell ref="BH3:BH5"/>
    <mergeCell ref="BI3:BK5"/>
    <mergeCell ref="BL3:BL5"/>
    <mergeCell ref="A7:A9"/>
    <mergeCell ref="B7:G9"/>
    <mergeCell ref="BU10:BU12"/>
    <mergeCell ref="BV10:CA12"/>
    <mergeCell ref="CB10:CB12"/>
    <mergeCell ref="CC10:CC12"/>
    <mergeCell ref="L10:L12"/>
    <mergeCell ref="M10:M12"/>
    <mergeCell ref="Y10:Y12"/>
    <mergeCell ref="J10:J12"/>
    <mergeCell ref="K10:K12"/>
    <mergeCell ref="BU7:BU9"/>
    <mergeCell ref="BV7:CB9"/>
    <mergeCell ref="CC7:CC9"/>
    <mergeCell ref="L7:L9"/>
    <mergeCell ref="M7:M9"/>
    <mergeCell ref="Y7:Y9"/>
    <mergeCell ref="Z7:AF9"/>
    <mergeCell ref="AG7:AG9"/>
    <mergeCell ref="AH7:AN9"/>
    <mergeCell ref="A10:A12"/>
    <mergeCell ref="B10:G12"/>
    <mergeCell ref="H10:H12"/>
    <mergeCell ref="I10:I12"/>
    <mergeCell ref="K13:K15"/>
    <mergeCell ref="L13:L15"/>
    <mergeCell ref="M13:M15"/>
    <mergeCell ref="CD10:CI12"/>
    <mergeCell ref="AH10:AM12"/>
    <mergeCell ref="AN10:AN12"/>
    <mergeCell ref="Z10:AE12"/>
    <mergeCell ref="AF10:AF12"/>
    <mergeCell ref="AG10:AG12"/>
    <mergeCell ref="Y13:Y15"/>
    <mergeCell ref="Z13:AE15"/>
    <mergeCell ref="AF13:AF15"/>
    <mergeCell ref="AG13:AG15"/>
    <mergeCell ref="AH13:AM15"/>
    <mergeCell ref="AN13:AN15"/>
    <mergeCell ref="N10:N12"/>
    <mergeCell ref="O10:O12"/>
    <mergeCell ref="P10:P12"/>
    <mergeCell ref="Q10:Q12"/>
    <mergeCell ref="T13:T15"/>
    <mergeCell ref="T10:T12"/>
    <mergeCell ref="AX13:BC15"/>
    <mergeCell ref="BD13:BD15"/>
    <mergeCell ref="BE13:BE15"/>
    <mergeCell ref="A19:A21"/>
    <mergeCell ref="B19:G21"/>
    <mergeCell ref="H19:H21"/>
    <mergeCell ref="I19:I21"/>
    <mergeCell ref="J19:J21"/>
    <mergeCell ref="A16:A18"/>
    <mergeCell ref="B16:G18"/>
    <mergeCell ref="H16:H18"/>
    <mergeCell ref="I16:I18"/>
    <mergeCell ref="J16:J18"/>
    <mergeCell ref="J13:J15"/>
    <mergeCell ref="A13:A15"/>
    <mergeCell ref="B13:G15"/>
    <mergeCell ref="H13:H15"/>
    <mergeCell ref="I13:I15"/>
    <mergeCell ref="K19:K21"/>
    <mergeCell ref="L19:L21"/>
    <mergeCell ref="M19:M21"/>
    <mergeCell ref="CD16:CI18"/>
    <mergeCell ref="L16:L18"/>
    <mergeCell ref="M16:M18"/>
    <mergeCell ref="Y16:Y18"/>
    <mergeCell ref="Z16:AE18"/>
    <mergeCell ref="AF16:AF18"/>
    <mergeCell ref="AG16:AG18"/>
    <mergeCell ref="K16:K18"/>
    <mergeCell ref="N16:N18"/>
    <mergeCell ref="O16:O18"/>
    <mergeCell ref="P16:P18"/>
    <mergeCell ref="Q16:Q18"/>
    <mergeCell ref="T19:T21"/>
    <mergeCell ref="AW16:AW18"/>
    <mergeCell ref="AX16:BC18"/>
    <mergeCell ref="AW19:AW21"/>
    <mergeCell ref="AX19:BC21"/>
    <mergeCell ref="CD19:CI21"/>
    <mergeCell ref="CJ19:CJ21"/>
    <mergeCell ref="CK16:CK18"/>
    <mergeCell ref="CL16:CQ18"/>
    <mergeCell ref="CR16:CR18"/>
    <mergeCell ref="CS16:CS18"/>
    <mergeCell ref="AH16:AM18"/>
    <mergeCell ref="AN16:AN18"/>
    <mergeCell ref="BU16:BU18"/>
    <mergeCell ref="BV16:CA18"/>
    <mergeCell ref="CB16:CB18"/>
    <mergeCell ref="CC16:CC18"/>
    <mergeCell ref="CK25:CK27"/>
    <mergeCell ref="CL25:CQ27"/>
    <mergeCell ref="CR25:CR27"/>
    <mergeCell ref="CS25:CS27"/>
    <mergeCell ref="CT25:CY27"/>
    <mergeCell ref="CZ25:CZ27"/>
    <mergeCell ref="CJ25:CJ27"/>
    <mergeCell ref="B22:G24"/>
    <mergeCell ref="H22:H24"/>
    <mergeCell ref="I22:I24"/>
    <mergeCell ref="J22:J24"/>
    <mergeCell ref="K22:K24"/>
    <mergeCell ref="BU22:BU24"/>
    <mergeCell ref="BV22:CA24"/>
    <mergeCell ref="CB22:CB24"/>
    <mergeCell ref="CC22:CC24"/>
    <mergeCell ref="L22:L24"/>
    <mergeCell ref="M22:M24"/>
    <mergeCell ref="Y22:Y24"/>
    <mergeCell ref="Z22:AE24"/>
    <mergeCell ref="AF22:AF24"/>
    <mergeCell ref="P22:P24"/>
    <mergeCell ref="AW22:AW24"/>
    <mergeCell ref="AX22:BC24"/>
    <mergeCell ref="A25:A27"/>
    <mergeCell ref="B25:G27"/>
    <mergeCell ref="H25:H27"/>
    <mergeCell ref="I25:I27"/>
    <mergeCell ref="J25:J27"/>
    <mergeCell ref="K25:K27"/>
    <mergeCell ref="L25:L27"/>
    <mergeCell ref="M25:M27"/>
    <mergeCell ref="CD22:CI24"/>
    <mergeCell ref="AH22:AM24"/>
    <mergeCell ref="AN22:AN24"/>
    <mergeCell ref="BU25:BU27"/>
    <mergeCell ref="BV25:CA27"/>
    <mergeCell ref="CB25:CB27"/>
    <mergeCell ref="CC25:CC27"/>
    <mergeCell ref="CD25:CI27"/>
    <mergeCell ref="AG22:AG24"/>
    <mergeCell ref="Y25:Y27"/>
    <mergeCell ref="Z25:AE27"/>
    <mergeCell ref="AF25:AF27"/>
    <mergeCell ref="AG25:AG27"/>
    <mergeCell ref="AH25:AM27"/>
    <mergeCell ref="AN25:AN27"/>
    <mergeCell ref="A22:A24"/>
    <mergeCell ref="L28:L30"/>
    <mergeCell ref="M28:M30"/>
    <mergeCell ref="Y28:Y30"/>
    <mergeCell ref="Z28:AE30"/>
    <mergeCell ref="AF28:AF30"/>
    <mergeCell ref="AG28:AG30"/>
    <mergeCell ref="A28:A30"/>
    <mergeCell ref="B28:G30"/>
    <mergeCell ref="H28:H30"/>
    <mergeCell ref="I28:I30"/>
    <mergeCell ref="J28:J30"/>
    <mergeCell ref="K28:K30"/>
    <mergeCell ref="N28:N30"/>
    <mergeCell ref="O28:O30"/>
    <mergeCell ref="P28:P30"/>
    <mergeCell ref="Q28:Q30"/>
    <mergeCell ref="Y31:Y33"/>
    <mergeCell ref="Z31:AE33"/>
    <mergeCell ref="AF31:AF33"/>
    <mergeCell ref="AG31:AG33"/>
    <mergeCell ref="AH31:AM33"/>
    <mergeCell ref="AN31:AN33"/>
    <mergeCell ref="BU31:BU33"/>
    <mergeCell ref="BV31:CA33"/>
    <mergeCell ref="CD28:CI30"/>
    <mergeCell ref="AH28:AM30"/>
    <mergeCell ref="AN28:AN30"/>
    <mergeCell ref="BU28:BU30"/>
    <mergeCell ref="BV28:CA30"/>
    <mergeCell ref="CB28:CB30"/>
    <mergeCell ref="CC28:CC30"/>
    <mergeCell ref="AN37:AN39"/>
    <mergeCell ref="CT31:CY33"/>
    <mergeCell ref="CZ31:CZ33"/>
    <mergeCell ref="Y34:Y36"/>
    <mergeCell ref="Z34:AE36"/>
    <mergeCell ref="AF34:AF36"/>
    <mergeCell ref="AG34:AG36"/>
    <mergeCell ref="AH34:AM36"/>
    <mergeCell ref="AN34:AN36"/>
    <mergeCell ref="CB31:CB33"/>
    <mergeCell ref="CC31:CC33"/>
    <mergeCell ref="CD31:CI33"/>
    <mergeCell ref="CJ31:CJ33"/>
    <mergeCell ref="CK31:CK33"/>
    <mergeCell ref="CL31:CQ33"/>
    <mergeCell ref="CK34:CK36"/>
    <mergeCell ref="CL34:CQ36"/>
    <mergeCell ref="CR34:CR36"/>
    <mergeCell ref="CS34:CS36"/>
    <mergeCell ref="CT34:CY36"/>
    <mergeCell ref="CZ34:CZ36"/>
    <mergeCell ref="BU34:BU36"/>
    <mergeCell ref="BV34:CA36"/>
    <mergeCell ref="CB34:CB36"/>
    <mergeCell ref="EH10:EM12"/>
    <mergeCell ref="CD34:CI36"/>
    <mergeCell ref="CJ34:CJ36"/>
    <mergeCell ref="CK37:CK39"/>
    <mergeCell ref="CL37:CQ39"/>
    <mergeCell ref="CR37:CR39"/>
    <mergeCell ref="Y40:Y42"/>
    <mergeCell ref="Z40:AE42"/>
    <mergeCell ref="AF40:AF42"/>
    <mergeCell ref="AG40:AG42"/>
    <mergeCell ref="AH40:AM42"/>
    <mergeCell ref="AN40:AN42"/>
    <mergeCell ref="BU40:BU42"/>
    <mergeCell ref="BU37:BU39"/>
    <mergeCell ref="BV37:CA39"/>
    <mergeCell ref="CB37:CB39"/>
    <mergeCell ref="CC37:CC39"/>
    <mergeCell ref="CD37:CI39"/>
    <mergeCell ref="CJ37:CJ39"/>
    <mergeCell ref="Y37:Y39"/>
    <mergeCell ref="Z37:AE39"/>
    <mergeCell ref="AF37:AF39"/>
    <mergeCell ref="AG37:AG39"/>
    <mergeCell ref="AH37:AM39"/>
    <mergeCell ref="BM10:BM12"/>
    <mergeCell ref="BV40:CA42"/>
    <mergeCell ref="CB40:CB42"/>
    <mergeCell ref="Y43:Y45"/>
    <mergeCell ref="Z43:AE45"/>
    <mergeCell ref="AF43:AF45"/>
    <mergeCell ref="EG7:EG9"/>
    <mergeCell ref="EH7:EN9"/>
    <mergeCell ref="DR7:DX9"/>
    <mergeCell ref="DY7:DY9"/>
    <mergeCell ref="DZ7:EF9"/>
    <mergeCell ref="DI7:DI9"/>
    <mergeCell ref="DJ7:DP9"/>
    <mergeCell ref="DQ7:DQ9"/>
    <mergeCell ref="DI10:DI12"/>
    <mergeCell ref="DJ10:DO12"/>
    <mergeCell ref="DP10:DP12"/>
    <mergeCell ref="DQ10:DQ12"/>
    <mergeCell ref="AO13:AO15"/>
    <mergeCell ref="AP13:AU15"/>
    <mergeCell ref="AV13:AV15"/>
    <mergeCell ref="DA13:DA15"/>
    <mergeCell ref="DB13:DG15"/>
    <mergeCell ref="DH13:DH15"/>
    <mergeCell ref="R7:R9"/>
    <mergeCell ref="S7:S9"/>
    <mergeCell ref="AO7:AO9"/>
    <mergeCell ref="AP7:AV9"/>
    <mergeCell ref="DA7:DA9"/>
    <mergeCell ref="DB7:DH9"/>
    <mergeCell ref="N7:N9"/>
    <mergeCell ref="O7:O9"/>
    <mergeCell ref="P7:P9"/>
    <mergeCell ref="Q7:Q9"/>
    <mergeCell ref="T7:T9"/>
    <mergeCell ref="N13:N15"/>
    <mergeCell ref="O13:O15"/>
    <mergeCell ref="P13:P15"/>
    <mergeCell ref="Q13:Q15"/>
    <mergeCell ref="R13:R15"/>
    <mergeCell ref="S13:S15"/>
    <mergeCell ref="DR10:DW12"/>
    <mergeCell ref="DX10:DX12"/>
    <mergeCell ref="DY10:DY12"/>
    <mergeCell ref="DB10:DG12"/>
    <mergeCell ref="DH10:DH12"/>
    <mergeCell ref="DY13:DY15"/>
    <mergeCell ref="DI13:DI15"/>
    <mergeCell ref="DJ13:DO15"/>
    <mergeCell ref="DP13:DP15"/>
    <mergeCell ref="R10:R12"/>
    <mergeCell ref="S10:S12"/>
    <mergeCell ref="AO10:AO12"/>
    <mergeCell ref="AP10:AU12"/>
    <mergeCell ref="AV10:AV12"/>
    <mergeCell ref="DA10:DA12"/>
    <mergeCell ref="AW10:AW12"/>
    <mergeCell ref="AX10:BC12"/>
    <mergeCell ref="BD10:BD12"/>
    <mergeCell ref="O22:O24"/>
    <mergeCell ref="DQ13:DQ15"/>
    <mergeCell ref="DR13:DW15"/>
    <mergeCell ref="DX13:DX15"/>
    <mergeCell ref="AO16:AO18"/>
    <mergeCell ref="AP16:AU18"/>
    <mergeCell ref="AV16:AV18"/>
    <mergeCell ref="DA16:DA18"/>
    <mergeCell ref="DI16:DI18"/>
    <mergeCell ref="DJ16:DO18"/>
    <mergeCell ref="DP16:DP18"/>
    <mergeCell ref="DQ16:DQ18"/>
    <mergeCell ref="CT22:CY24"/>
    <mergeCell ref="CZ22:CZ24"/>
    <mergeCell ref="CJ22:CJ24"/>
    <mergeCell ref="CK22:CK24"/>
    <mergeCell ref="CL22:CQ24"/>
    <mergeCell ref="CR22:CR24"/>
    <mergeCell ref="CS22:CS24"/>
    <mergeCell ref="CK19:CK21"/>
    <mergeCell ref="CL19:CQ21"/>
    <mergeCell ref="CR19:CR21"/>
    <mergeCell ref="Y19:Y21"/>
    <mergeCell ref="Z19:AE21"/>
    <mergeCell ref="T25:T27"/>
    <mergeCell ref="EH16:EM18"/>
    <mergeCell ref="EN16:EN18"/>
    <mergeCell ref="N19:N21"/>
    <mergeCell ref="O19:O21"/>
    <mergeCell ref="P19:P21"/>
    <mergeCell ref="Q19:Q21"/>
    <mergeCell ref="R19:R21"/>
    <mergeCell ref="S19:S21"/>
    <mergeCell ref="DR16:DW18"/>
    <mergeCell ref="DX16:DX18"/>
    <mergeCell ref="DY16:DY18"/>
    <mergeCell ref="DZ16:EE18"/>
    <mergeCell ref="EF16:EF18"/>
    <mergeCell ref="EG16:EG18"/>
    <mergeCell ref="DB16:DG18"/>
    <mergeCell ref="DH16:DH18"/>
    <mergeCell ref="R16:R18"/>
    <mergeCell ref="S16:S18"/>
    <mergeCell ref="EG19:EG21"/>
    <mergeCell ref="EH19:EM21"/>
    <mergeCell ref="EN19:EN21"/>
    <mergeCell ref="DI19:DI21"/>
    <mergeCell ref="N22:N24"/>
    <mergeCell ref="EH25:EM27"/>
    <mergeCell ref="EN25:EN27"/>
    <mergeCell ref="DX25:DX27"/>
    <mergeCell ref="DY19:DY21"/>
    <mergeCell ref="DZ19:EE21"/>
    <mergeCell ref="EF19:EF21"/>
    <mergeCell ref="AO19:AO21"/>
    <mergeCell ref="AP19:AU21"/>
    <mergeCell ref="AV19:AV21"/>
    <mergeCell ref="DA19:DA21"/>
    <mergeCell ref="DB19:DG21"/>
    <mergeCell ref="DH19:DH21"/>
    <mergeCell ref="DJ19:DO21"/>
    <mergeCell ref="DP19:DP21"/>
    <mergeCell ref="DQ19:DQ21"/>
    <mergeCell ref="DR19:DW21"/>
    <mergeCell ref="DX19:DX21"/>
    <mergeCell ref="DI22:DI24"/>
    <mergeCell ref="DJ22:DO24"/>
    <mergeCell ref="DP22:DP24"/>
    <mergeCell ref="DQ22:DQ24"/>
    <mergeCell ref="AO22:AO24"/>
    <mergeCell ref="AP22:AU24"/>
    <mergeCell ref="AV22:AV24"/>
    <mergeCell ref="N25:N27"/>
    <mergeCell ref="O25:O27"/>
    <mergeCell ref="P25:P27"/>
    <mergeCell ref="Q25:Q27"/>
    <mergeCell ref="R25:R27"/>
    <mergeCell ref="S25:S27"/>
    <mergeCell ref="DR22:DW24"/>
    <mergeCell ref="DB22:DG24"/>
    <mergeCell ref="DH22:DH24"/>
    <mergeCell ref="DI25:DI27"/>
    <mergeCell ref="DJ25:DO27"/>
    <mergeCell ref="DP25:DP27"/>
    <mergeCell ref="DQ25:DQ27"/>
    <mergeCell ref="DR25:DW27"/>
    <mergeCell ref="DA22:DA24"/>
    <mergeCell ref="AO25:AO27"/>
    <mergeCell ref="AP25:AU27"/>
    <mergeCell ref="AV25:AV27"/>
    <mergeCell ref="DA25:DA27"/>
    <mergeCell ref="DB25:DG27"/>
    <mergeCell ref="DH25:DH27"/>
    <mergeCell ref="Q22:Q24"/>
    <mergeCell ref="R22:R24"/>
    <mergeCell ref="S22:S24"/>
    <mergeCell ref="EH28:EM30"/>
    <mergeCell ref="EN28:EN30"/>
    <mergeCell ref="DX28:DX30"/>
    <mergeCell ref="DY28:DY30"/>
    <mergeCell ref="DZ28:EE30"/>
    <mergeCell ref="EF28:EF30"/>
    <mergeCell ref="EG28:EG30"/>
    <mergeCell ref="R28:R30"/>
    <mergeCell ref="S28:S30"/>
    <mergeCell ref="AO28:AO30"/>
    <mergeCell ref="BN28:BS30"/>
    <mergeCell ref="T28:T30"/>
    <mergeCell ref="CT28:CY30"/>
    <mergeCell ref="CZ28:CZ30"/>
    <mergeCell ref="CJ28:CJ30"/>
    <mergeCell ref="CK28:CK30"/>
    <mergeCell ref="CL28:CQ30"/>
    <mergeCell ref="CR28:CR30"/>
    <mergeCell ref="CS28:CS30"/>
    <mergeCell ref="AP28:AU30"/>
    <mergeCell ref="AV28:AV30"/>
    <mergeCell ref="DA28:DA30"/>
    <mergeCell ref="DR28:DW30"/>
    <mergeCell ref="DB28:DG30"/>
    <mergeCell ref="DH28:DH30"/>
    <mergeCell ref="DI28:DI30"/>
    <mergeCell ref="DJ28:DO30"/>
    <mergeCell ref="DP28:DP30"/>
    <mergeCell ref="DQ28:DQ30"/>
    <mergeCell ref="CS31:CS33"/>
    <mergeCell ref="AW31:AW33"/>
    <mergeCell ref="AX31:BC33"/>
    <mergeCell ref="BE31:BE33"/>
    <mergeCell ref="BF31:BK33"/>
    <mergeCell ref="BL31:BL33"/>
    <mergeCell ref="BM31:BM33"/>
    <mergeCell ref="BN31:BS33"/>
    <mergeCell ref="BT31:BT33"/>
    <mergeCell ref="BD31:BD33"/>
    <mergeCell ref="CR31:CR33"/>
    <mergeCell ref="AO34:AO36"/>
    <mergeCell ref="AP34:AU36"/>
    <mergeCell ref="AV34:AV36"/>
    <mergeCell ref="DA34:DA36"/>
    <mergeCell ref="DB34:DG36"/>
    <mergeCell ref="DH34:DH36"/>
    <mergeCell ref="DP31:DP33"/>
    <mergeCell ref="DQ31:DQ33"/>
    <mergeCell ref="DR31:DW33"/>
    <mergeCell ref="CC34:CC36"/>
    <mergeCell ref="AW34:AW36"/>
    <mergeCell ref="AX34:BC36"/>
    <mergeCell ref="BE34:BE36"/>
    <mergeCell ref="BF34:BK36"/>
    <mergeCell ref="BL34:BL36"/>
    <mergeCell ref="BM34:BM36"/>
    <mergeCell ref="BD34:BD36"/>
    <mergeCell ref="BN34:BS36"/>
    <mergeCell ref="BT34:BT36"/>
    <mergeCell ref="DI34:DI36"/>
    <mergeCell ref="DJ34:DO36"/>
    <mergeCell ref="DP34:DP36"/>
    <mergeCell ref="DJ31:DO33"/>
    <mergeCell ref="DI37:DI39"/>
    <mergeCell ref="DJ37:DO39"/>
    <mergeCell ref="DP37:DP39"/>
    <mergeCell ref="DQ37:DQ39"/>
    <mergeCell ref="DR37:DW39"/>
    <mergeCell ref="DX37:DX39"/>
    <mergeCell ref="AO37:AO39"/>
    <mergeCell ref="AP37:AU39"/>
    <mergeCell ref="AV37:AV39"/>
    <mergeCell ref="DA37:DA39"/>
    <mergeCell ref="DB37:DG39"/>
    <mergeCell ref="DH37:DH39"/>
    <mergeCell ref="AW37:AW39"/>
    <mergeCell ref="AX37:BC39"/>
    <mergeCell ref="BD37:BD39"/>
    <mergeCell ref="BE37:BE39"/>
    <mergeCell ref="BF37:BK39"/>
    <mergeCell ref="BL37:BL39"/>
    <mergeCell ref="BM37:BM39"/>
    <mergeCell ref="BN37:BS39"/>
    <mergeCell ref="BT37:BT39"/>
    <mergeCell ref="BN40:BS42"/>
    <mergeCell ref="BL43:BL45"/>
    <mergeCell ref="EG40:EG42"/>
    <mergeCell ref="EH40:EM42"/>
    <mergeCell ref="DI40:DI42"/>
    <mergeCell ref="DJ40:DO42"/>
    <mergeCell ref="DP40:DP42"/>
    <mergeCell ref="DQ40:DQ42"/>
    <mergeCell ref="DR40:DW42"/>
    <mergeCell ref="DX40:DX42"/>
    <mergeCell ref="BT43:BT45"/>
    <mergeCell ref="DI43:DI45"/>
    <mergeCell ref="DJ43:DO45"/>
    <mergeCell ref="DP43:DP45"/>
    <mergeCell ref="DQ43:DQ45"/>
    <mergeCell ref="DR43:DW45"/>
    <mergeCell ref="DX43:DX45"/>
    <mergeCell ref="AO49:AO51"/>
    <mergeCell ref="AV49:AV51"/>
    <mergeCell ref="DA49:DA51"/>
    <mergeCell ref="DH49:DH51"/>
    <mergeCell ref="DI49:DI51"/>
    <mergeCell ref="DI46:DI48"/>
    <mergeCell ref="DJ46:DO48"/>
    <mergeCell ref="DP46:DP48"/>
    <mergeCell ref="DQ46:DQ48"/>
    <mergeCell ref="AO46:AO48"/>
    <mergeCell ref="AP46:AU48"/>
    <mergeCell ref="AV46:AV48"/>
    <mergeCell ref="DA46:DA48"/>
    <mergeCell ref="DB46:DG48"/>
    <mergeCell ref="DH46:DH48"/>
    <mergeCell ref="DP49:DP51"/>
    <mergeCell ref="AP49:AU51"/>
    <mergeCell ref="BF49:BK51"/>
    <mergeCell ref="BN49:BS51"/>
    <mergeCell ref="DB49:DG51"/>
    <mergeCell ref="DJ49:DO51"/>
    <mergeCell ref="EO7:EO9"/>
    <mergeCell ref="EP7:EV9"/>
    <mergeCell ref="U7:U9"/>
    <mergeCell ref="V7:V9"/>
    <mergeCell ref="W7:W9"/>
    <mergeCell ref="AW7:AW9"/>
    <mergeCell ref="AX7:BD9"/>
    <mergeCell ref="BE7:BE9"/>
    <mergeCell ref="BF7:BL9"/>
    <mergeCell ref="BM7:BM9"/>
    <mergeCell ref="BN7:BT9"/>
    <mergeCell ref="EO19:EO21"/>
    <mergeCell ref="EP19:EU21"/>
    <mergeCell ref="EV19:EV21"/>
    <mergeCell ref="T16:T18"/>
    <mergeCell ref="EO16:EO18"/>
    <mergeCell ref="U16:U18"/>
    <mergeCell ref="V16:V18"/>
    <mergeCell ref="W16:W18"/>
    <mergeCell ref="EP16:EU18"/>
    <mergeCell ref="EV16:EV18"/>
    <mergeCell ref="W19:W21"/>
    <mergeCell ref="U19:U21"/>
    <mergeCell ref="V19:V21"/>
    <mergeCell ref="AF19:AF21"/>
    <mergeCell ref="AG19:AG21"/>
    <mergeCell ref="AH19:AM21"/>
    <mergeCell ref="AN19:AN21"/>
    <mergeCell ref="CS19:CS21"/>
    <mergeCell ref="CT19:CY21"/>
    <mergeCell ref="CZ19:CZ21"/>
    <mergeCell ref="BU19:BU21"/>
    <mergeCell ref="BV19:CA21"/>
    <mergeCell ref="CB19:CB21"/>
    <mergeCell ref="CC19:CC21"/>
    <mergeCell ref="EO10:EO12"/>
    <mergeCell ref="EP10:EU12"/>
    <mergeCell ref="EV10:EV12"/>
    <mergeCell ref="U10:U12"/>
    <mergeCell ref="V10:V12"/>
    <mergeCell ref="W10:W12"/>
    <mergeCell ref="U13:U15"/>
    <mergeCell ref="V13:V15"/>
    <mergeCell ref="W13:W15"/>
    <mergeCell ref="EO13:EO15"/>
    <mergeCell ref="EP13:EU15"/>
    <mergeCell ref="EV13:EV15"/>
    <mergeCell ref="EN10:EN12"/>
    <mergeCell ref="DZ10:EE12"/>
    <mergeCell ref="EF10:EF12"/>
    <mergeCell ref="EG10:EG12"/>
    <mergeCell ref="DZ13:EE15"/>
    <mergeCell ref="EF13:EF15"/>
    <mergeCell ref="EG13:EG15"/>
    <mergeCell ref="EH13:EM15"/>
    <mergeCell ref="EN13:EN15"/>
    <mergeCell ref="BE10:BE12"/>
    <mergeCell ref="BF10:BK12"/>
    <mergeCell ref="BL10:BL12"/>
    <mergeCell ref="EO25:EO27"/>
    <mergeCell ref="EP25:EU27"/>
    <mergeCell ref="EV25:EV27"/>
    <mergeCell ref="T22:T24"/>
    <mergeCell ref="EO22:EO24"/>
    <mergeCell ref="EP22:EU24"/>
    <mergeCell ref="EV22:EV24"/>
    <mergeCell ref="U22:U24"/>
    <mergeCell ref="V22:V24"/>
    <mergeCell ref="W22:W24"/>
    <mergeCell ref="U25:U27"/>
    <mergeCell ref="V25:V27"/>
    <mergeCell ref="W25:W27"/>
    <mergeCell ref="EH22:EM24"/>
    <mergeCell ref="EN22:EN24"/>
    <mergeCell ref="DX22:DX24"/>
    <mergeCell ref="DY22:DY24"/>
    <mergeCell ref="DZ22:EE24"/>
    <mergeCell ref="EF22:EF24"/>
    <mergeCell ref="EG22:EG24"/>
    <mergeCell ref="DY25:DY27"/>
    <mergeCell ref="DZ25:EE27"/>
    <mergeCell ref="EF25:EF27"/>
    <mergeCell ref="EG25:EG27"/>
    <mergeCell ref="EV28:EV30"/>
    <mergeCell ref="U28:U30"/>
    <mergeCell ref="V28:V30"/>
    <mergeCell ref="W28:W30"/>
    <mergeCell ref="EF34:EF36"/>
    <mergeCell ref="DX34:DX36"/>
    <mergeCell ref="EG31:EG33"/>
    <mergeCell ref="EH31:EM33"/>
    <mergeCell ref="EN31:EN33"/>
    <mergeCell ref="EG34:EG36"/>
    <mergeCell ref="EH34:EM36"/>
    <mergeCell ref="EN34:EN36"/>
    <mergeCell ref="DQ34:DQ36"/>
    <mergeCell ref="DR34:DW36"/>
    <mergeCell ref="AO31:AO33"/>
    <mergeCell ref="AP31:AU33"/>
    <mergeCell ref="AV31:AV33"/>
    <mergeCell ref="DA31:DA33"/>
    <mergeCell ref="DB31:DG33"/>
    <mergeCell ref="DH31:DH33"/>
    <mergeCell ref="DI31:DI33"/>
    <mergeCell ref="DY34:DY36"/>
    <mergeCell ref="DZ34:EE36"/>
    <mergeCell ref="EF31:EF33"/>
    <mergeCell ref="AO43:AO45"/>
    <mergeCell ref="EO28:EO30"/>
    <mergeCell ref="EP28:EU30"/>
    <mergeCell ref="AP43:AU45"/>
    <mergeCell ref="AV43:AV45"/>
    <mergeCell ref="DA43:DA45"/>
    <mergeCell ref="DB43:DG45"/>
    <mergeCell ref="DH43:DH45"/>
    <mergeCell ref="DY40:DY42"/>
    <mergeCell ref="DZ40:EE42"/>
    <mergeCell ref="EF40:EF42"/>
    <mergeCell ref="AO40:AO42"/>
    <mergeCell ref="AP40:AU42"/>
    <mergeCell ref="AV40:AV42"/>
    <mergeCell ref="DA40:DA42"/>
    <mergeCell ref="DB40:DG42"/>
    <mergeCell ref="DH40:DH42"/>
    <mergeCell ref="DY43:DY45"/>
    <mergeCell ref="EO31:EO33"/>
    <mergeCell ref="EP31:EU33"/>
    <mergeCell ref="BE40:BE42"/>
    <mergeCell ref="BF40:BK42"/>
    <mergeCell ref="BL40:BL42"/>
    <mergeCell ref="BM40:BM42"/>
    <mergeCell ref="EV31:EV33"/>
    <mergeCell ref="EO34:EO36"/>
    <mergeCell ref="EP34:EU36"/>
    <mergeCell ref="EV34:EV36"/>
    <mergeCell ref="DZ46:EE48"/>
    <mergeCell ref="EF46:EF48"/>
    <mergeCell ref="DR46:DW48"/>
    <mergeCell ref="DX46:DX48"/>
    <mergeCell ref="EG43:EG45"/>
    <mergeCell ref="EH43:EM45"/>
    <mergeCell ref="EN43:EN45"/>
    <mergeCell ref="DZ43:EE45"/>
    <mergeCell ref="EF43:EF45"/>
    <mergeCell ref="EN40:EN42"/>
    <mergeCell ref="DY37:DY39"/>
    <mergeCell ref="DZ37:EE39"/>
    <mergeCell ref="EF37:EF39"/>
    <mergeCell ref="EG37:EG39"/>
    <mergeCell ref="EH37:EM39"/>
    <mergeCell ref="EN37:EN39"/>
    <mergeCell ref="DX31:DX33"/>
    <mergeCell ref="DY31:DY33"/>
    <mergeCell ref="DZ31:EE33"/>
    <mergeCell ref="EP49:EU51"/>
    <mergeCell ref="A38:W55"/>
    <mergeCell ref="EO55:EO57"/>
    <mergeCell ref="EP55:EU57"/>
    <mergeCell ref="EV55:EV57"/>
    <mergeCell ref="EO49:EO51"/>
    <mergeCell ref="EV49:EV51"/>
    <mergeCell ref="EO52:EO54"/>
    <mergeCell ref="EP52:EU54"/>
    <mergeCell ref="EV52:EV54"/>
    <mergeCell ref="EO43:EO45"/>
    <mergeCell ref="EP43:EU45"/>
    <mergeCell ref="EV43:EV45"/>
    <mergeCell ref="EO46:EO48"/>
    <mergeCell ref="EP46:EU48"/>
    <mergeCell ref="EV46:EV48"/>
    <mergeCell ref="EO37:EO39"/>
    <mergeCell ref="EP37:EU39"/>
    <mergeCell ref="EV37:EV39"/>
    <mergeCell ref="EO40:EO42"/>
    <mergeCell ref="EP40:EU42"/>
    <mergeCell ref="EV40:EV42"/>
    <mergeCell ref="A35:H37"/>
    <mergeCell ref="DY46:DY48"/>
  </mergeCells>
  <conditionalFormatting sqref="T3:T5 X3:X5 AB3:AB5 AF3:AF5 AJ3:AJ5 AN3:AN5 AR3:AR5 AZ3:AZ5 AV3:AV5 P3:P5 D3:D5 H3:H5 L3:L5 BD3:BD5 BH3:BH5 T10:W30 BL3:BL5 N31:W34 BD10:BD48 AE46:AF48 AM43:AN45 AU52:AV54 DW49:DX51 EE49:EF51 BC49:BD51 BK52:BL54 BS52:BT54 CA43:CB45 CI40:CJ42 CQ40:CR42 CY37:CZ39 DG52:DH54 DO52:DP54 EU58:EV60 BL10:BL51 BT10:BT51 EV10:EV48 EV52:EV57 EM46:EN48">
    <cfRule type="containsBlanks" dxfId="143" priority="868">
      <formula>LEN(TRIM(D3))=0</formula>
    </cfRule>
  </conditionalFormatting>
  <conditionalFormatting sqref="DH10:DH48">
    <cfRule type="containsBlanks" dxfId="142" priority="820">
      <formula>LEN(TRIM(DH10))=0</formula>
    </cfRule>
  </conditionalFormatting>
  <conditionalFormatting sqref="S10:S30">
    <cfRule type="containsBlanks" dxfId="141" priority="822">
      <formula>LEN(TRIM(S10))=0</formula>
    </cfRule>
  </conditionalFormatting>
  <conditionalFormatting sqref="AV10:AV48">
    <cfRule type="containsBlanks" dxfId="140" priority="821">
      <formula>LEN(TRIM(AV10))=0</formula>
    </cfRule>
  </conditionalFormatting>
  <conditionalFormatting sqref="DP10:DP48">
    <cfRule type="containsBlanks" dxfId="139" priority="819">
      <formula>LEN(TRIM(DP10))=0</formula>
    </cfRule>
  </conditionalFormatting>
  <conditionalFormatting sqref="DX10:DX48">
    <cfRule type="containsBlanks" dxfId="138" priority="818">
      <formula>LEN(TRIM(DX10))=0</formula>
    </cfRule>
  </conditionalFormatting>
  <conditionalFormatting sqref="EF10:EF48">
    <cfRule type="containsBlanks" dxfId="137" priority="817">
      <formula>LEN(TRIM(EF10))=0</formula>
    </cfRule>
  </conditionalFormatting>
  <conditionalFormatting sqref="EN10:EN45">
    <cfRule type="containsBlanks" dxfId="136" priority="815">
      <formula>LEN(TRIM(EN10))=0</formula>
    </cfRule>
  </conditionalFormatting>
  <conditionalFormatting sqref="N10:R30">
    <cfRule type="containsBlanks" dxfId="135" priority="814">
      <formula>LEN(TRIM(N10))=0</formula>
    </cfRule>
  </conditionalFormatting>
  <conditionalFormatting sqref="H10:M30">
    <cfRule type="containsBlanks" dxfId="134" priority="813">
      <formula>LEN(TRIM(H10))=0</formula>
    </cfRule>
  </conditionalFormatting>
  <conditionalFormatting sqref="AF10:AF45">
    <cfRule type="containsBlanks" dxfId="133" priority="812">
      <formula>LEN(TRIM(AF10))=0</formula>
    </cfRule>
  </conditionalFormatting>
  <conditionalFormatting sqref="AN10:AN42">
    <cfRule type="containsBlanks" dxfId="132" priority="811">
      <formula>LEN(TRIM(AN10))=0</formula>
    </cfRule>
  </conditionalFormatting>
  <conditionalFormatting sqref="CB10:CB42">
    <cfRule type="containsBlanks" dxfId="131" priority="810">
      <formula>LEN(TRIM(CB10))=0</formula>
    </cfRule>
  </conditionalFormatting>
  <conditionalFormatting sqref="CJ10:CJ39">
    <cfRule type="containsBlanks" dxfId="130" priority="809">
      <formula>LEN(TRIM(CJ10))=0</formula>
    </cfRule>
  </conditionalFormatting>
  <conditionalFormatting sqref="CR10:CR39">
    <cfRule type="containsBlanks" dxfId="129" priority="808">
      <formula>LEN(TRIM(CR10))=0</formula>
    </cfRule>
  </conditionalFormatting>
  <conditionalFormatting sqref="CZ10:CZ36">
    <cfRule type="containsBlanks" dxfId="128" priority="807">
      <formula>LEN(TRIM(CZ10))=0</formula>
    </cfRule>
  </conditionalFormatting>
  <conditionalFormatting sqref="G31:M34">
    <cfRule type="containsBlanks" dxfId="127" priority="806">
      <formula>LEN(TRIM(G31))=0</formula>
    </cfRule>
  </conditionalFormatting>
  <conditionalFormatting sqref="A1:BJ2 AX10:BT18 A3:BL5 BN1:XFD2 H7:M9 N7:W34 V160:AC1811 AW7:BT9 AW10:AW15 A160:U1820 A6 BQ3:XFD6 EW7:XFD7 GU65:XFD120 BD13:BD48 BL13:BL49 BT13:BT49 A10:M34 AD158:AF1812 Y49:AC49 Y7:AF48 AG7:AV43 AG160:AK1814 AO162:AS1816 AL159:AN1813 AO61:AS62 HO8:XFD61 AG44:AK60 BR61:BR66 BQ63:BQ161 BM61:BQ62 CC67:CD120 BR67:BY1820 BZ65:CB1818 BU44:BY60 BZ44:CB58 CC121:CG1820 CH120:CJ1819 BU41:CG43 CC44:CG60 CH41:CJ59 CO61:CO64 CK121:CO1820 CP120:CR1819 CK41:CO60 CP41:CR63 BU7:EV37 BU38:CW40 CX61:CZ63 CX60 CS121:CW1820 CX120:CZ1819 CS41:CW64 CX38:CZ59 DA64:DE66 DA123:DE1822 DA53:DE62 DF53:DH60 DI53:DM62 DN53:DP60 DN62:EK64 EL60:EN62 DN121:EK1820 EL119:EN1818 EO64:ES66 ET62:XFD64 EO123:ES1822 ET121:XFD1820 EO61:ES62 AL44:AV48 AO52:AV60 AL49:AN59 AT160:BD1820 BE162:BI1822 AW16:BD60 BE61:BI62 BJ160:BL1820 BM162:BQ1822 BE19:BT60 DF62:DH64 DI64:DM66 DF121:DH1820 DI123:DM1822 DQ50:EK60 DA52:DP52 EL50:EN58 EO52:EV60 DQ49:EN49 DA38:EV48">
    <cfRule type="cellIs" dxfId="126" priority="767" operator="equal">
      <formula>4.4</formula>
    </cfRule>
    <cfRule type="cellIs" dxfId="125" priority="768" operator="equal">
      <formula>4.3</formula>
    </cfRule>
    <cfRule type="cellIs" dxfId="124" priority="769" operator="equal">
      <formula>4.2</formula>
    </cfRule>
    <cfRule type="cellIs" dxfId="123" priority="770" operator="equal">
      <formula>4.1</formula>
    </cfRule>
    <cfRule type="cellIs" dxfId="122" priority="771" operator="equal">
      <formula>3.4</formula>
    </cfRule>
    <cfRule type="cellIs" dxfId="121" priority="772" operator="equal">
      <formula>3.3</formula>
    </cfRule>
    <cfRule type="cellIs" dxfId="120" priority="773" operator="equal">
      <formula>3.2</formula>
    </cfRule>
    <cfRule type="cellIs" dxfId="119" priority="774" operator="equal">
      <formula>3.1</formula>
    </cfRule>
    <cfRule type="cellIs" dxfId="118" priority="775" operator="equal">
      <formula>2.4</formula>
    </cfRule>
    <cfRule type="cellIs" dxfId="117" priority="776" operator="equal">
      <formula>2.3</formula>
    </cfRule>
    <cfRule type="cellIs" dxfId="116" priority="777" operator="equal">
      <formula>2.2</formula>
    </cfRule>
    <cfRule type="cellIs" dxfId="115" priority="778" operator="equal">
      <formula>2.1</formula>
    </cfRule>
    <cfRule type="cellIs" dxfId="114" priority="779" operator="equal">
      <formula>1.5</formula>
    </cfRule>
    <cfRule type="cellIs" dxfId="113" priority="780" operator="equal">
      <formula>1.4</formula>
    </cfRule>
    <cfRule type="cellIs" dxfId="112" priority="781" operator="equal">
      <formula>1.3</formula>
    </cfRule>
    <cfRule type="cellIs" dxfId="111" priority="782" operator="equal">
      <formula>1.2</formula>
    </cfRule>
    <cfRule type="containsText" dxfId="110" priority="783" operator="containsText" text="1.1">
      <formula>NOT(ISERROR(SEARCH("1.1",A1)))</formula>
    </cfRule>
  </conditionalFormatting>
  <conditionalFormatting sqref="A7:G9">
    <cfRule type="cellIs" dxfId="109" priority="555" operator="equal">
      <formula>4.4</formula>
    </cfRule>
    <cfRule type="cellIs" dxfId="108" priority="556" operator="equal">
      <formula>4.3</formula>
    </cfRule>
    <cfRule type="cellIs" dxfId="107" priority="557" operator="equal">
      <formula>4.2</formula>
    </cfRule>
    <cfRule type="cellIs" dxfId="106" priority="558" operator="equal">
      <formula>4.1</formula>
    </cfRule>
    <cfRule type="cellIs" dxfId="105" priority="559" operator="equal">
      <formula>3.4</formula>
    </cfRule>
    <cfRule type="cellIs" dxfId="104" priority="560" operator="equal">
      <formula>3.3</formula>
    </cfRule>
    <cfRule type="cellIs" dxfId="103" priority="561" operator="equal">
      <formula>3.2</formula>
    </cfRule>
    <cfRule type="cellIs" dxfId="102" priority="562" operator="equal">
      <formula>3.1</formula>
    </cfRule>
    <cfRule type="cellIs" dxfId="101" priority="563" operator="equal">
      <formula>2.4</formula>
    </cfRule>
    <cfRule type="cellIs" dxfId="100" priority="564" operator="equal">
      <formula>2.3</formula>
    </cfRule>
    <cfRule type="cellIs" dxfId="99" priority="565" operator="equal">
      <formula>2.2</formula>
    </cfRule>
    <cfRule type="cellIs" dxfId="98" priority="566" operator="equal">
      <formula>2.1</formula>
    </cfRule>
    <cfRule type="cellIs" dxfId="97" priority="567" operator="equal">
      <formula>1.5</formula>
    </cfRule>
    <cfRule type="cellIs" dxfId="96" priority="568" operator="equal">
      <formula>1.4</formula>
    </cfRule>
    <cfRule type="cellIs" dxfId="95" priority="569" operator="equal">
      <formula>1.3</formula>
    </cfRule>
    <cfRule type="cellIs" dxfId="94" priority="570" operator="equal">
      <formula>1.2</formula>
    </cfRule>
    <cfRule type="containsText" dxfId="93" priority="571" operator="containsText" text="1.1">
      <formula>NOT(ISERROR(SEARCH("1.1",A7)))</formula>
    </cfRule>
  </conditionalFormatting>
  <conditionalFormatting sqref="BK1:BM2">
    <cfRule type="cellIs" dxfId="92" priority="127" operator="equal">
      <formula>4.4</formula>
    </cfRule>
    <cfRule type="cellIs" dxfId="91" priority="128" operator="equal">
      <formula>4.3</formula>
    </cfRule>
    <cfRule type="cellIs" dxfId="90" priority="129" operator="equal">
      <formula>4.2</formula>
    </cfRule>
    <cfRule type="cellIs" dxfId="89" priority="130" operator="equal">
      <formula>4.1</formula>
    </cfRule>
    <cfRule type="cellIs" dxfId="88" priority="131" operator="equal">
      <formula>3.4</formula>
    </cfRule>
    <cfRule type="cellIs" dxfId="87" priority="132" operator="equal">
      <formula>3.3</formula>
    </cfRule>
    <cfRule type="cellIs" dxfId="86" priority="133" operator="equal">
      <formula>3.2</formula>
    </cfRule>
    <cfRule type="cellIs" dxfId="85" priority="134" operator="equal">
      <formula>3.1</formula>
    </cfRule>
    <cfRule type="cellIs" dxfId="84" priority="135" operator="equal">
      <formula>2.4</formula>
    </cfRule>
    <cfRule type="cellIs" dxfId="83" priority="136" operator="equal">
      <formula>2.3</formula>
    </cfRule>
    <cfRule type="cellIs" dxfId="82" priority="137" operator="equal">
      <formula>2.2</formula>
    </cfRule>
    <cfRule type="cellIs" dxfId="81" priority="138" operator="equal">
      <formula>2.1</formula>
    </cfRule>
    <cfRule type="cellIs" dxfId="80" priority="139" operator="equal">
      <formula>1.5</formula>
    </cfRule>
    <cfRule type="cellIs" dxfId="79" priority="140" operator="equal">
      <formula>1.4</formula>
    </cfRule>
    <cfRule type="cellIs" dxfId="78" priority="141" operator="equal">
      <formula>1.3</formula>
    </cfRule>
    <cfRule type="cellIs" dxfId="77" priority="142" operator="equal">
      <formula>1.2</formula>
    </cfRule>
    <cfRule type="containsText" dxfId="76" priority="143" operator="containsText" text="1.1">
      <formula>NOT(ISERROR(SEARCH("1.1",BK1)))</formula>
    </cfRule>
  </conditionalFormatting>
  <conditionalFormatting sqref="AV49:AV51">
    <cfRule type="containsBlanks" dxfId="75" priority="72">
      <formula>LEN(TRIM(AV49))=0</formula>
    </cfRule>
  </conditionalFormatting>
  <conditionalFormatting sqref="AO49:AV51">
    <cfRule type="cellIs" dxfId="74" priority="55" operator="equal">
      <formula>4.4</formula>
    </cfRule>
    <cfRule type="cellIs" dxfId="73" priority="56" operator="equal">
      <formula>4.3</formula>
    </cfRule>
    <cfRule type="cellIs" dxfId="72" priority="57" operator="equal">
      <formula>4.2</formula>
    </cfRule>
    <cfRule type="cellIs" dxfId="71" priority="58" operator="equal">
      <formula>4.1</formula>
    </cfRule>
    <cfRule type="cellIs" dxfId="70" priority="59" operator="equal">
      <formula>3.4</formula>
    </cfRule>
    <cfRule type="cellIs" dxfId="69" priority="60" operator="equal">
      <formula>3.3</formula>
    </cfRule>
    <cfRule type="cellIs" dxfId="68" priority="61" operator="equal">
      <formula>3.2</formula>
    </cfRule>
    <cfRule type="cellIs" dxfId="67" priority="62" operator="equal">
      <formula>3.1</formula>
    </cfRule>
    <cfRule type="cellIs" dxfId="66" priority="63" operator="equal">
      <formula>2.4</formula>
    </cfRule>
    <cfRule type="cellIs" dxfId="65" priority="64" operator="equal">
      <formula>2.3</formula>
    </cfRule>
    <cfRule type="cellIs" dxfId="64" priority="65" operator="equal">
      <formula>2.2</formula>
    </cfRule>
    <cfRule type="cellIs" dxfId="63" priority="66" operator="equal">
      <formula>2.1</formula>
    </cfRule>
    <cfRule type="cellIs" dxfId="62" priority="67" operator="equal">
      <formula>1.5</formula>
    </cfRule>
    <cfRule type="cellIs" dxfId="61" priority="68" operator="equal">
      <formula>1.4</formula>
    </cfRule>
    <cfRule type="cellIs" dxfId="60" priority="69" operator="equal">
      <formula>1.3</formula>
    </cfRule>
    <cfRule type="cellIs" dxfId="59" priority="70" operator="equal">
      <formula>1.2</formula>
    </cfRule>
    <cfRule type="containsText" dxfId="58" priority="71" operator="containsText" text="1.1">
      <formula>NOT(ISERROR(SEARCH("1.1",AO49)))</formula>
    </cfRule>
  </conditionalFormatting>
  <conditionalFormatting sqref="DH49:DH51">
    <cfRule type="containsBlanks" dxfId="57" priority="54">
      <formula>LEN(TRIM(DH49))=0</formula>
    </cfRule>
  </conditionalFormatting>
  <conditionalFormatting sqref="DA49:DH51">
    <cfRule type="cellIs" dxfId="56" priority="37" operator="equal">
      <formula>4.4</formula>
    </cfRule>
    <cfRule type="cellIs" dxfId="55" priority="38" operator="equal">
      <formula>4.3</formula>
    </cfRule>
    <cfRule type="cellIs" dxfId="54" priority="39" operator="equal">
      <formula>4.2</formula>
    </cfRule>
    <cfRule type="cellIs" dxfId="53" priority="40" operator="equal">
      <formula>4.1</formula>
    </cfRule>
    <cfRule type="cellIs" dxfId="52" priority="41" operator="equal">
      <formula>3.4</formula>
    </cfRule>
    <cfRule type="cellIs" dxfId="51" priority="42" operator="equal">
      <formula>3.3</formula>
    </cfRule>
    <cfRule type="cellIs" dxfId="50" priority="43" operator="equal">
      <formula>3.2</formula>
    </cfRule>
    <cfRule type="cellIs" dxfId="49" priority="44" operator="equal">
      <formula>3.1</formula>
    </cfRule>
    <cfRule type="cellIs" dxfId="48" priority="45" operator="equal">
      <formula>2.4</formula>
    </cfRule>
    <cfRule type="cellIs" dxfId="47" priority="46" operator="equal">
      <formula>2.3</formula>
    </cfRule>
    <cfRule type="cellIs" dxfId="46" priority="47" operator="equal">
      <formula>2.2</formula>
    </cfRule>
    <cfRule type="cellIs" dxfId="45" priority="48" operator="equal">
      <formula>2.1</formula>
    </cfRule>
    <cfRule type="cellIs" dxfId="44" priority="49" operator="equal">
      <formula>1.5</formula>
    </cfRule>
    <cfRule type="cellIs" dxfId="43" priority="50" operator="equal">
      <formula>1.4</formula>
    </cfRule>
    <cfRule type="cellIs" dxfId="42" priority="51" operator="equal">
      <formula>1.3</formula>
    </cfRule>
    <cfRule type="cellIs" dxfId="41" priority="52" operator="equal">
      <formula>1.2</formula>
    </cfRule>
    <cfRule type="containsText" dxfId="40" priority="53" operator="containsText" text="1.1">
      <formula>NOT(ISERROR(SEARCH("1.1",DA49)))</formula>
    </cfRule>
  </conditionalFormatting>
  <conditionalFormatting sqref="DP49:DP51">
    <cfRule type="containsBlanks" dxfId="39" priority="36">
      <formula>LEN(TRIM(DP49))=0</formula>
    </cfRule>
  </conditionalFormatting>
  <conditionalFormatting sqref="DI49:DP51">
    <cfRule type="cellIs" dxfId="38" priority="19" operator="equal">
      <formula>4.4</formula>
    </cfRule>
    <cfRule type="cellIs" dxfId="37" priority="20" operator="equal">
      <formula>4.3</formula>
    </cfRule>
    <cfRule type="cellIs" dxfId="36" priority="21" operator="equal">
      <formula>4.2</formula>
    </cfRule>
    <cfRule type="cellIs" dxfId="35" priority="22" operator="equal">
      <formula>4.1</formula>
    </cfRule>
    <cfRule type="cellIs" dxfId="34" priority="23" operator="equal">
      <formula>3.4</formula>
    </cfRule>
    <cfRule type="cellIs" dxfId="33" priority="24" operator="equal">
      <formula>3.3</formula>
    </cfRule>
    <cfRule type="cellIs" dxfId="32" priority="25" operator="equal">
      <formula>3.2</formula>
    </cfRule>
    <cfRule type="cellIs" dxfId="31" priority="26" operator="equal">
      <formula>3.1</formula>
    </cfRule>
    <cfRule type="cellIs" dxfId="30" priority="27" operator="equal">
      <formula>2.4</formula>
    </cfRule>
    <cfRule type="cellIs" dxfId="29" priority="28" operator="equal">
      <formula>2.3</formula>
    </cfRule>
    <cfRule type="cellIs" dxfId="28" priority="29" operator="equal">
      <formula>2.2</formula>
    </cfRule>
    <cfRule type="cellIs" dxfId="27" priority="30" operator="equal">
      <formula>2.1</formula>
    </cfRule>
    <cfRule type="cellIs" dxfId="26" priority="31" operator="equal">
      <formula>1.5</formula>
    </cfRule>
    <cfRule type="cellIs" dxfId="25" priority="32" operator="equal">
      <formula>1.4</formula>
    </cfRule>
    <cfRule type="cellIs" dxfId="24" priority="33" operator="equal">
      <formula>1.3</formula>
    </cfRule>
    <cfRule type="cellIs" dxfId="23" priority="34" operator="equal">
      <formula>1.2</formula>
    </cfRule>
    <cfRule type="containsText" dxfId="22" priority="35" operator="containsText" text="1.1">
      <formula>NOT(ISERROR(SEARCH("1.1",DI49)))</formula>
    </cfRule>
  </conditionalFormatting>
  <conditionalFormatting sqref="EV49:EV51">
    <cfRule type="containsBlanks" dxfId="21" priority="18">
      <formula>LEN(TRIM(EV49))=0</formula>
    </cfRule>
  </conditionalFormatting>
  <conditionalFormatting sqref="EO49:EV51">
    <cfRule type="cellIs" dxfId="20" priority="1" operator="equal">
      <formula>4.4</formula>
    </cfRule>
    <cfRule type="cellIs" dxfId="19" priority="2" operator="equal">
      <formula>4.3</formula>
    </cfRule>
    <cfRule type="cellIs" dxfId="18" priority="3" operator="equal">
      <formula>4.2</formula>
    </cfRule>
    <cfRule type="cellIs" dxfId="17" priority="4" operator="equal">
      <formula>4.1</formula>
    </cfRule>
    <cfRule type="cellIs" dxfId="16" priority="5" operator="equal">
      <formula>3.4</formula>
    </cfRule>
    <cfRule type="cellIs" dxfId="15" priority="6" operator="equal">
      <formula>3.3</formula>
    </cfRule>
    <cfRule type="cellIs" dxfId="14" priority="7" operator="equal">
      <formula>3.2</formula>
    </cfRule>
    <cfRule type="cellIs" dxfId="13" priority="8" operator="equal">
      <formula>3.1</formula>
    </cfRule>
    <cfRule type="cellIs" dxfId="12" priority="9" operator="equal">
      <formula>2.4</formula>
    </cfRule>
    <cfRule type="cellIs" dxfId="11" priority="10" operator="equal">
      <formula>2.3</formula>
    </cfRule>
    <cfRule type="cellIs" dxfId="10" priority="11" operator="equal">
      <formula>2.2</formula>
    </cfRule>
    <cfRule type="cellIs" dxfId="9" priority="12" operator="equal">
      <formula>2.1</formula>
    </cfRule>
    <cfRule type="cellIs" dxfId="8" priority="13" operator="equal">
      <formula>1.5</formula>
    </cfRule>
    <cfRule type="cellIs" dxfId="7" priority="14" operator="equal">
      <formula>1.4</formula>
    </cfRule>
    <cfRule type="cellIs" dxfId="6" priority="15" operator="equal">
      <formula>1.3</formula>
    </cfRule>
    <cfRule type="cellIs" dxfId="5" priority="16" operator="equal">
      <formula>1.2</formula>
    </cfRule>
    <cfRule type="containsText" dxfId="4" priority="17" operator="containsText" text="1.1">
      <formula>NOT(ISERROR(SEARCH("1.1",EO49)))</formula>
    </cfRule>
  </conditionalFormatting>
  <hyperlinks>
    <hyperlink ref="Y3:AA5" location="Drinks2" display="Drinks2" xr:uid="{00000000-0004-0000-1500-000000000000}"/>
    <hyperlink ref="AC3:AE5" location="Drinks2" display="Drinks2" xr:uid="{00000000-0004-0000-1500-000001000000}"/>
    <hyperlink ref="AG3:AI5" location="Drinks2" display="Drinks2" xr:uid="{00000000-0004-0000-1500-000002000000}"/>
    <hyperlink ref="AK3:AM5" location="Drinks2" display="Drinks2" xr:uid="{00000000-0004-0000-1500-000003000000}"/>
    <hyperlink ref="AO3:AQ5" location="Drinks2" display="Drinks2" xr:uid="{00000000-0004-0000-1500-000004000000}"/>
    <hyperlink ref="AS3:AU5" location="Drinks2" display="Drinks2" xr:uid="{00000000-0004-0000-1500-000005000000}"/>
    <hyperlink ref="AW3:AY5" location="Drinks3" display="Drinks3" xr:uid="{00000000-0004-0000-1500-000006000000}"/>
    <hyperlink ref="U3:W5" location="Drinks1" display="Drinks1" xr:uid="{00000000-0004-0000-1500-000007000000}"/>
    <hyperlink ref="Q3:S5" location="Drinks1" display="Drinks1" xr:uid="{00000000-0004-0000-1500-000008000000}"/>
    <hyperlink ref="M3:O5" location="Drinks1" display="Drinks1" xr:uid="{00000000-0004-0000-1500-000009000000}"/>
    <hyperlink ref="I3:K5" location="Drinks1" display="Drinks1" xr:uid="{00000000-0004-0000-1500-00000A000000}"/>
    <hyperlink ref="E3:G5" location="Drinks1" display="Drinks1" xr:uid="{00000000-0004-0000-1500-00000B000000}"/>
    <hyperlink ref="BN1:BP2" location="CustomerScenariors" display="CustomerScenariors" xr:uid="{00000000-0004-0000-1500-00000C000000}"/>
    <hyperlink ref="A3:C5" location="Drinks1" display="Drinks1" xr:uid="{00000000-0004-0000-1500-00000D000000}"/>
    <hyperlink ref="BA3:BC5" location="Drinks3" display="Drinks3" xr:uid="{00000000-0004-0000-1500-00000E000000}"/>
    <hyperlink ref="BE3:BG5" location="Drinks3" display="Drinks3" xr:uid="{00000000-0004-0000-1500-00000F000000}"/>
    <hyperlink ref="BI3:BK5" location="Drinks3" display="Drinks3" xr:uid="{00000000-0004-0000-1500-000010000000}"/>
    <hyperlink ref="BK1:BM2" location="CustomerProfiles" display="CustomerProfiles" xr:uid="{00000000-0004-0000-1500-000011000000}"/>
  </hyperlinks>
  <pageMargins left="0.7" right="0.7" top="0.75" bottom="0.75" header="0.3" footer="0.3"/>
  <pageSetup paperSize="9" scale="38" fitToWidth="2" fitToHeight="0" orientation="portrait" r:id="rId2"/>
  <rowBreaks count="1" manualBreakCount="1">
    <brk id="101" max="151" man="1"/>
  </rowBreaks>
  <colBreaks count="1" manualBreakCount="1">
    <brk id="80" max="62"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BU120"/>
  <sheetViews>
    <sheetView showGridLines="0" view="pageBreakPreview" topLeftCell="A58" zoomScale="85" zoomScaleNormal="85" zoomScaleSheetLayoutView="85" workbookViewId="0">
      <selection activeCell="Y108" sqref="Y108:AH110"/>
    </sheetView>
  </sheetViews>
  <sheetFormatPr baseColWidth="10" defaultColWidth="2.6640625" defaultRowHeight="15" customHeight="1"/>
  <cols>
    <col min="1" max="72" width="2.6640625" customWidth="1"/>
  </cols>
  <sheetData>
    <row r="1" spans="1:72" ht="15" customHeight="1">
      <c r="A1" s="250" t="str">
        <f>"Name : "&amp;Name</f>
        <v xml:space="preserve">Name : </v>
      </c>
      <c r="B1" s="52"/>
      <c r="C1" s="52"/>
      <c r="D1" s="52"/>
      <c r="E1" s="52"/>
      <c r="F1" s="52"/>
      <c r="G1" s="52"/>
      <c r="H1" s="52"/>
      <c r="I1" s="52"/>
      <c r="J1" s="52"/>
      <c r="K1" s="52"/>
      <c r="L1" s="52"/>
      <c r="M1" s="52"/>
      <c r="N1" s="52"/>
      <c r="O1" s="242"/>
      <c r="P1" s="52"/>
      <c r="Q1" s="52"/>
      <c r="R1" s="52"/>
      <c r="S1" s="52"/>
      <c r="T1" s="52"/>
      <c r="U1" s="52"/>
      <c r="V1" s="52"/>
      <c r="W1" s="242"/>
      <c r="X1" s="52"/>
      <c r="Y1" s="52"/>
      <c r="Z1" s="52"/>
      <c r="AA1" s="250" t="str">
        <f>"Abinitio No : "&amp;Group</f>
        <v xml:space="preserve">Abinitio No : </v>
      </c>
      <c r="AB1" s="52"/>
      <c r="AC1" s="52"/>
      <c r="AD1" s="52"/>
      <c r="AE1" s="52"/>
      <c r="AF1" s="242"/>
      <c r="AG1" s="52"/>
      <c r="AH1" s="52"/>
      <c r="AI1" s="52"/>
      <c r="AJ1" s="52"/>
      <c r="AK1" s="52"/>
      <c r="AL1" s="52"/>
      <c r="AM1" s="52"/>
      <c r="AN1" s="52"/>
      <c r="AO1" s="242"/>
      <c r="AP1" s="52"/>
      <c r="AQ1" s="52"/>
      <c r="AR1" s="250" t="str">
        <f>"Hospitality &amp; Customer Service Assessment"</f>
        <v>Hospitality &amp; Customer Service Assessment</v>
      </c>
      <c r="AS1" s="52"/>
      <c r="AT1" s="52"/>
      <c r="AU1" s="52"/>
      <c r="AV1" s="52"/>
      <c r="AW1" s="52"/>
      <c r="AX1" s="52"/>
      <c r="AY1" s="52"/>
      <c r="AZ1" s="52"/>
      <c r="BA1" s="52"/>
      <c r="BB1" s="52"/>
      <c r="BC1" s="52"/>
      <c r="BD1" s="52"/>
      <c r="BE1" s="52"/>
      <c r="BF1" s="52"/>
      <c r="BG1" s="52"/>
      <c r="BH1" s="52"/>
      <c r="BI1" s="52"/>
      <c r="BJ1" s="52"/>
      <c r="BK1" s="52"/>
      <c r="BL1" s="52"/>
      <c r="BM1" s="52"/>
      <c r="BN1" s="52"/>
      <c r="BO1" s="52"/>
    </row>
    <row r="2" spans="1:72" ht="15" customHeight="1">
      <c r="A2" s="250" t="str">
        <f>"Staff No : "&amp;StaffNumber</f>
        <v xml:space="preserve">Staff No : </v>
      </c>
      <c r="B2" s="52"/>
      <c r="C2" s="52"/>
      <c r="D2" s="52"/>
      <c r="E2" s="52"/>
      <c r="F2" s="52"/>
      <c r="G2" s="52"/>
      <c r="H2" s="52"/>
      <c r="I2" s="52"/>
      <c r="J2" s="52"/>
      <c r="K2" s="52"/>
      <c r="L2" s="52"/>
      <c r="M2" s="52"/>
      <c r="N2" s="52"/>
      <c r="O2" s="242"/>
      <c r="P2" s="52"/>
      <c r="Q2" s="52"/>
      <c r="R2" s="52"/>
      <c r="S2" s="52"/>
      <c r="T2" s="52"/>
      <c r="U2" s="52"/>
      <c r="V2" s="52"/>
      <c r="W2" s="242"/>
      <c r="X2" s="52"/>
      <c r="Y2" s="52"/>
      <c r="Z2" s="52"/>
      <c r="AA2" s="241" t="str">
        <f>"Course Dates : "&amp;Date</f>
        <v xml:space="preserve">Course Dates : </v>
      </c>
      <c r="AB2" s="52"/>
      <c r="AC2" s="52"/>
      <c r="AD2" s="52"/>
      <c r="AE2" s="52"/>
      <c r="AF2" s="242"/>
      <c r="AG2" s="52"/>
      <c r="AH2" s="52"/>
      <c r="AI2" s="52"/>
      <c r="AJ2" s="52"/>
      <c r="AK2" s="52"/>
      <c r="AL2" s="52"/>
      <c r="AM2" s="52"/>
      <c r="AN2" s="52"/>
      <c r="AO2" s="242"/>
      <c r="AP2" s="52"/>
      <c r="AQ2" s="52"/>
      <c r="AR2" s="250" t="str">
        <f>"Group : "&amp;Rotation</f>
        <v xml:space="preserve">Group : </v>
      </c>
      <c r="AS2" s="52"/>
      <c r="AT2" s="52"/>
      <c r="AU2" s="52"/>
      <c r="AV2" s="52"/>
      <c r="AW2" s="52"/>
      <c r="AY2" s="52"/>
      <c r="AZ2" s="52"/>
      <c r="BA2" s="52"/>
      <c r="BB2" s="52"/>
      <c r="BC2" s="52"/>
      <c r="BD2" s="52"/>
      <c r="BE2" s="52"/>
      <c r="BF2" s="52"/>
      <c r="BG2" s="52"/>
      <c r="BH2" s="52"/>
      <c r="BI2" s="52"/>
      <c r="BJ2" s="52"/>
      <c r="BK2" s="52"/>
      <c r="BL2" s="52"/>
      <c r="BM2" s="52"/>
      <c r="BN2" s="52"/>
      <c r="BO2" s="52"/>
    </row>
    <row r="3" spans="1:72" s="1" customFormat="1" ht="15" customHeight="1">
      <c r="A3" s="1907" t="s">
        <v>14</v>
      </c>
      <c r="B3" s="1907"/>
      <c r="C3" s="1907"/>
      <c r="D3" s="1907"/>
      <c r="E3" s="1907" t="s">
        <v>33</v>
      </c>
      <c r="F3" s="1907"/>
      <c r="G3" s="1907"/>
      <c r="H3" s="1907"/>
      <c r="I3" s="1907" t="s">
        <v>203</v>
      </c>
      <c r="J3" s="1907"/>
      <c r="K3" s="1907"/>
      <c r="L3" s="1907"/>
      <c r="M3" s="1907" t="s">
        <v>771</v>
      </c>
      <c r="N3" s="1907"/>
      <c r="O3" s="1907"/>
      <c r="P3" s="1907"/>
      <c r="Q3" s="1907" t="s">
        <v>770</v>
      </c>
      <c r="R3" s="1907"/>
      <c r="S3" s="1907"/>
      <c r="T3" s="1907"/>
      <c r="U3" s="1907" t="s">
        <v>772</v>
      </c>
      <c r="V3" s="1907"/>
      <c r="W3" s="1907"/>
      <c r="X3" s="1907"/>
      <c r="Y3" s="1907" t="s">
        <v>823</v>
      </c>
      <c r="Z3" s="1907"/>
      <c r="AA3" s="1907"/>
      <c r="AB3" s="1907"/>
      <c r="AC3" s="52"/>
      <c r="AD3" s="52"/>
      <c r="AE3" s="52"/>
      <c r="AF3" s="242"/>
      <c r="AG3" s="52"/>
      <c r="AH3" s="52"/>
      <c r="AI3" s="242"/>
      <c r="AJ3" s="242"/>
      <c r="AK3" s="242"/>
      <c r="AL3" s="242"/>
      <c r="AM3" s="52"/>
      <c r="AN3" s="52"/>
      <c r="AO3" s="242"/>
      <c r="AP3" s="52"/>
      <c r="AQ3" s="52"/>
      <c r="AR3" s="265"/>
      <c r="AS3" s="52"/>
      <c r="AT3" s="52"/>
      <c r="AU3" s="52"/>
      <c r="AV3" s="52"/>
      <c r="AW3" s="52"/>
      <c r="AY3" s="52"/>
      <c r="AZ3" s="52"/>
      <c r="BA3" s="52"/>
      <c r="BB3" s="52"/>
      <c r="BC3" s="52"/>
      <c r="BD3" s="52"/>
      <c r="BE3" s="52"/>
      <c r="BF3" s="52"/>
      <c r="BG3" s="52"/>
      <c r="BH3" s="1978" t="s">
        <v>910</v>
      </c>
      <c r="BI3" s="1978"/>
      <c r="BJ3" s="1978"/>
      <c r="BK3" s="1978"/>
      <c r="BL3" s="1978"/>
      <c r="BM3" s="1980" t="b">
        <v>1</v>
      </c>
      <c r="BN3" s="52"/>
      <c r="BO3" s="52"/>
    </row>
    <row r="4" spans="1:72" s="1" customFormat="1" ht="15" customHeight="1">
      <c r="A4" s="1907"/>
      <c r="B4" s="1907"/>
      <c r="C4" s="1907"/>
      <c r="D4" s="1907"/>
      <c r="E4" s="1907"/>
      <c r="F4" s="1907"/>
      <c r="G4" s="1907"/>
      <c r="H4" s="1907"/>
      <c r="I4" s="1907"/>
      <c r="J4" s="1907"/>
      <c r="K4" s="1907"/>
      <c r="L4" s="1907"/>
      <c r="M4" s="1907"/>
      <c r="N4" s="1907"/>
      <c r="O4" s="1907"/>
      <c r="P4" s="1907"/>
      <c r="Q4" s="1907"/>
      <c r="R4" s="1907"/>
      <c r="S4" s="1907"/>
      <c r="T4" s="1907"/>
      <c r="U4" s="1907"/>
      <c r="V4" s="1907"/>
      <c r="W4" s="1907"/>
      <c r="X4" s="1907"/>
      <c r="Y4" s="1907"/>
      <c r="Z4" s="1907"/>
      <c r="AA4" s="1907"/>
      <c r="AB4" s="1907"/>
      <c r="AC4" s="52"/>
      <c r="AD4" s="52"/>
      <c r="AE4" s="52"/>
      <c r="AF4" s="242"/>
      <c r="AG4" s="52"/>
      <c r="AH4" s="52"/>
      <c r="AI4" s="242"/>
      <c r="AJ4" s="242"/>
      <c r="AK4" s="242"/>
      <c r="AL4" s="242"/>
      <c r="AM4" s="52"/>
      <c r="AN4" s="52"/>
      <c r="AO4" s="242"/>
      <c r="AP4" s="52"/>
      <c r="AQ4" s="52"/>
      <c r="AR4" s="265"/>
      <c r="AS4" s="52"/>
      <c r="AT4" s="52"/>
      <c r="AU4" s="52"/>
      <c r="AV4" s="52"/>
      <c r="AW4" s="52"/>
      <c r="AY4" s="52"/>
      <c r="AZ4" s="52"/>
      <c r="BA4" s="52"/>
      <c r="BB4" s="52"/>
      <c r="BC4" s="52"/>
      <c r="BD4" s="52"/>
      <c r="BE4" s="52"/>
      <c r="BF4" s="52"/>
      <c r="BG4" s="52"/>
      <c r="BH4" s="1979"/>
      <c r="BI4" s="1979"/>
      <c r="BJ4" s="1979"/>
      <c r="BK4" s="1979"/>
      <c r="BL4" s="1979"/>
      <c r="BM4" s="1980"/>
      <c r="BN4" s="52"/>
      <c r="BO4" s="52"/>
    </row>
    <row r="5" spans="1:72" ht="15" customHeight="1">
      <c r="A5" s="1917" t="s">
        <v>893</v>
      </c>
      <c r="B5" s="1917"/>
      <c r="C5" s="1917"/>
      <c r="D5" s="1917"/>
      <c r="E5" s="1917"/>
      <c r="F5" s="1917"/>
      <c r="G5" s="1917"/>
      <c r="H5" s="1917"/>
      <c r="I5" s="1917"/>
      <c r="J5" s="1917"/>
      <c r="K5" s="1917"/>
      <c r="L5" s="1917"/>
      <c r="M5" s="1917"/>
      <c r="N5" s="1917"/>
      <c r="O5" s="1917"/>
      <c r="P5" s="1917"/>
      <c r="Q5" s="1917"/>
      <c r="R5" s="1917"/>
      <c r="S5" s="1917"/>
      <c r="T5" s="1917"/>
      <c r="U5" s="1917"/>
      <c r="V5" s="1917"/>
      <c r="W5" s="1917"/>
      <c r="X5" s="1917"/>
      <c r="Y5" s="1917"/>
      <c r="Z5" s="1917"/>
      <c r="AA5" s="1917"/>
      <c r="AB5" s="1917"/>
      <c r="AC5" s="1917"/>
      <c r="AD5" s="1917"/>
      <c r="AE5" s="1917"/>
      <c r="AF5" s="1917"/>
      <c r="AG5" s="1917"/>
      <c r="AH5" s="1917"/>
      <c r="AI5" s="1917"/>
      <c r="AJ5" s="1917"/>
      <c r="AK5" s="1917"/>
      <c r="AL5" s="1917"/>
      <c r="AM5" s="1917"/>
      <c r="AN5" s="1917"/>
      <c r="AO5" s="1917"/>
      <c r="AP5" s="1917"/>
      <c r="AQ5" s="1917"/>
      <c r="AR5" s="1917"/>
      <c r="AS5" s="1917"/>
      <c r="AT5" s="1917"/>
      <c r="AU5" s="1917"/>
      <c r="AV5" s="1917"/>
      <c r="AW5" s="1917"/>
      <c r="AX5" s="1917"/>
      <c r="AY5" s="1917"/>
      <c r="AZ5" s="1917"/>
      <c r="BA5" s="1917"/>
      <c r="BB5" s="1917"/>
      <c r="BC5" s="1917"/>
      <c r="BD5" s="1917"/>
      <c r="BE5" s="1917"/>
      <c r="BF5" s="1917"/>
      <c r="BM5" s="604"/>
      <c r="BN5" s="603"/>
      <c r="BO5" s="603"/>
      <c r="BP5" s="603"/>
      <c r="BQ5" s="603"/>
      <c r="BR5" s="603"/>
      <c r="BS5" s="603"/>
      <c r="BT5" s="603"/>
    </row>
    <row r="6" spans="1:72" ht="15" customHeight="1" thickBot="1">
      <c r="A6" s="1917"/>
      <c r="B6" s="1917"/>
      <c r="C6" s="1917"/>
      <c r="D6" s="1917"/>
      <c r="E6" s="1917"/>
      <c r="F6" s="1917"/>
      <c r="G6" s="1917"/>
      <c r="H6" s="1917"/>
      <c r="I6" s="1917"/>
      <c r="J6" s="1917"/>
      <c r="K6" s="1917"/>
      <c r="L6" s="1917"/>
      <c r="M6" s="1917"/>
      <c r="N6" s="1917"/>
      <c r="O6" s="1917"/>
      <c r="P6" s="1917"/>
      <c r="Q6" s="1917"/>
      <c r="R6" s="1917"/>
      <c r="S6" s="1917"/>
      <c r="T6" s="1917"/>
      <c r="U6" s="1917"/>
      <c r="V6" s="1917"/>
      <c r="W6" s="1917"/>
      <c r="X6" s="1917"/>
      <c r="Y6" s="1917"/>
      <c r="Z6" s="1917"/>
      <c r="AA6" s="1917"/>
      <c r="AB6" s="1917"/>
      <c r="AC6" s="1917"/>
      <c r="AD6" s="1917"/>
      <c r="AE6" s="1917"/>
      <c r="AF6" s="1917"/>
      <c r="AG6" s="1917"/>
      <c r="AH6" s="1917"/>
      <c r="AI6" s="1917"/>
      <c r="AJ6" s="1917"/>
      <c r="AK6" s="1917"/>
      <c r="AL6" s="1917"/>
      <c r="AM6" s="1917"/>
      <c r="AN6" s="1917"/>
      <c r="AO6" s="1917"/>
      <c r="AP6" s="1917"/>
      <c r="AQ6" s="1917"/>
      <c r="AR6" s="1917"/>
      <c r="AS6" s="1917"/>
      <c r="AT6" s="1917"/>
      <c r="AU6" s="1917"/>
      <c r="AV6" s="1917"/>
      <c r="AW6" s="1917"/>
      <c r="AX6" s="1917"/>
      <c r="AY6" s="1917"/>
      <c r="AZ6" s="1917"/>
      <c r="BA6" s="1917"/>
      <c r="BB6" s="1917"/>
      <c r="BC6" s="1917"/>
      <c r="BD6" s="1917"/>
      <c r="BE6" s="1917"/>
      <c r="BF6" s="1917"/>
      <c r="BL6" s="605"/>
      <c r="BM6" s="605"/>
      <c r="BN6" s="603"/>
      <c r="BO6" s="603"/>
      <c r="BP6" s="603"/>
      <c r="BQ6" s="603"/>
      <c r="BR6" s="603"/>
      <c r="BS6" s="603"/>
      <c r="BT6" s="603"/>
    </row>
    <row r="7" spans="1:72" ht="15" customHeight="1">
      <c r="A7" s="1918"/>
      <c r="B7" s="1910" t="s">
        <v>466</v>
      </c>
      <c r="C7" s="1910"/>
      <c r="D7" s="1910"/>
      <c r="E7" s="1910"/>
      <c r="F7" s="1910"/>
      <c r="G7" s="1910"/>
      <c r="H7" s="1911"/>
      <c r="I7" s="1914" t="s">
        <v>458</v>
      </c>
      <c r="J7" s="1914" t="s">
        <v>459</v>
      </c>
      <c r="K7" s="1914" t="s">
        <v>460</v>
      </c>
      <c r="L7" s="1914" t="s">
        <v>312</v>
      </c>
      <c r="M7" s="1914" t="s">
        <v>461</v>
      </c>
      <c r="N7" s="1908"/>
      <c r="O7" s="1910" t="s">
        <v>457</v>
      </c>
      <c r="P7" s="1910"/>
      <c r="Q7" s="1910"/>
      <c r="R7" s="1910"/>
      <c r="S7" s="1910"/>
      <c r="T7" s="1910"/>
      <c r="U7" s="1911"/>
      <c r="V7" s="1914" t="s">
        <v>458</v>
      </c>
      <c r="W7" s="1914" t="s">
        <v>459</v>
      </c>
      <c r="X7" s="1914" t="s">
        <v>460</v>
      </c>
      <c r="Y7" s="1914" t="s">
        <v>312</v>
      </c>
      <c r="Z7" s="1914" t="s">
        <v>461</v>
      </c>
      <c r="AA7" s="1915"/>
      <c r="AB7" s="1910" t="s">
        <v>462</v>
      </c>
      <c r="AC7" s="1910"/>
      <c r="AD7" s="1910"/>
      <c r="AE7" s="1910"/>
      <c r="AF7" s="1910"/>
      <c r="AG7" s="1910"/>
      <c r="AH7" s="1911"/>
      <c r="AI7" s="1914" t="s">
        <v>458</v>
      </c>
      <c r="AJ7" s="1914" t="s">
        <v>459</v>
      </c>
      <c r="AK7" s="1914" t="s">
        <v>460</v>
      </c>
      <c r="AL7" s="1914" t="s">
        <v>312</v>
      </c>
      <c r="AM7" s="1914" t="s">
        <v>461</v>
      </c>
      <c r="AN7" s="1665"/>
      <c r="AO7" s="1910" t="s">
        <v>463</v>
      </c>
      <c r="AP7" s="1910"/>
      <c r="AQ7" s="1910"/>
      <c r="AR7" s="1910"/>
      <c r="AS7" s="1910"/>
      <c r="AT7" s="1910"/>
      <c r="AU7" s="1911"/>
      <c r="AV7" s="1914" t="s">
        <v>458</v>
      </c>
      <c r="AW7" s="1914" t="s">
        <v>459</v>
      </c>
      <c r="AX7" s="1914" t="s">
        <v>460</v>
      </c>
      <c r="AY7" s="1914" t="s">
        <v>312</v>
      </c>
      <c r="AZ7" s="1914" t="s">
        <v>461</v>
      </c>
      <c r="BA7" s="1806"/>
      <c r="BB7" s="1910" t="s">
        <v>464</v>
      </c>
      <c r="BC7" s="1910"/>
      <c r="BD7" s="1910"/>
      <c r="BE7" s="1910"/>
      <c r="BF7" s="1910"/>
      <c r="BG7" s="1910"/>
      <c r="BH7" s="1911"/>
      <c r="BI7" s="1914" t="s">
        <v>458</v>
      </c>
      <c r="BJ7" s="1914" t="s">
        <v>459</v>
      </c>
      <c r="BK7" s="1914" t="s">
        <v>460</v>
      </c>
      <c r="BL7" s="1914" t="s">
        <v>312</v>
      </c>
      <c r="BM7" s="1914" t="s">
        <v>461</v>
      </c>
    </row>
    <row r="8" spans="1:72" ht="15" customHeight="1" thickBot="1">
      <c r="A8" s="1919"/>
      <c r="B8" s="1912"/>
      <c r="C8" s="1912"/>
      <c r="D8" s="1912"/>
      <c r="E8" s="1912"/>
      <c r="F8" s="1912"/>
      <c r="G8" s="1912"/>
      <c r="H8" s="1913"/>
      <c r="I8" s="1914"/>
      <c r="J8" s="1914"/>
      <c r="K8" s="1914"/>
      <c r="L8" s="1914"/>
      <c r="M8" s="1914"/>
      <c r="N8" s="1909"/>
      <c r="O8" s="1912"/>
      <c r="P8" s="1912"/>
      <c r="Q8" s="1912"/>
      <c r="R8" s="1912"/>
      <c r="S8" s="1912"/>
      <c r="T8" s="1912"/>
      <c r="U8" s="1913"/>
      <c r="V8" s="1914"/>
      <c r="W8" s="1914"/>
      <c r="X8" s="1914"/>
      <c r="Y8" s="1914"/>
      <c r="Z8" s="1914"/>
      <c r="AA8" s="1916"/>
      <c r="AB8" s="1912"/>
      <c r="AC8" s="1912"/>
      <c r="AD8" s="1912"/>
      <c r="AE8" s="1912"/>
      <c r="AF8" s="1912"/>
      <c r="AG8" s="1912"/>
      <c r="AH8" s="1913"/>
      <c r="AI8" s="1914"/>
      <c r="AJ8" s="1914"/>
      <c r="AK8" s="1914"/>
      <c r="AL8" s="1914"/>
      <c r="AM8" s="1914"/>
      <c r="AN8" s="1667"/>
      <c r="AO8" s="1912"/>
      <c r="AP8" s="1912"/>
      <c r="AQ8" s="1912"/>
      <c r="AR8" s="1912"/>
      <c r="AS8" s="1912"/>
      <c r="AT8" s="1912"/>
      <c r="AU8" s="1913"/>
      <c r="AV8" s="1914"/>
      <c r="AW8" s="1914"/>
      <c r="AX8" s="1914"/>
      <c r="AY8" s="1914"/>
      <c r="AZ8" s="1914"/>
      <c r="BA8" s="1807"/>
      <c r="BB8" s="1912"/>
      <c r="BC8" s="1912"/>
      <c r="BD8" s="1912"/>
      <c r="BE8" s="1912"/>
      <c r="BF8" s="1912"/>
      <c r="BG8" s="1912"/>
      <c r="BH8" s="1913"/>
      <c r="BI8" s="1914"/>
      <c r="BJ8" s="1914"/>
      <c r="BK8" s="1914"/>
      <c r="BL8" s="1914"/>
      <c r="BM8" s="1914"/>
    </row>
    <row r="9" spans="1:72" ht="15" customHeight="1">
      <c r="A9" s="1921" t="s">
        <v>468</v>
      </c>
      <c r="B9" s="1922"/>
      <c r="C9" s="1922"/>
      <c r="D9" s="1922"/>
      <c r="E9" s="1922"/>
      <c r="F9" s="1922"/>
      <c r="G9" s="1922"/>
      <c r="H9" s="1922"/>
      <c r="I9" s="1920"/>
      <c r="J9" s="1920"/>
      <c r="K9" s="1920"/>
      <c r="L9" s="1920"/>
      <c r="M9" s="1920"/>
      <c r="N9" s="1921" t="s">
        <v>465</v>
      </c>
      <c r="O9" s="1922"/>
      <c r="P9" s="1922"/>
      <c r="Q9" s="1922"/>
      <c r="R9" s="1922"/>
      <c r="S9" s="1922"/>
      <c r="T9" s="1922"/>
      <c r="U9" s="1922"/>
      <c r="V9" s="1923"/>
      <c r="W9" s="1920"/>
      <c r="X9" s="1920"/>
      <c r="Y9" s="1920"/>
      <c r="Z9" s="1920"/>
      <c r="AA9" s="1921" t="s">
        <v>465</v>
      </c>
      <c r="AB9" s="1922"/>
      <c r="AC9" s="1922"/>
      <c r="AD9" s="1922"/>
      <c r="AE9" s="1922"/>
      <c r="AF9" s="1922"/>
      <c r="AG9" s="1922"/>
      <c r="AH9" s="1922"/>
      <c r="AI9" s="1923"/>
      <c r="AJ9" s="1920"/>
      <c r="AK9" s="1920"/>
      <c r="AL9" s="1920"/>
      <c r="AM9" s="1920"/>
      <c r="AN9" s="1921" t="s">
        <v>465</v>
      </c>
      <c r="AO9" s="1922"/>
      <c r="AP9" s="1922"/>
      <c r="AQ9" s="1922"/>
      <c r="AR9" s="1922"/>
      <c r="AS9" s="1922"/>
      <c r="AT9" s="1922"/>
      <c r="AU9" s="1922"/>
      <c r="AV9" s="1923"/>
      <c r="AW9" s="1920"/>
      <c r="AX9" s="1920"/>
      <c r="AY9" s="1920"/>
      <c r="AZ9" s="1920"/>
      <c r="BA9" s="1921" t="s">
        <v>465</v>
      </c>
      <c r="BB9" s="1922"/>
      <c r="BC9" s="1922"/>
      <c r="BD9" s="1922"/>
      <c r="BE9" s="1922"/>
      <c r="BF9" s="1922"/>
      <c r="BG9" s="1922"/>
      <c r="BH9" s="1922"/>
      <c r="BI9" s="1923"/>
      <c r="BJ9" s="1920"/>
      <c r="BK9" s="1920"/>
      <c r="BL9" s="1920"/>
      <c r="BM9" s="1920"/>
    </row>
    <row r="10" spans="1:72" ht="15" customHeight="1">
      <c r="A10" s="1922"/>
      <c r="B10" s="1922"/>
      <c r="C10" s="1922"/>
      <c r="D10" s="1922"/>
      <c r="E10" s="1922"/>
      <c r="F10" s="1922"/>
      <c r="G10" s="1922"/>
      <c r="H10" s="1922"/>
      <c r="I10" s="1920"/>
      <c r="J10" s="1920"/>
      <c r="K10" s="1920"/>
      <c r="L10" s="1920"/>
      <c r="M10" s="1920"/>
      <c r="N10" s="1922"/>
      <c r="O10" s="1922"/>
      <c r="P10" s="1922"/>
      <c r="Q10" s="1922"/>
      <c r="R10" s="1922"/>
      <c r="S10" s="1922"/>
      <c r="T10" s="1922"/>
      <c r="U10" s="1922"/>
      <c r="V10" s="1923"/>
      <c r="W10" s="1920"/>
      <c r="X10" s="1920"/>
      <c r="Y10" s="1920"/>
      <c r="Z10" s="1920"/>
      <c r="AA10" s="1922"/>
      <c r="AB10" s="1922"/>
      <c r="AC10" s="1922"/>
      <c r="AD10" s="1922"/>
      <c r="AE10" s="1922"/>
      <c r="AF10" s="1922"/>
      <c r="AG10" s="1922"/>
      <c r="AH10" s="1922"/>
      <c r="AI10" s="1923"/>
      <c r="AJ10" s="1920"/>
      <c r="AK10" s="1920"/>
      <c r="AL10" s="1920"/>
      <c r="AM10" s="1920"/>
      <c r="AN10" s="1922"/>
      <c r="AO10" s="1922"/>
      <c r="AP10" s="1922"/>
      <c r="AQ10" s="1922"/>
      <c r="AR10" s="1922"/>
      <c r="AS10" s="1922"/>
      <c r="AT10" s="1922"/>
      <c r="AU10" s="1922"/>
      <c r="AV10" s="1923"/>
      <c r="AW10" s="1920"/>
      <c r="AX10" s="1920"/>
      <c r="AY10" s="1920"/>
      <c r="AZ10" s="1920"/>
      <c r="BA10" s="1922"/>
      <c r="BB10" s="1922"/>
      <c r="BC10" s="1922"/>
      <c r="BD10" s="1922"/>
      <c r="BE10" s="1922"/>
      <c r="BF10" s="1922"/>
      <c r="BG10" s="1922"/>
      <c r="BH10" s="1922"/>
      <c r="BI10" s="1923"/>
      <c r="BJ10" s="1920"/>
      <c r="BK10" s="1920"/>
      <c r="BL10" s="1920"/>
      <c r="BM10" s="1920"/>
    </row>
    <row r="11" spans="1:72" ht="15" customHeight="1">
      <c r="A11" s="1922" t="s">
        <v>471</v>
      </c>
      <c r="B11" s="1922"/>
      <c r="C11" s="1922"/>
      <c r="D11" s="1922"/>
      <c r="E11" s="1922"/>
      <c r="F11" s="1922"/>
      <c r="G11" s="1922"/>
      <c r="H11" s="1922"/>
      <c r="I11" s="1920"/>
      <c r="J11" s="1920"/>
      <c r="K11" s="1920"/>
      <c r="L11" s="1920"/>
      <c r="M11" s="1920"/>
      <c r="N11" s="1922" t="s">
        <v>467</v>
      </c>
      <c r="O11" s="1922"/>
      <c r="P11" s="1922"/>
      <c r="Q11" s="1922"/>
      <c r="R11" s="1922"/>
      <c r="S11" s="1922"/>
      <c r="T11" s="1922"/>
      <c r="U11" s="1922"/>
      <c r="V11" s="1923"/>
      <c r="W11" s="1920"/>
      <c r="X11" s="1920"/>
      <c r="Y11" s="1920"/>
      <c r="Z11" s="1920"/>
      <c r="AA11" s="1922" t="s">
        <v>467</v>
      </c>
      <c r="AB11" s="1922"/>
      <c r="AC11" s="1922"/>
      <c r="AD11" s="1922"/>
      <c r="AE11" s="1922"/>
      <c r="AF11" s="1922"/>
      <c r="AG11" s="1922"/>
      <c r="AH11" s="1922"/>
      <c r="AI11" s="1923"/>
      <c r="AJ11" s="1920"/>
      <c r="AK11" s="1920"/>
      <c r="AL11" s="1920"/>
      <c r="AM11" s="1920"/>
      <c r="AN11" s="1922" t="s">
        <v>467</v>
      </c>
      <c r="AO11" s="1922"/>
      <c r="AP11" s="1922"/>
      <c r="AQ11" s="1922"/>
      <c r="AR11" s="1922"/>
      <c r="AS11" s="1922"/>
      <c r="AT11" s="1922"/>
      <c r="AU11" s="1922"/>
      <c r="AV11" s="1923"/>
      <c r="AW11" s="1920"/>
      <c r="AX11" s="1920"/>
      <c r="AY11" s="1920"/>
      <c r="AZ11" s="1920"/>
      <c r="BA11" s="1922" t="s">
        <v>467</v>
      </c>
      <c r="BB11" s="1922"/>
      <c r="BC11" s="1922"/>
      <c r="BD11" s="1922"/>
      <c r="BE11" s="1922"/>
      <c r="BF11" s="1922"/>
      <c r="BG11" s="1922"/>
      <c r="BH11" s="1922"/>
      <c r="BI11" s="1923"/>
      <c r="BJ11" s="1920"/>
      <c r="BK11" s="1920"/>
      <c r="BL11" s="1920"/>
      <c r="BM11" s="1920"/>
    </row>
    <row r="12" spans="1:72" ht="15" customHeight="1">
      <c r="A12" s="1922"/>
      <c r="B12" s="1922"/>
      <c r="C12" s="1922"/>
      <c r="D12" s="1922"/>
      <c r="E12" s="1922"/>
      <c r="F12" s="1922"/>
      <c r="G12" s="1922"/>
      <c r="H12" s="1922"/>
      <c r="I12" s="1920"/>
      <c r="J12" s="1920"/>
      <c r="K12" s="1920"/>
      <c r="L12" s="1920"/>
      <c r="M12" s="1920"/>
      <c r="N12" s="1922"/>
      <c r="O12" s="1922"/>
      <c r="P12" s="1922"/>
      <c r="Q12" s="1922"/>
      <c r="R12" s="1922"/>
      <c r="S12" s="1922"/>
      <c r="T12" s="1922"/>
      <c r="U12" s="1922"/>
      <c r="V12" s="1923"/>
      <c r="W12" s="1920"/>
      <c r="X12" s="1920"/>
      <c r="Y12" s="1920"/>
      <c r="Z12" s="1920"/>
      <c r="AA12" s="1922"/>
      <c r="AB12" s="1922"/>
      <c r="AC12" s="1922"/>
      <c r="AD12" s="1922"/>
      <c r="AE12" s="1922"/>
      <c r="AF12" s="1922"/>
      <c r="AG12" s="1922"/>
      <c r="AH12" s="1922"/>
      <c r="AI12" s="1923"/>
      <c r="AJ12" s="1920"/>
      <c r="AK12" s="1920"/>
      <c r="AL12" s="1920"/>
      <c r="AM12" s="1920"/>
      <c r="AN12" s="1922"/>
      <c r="AO12" s="1922"/>
      <c r="AP12" s="1922"/>
      <c r="AQ12" s="1922"/>
      <c r="AR12" s="1922"/>
      <c r="AS12" s="1922"/>
      <c r="AT12" s="1922"/>
      <c r="AU12" s="1922"/>
      <c r="AV12" s="1923"/>
      <c r="AW12" s="1920"/>
      <c r="AX12" s="1920"/>
      <c r="AY12" s="1920"/>
      <c r="AZ12" s="1920"/>
      <c r="BA12" s="1922"/>
      <c r="BB12" s="1922"/>
      <c r="BC12" s="1922"/>
      <c r="BD12" s="1922"/>
      <c r="BE12" s="1922"/>
      <c r="BF12" s="1922"/>
      <c r="BG12" s="1922"/>
      <c r="BH12" s="1922"/>
      <c r="BI12" s="1923"/>
      <c r="BJ12" s="1920"/>
      <c r="BK12" s="1920"/>
      <c r="BL12" s="1920"/>
      <c r="BM12" s="1920"/>
    </row>
    <row r="13" spans="1:72" ht="15" customHeight="1">
      <c r="A13" s="1922" t="s">
        <v>474</v>
      </c>
      <c r="B13" s="1922"/>
      <c r="C13" s="1922"/>
      <c r="D13" s="1922"/>
      <c r="E13" s="1922"/>
      <c r="F13" s="1922"/>
      <c r="G13" s="1922"/>
      <c r="H13" s="1922"/>
      <c r="I13" s="1920"/>
      <c r="J13" s="1920"/>
      <c r="K13" s="1920"/>
      <c r="L13" s="1920"/>
      <c r="M13" s="1920"/>
      <c r="N13" s="1922" t="s">
        <v>469</v>
      </c>
      <c r="O13" s="1922"/>
      <c r="P13" s="1922"/>
      <c r="Q13" s="1922"/>
      <c r="R13" s="1922"/>
      <c r="S13" s="1922"/>
      <c r="T13" s="1922"/>
      <c r="U13" s="1922"/>
      <c r="V13" s="1923"/>
      <c r="W13" s="1920"/>
      <c r="X13" s="1920"/>
      <c r="Y13" s="1920"/>
      <c r="Z13" s="1920"/>
      <c r="AA13" s="1922" t="s">
        <v>469</v>
      </c>
      <c r="AB13" s="1922"/>
      <c r="AC13" s="1922"/>
      <c r="AD13" s="1922"/>
      <c r="AE13" s="1922"/>
      <c r="AF13" s="1922"/>
      <c r="AG13" s="1922"/>
      <c r="AH13" s="1922"/>
      <c r="AI13" s="1923"/>
      <c r="AJ13" s="1920"/>
      <c r="AK13" s="1920"/>
      <c r="AL13" s="1920"/>
      <c r="AM13" s="1920"/>
      <c r="AN13" s="1922" t="s">
        <v>470</v>
      </c>
      <c r="AO13" s="1922"/>
      <c r="AP13" s="1922"/>
      <c r="AQ13" s="1922"/>
      <c r="AR13" s="1922"/>
      <c r="AS13" s="1922"/>
      <c r="AT13" s="1922"/>
      <c r="AU13" s="1922"/>
      <c r="AV13" s="1923"/>
      <c r="AW13" s="1920"/>
      <c r="AX13" s="1920"/>
      <c r="AY13" s="1920"/>
      <c r="AZ13" s="1920"/>
      <c r="BA13" s="1922" t="s">
        <v>470</v>
      </c>
      <c r="BB13" s="1922"/>
      <c r="BC13" s="1922"/>
      <c r="BD13" s="1922"/>
      <c r="BE13" s="1922"/>
      <c r="BF13" s="1922"/>
      <c r="BG13" s="1922"/>
      <c r="BH13" s="1922"/>
      <c r="BI13" s="1923"/>
      <c r="BJ13" s="1920"/>
      <c r="BK13" s="1920"/>
      <c r="BL13" s="1920"/>
      <c r="BM13" s="1920"/>
    </row>
    <row r="14" spans="1:72" ht="15" customHeight="1">
      <c r="A14" s="1922"/>
      <c r="B14" s="1922"/>
      <c r="C14" s="1922"/>
      <c r="D14" s="1922"/>
      <c r="E14" s="1922"/>
      <c r="F14" s="1922"/>
      <c r="G14" s="1922"/>
      <c r="H14" s="1922"/>
      <c r="I14" s="1920"/>
      <c r="J14" s="1920"/>
      <c r="K14" s="1920"/>
      <c r="L14" s="1920"/>
      <c r="M14" s="1920"/>
      <c r="N14" s="1922"/>
      <c r="O14" s="1922"/>
      <c r="P14" s="1922"/>
      <c r="Q14" s="1922"/>
      <c r="R14" s="1922"/>
      <c r="S14" s="1922"/>
      <c r="T14" s="1922"/>
      <c r="U14" s="1922"/>
      <c r="V14" s="1923"/>
      <c r="W14" s="1920"/>
      <c r="X14" s="1920"/>
      <c r="Y14" s="1920"/>
      <c r="Z14" s="1920"/>
      <c r="AA14" s="1922"/>
      <c r="AB14" s="1922"/>
      <c r="AC14" s="1922"/>
      <c r="AD14" s="1922"/>
      <c r="AE14" s="1922"/>
      <c r="AF14" s="1922"/>
      <c r="AG14" s="1922"/>
      <c r="AH14" s="1922"/>
      <c r="AI14" s="1923"/>
      <c r="AJ14" s="1920"/>
      <c r="AK14" s="1920"/>
      <c r="AL14" s="1920"/>
      <c r="AM14" s="1920"/>
      <c r="AN14" s="1922"/>
      <c r="AO14" s="1922"/>
      <c r="AP14" s="1922"/>
      <c r="AQ14" s="1922"/>
      <c r="AR14" s="1922"/>
      <c r="AS14" s="1922"/>
      <c r="AT14" s="1922"/>
      <c r="AU14" s="1922"/>
      <c r="AV14" s="1923"/>
      <c r="AW14" s="1920"/>
      <c r="AX14" s="1920"/>
      <c r="AY14" s="1920"/>
      <c r="AZ14" s="1920"/>
      <c r="BA14" s="1922"/>
      <c r="BB14" s="1922"/>
      <c r="BC14" s="1922"/>
      <c r="BD14" s="1922"/>
      <c r="BE14" s="1922"/>
      <c r="BF14" s="1922"/>
      <c r="BG14" s="1922"/>
      <c r="BH14" s="1922"/>
      <c r="BI14" s="1923"/>
      <c r="BJ14" s="1920"/>
      <c r="BK14" s="1920"/>
      <c r="BL14" s="1920"/>
      <c r="BM14" s="1920"/>
    </row>
    <row r="15" spans="1:72" ht="15" customHeight="1">
      <c r="A15" s="1922" t="s">
        <v>478</v>
      </c>
      <c r="B15" s="1922"/>
      <c r="C15" s="1922"/>
      <c r="D15" s="1922"/>
      <c r="E15" s="1922"/>
      <c r="F15" s="1922"/>
      <c r="G15" s="1922"/>
      <c r="H15" s="1922"/>
      <c r="I15" s="1920"/>
      <c r="J15" s="1920"/>
      <c r="K15" s="1920"/>
      <c r="L15" s="1920"/>
      <c r="M15" s="1920"/>
      <c r="N15" s="1922" t="s">
        <v>470</v>
      </c>
      <c r="O15" s="1922"/>
      <c r="P15" s="1922"/>
      <c r="Q15" s="1922"/>
      <c r="R15" s="1922"/>
      <c r="S15" s="1922"/>
      <c r="T15" s="1922"/>
      <c r="U15" s="1922"/>
      <c r="V15" s="1923"/>
      <c r="W15" s="1920"/>
      <c r="X15" s="1920"/>
      <c r="Y15" s="1920"/>
      <c r="Z15" s="1920"/>
      <c r="AA15" s="1922" t="s">
        <v>470</v>
      </c>
      <c r="AB15" s="1922"/>
      <c r="AC15" s="1922"/>
      <c r="AD15" s="1922"/>
      <c r="AE15" s="1922"/>
      <c r="AF15" s="1922"/>
      <c r="AG15" s="1922"/>
      <c r="AH15" s="1922"/>
      <c r="AI15" s="1923"/>
      <c r="AJ15" s="1920"/>
      <c r="AK15" s="1920"/>
      <c r="AL15" s="1920"/>
      <c r="AM15" s="1920"/>
      <c r="AN15" s="1922" t="s">
        <v>472</v>
      </c>
      <c r="AO15" s="1922"/>
      <c r="AP15" s="1922"/>
      <c r="AQ15" s="1922"/>
      <c r="AR15" s="1922"/>
      <c r="AS15" s="1922"/>
      <c r="AT15" s="1922"/>
      <c r="AU15" s="1922"/>
      <c r="AV15" s="1923"/>
      <c r="AW15" s="1920"/>
      <c r="AX15" s="1920"/>
      <c r="AY15" s="1920"/>
      <c r="AZ15" s="1920"/>
      <c r="BA15" s="1922" t="s">
        <v>473</v>
      </c>
      <c r="BB15" s="1922"/>
      <c r="BC15" s="1922"/>
      <c r="BD15" s="1922"/>
      <c r="BE15" s="1922"/>
      <c r="BF15" s="1922"/>
      <c r="BG15" s="1922"/>
      <c r="BH15" s="1922"/>
      <c r="BI15" s="1923"/>
      <c r="BJ15" s="1920"/>
      <c r="BK15" s="1920"/>
      <c r="BL15" s="1920"/>
      <c r="BM15" s="1920"/>
    </row>
    <row r="16" spans="1:72" ht="15" customHeight="1">
      <c r="A16" s="1922"/>
      <c r="B16" s="1922"/>
      <c r="C16" s="1922"/>
      <c r="D16" s="1922"/>
      <c r="E16" s="1922"/>
      <c r="F16" s="1922"/>
      <c r="G16" s="1922"/>
      <c r="H16" s="1922"/>
      <c r="I16" s="1920"/>
      <c r="J16" s="1920"/>
      <c r="K16" s="1920"/>
      <c r="L16" s="1920"/>
      <c r="M16" s="1920"/>
      <c r="N16" s="1922"/>
      <c r="O16" s="1922"/>
      <c r="P16" s="1922"/>
      <c r="Q16" s="1922"/>
      <c r="R16" s="1922"/>
      <c r="S16" s="1922"/>
      <c r="T16" s="1922"/>
      <c r="U16" s="1922"/>
      <c r="V16" s="1923"/>
      <c r="W16" s="1920"/>
      <c r="X16" s="1920"/>
      <c r="Y16" s="1920"/>
      <c r="Z16" s="1920"/>
      <c r="AA16" s="1922"/>
      <c r="AB16" s="1922"/>
      <c r="AC16" s="1922"/>
      <c r="AD16" s="1922"/>
      <c r="AE16" s="1922"/>
      <c r="AF16" s="1922"/>
      <c r="AG16" s="1922"/>
      <c r="AH16" s="1922"/>
      <c r="AI16" s="1923"/>
      <c r="AJ16" s="1920"/>
      <c r="AK16" s="1920"/>
      <c r="AL16" s="1920"/>
      <c r="AM16" s="1920"/>
      <c r="AN16" s="1922"/>
      <c r="AO16" s="1922"/>
      <c r="AP16" s="1922"/>
      <c r="AQ16" s="1922"/>
      <c r="AR16" s="1922"/>
      <c r="AS16" s="1922"/>
      <c r="AT16" s="1922"/>
      <c r="AU16" s="1922"/>
      <c r="AV16" s="1923"/>
      <c r="AW16" s="1920"/>
      <c r="AX16" s="1920"/>
      <c r="AY16" s="1920"/>
      <c r="AZ16" s="1920"/>
      <c r="BA16" s="1922"/>
      <c r="BB16" s="1922"/>
      <c r="BC16" s="1922"/>
      <c r="BD16" s="1922"/>
      <c r="BE16" s="1922"/>
      <c r="BF16" s="1922"/>
      <c r="BG16" s="1922"/>
      <c r="BH16" s="1922"/>
      <c r="BI16" s="1923"/>
      <c r="BJ16" s="1920"/>
      <c r="BK16" s="1920"/>
      <c r="BL16" s="1920"/>
      <c r="BM16" s="1920"/>
    </row>
    <row r="17" spans="1:65" ht="15" customHeight="1">
      <c r="A17" s="1922" t="s">
        <v>482</v>
      </c>
      <c r="B17" s="1922"/>
      <c r="C17" s="1922"/>
      <c r="D17" s="1922"/>
      <c r="E17" s="1922"/>
      <c r="F17" s="1922"/>
      <c r="G17" s="1922"/>
      <c r="H17" s="1922"/>
      <c r="I17" s="1920"/>
      <c r="J17" s="1920"/>
      <c r="K17" s="1920"/>
      <c r="L17" s="1920"/>
      <c r="M17" s="1920"/>
      <c r="N17" s="1922" t="s">
        <v>475</v>
      </c>
      <c r="O17" s="1922"/>
      <c r="P17" s="1922"/>
      <c r="Q17" s="1922"/>
      <c r="R17" s="1922"/>
      <c r="S17" s="1922"/>
      <c r="T17" s="1922"/>
      <c r="U17" s="1922"/>
      <c r="V17" s="1923"/>
      <c r="W17" s="1920"/>
      <c r="X17" s="1920"/>
      <c r="Y17" s="1920"/>
      <c r="Z17" s="1920"/>
      <c r="AA17" s="1922" t="s">
        <v>475</v>
      </c>
      <c r="AB17" s="1922"/>
      <c r="AC17" s="1922"/>
      <c r="AD17" s="1922"/>
      <c r="AE17" s="1922"/>
      <c r="AF17" s="1922"/>
      <c r="AG17" s="1922"/>
      <c r="AH17" s="1922"/>
      <c r="AI17" s="1923"/>
      <c r="AJ17" s="1920"/>
      <c r="AK17" s="1920"/>
      <c r="AL17" s="1920"/>
      <c r="AM17" s="1920"/>
      <c r="AN17" s="1922" t="s">
        <v>476</v>
      </c>
      <c r="AO17" s="1922"/>
      <c r="AP17" s="1922"/>
      <c r="AQ17" s="1922"/>
      <c r="AR17" s="1922"/>
      <c r="AS17" s="1922"/>
      <c r="AT17" s="1922"/>
      <c r="AU17" s="1922"/>
      <c r="AV17" s="1923"/>
      <c r="AW17" s="1920"/>
      <c r="AX17" s="1920"/>
      <c r="AY17" s="1920"/>
      <c r="AZ17" s="1920"/>
      <c r="BA17" s="1922" t="s">
        <v>477</v>
      </c>
      <c r="BB17" s="1922"/>
      <c r="BC17" s="1922"/>
      <c r="BD17" s="1922"/>
      <c r="BE17" s="1922"/>
      <c r="BF17" s="1922"/>
      <c r="BG17" s="1922"/>
      <c r="BH17" s="1922"/>
      <c r="BI17" s="1923"/>
      <c r="BJ17" s="1920"/>
      <c r="BK17" s="1920"/>
      <c r="BL17" s="1920"/>
      <c r="BM17" s="1920"/>
    </row>
    <row r="18" spans="1:65" ht="15" customHeight="1">
      <c r="A18" s="1922"/>
      <c r="B18" s="1922"/>
      <c r="C18" s="1922"/>
      <c r="D18" s="1922"/>
      <c r="E18" s="1922"/>
      <c r="F18" s="1922"/>
      <c r="G18" s="1922"/>
      <c r="H18" s="1922"/>
      <c r="I18" s="1920"/>
      <c r="J18" s="1920"/>
      <c r="K18" s="1920"/>
      <c r="L18" s="1920"/>
      <c r="M18" s="1920"/>
      <c r="N18" s="1922"/>
      <c r="O18" s="1922"/>
      <c r="P18" s="1922"/>
      <c r="Q18" s="1922"/>
      <c r="R18" s="1922"/>
      <c r="S18" s="1922"/>
      <c r="T18" s="1922"/>
      <c r="U18" s="1922"/>
      <c r="V18" s="1923"/>
      <c r="W18" s="1920"/>
      <c r="X18" s="1920"/>
      <c r="Y18" s="1920"/>
      <c r="Z18" s="1920"/>
      <c r="AA18" s="1922"/>
      <c r="AB18" s="1922"/>
      <c r="AC18" s="1922"/>
      <c r="AD18" s="1922"/>
      <c r="AE18" s="1922"/>
      <c r="AF18" s="1922"/>
      <c r="AG18" s="1922"/>
      <c r="AH18" s="1922"/>
      <c r="AI18" s="1923"/>
      <c r="AJ18" s="1920"/>
      <c r="AK18" s="1920"/>
      <c r="AL18" s="1920"/>
      <c r="AM18" s="1920"/>
      <c r="AN18" s="1922"/>
      <c r="AO18" s="1922"/>
      <c r="AP18" s="1922"/>
      <c r="AQ18" s="1922"/>
      <c r="AR18" s="1922"/>
      <c r="AS18" s="1922"/>
      <c r="AT18" s="1922"/>
      <c r="AU18" s="1922"/>
      <c r="AV18" s="1923"/>
      <c r="AW18" s="1920"/>
      <c r="AX18" s="1920"/>
      <c r="AY18" s="1920"/>
      <c r="AZ18" s="1920"/>
      <c r="BA18" s="1922"/>
      <c r="BB18" s="1922"/>
      <c r="BC18" s="1922"/>
      <c r="BD18" s="1922"/>
      <c r="BE18" s="1922"/>
      <c r="BF18" s="1922"/>
      <c r="BG18" s="1922"/>
      <c r="BH18" s="1922"/>
      <c r="BI18" s="1923"/>
      <c r="BJ18" s="1920"/>
      <c r="BK18" s="1920"/>
      <c r="BL18" s="1920"/>
      <c r="BM18" s="1920"/>
    </row>
    <row r="19" spans="1:65" ht="15" customHeight="1">
      <c r="A19" s="1922" t="s">
        <v>483</v>
      </c>
      <c r="B19" s="1922"/>
      <c r="C19" s="1922"/>
      <c r="D19" s="1922"/>
      <c r="E19" s="1922"/>
      <c r="F19" s="1922"/>
      <c r="G19" s="1922"/>
      <c r="H19" s="1922"/>
      <c r="I19" s="1920"/>
      <c r="J19" s="1920"/>
      <c r="K19" s="1920"/>
      <c r="L19" s="1920"/>
      <c r="M19" s="1920"/>
      <c r="N19" s="1922" t="s">
        <v>479</v>
      </c>
      <c r="O19" s="1922"/>
      <c r="P19" s="1922"/>
      <c r="Q19" s="1922"/>
      <c r="R19" s="1922"/>
      <c r="S19" s="1922"/>
      <c r="T19" s="1922"/>
      <c r="U19" s="1922"/>
      <c r="V19" s="1923"/>
      <c r="W19" s="1920"/>
      <c r="X19" s="1920"/>
      <c r="Y19" s="1920"/>
      <c r="Z19" s="1920"/>
      <c r="AA19" s="1922" t="s">
        <v>480</v>
      </c>
      <c r="AB19" s="1922"/>
      <c r="AC19" s="1922"/>
      <c r="AD19" s="1922"/>
      <c r="AE19" s="1922"/>
      <c r="AF19" s="1922"/>
      <c r="AG19" s="1922"/>
      <c r="AH19" s="1922"/>
      <c r="AI19" s="1923"/>
      <c r="AJ19" s="1920"/>
      <c r="AK19" s="1920"/>
      <c r="AL19" s="1920"/>
      <c r="AM19" s="1920"/>
      <c r="AN19" s="1922" t="s">
        <v>481</v>
      </c>
      <c r="AO19" s="1922"/>
      <c r="AP19" s="1922"/>
      <c r="AQ19" s="1922"/>
      <c r="AR19" s="1922"/>
      <c r="AS19" s="1922"/>
      <c r="AT19" s="1922"/>
      <c r="AU19" s="1922"/>
      <c r="AV19" s="1923"/>
      <c r="AW19" s="1920"/>
      <c r="AX19" s="1920"/>
      <c r="AY19" s="1920"/>
      <c r="AZ19" s="1920"/>
      <c r="BA19" s="256"/>
      <c r="BB19" s="255"/>
      <c r="BC19" s="255"/>
      <c r="BD19" s="255"/>
      <c r="BE19" s="255"/>
      <c r="BF19" s="255"/>
      <c r="BG19" s="255"/>
      <c r="BH19" s="255"/>
      <c r="BI19" s="255"/>
      <c r="BJ19" s="255"/>
      <c r="BK19" s="255"/>
      <c r="BL19" s="255"/>
      <c r="BM19" s="255"/>
    </row>
    <row r="20" spans="1:65" ht="15" customHeight="1">
      <c r="A20" s="1922"/>
      <c r="B20" s="1922"/>
      <c r="C20" s="1922"/>
      <c r="D20" s="1922"/>
      <c r="E20" s="1922"/>
      <c r="F20" s="1922"/>
      <c r="G20" s="1922"/>
      <c r="H20" s="1922"/>
      <c r="I20" s="1920"/>
      <c r="J20" s="1920"/>
      <c r="K20" s="1920"/>
      <c r="L20" s="1920"/>
      <c r="M20" s="1920"/>
      <c r="N20" s="1922"/>
      <c r="O20" s="1922"/>
      <c r="P20" s="1922"/>
      <c r="Q20" s="1922"/>
      <c r="R20" s="1922"/>
      <c r="S20" s="1922"/>
      <c r="T20" s="1922"/>
      <c r="U20" s="1922"/>
      <c r="V20" s="1923"/>
      <c r="W20" s="1920"/>
      <c r="X20" s="1920"/>
      <c r="Y20" s="1920"/>
      <c r="Z20" s="1920"/>
      <c r="AA20" s="1922"/>
      <c r="AB20" s="1922"/>
      <c r="AC20" s="1922"/>
      <c r="AD20" s="1922"/>
      <c r="AE20" s="1922"/>
      <c r="AF20" s="1922"/>
      <c r="AG20" s="1922"/>
      <c r="AH20" s="1922"/>
      <c r="AI20" s="1923"/>
      <c r="AJ20" s="1920"/>
      <c r="AK20" s="1920"/>
      <c r="AL20" s="1920"/>
      <c r="AM20" s="1920"/>
      <c r="AN20" s="1922"/>
      <c r="AO20" s="1922"/>
      <c r="AP20" s="1922"/>
      <c r="AQ20" s="1922"/>
      <c r="AR20" s="1922"/>
      <c r="AS20" s="1922"/>
      <c r="AT20" s="1922"/>
      <c r="AU20" s="1922"/>
      <c r="AV20" s="1923"/>
      <c r="AW20" s="1920"/>
      <c r="AX20" s="1920"/>
      <c r="AY20" s="1920"/>
      <c r="AZ20" s="1920"/>
      <c r="BA20" s="256"/>
      <c r="BB20" s="255"/>
      <c r="BC20" s="255"/>
      <c r="BD20" s="255"/>
      <c r="BE20" s="255"/>
      <c r="BF20" s="255"/>
      <c r="BG20" s="255"/>
      <c r="BH20" s="255"/>
      <c r="BI20" s="255"/>
      <c r="BJ20" s="255"/>
      <c r="BK20" s="255"/>
      <c r="BL20" s="255"/>
      <c r="BM20" s="255"/>
    </row>
    <row r="21" spans="1:65" ht="15" customHeight="1">
      <c r="A21" s="1922" t="s">
        <v>484</v>
      </c>
      <c r="B21" s="1922"/>
      <c r="C21" s="1922"/>
      <c r="D21" s="1922"/>
      <c r="E21" s="1922"/>
      <c r="F21" s="1922"/>
      <c r="G21" s="1922"/>
      <c r="H21" s="1922"/>
      <c r="I21" s="1920"/>
      <c r="J21" s="1920"/>
      <c r="K21" s="1920"/>
      <c r="L21" s="1920"/>
      <c r="M21" s="1920"/>
      <c r="N21" s="1922" t="s">
        <v>480</v>
      </c>
      <c r="O21" s="1922"/>
      <c r="P21" s="1922"/>
      <c r="Q21" s="1922"/>
      <c r="R21" s="1922"/>
      <c r="S21" s="1922"/>
      <c r="T21" s="1922"/>
      <c r="U21" s="1922"/>
      <c r="V21" s="1923"/>
      <c r="W21" s="1920"/>
      <c r="X21" s="1920"/>
      <c r="Y21" s="1920"/>
      <c r="Z21" s="1920"/>
      <c r="AA21" s="1922" t="s">
        <v>477</v>
      </c>
      <c r="AB21" s="1922"/>
      <c r="AC21" s="1922"/>
      <c r="AD21" s="1922"/>
      <c r="AE21" s="1922"/>
      <c r="AF21" s="1922"/>
      <c r="AG21" s="1922"/>
      <c r="AH21" s="1922"/>
      <c r="AI21" s="1923"/>
      <c r="AJ21" s="1920"/>
      <c r="AK21" s="1920"/>
      <c r="AL21" s="1920"/>
      <c r="AM21" s="1920"/>
      <c r="AN21" s="1922" t="s">
        <v>477</v>
      </c>
      <c r="AO21" s="1922"/>
      <c r="AP21" s="1922"/>
      <c r="AQ21" s="1922"/>
      <c r="AR21" s="1922"/>
      <c r="AS21" s="1922"/>
      <c r="AT21" s="1922"/>
      <c r="AU21" s="1922"/>
      <c r="AV21" s="1923"/>
      <c r="AW21" s="1920"/>
      <c r="AX21" s="1920"/>
      <c r="AY21" s="1920"/>
      <c r="AZ21" s="1920"/>
      <c r="BA21" s="256"/>
      <c r="BB21" s="255"/>
    </row>
    <row r="22" spans="1:65" ht="15" customHeight="1">
      <c r="A22" s="1922"/>
      <c r="B22" s="1922"/>
      <c r="C22" s="1922"/>
      <c r="D22" s="1922"/>
      <c r="E22" s="1922"/>
      <c r="F22" s="1922"/>
      <c r="G22" s="1922"/>
      <c r="H22" s="1922"/>
      <c r="I22" s="1920"/>
      <c r="J22" s="1920"/>
      <c r="K22" s="1920"/>
      <c r="L22" s="1920"/>
      <c r="M22" s="1920"/>
      <c r="N22" s="1922"/>
      <c r="O22" s="1922"/>
      <c r="P22" s="1922"/>
      <c r="Q22" s="1922"/>
      <c r="R22" s="1922"/>
      <c r="S22" s="1922"/>
      <c r="T22" s="1922"/>
      <c r="U22" s="1922"/>
      <c r="V22" s="1923"/>
      <c r="W22" s="1920"/>
      <c r="X22" s="1920"/>
      <c r="Y22" s="1920"/>
      <c r="Z22" s="1920"/>
      <c r="AA22" s="1922"/>
      <c r="AB22" s="1922"/>
      <c r="AC22" s="1922"/>
      <c r="AD22" s="1922"/>
      <c r="AE22" s="1922"/>
      <c r="AF22" s="1922"/>
      <c r="AG22" s="1922"/>
      <c r="AH22" s="1922"/>
      <c r="AI22" s="1923"/>
      <c r="AJ22" s="1920"/>
      <c r="AK22" s="1920"/>
      <c r="AL22" s="1920"/>
      <c r="AM22" s="1920"/>
      <c r="AN22" s="1922"/>
      <c r="AO22" s="1922"/>
      <c r="AP22" s="1922"/>
      <c r="AQ22" s="1922"/>
      <c r="AR22" s="1922"/>
      <c r="AS22" s="1922"/>
      <c r="AT22" s="1922"/>
      <c r="AU22" s="1922"/>
      <c r="AV22" s="1923"/>
      <c r="AW22" s="1920"/>
      <c r="AX22" s="1920"/>
      <c r="AY22" s="1920"/>
      <c r="AZ22" s="1920"/>
      <c r="BA22" s="256"/>
      <c r="BB22" s="255"/>
    </row>
    <row r="23" spans="1:65" ht="15" customHeight="1">
      <c r="N23" s="1922" t="s">
        <v>477</v>
      </c>
      <c r="O23" s="1922"/>
      <c r="P23" s="1922"/>
      <c r="Q23" s="1922"/>
      <c r="R23" s="1922"/>
      <c r="S23" s="1922"/>
      <c r="T23" s="1922"/>
      <c r="U23" s="1922"/>
      <c r="V23" s="1923"/>
      <c r="W23" s="1920"/>
      <c r="X23" s="1920"/>
      <c r="Y23" s="1920"/>
      <c r="Z23" s="1920"/>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5"/>
    </row>
    <row r="24" spans="1:65" ht="15" customHeight="1" thickBot="1">
      <c r="N24" s="1924"/>
      <c r="O24" s="1922"/>
      <c r="P24" s="1922"/>
      <c r="Q24" s="1922"/>
      <c r="R24" s="1922"/>
      <c r="S24" s="1922"/>
      <c r="T24" s="1922"/>
      <c r="U24" s="1922"/>
      <c r="V24" s="1923"/>
      <c r="W24" s="1920"/>
      <c r="X24" s="1920"/>
      <c r="Y24" s="1920"/>
      <c r="Z24" s="1920"/>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5"/>
    </row>
    <row r="25" spans="1:65" ht="15" customHeight="1">
      <c r="A25" s="1929"/>
      <c r="B25" s="1910" t="s">
        <v>488</v>
      </c>
      <c r="C25" s="1910"/>
      <c r="D25" s="1910"/>
      <c r="E25" s="1910"/>
      <c r="F25" s="1910"/>
      <c r="G25" s="1910"/>
      <c r="H25" s="1911"/>
      <c r="I25" s="1914" t="s">
        <v>458</v>
      </c>
      <c r="J25" s="1914" t="s">
        <v>459</v>
      </c>
      <c r="K25" s="1914" t="s">
        <v>460</v>
      </c>
      <c r="L25" s="1914" t="s">
        <v>312</v>
      </c>
      <c r="M25" s="1914" t="s">
        <v>461</v>
      </c>
      <c r="N25" s="1927"/>
      <c r="O25" s="1910" t="s">
        <v>485</v>
      </c>
      <c r="P25" s="1910"/>
      <c r="Q25" s="1910"/>
      <c r="R25" s="1910"/>
      <c r="S25" s="1910"/>
      <c r="T25" s="1910"/>
      <c r="U25" s="1911"/>
      <c r="V25" s="1914" t="s">
        <v>458</v>
      </c>
      <c r="W25" s="1914" t="s">
        <v>459</v>
      </c>
      <c r="X25" s="1914" t="s">
        <v>460</v>
      </c>
      <c r="Y25" s="1914" t="s">
        <v>312</v>
      </c>
      <c r="Z25" s="1914" t="s">
        <v>461</v>
      </c>
      <c r="AA25" s="1925"/>
      <c r="AB25" s="1910" t="s">
        <v>486</v>
      </c>
      <c r="AC25" s="1910"/>
      <c r="AD25" s="1910"/>
      <c r="AE25" s="1910"/>
      <c r="AF25" s="1910"/>
      <c r="AG25" s="1910"/>
      <c r="AH25" s="1911"/>
      <c r="AI25" s="1914" t="s">
        <v>458</v>
      </c>
      <c r="AJ25" s="1914" t="s">
        <v>459</v>
      </c>
      <c r="AK25" s="1914" t="s">
        <v>460</v>
      </c>
      <c r="AL25" s="1914" t="s">
        <v>312</v>
      </c>
      <c r="AM25" s="1914" t="s">
        <v>461</v>
      </c>
      <c r="AN25" s="1628"/>
      <c r="AO25" s="1910" t="s">
        <v>487</v>
      </c>
      <c r="AP25" s="1910"/>
      <c r="AQ25" s="1910"/>
      <c r="AR25" s="1910"/>
      <c r="AS25" s="1910"/>
      <c r="AT25" s="1910"/>
      <c r="AU25" s="1911"/>
      <c r="AV25" s="1914" t="s">
        <v>458</v>
      </c>
      <c r="AW25" s="1914" t="s">
        <v>459</v>
      </c>
      <c r="AX25" s="1914" t="s">
        <v>460</v>
      </c>
      <c r="AY25" s="1914" t="s">
        <v>312</v>
      </c>
      <c r="AZ25" s="1914" t="s">
        <v>461</v>
      </c>
      <c r="BC25" s="256"/>
      <c r="BD25" s="255"/>
    </row>
    <row r="26" spans="1:65" ht="15" customHeight="1" thickBot="1">
      <c r="A26" s="1930"/>
      <c r="B26" s="1912"/>
      <c r="C26" s="1912"/>
      <c r="D26" s="1912"/>
      <c r="E26" s="1912"/>
      <c r="F26" s="1912"/>
      <c r="G26" s="1912"/>
      <c r="H26" s="1913"/>
      <c r="I26" s="1914"/>
      <c r="J26" s="1914"/>
      <c r="K26" s="1914"/>
      <c r="L26" s="1914"/>
      <c r="M26" s="1914"/>
      <c r="N26" s="1928"/>
      <c r="O26" s="1912"/>
      <c r="P26" s="1912"/>
      <c r="Q26" s="1912"/>
      <c r="R26" s="1912"/>
      <c r="S26" s="1912"/>
      <c r="T26" s="1912"/>
      <c r="U26" s="1913"/>
      <c r="V26" s="1914"/>
      <c r="W26" s="1914"/>
      <c r="X26" s="1914"/>
      <c r="Y26" s="1914"/>
      <c r="Z26" s="1914"/>
      <c r="AA26" s="1926"/>
      <c r="AB26" s="1912"/>
      <c r="AC26" s="1912"/>
      <c r="AD26" s="1912"/>
      <c r="AE26" s="1912"/>
      <c r="AF26" s="1912"/>
      <c r="AG26" s="1912"/>
      <c r="AH26" s="1913"/>
      <c r="AI26" s="1914"/>
      <c r="AJ26" s="1914"/>
      <c r="AK26" s="1914"/>
      <c r="AL26" s="1914"/>
      <c r="AM26" s="1914"/>
      <c r="AN26" s="1630"/>
      <c r="AO26" s="1912"/>
      <c r="AP26" s="1912"/>
      <c r="AQ26" s="1912"/>
      <c r="AR26" s="1912"/>
      <c r="AS26" s="1912"/>
      <c r="AT26" s="1912"/>
      <c r="AU26" s="1913"/>
      <c r="AV26" s="1914"/>
      <c r="AW26" s="1914"/>
      <c r="AX26" s="1914"/>
      <c r="AY26" s="1914"/>
      <c r="AZ26" s="1914"/>
      <c r="BC26" s="256"/>
      <c r="BD26" s="255"/>
    </row>
    <row r="27" spans="1:65" ht="15" customHeight="1">
      <c r="A27" s="1931" t="s">
        <v>489</v>
      </c>
      <c r="B27" s="1932"/>
      <c r="C27" s="1932"/>
      <c r="D27" s="1932"/>
      <c r="E27" s="1932"/>
      <c r="F27" s="1932"/>
      <c r="G27" s="1932"/>
      <c r="H27" s="1933"/>
      <c r="I27" s="1937"/>
      <c r="J27" s="1940"/>
      <c r="K27" s="1940"/>
      <c r="L27" s="1940"/>
      <c r="M27" s="1940"/>
      <c r="N27" s="1921" t="s">
        <v>465</v>
      </c>
      <c r="O27" s="1922"/>
      <c r="P27" s="1922"/>
      <c r="Q27" s="1922"/>
      <c r="R27" s="1922"/>
      <c r="S27" s="1922"/>
      <c r="T27" s="1922"/>
      <c r="U27" s="1922"/>
      <c r="V27" s="1923"/>
      <c r="W27" s="1920"/>
      <c r="X27" s="1920"/>
      <c r="Y27" s="1920"/>
      <c r="Z27" s="1920"/>
      <c r="AA27" s="1921" t="s">
        <v>465</v>
      </c>
      <c r="AB27" s="1922"/>
      <c r="AC27" s="1922"/>
      <c r="AD27" s="1922"/>
      <c r="AE27" s="1922"/>
      <c r="AF27" s="1922"/>
      <c r="AG27" s="1922"/>
      <c r="AH27" s="1922"/>
      <c r="AI27" s="1923"/>
      <c r="AJ27" s="1920"/>
      <c r="AK27" s="1920"/>
      <c r="AL27" s="1920"/>
      <c r="AM27" s="1920"/>
      <c r="AN27" s="1921" t="s">
        <v>465</v>
      </c>
      <c r="AO27" s="1922"/>
      <c r="AP27" s="1922"/>
      <c r="AQ27" s="1922"/>
      <c r="AR27" s="1922"/>
      <c r="AS27" s="1922"/>
      <c r="AT27" s="1922"/>
      <c r="AU27" s="1922"/>
      <c r="AV27" s="1923"/>
      <c r="AW27" s="1920"/>
      <c r="AX27" s="1920"/>
      <c r="AY27" s="1920"/>
      <c r="AZ27" s="1920"/>
      <c r="BC27" s="256"/>
      <c r="BD27" s="255"/>
    </row>
    <row r="28" spans="1:65" ht="15" customHeight="1">
      <c r="A28" s="1931"/>
      <c r="B28" s="1932"/>
      <c r="C28" s="1932"/>
      <c r="D28" s="1932"/>
      <c r="E28" s="1932"/>
      <c r="F28" s="1932"/>
      <c r="G28" s="1932"/>
      <c r="H28" s="1933"/>
      <c r="I28" s="1938"/>
      <c r="J28" s="1941"/>
      <c r="K28" s="1941"/>
      <c r="L28" s="1941"/>
      <c r="M28" s="1941"/>
      <c r="N28" s="1922"/>
      <c r="O28" s="1922"/>
      <c r="P28" s="1922"/>
      <c r="Q28" s="1922"/>
      <c r="R28" s="1922"/>
      <c r="S28" s="1922"/>
      <c r="T28" s="1922"/>
      <c r="U28" s="1922"/>
      <c r="V28" s="1923"/>
      <c r="W28" s="1920"/>
      <c r="X28" s="1920"/>
      <c r="Y28" s="1920"/>
      <c r="Z28" s="1920"/>
      <c r="AA28" s="1922"/>
      <c r="AB28" s="1922"/>
      <c r="AC28" s="1922"/>
      <c r="AD28" s="1922"/>
      <c r="AE28" s="1922"/>
      <c r="AF28" s="1922"/>
      <c r="AG28" s="1922"/>
      <c r="AH28" s="1922"/>
      <c r="AI28" s="1923"/>
      <c r="AJ28" s="1920"/>
      <c r="AK28" s="1920"/>
      <c r="AL28" s="1920"/>
      <c r="AM28" s="1920"/>
      <c r="AN28" s="1922"/>
      <c r="AO28" s="1922"/>
      <c r="AP28" s="1922"/>
      <c r="AQ28" s="1922"/>
      <c r="AR28" s="1922"/>
      <c r="AS28" s="1922"/>
      <c r="AT28" s="1922"/>
      <c r="AU28" s="1922"/>
      <c r="AV28" s="1923"/>
      <c r="AW28" s="1920"/>
      <c r="AX28" s="1920"/>
      <c r="AY28" s="1920"/>
      <c r="AZ28" s="1920"/>
      <c r="BC28" s="256"/>
      <c r="BD28" s="255"/>
    </row>
    <row r="29" spans="1:65" ht="15" customHeight="1">
      <c r="A29" s="1931"/>
      <c r="B29" s="1932"/>
      <c r="C29" s="1932"/>
      <c r="D29" s="1932"/>
      <c r="E29" s="1932"/>
      <c r="F29" s="1932"/>
      <c r="G29" s="1932"/>
      <c r="H29" s="1933"/>
      <c r="I29" s="1938"/>
      <c r="J29" s="1941"/>
      <c r="K29" s="1941"/>
      <c r="L29" s="1941"/>
      <c r="M29" s="1941"/>
      <c r="N29" s="1922" t="s">
        <v>467</v>
      </c>
      <c r="O29" s="1922"/>
      <c r="P29" s="1922"/>
      <c r="Q29" s="1922"/>
      <c r="R29" s="1922"/>
      <c r="S29" s="1922"/>
      <c r="T29" s="1922"/>
      <c r="U29" s="1922"/>
      <c r="V29" s="1923"/>
      <c r="W29" s="1920"/>
      <c r="X29" s="1920"/>
      <c r="Y29" s="1920"/>
      <c r="Z29" s="1920"/>
      <c r="AA29" s="1922" t="s">
        <v>467</v>
      </c>
      <c r="AB29" s="1922"/>
      <c r="AC29" s="1922"/>
      <c r="AD29" s="1922"/>
      <c r="AE29" s="1922"/>
      <c r="AF29" s="1922"/>
      <c r="AG29" s="1922"/>
      <c r="AH29" s="1922"/>
      <c r="AI29" s="1923"/>
      <c r="AJ29" s="1920"/>
      <c r="AK29" s="1920"/>
      <c r="AL29" s="1920"/>
      <c r="AM29" s="1920"/>
      <c r="AN29" s="1922" t="s">
        <v>467</v>
      </c>
      <c r="AO29" s="1922"/>
      <c r="AP29" s="1922"/>
      <c r="AQ29" s="1922"/>
      <c r="AR29" s="1922"/>
      <c r="AS29" s="1922"/>
      <c r="AT29" s="1922"/>
      <c r="AU29" s="1922"/>
      <c r="AV29" s="1923"/>
      <c r="AW29" s="1920"/>
      <c r="AX29" s="1920"/>
      <c r="AY29" s="1920"/>
      <c r="AZ29" s="1920"/>
      <c r="BC29" s="256"/>
      <c r="BD29" s="255"/>
    </row>
    <row r="30" spans="1:65" ht="15" customHeight="1">
      <c r="A30" s="1934"/>
      <c r="B30" s="1935"/>
      <c r="C30" s="1935"/>
      <c r="D30" s="1935"/>
      <c r="E30" s="1935"/>
      <c r="F30" s="1935"/>
      <c r="G30" s="1935"/>
      <c r="H30" s="1936"/>
      <c r="I30" s="1939"/>
      <c r="J30" s="1942"/>
      <c r="K30" s="1942"/>
      <c r="L30" s="1942"/>
      <c r="M30" s="1942"/>
      <c r="N30" s="1922"/>
      <c r="O30" s="1922"/>
      <c r="P30" s="1922"/>
      <c r="Q30" s="1922"/>
      <c r="R30" s="1922"/>
      <c r="S30" s="1922"/>
      <c r="T30" s="1922"/>
      <c r="U30" s="1922"/>
      <c r="V30" s="1923"/>
      <c r="W30" s="1920"/>
      <c r="X30" s="1920"/>
      <c r="Y30" s="1920"/>
      <c r="Z30" s="1920"/>
      <c r="AA30" s="1922"/>
      <c r="AB30" s="1922"/>
      <c r="AC30" s="1922"/>
      <c r="AD30" s="1922"/>
      <c r="AE30" s="1922"/>
      <c r="AF30" s="1922"/>
      <c r="AG30" s="1922"/>
      <c r="AH30" s="1922"/>
      <c r="AI30" s="1923"/>
      <c r="AJ30" s="1920"/>
      <c r="AK30" s="1920"/>
      <c r="AL30" s="1920"/>
      <c r="AM30" s="1920"/>
      <c r="AN30" s="1922"/>
      <c r="AO30" s="1922"/>
      <c r="AP30" s="1922"/>
      <c r="AQ30" s="1922"/>
      <c r="AR30" s="1922"/>
      <c r="AS30" s="1922"/>
      <c r="AT30" s="1922"/>
      <c r="AU30" s="1922"/>
      <c r="AV30" s="1923"/>
      <c r="AW30" s="1920"/>
      <c r="AX30" s="1920"/>
      <c r="AY30" s="1920"/>
      <c r="AZ30" s="1920"/>
      <c r="BC30" s="256"/>
      <c r="BD30" s="255"/>
    </row>
    <row r="31" spans="1:65" ht="15" customHeight="1">
      <c r="A31" s="1943" t="s">
        <v>493</v>
      </c>
      <c r="B31" s="1944"/>
      <c r="C31" s="1944"/>
      <c r="D31" s="1944"/>
      <c r="E31" s="1944"/>
      <c r="F31" s="1944"/>
      <c r="G31" s="1944"/>
      <c r="H31" s="1945"/>
      <c r="I31" s="1937"/>
      <c r="J31" s="1940"/>
      <c r="K31" s="1940"/>
      <c r="L31" s="1940"/>
      <c r="M31" s="1940"/>
      <c r="N31" s="1922" t="s">
        <v>470</v>
      </c>
      <c r="O31" s="1922"/>
      <c r="P31" s="1922"/>
      <c r="Q31" s="1922"/>
      <c r="R31" s="1922"/>
      <c r="S31" s="1922"/>
      <c r="T31" s="1922"/>
      <c r="U31" s="1922"/>
      <c r="V31" s="1923"/>
      <c r="W31" s="1920"/>
      <c r="X31" s="1920"/>
      <c r="Y31" s="1920"/>
      <c r="Z31" s="1920"/>
      <c r="AA31" s="1922" t="s">
        <v>470</v>
      </c>
      <c r="AB31" s="1922"/>
      <c r="AC31" s="1922"/>
      <c r="AD31" s="1922"/>
      <c r="AE31" s="1922"/>
      <c r="AF31" s="1922"/>
      <c r="AG31" s="1922"/>
      <c r="AH31" s="1922"/>
      <c r="AI31" s="1923"/>
      <c r="AJ31" s="1920"/>
      <c r="AK31" s="1920"/>
      <c r="AL31" s="1920"/>
      <c r="AM31" s="1920"/>
      <c r="AN31" s="1922" t="s">
        <v>470</v>
      </c>
      <c r="AO31" s="1922"/>
      <c r="AP31" s="1922"/>
      <c r="AQ31" s="1922"/>
      <c r="AR31" s="1922"/>
      <c r="AS31" s="1922"/>
      <c r="AT31" s="1922"/>
      <c r="AU31" s="1922"/>
      <c r="AV31" s="1923"/>
      <c r="AW31" s="1920"/>
      <c r="AX31" s="1920"/>
      <c r="AY31" s="1920"/>
      <c r="AZ31" s="1920"/>
      <c r="BC31" s="256"/>
      <c r="BD31" s="255"/>
    </row>
    <row r="32" spans="1:65" ht="15" customHeight="1">
      <c r="A32" s="1931"/>
      <c r="B32" s="1932"/>
      <c r="C32" s="1932"/>
      <c r="D32" s="1932"/>
      <c r="E32" s="1932"/>
      <c r="F32" s="1932"/>
      <c r="G32" s="1932"/>
      <c r="H32" s="1933"/>
      <c r="I32" s="1938"/>
      <c r="J32" s="1941"/>
      <c r="K32" s="1941"/>
      <c r="L32" s="1941"/>
      <c r="M32" s="1941"/>
      <c r="N32" s="1922"/>
      <c r="O32" s="1922"/>
      <c r="P32" s="1922"/>
      <c r="Q32" s="1922"/>
      <c r="R32" s="1922"/>
      <c r="S32" s="1922"/>
      <c r="T32" s="1922"/>
      <c r="U32" s="1922"/>
      <c r="V32" s="1923"/>
      <c r="W32" s="1920"/>
      <c r="X32" s="1920"/>
      <c r="Y32" s="1920"/>
      <c r="Z32" s="1920"/>
      <c r="AA32" s="1922"/>
      <c r="AB32" s="1922"/>
      <c r="AC32" s="1922"/>
      <c r="AD32" s="1922"/>
      <c r="AE32" s="1922"/>
      <c r="AF32" s="1922"/>
      <c r="AG32" s="1922"/>
      <c r="AH32" s="1922"/>
      <c r="AI32" s="1923"/>
      <c r="AJ32" s="1920"/>
      <c r="AK32" s="1920"/>
      <c r="AL32" s="1920"/>
      <c r="AM32" s="1920"/>
      <c r="AN32" s="1922"/>
      <c r="AO32" s="1922"/>
      <c r="AP32" s="1922"/>
      <c r="AQ32" s="1922"/>
      <c r="AR32" s="1922"/>
      <c r="AS32" s="1922"/>
      <c r="AT32" s="1922"/>
      <c r="AU32" s="1922"/>
      <c r="AV32" s="1923"/>
      <c r="AW32" s="1920"/>
      <c r="AX32" s="1920"/>
      <c r="AY32" s="1920"/>
      <c r="AZ32" s="1920"/>
      <c r="BC32" s="256"/>
    </row>
    <row r="33" spans="1:68" ht="15" customHeight="1">
      <c r="A33" s="1931"/>
      <c r="B33" s="1932"/>
      <c r="C33" s="1932"/>
      <c r="D33" s="1932"/>
      <c r="E33" s="1932"/>
      <c r="F33" s="1932"/>
      <c r="G33" s="1932"/>
      <c r="H33" s="1933"/>
      <c r="I33" s="1938"/>
      <c r="J33" s="1941"/>
      <c r="K33" s="1941"/>
      <c r="L33" s="1941"/>
      <c r="M33" s="1941"/>
      <c r="N33" s="1922" t="s">
        <v>490</v>
      </c>
      <c r="O33" s="1922"/>
      <c r="P33" s="1922"/>
      <c r="Q33" s="1922"/>
      <c r="R33" s="1922"/>
      <c r="S33" s="1922"/>
      <c r="T33" s="1922"/>
      <c r="U33" s="1922"/>
      <c r="V33" s="1923"/>
      <c r="W33" s="1920"/>
      <c r="X33" s="1920"/>
      <c r="Y33" s="1920"/>
      <c r="Z33" s="1920"/>
      <c r="AA33" s="1922" t="s">
        <v>473</v>
      </c>
      <c r="AB33" s="1922"/>
      <c r="AC33" s="1922"/>
      <c r="AD33" s="1922"/>
      <c r="AE33" s="1922"/>
      <c r="AF33" s="1922"/>
      <c r="AG33" s="1922"/>
      <c r="AH33" s="1922"/>
      <c r="AI33" s="1923"/>
      <c r="AJ33" s="1920"/>
      <c r="AK33" s="1920"/>
      <c r="AL33" s="1920"/>
      <c r="AM33" s="1920"/>
      <c r="AN33" s="1922" t="s">
        <v>491</v>
      </c>
      <c r="AO33" s="1922"/>
      <c r="AP33" s="1922"/>
      <c r="AQ33" s="1922"/>
      <c r="AR33" s="1922"/>
      <c r="AS33" s="1922"/>
      <c r="AT33" s="1922"/>
      <c r="AU33" s="1922"/>
      <c r="AV33" s="1923"/>
      <c r="AW33" s="1920"/>
      <c r="AX33" s="1920"/>
      <c r="AY33" s="1920"/>
      <c r="AZ33" s="1920"/>
      <c r="BC33" s="256"/>
    </row>
    <row r="34" spans="1:68" ht="15" customHeight="1">
      <c r="A34" s="1934"/>
      <c r="B34" s="1935"/>
      <c r="C34" s="1935"/>
      <c r="D34" s="1935"/>
      <c r="E34" s="1935"/>
      <c r="F34" s="1935"/>
      <c r="G34" s="1935"/>
      <c r="H34" s="1936"/>
      <c r="I34" s="1939"/>
      <c r="J34" s="1942"/>
      <c r="K34" s="1942"/>
      <c r="L34" s="1942"/>
      <c r="M34" s="1942"/>
      <c r="N34" s="1922"/>
      <c r="O34" s="1922"/>
      <c r="P34" s="1922"/>
      <c r="Q34" s="1922"/>
      <c r="R34" s="1922"/>
      <c r="S34" s="1922"/>
      <c r="T34" s="1922"/>
      <c r="U34" s="1922"/>
      <c r="V34" s="1923"/>
      <c r="W34" s="1920"/>
      <c r="X34" s="1920"/>
      <c r="Y34" s="1920"/>
      <c r="Z34" s="1920"/>
      <c r="AA34" s="1922"/>
      <c r="AB34" s="1922"/>
      <c r="AC34" s="1922"/>
      <c r="AD34" s="1922"/>
      <c r="AE34" s="1922"/>
      <c r="AF34" s="1922"/>
      <c r="AG34" s="1922"/>
      <c r="AH34" s="1922"/>
      <c r="AI34" s="1923"/>
      <c r="AJ34" s="1920"/>
      <c r="AK34" s="1920"/>
      <c r="AL34" s="1920"/>
      <c r="AM34" s="1920"/>
      <c r="AN34" s="1922"/>
      <c r="AO34" s="1922"/>
      <c r="AP34" s="1922"/>
      <c r="AQ34" s="1922"/>
      <c r="AR34" s="1922"/>
      <c r="AS34" s="1922"/>
      <c r="AT34" s="1922"/>
      <c r="AU34" s="1922"/>
      <c r="AV34" s="1923"/>
      <c r="AW34" s="1920"/>
      <c r="AX34" s="1920"/>
      <c r="AY34" s="1920"/>
      <c r="AZ34" s="1920"/>
      <c r="BC34" s="256"/>
    </row>
    <row r="35" spans="1:68" ht="15" customHeight="1">
      <c r="A35" s="1943" t="s">
        <v>496</v>
      </c>
      <c r="B35" s="1944"/>
      <c r="C35" s="1944"/>
      <c r="D35" s="1944"/>
      <c r="E35" s="1944"/>
      <c r="F35" s="1944"/>
      <c r="G35" s="1944"/>
      <c r="H35" s="1945"/>
      <c r="I35" s="1937"/>
      <c r="J35" s="1940"/>
      <c r="K35" s="1940"/>
      <c r="L35" s="1940"/>
      <c r="M35" s="1940"/>
      <c r="N35" s="1922" t="s">
        <v>481</v>
      </c>
      <c r="O35" s="1922"/>
      <c r="P35" s="1922"/>
      <c r="Q35" s="1922"/>
      <c r="R35" s="1922"/>
      <c r="S35" s="1922"/>
      <c r="T35" s="1922"/>
      <c r="U35" s="1922"/>
      <c r="V35" s="1923"/>
      <c r="W35" s="1920"/>
      <c r="X35" s="1920"/>
      <c r="Y35" s="1920"/>
      <c r="Z35" s="1920"/>
      <c r="AA35" s="1922" t="s">
        <v>481</v>
      </c>
      <c r="AB35" s="1922"/>
      <c r="AC35" s="1922"/>
      <c r="AD35" s="1922"/>
      <c r="AE35" s="1922"/>
      <c r="AF35" s="1922"/>
      <c r="AG35" s="1922"/>
      <c r="AH35" s="1922"/>
      <c r="AI35" s="1923"/>
      <c r="AJ35" s="1920"/>
      <c r="AK35" s="1920"/>
      <c r="AL35" s="1920"/>
      <c r="AM35" s="1920"/>
      <c r="AN35" s="1922" t="s">
        <v>492</v>
      </c>
      <c r="AO35" s="1922"/>
      <c r="AP35" s="1922"/>
      <c r="AQ35" s="1922"/>
      <c r="AR35" s="1922"/>
      <c r="AS35" s="1922"/>
      <c r="AT35" s="1922"/>
      <c r="AU35" s="1922"/>
      <c r="AV35" s="1923"/>
      <c r="AW35" s="1920"/>
      <c r="AX35" s="1920"/>
      <c r="AY35" s="1920"/>
      <c r="AZ35" s="1920"/>
      <c r="BC35" s="256"/>
    </row>
    <row r="36" spans="1:68" ht="15" customHeight="1">
      <c r="A36" s="1931"/>
      <c r="B36" s="1932"/>
      <c r="C36" s="1932"/>
      <c r="D36" s="1932"/>
      <c r="E36" s="1932"/>
      <c r="F36" s="1932"/>
      <c r="G36" s="1932"/>
      <c r="H36" s="1933"/>
      <c r="I36" s="1938"/>
      <c r="J36" s="1941"/>
      <c r="K36" s="1941"/>
      <c r="L36" s="1941"/>
      <c r="M36" s="1941"/>
      <c r="N36" s="1922"/>
      <c r="O36" s="1922"/>
      <c r="P36" s="1922"/>
      <c r="Q36" s="1922"/>
      <c r="R36" s="1922"/>
      <c r="S36" s="1922"/>
      <c r="T36" s="1922"/>
      <c r="U36" s="1922"/>
      <c r="V36" s="1923"/>
      <c r="W36" s="1920"/>
      <c r="X36" s="1920"/>
      <c r="Y36" s="1920"/>
      <c r="Z36" s="1920"/>
      <c r="AA36" s="1922"/>
      <c r="AB36" s="1922"/>
      <c r="AC36" s="1922"/>
      <c r="AD36" s="1922"/>
      <c r="AE36" s="1922"/>
      <c r="AF36" s="1922"/>
      <c r="AG36" s="1922"/>
      <c r="AH36" s="1922"/>
      <c r="AI36" s="1923"/>
      <c r="AJ36" s="1920"/>
      <c r="AK36" s="1920"/>
      <c r="AL36" s="1920"/>
      <c r="AM36" s="1920"/>
      <c r="AN36" s="1922"/>
      <c r="AO36" s="1922"/>
      <c r="AP36" s="1922"/>
      <c r="AQ36" s="1922"/>
      <c r="AR36" s="1922"/>
      <c r="AS36" s="1922"/>
      <c r="AT36" s="1922"/>
      <c r="AU36" s="1922"/>
      <c r="AV36" s="1923"/>
      <c r="AW36" s="1920"/>
      <c r="AX36" s="1920"/>
      <c r="AY36" s="1920"/>
      <c r="AZ36" s="1920"/>
      <c r="BC36" s="256"/>
    </row>
    <row r="37" spans="1:68" ht="15" customHeight="1">
      <c r="A37" s="1931"/>
      <c r="B37" s="1932"/>
      <c r="C37" s="1932"/>
      <c r="D37" s="1932"/>
      <c r="E37" s="1932"/>
      <c r="F37" s="1932"/>
      <c r="G37" s="1932"/>
      <c r="H37" s="1933"/>
      <c r="I37" s="1938"/>
      <c r="J37" s="1941"/>
      <c r="K37" s="1941"/>
      <c r="L37" s="1941"/>
      <c r="M37" s="1941"/>
      <c r="N37" s="1922" t="s">
        <v>494</v>
      </c>
      <c r="O37" s="1922"/>
      <c r="P37" s="1922"/>
      <c r="Q37" s="1922"/>
      <c r="R37" s="1922"/>
      <c r="S37" s="1922"/>
      <c r="T37" s="1922"/>
      <c r="U37" s="1922"/>
      <c r="V37" s="1923"/>
      <c r="W37" s="1920"/>
      <c r="X37" s="1920"/>
      <c r="Y37" s="1920"/>
      <c r="Z37" s="1920"/>
      <c r="AA37" s="1922" t="s">
        <v>477</v>
      </c>
      <c r="AB37" s="1922"/>
      <c r="AC37" s="1922"/>
      <c r="AD37" s="1922"/>
      <c r="AE37" s="1922"/>
      <c r="AF37" s="1922"/>
      <c r="AG37" s="1922"/>
      <c r="AH37" s="1922"/>
      <c r="AI37" s="1923"/>
      <c r="AJ37" s="1920"/>
      <c r="AK37" s="1920"/>
      <c r="AL37" s="1920" t="s">
        <v>585</v>
      </c>
      <c r="AM37" s="1920"/>
      <c r="AN37" s="1922" t="s">
        <v>477</v>
      </c>
      <c r="AO37" s="1922"/>
      <c r="AP37" s="1922"/>
      <c r="AQ37" s="1922"/>
      <c r="AR37" s="1922"/>
      <c r="AS37" s="1922"/>
      <c r="AT37" s="1922"/>
      <c r="AU37" s="1922"/>
      <c r="AV37" s="1923"/>
      <c r="AW37" s="1920"/>
      <c r="AX37" s="1920"/>
      <c r="AY37" s="1920"/>
      <c r="AZ37" s="1920"/>
      <c r="BC37" s="256"/>
    </row>
    <row r="38" spans="1:68" ht="15" customHeight="1">
      <c r="A38" s="1934"/>
      <c r="B38" s="1935"/>
      <c r="C38" s="1935"/>
      <c r="D38" s="1935"/>
      <c r="E38" s="1935"/>
      <c r="F38" s="1935"/>
      <c r="G38" s="1935"/>
      <c r="H38" s="1936"/>
      <c r="I38" s="1939"/>
      <c r="J38" s="1942"/>
      <c r="K38" s="1942"/>
      <c r="L38" s="1942"/>
      <c r="M38" s="1942"/>
      <c r="N38" s="1922"/>
      <c r="O38" s="1922"/>
      <c r="P38" s="1922"/>
      <c r="Q38" s="1922"/>
      <c r="R38" s="1922"/>
      <c r="S38" s="1922"/>
      <c r="T38" s="1922"/>
      <c r="U38" s="1922"/>
      <c r="V38" s="1923"/>
      <c r="W38" s="1920"/>
      <c r="X38" s="1920"/>
      <c r="Y38" s="1920"/>
      <c r="Z38" s="1920"/>
      <c r="AA38" s="1922"/>
      <c r="AB38" s="1922"/>
      <c r="AC38" s="1922"/>
      <c r="AD38" s="1922"/>
      <c r="AE38" s="1922"/>
      <c r="AF38" s="1922"/>
      <c r="AG38" s="1922"/>
      <c r="AH38" s="1922"/>
      <c r="AI38" s="1923"/>
      <c r="AJ38" s="1920"/>
      <c r="AK38" s="1920"/>
      <c r="AL38" s="1920"/>
      <c r="AM38" s="1920"/>
      <c r="AN38" s="1922"/>
      <c r="AO38" s="1922"/>
      <c r="AP38" s="1922"/>
      <c r="AQ38" s="1922"/>
      <c r="AR38" s="1922"/>
      <c r="AS38" s="1922"/>
      <c r="AT38" s="1922"/>
      <c r="AU38" s="1922"/>
      <c r="AV38" s="1923"/>
      <c r="AW38" s="1920"/>
      <c r="AX38" s="1920"/>
      <c r="AY38" s="1920"/>
      <c r="AZ38" s="1920"/>
      <c r="BC38" s="256"/>
    </row>
    <row r="39" spans="1:68" ht="15" customHeight="1">
      <c r="N39" s="1922" t="s">
        <v>477</v>
      </c>
      <c r="O39" s="1922"/>
      <c r="P39" s="1922"/>
      <c r="Q39" s="1922"/>
      <c r="R39" s="1922"/>
      <c r="S39" s="1922"/>
      <c r="T39" s="1922"/>
      <c r="U39" s="1922"/>
      <c r="V39" s="1923"/>
      <c r="W39" s="1920"/>
      <c r="X39" s="1920"/>
      <c r="Y39" s="1920"/>
      <c r="Z39" s="1920"/>
      <c r="AA39" s="1922" t="s">
        <v>495</v>
      </c>
      <c r="AB39" s="1922"/>
      <c r="AC39" s="1922"/>
      <c r="AD39" s="1922"/>
      <c r="AE39" s="1922"/>
      <c r="AF39" s="1922"/>
      <c r="AG39" s="1922"/>
      <c r="AH39" s="1922"/>
      <c r="AI39" s="1923"/>
      <c r="AJ39" s="1920"/>
      <c r="AK39" s="1920"/>
      <c r="AL39" s="1920"/>
      <c r="AM39" s="1920"/>
      <c r="AN39" s="256"/>
      <c r="AO39" s="256"/>
      <c r="AP39" s="256"/>
      <c r="AQ39" s="256"/>
      <c r="AR39" s="256"/>
      <c r="AS39" s="256"/>
      <c r="AT39" s="256"/>
      <c r="AU39" s="256"/>
      <c r="AV39" s="256"/>
      <c r="AW39" s="256"/>
      <c r="AX39" s="256"/>
      <c r="AY39" s="256"/>
      <c r="AZ39" s="256"/>
      <c r="BC39" s="256"/>
    </row>
    <row r="40" spans="1:68" ht="15" customHeight="1" thickBot="1">
      <c r="N40" s="1924"/>
      <c r="O40" s="1922"/>
      <c r="P40" s="1922"/>
      <c r="Q40" s="1922"/>
      <c r="R40" s="1922"/>
      <c r="S40" s="1922"/>
      <c r="T40" s="1922"/>
      <c r="U40" s="1922"/>
      <c r="V40" s="1923"/>
      <c r="W40" s="1920"/>
      <c r="X40" s="1920"/>
      <c r="Y40" s="1920"/>
      <c r="Z40" s="1920"/>
      <c r="AA40" s="1922"/>
      <c r="AB40" s="1922"/>
      <c r="AC40" s="1922"/>
      <c r="AD40" s="1922"/>
      <c r="AE40" s="1922"/>
      <c r="AF40" s="1922"/>
      <c r="AG40" s="1922"/>
      <c r="AH40" s="1922"/>
      <c r="AI40" s="1923"/>
      <c r="AJ40" s="1920"/>
      <c r="AK40" s="1920"/>
      <c r="AL40" s="1920"/>
      <c r="AM40" s="1920"/>
      <c r="AN40" s="256"/>
      <c r="AO40" s="256"/>
      <c r="AP40" s="256"/>
      <c r="AQ40" s="256"/>
      <c r="AR40" s="256"/>
      <c r="AS40" s="256"/>
      <c r="AT40" s="256"/>
      <c r="AU40" s="256"/>
      <c r="AV40" s="256"/>
      <c r="AW40" s="256"/>
      <c r="AX40" s="256"/>
      <c r="AY40" s="256"/>
      <c r="AZ40" s="256"/>
      <c r="BC40" s="256"/>
    </row>
    <row r="41" spans="1:68" ht="15" customHeight="1">
      <c r="N41" s="1806"/>
      <c r="O41" s="1910" t="s">
        <v>497</v>
      </c>
      <c r="P41" s="1910"/>
      <c r="Q41" s="1910"/>
      <c r="R41" s="1910"/>
      <c r="S41" s="1910"/>
      <c r="T41" s="1910"/>
      <c r="U41" s="1911"/>
      <c r="V41" s="1914" t="s">
        <v>458</v>
      </c>
      <c r="W41" s="1914" t="s">
        <v>459</v>
      </c>
      <c r="X41" s="1914" t="s">
        <v>460</v>
      </c>
      <c r="Y41" s="1914" t="s">
        <v>312</v>
      </c>
      <c r="Z41" s="1914" t="s">
        <v>461</v>
      </c>
      <c r="AA41" s="1929"/>
      <c r="AB41" s="1910" t="s">
        <v>498</v>
      </c>
      <c r="AC41" s="1910"/>
      <c r="AD41" s="1910"/>
      <c r="AE41" s="1910"/>
      <c r="AF41" s="1910"/>
      <c r="AG41" s="1910"/>
      <c r="AH41" s="1911"/>
      <c r="AI41" s="1914" t="s">
        <v>458</v>
      </c>
      <c r="AJ41" s="1914" t="s">
        <v>459</v>
      </c>
      <c r="AK41" s="1914" t="s">
        <v>460</v>
      </c>
      <c r="AL41" s="1914" t="s">
        <v>312</v>
      </c>
      <c r="AM41" s="1914" t="s">
        <v>461</v>
      </c>
      <c r="AN41" s="1946"/>
      <c r="AO41" s="1910" t="s">
        <v>499</v>
      </c>
      <c r="AP41" s="1910"/>
      <c r="AQ41" s="1910"/>
      <c r="AR41" s="1910"/>
      <c r="AS41" s="1910"/>
      <c r="AT41" s="1910"/>
      <c r="AU41" s="1911"/>
      <c r="AV41" s="1914" t="s">
        <v>458</v>
      </c>
      <c r="AW41" s="1914" t="s">
        <v>459</v>
      </c>
      <c r="AX41" s="1914" t="s">
        <v>460</v>
      </c>
      <c r="AY41" s="1914" t="s">
        <v>312</v>
      </c>
      <c r="AZ41" s="1914" t="s">
        <v>461</v>
      </c>
      <c r="BC41" s="256"/>
    </row>
    <row r="42" spans="1:68" ht="15" customHeight="1" thickBot="1">
      <c r="N42" s="1807"/>
      <c r="O42" s="1912"/>
      <c r="P42" s="1912"/>
      <c r="Q42" s="1912"/>
      <c r="R42" s="1912"/>
      <c r="S42" s="1912"/>
      <c r="T42" s="1912"/>
      <c r="U42" s="1913"/>
      <c r="V42" s="1914"/>
      <c r="W42" s="1914"/>
      <c r="X42" s="1914"/>
      <c r="Y42" s="1914"/>
      <c r="Z42" s="1914"/>
      <c r="AA42" s="1930"/>
      <c r="AB42" s="1912"/>
      <c r="AC42" s="1912"/>
      <c r="AD42" s="1912"/>
      <c r="AE42" s="1912"/>
      <c r="AF42" s="1912"/>
      <c r="AG42" s="1912"/>
      <c r="AH42" s="1913"/>
      <c r="AI42" s="1914"/>
      <c r="AJ42" s="1914"/>
      <c r="AK42" s="1914"/>
      <c r="AL42" s="1914"/>
      <c r="AM42" s="1914"/>
      <c r="AN42" s="1947"/>
      <c r="AO42" s="1912"/>
      <c r="AP42" s="1912"/>
      <c r="AQ42" s="1912"/>
      <c r="AR42" s="1912"/>
      <c r="AS42" s="1912"/>
      <c r="AT42" s="1912"/>
      <c r="AU42" s="1913"/>
      <c r="AV42" s="1914"/>
      <c r="AW42" s="1914"/>
      <c r="AX42" s="1914"/>
      <c r="AY42" s="1914"/>
      <c r="AZ42" s="1914"/>
      <c r="BC42" s="256"/>
    </row>
    <row r="43" spans="1:68" ht="15" customHeight="1">
      <c r="N43" s="1921" t="s">
        <v>465</v>
      </c>
      <c r="O43" s="1922"/>
      <c r="P43" s="1922"/>
      <c r="Q43" s="1922"/>
      <c r="R43" s="1922"/>
      <c r="S43" s="1922"/>
      <c r="T43" s="1922"/>
      <c r="U43" s="1922"/>
      <c r="V43" s="1923"/>
      <c r="W43" s="1920"/>
      <c r="X43" s="1920"/>
      <c r="Y43" s="1920"/>
      <c r="Z43" s="1920"/>
      <c r="AA43" s="1921" t="s">
        <v>465</v>
      </c>
      <c r="AB43" s="1922"/>
      <c r="AC43" s="1922"/>
      <c r="AD43" s="1922"/>
      <c r="AE43" s="1922"/>
      <c r="AF43" s="1922"/>
      <c r="AG43" s="1922"/>
      <c r="AH43" s="1922"/>
      <c r="AI43" s="1923"/>
      <c r="AJ43" s="1920"/>
      <c r="AK43" s="1920"/>
      <c r="AL43" s="1920"/>
      <c r="AM43" s="1920"/>
      <c r="AN43" s="1921" t="s">
        <v>465</v>
      </c>
      <c r="AO43" s="1922"/>
      <c r="AP43" s="1922"/>
      <c r="AQ43" s="1922"/>
      <c r="AR43" s="1922"/>
      <c r="AS43" s="1922"/>
      <c r="AT43" s="1922"/>
      <c r="AU43" s="1922"/>
      <c r="AV43" s="1923"/>
      <c r="AW43" s="1920"/>
      <c r="AX43" s="1920"/>
      <c r="AY43" s="1920"/>
      <c r="AZ43" s="1920"/>
      <c r="BC43" s="256"/>
    </row>
    <row r="44" spans="1:68" ht="15" customHeight="1">
      <c r="A44" s="255"/>
      <c r="B44" s="255"/>
      <c r="C44" s="256"/>
      <c r="D44" s="256"/>
      <c r="E44" s="256"/>
      <c r="F44" s="256"/>
      <c r="G44" s="256"/>
      <c r="H44" s="256"/>
      <c r="I44" s="256"/>
      <c r="J44" s="256"/>
      <c r="K44" s="256"/>
      <c r="L44" s="256"/>
      <c r="M44" s="256"/>
      <c r="N44" s="1922"/>
      <c r="O44" s="1922"/>
      <c r="P44" s="1922"/>
      <c r="Q44" s="1922"/>
      <c r="R44" s="1922"/>
      <c r="S44" s="1922"/>
      <c r="T44" s="1922"/>
      <c r="U44" s="1922"/>
      <c r="V44" s="1923"/>
      <c r="W44" s="1920"/>
      <c r="X44" s="1920"/>
      <c r="Y44" s="1920"/>
      <c r="Z44" s="1920"/>
      <c r="AA44" s="1922"/>
      <c r="AB44" s="1922"/>
      <c r="AC44" s="1922"/>
      <c r="AD44" s="1922"/>
      <c r="AE44" s="1922"/>
      <c r="AF44" s="1922"/>
      <c r="AG44" s="1922"/>
      <c r="AH44" s="1922"/>
      <c r="AI44" s="1923"/>
      <c r="AJ44" s="1920"/>
      <c r="AK44" s="1920"/>
      <c r="AL44" s="1920"/>
      <c r="AM44" s="1920"/>
      <c r="AN44" s="1922"/>
      <c r="AO44" s="1922"/>
      <c r="AP44" s="1922"/>
      <c r="AQ44" s="1922"/>
      <c r="AR44" s="1922"/>
      <c r="AS44" s="1922"/>
      <c r="AT44" s="1922"/>
      <c r="AU44" s="1922"/>
      <c r="AV44" s="1923"/>
      <c r="AW44" s="1920"/>
      <c r="AX44" s="1920"/>
      <c r="AY44" s="1920"/>
      <c r="AZ44" s="1920"/>
      <c r="BC44" s="256"/>
    </row>
    <row r="45" spans="1:68" ht="15" customHeight="1">
      <c r="A45" s="255"/>
      <c r="B45" s="255"/>
      <c r="C45" s="256"/>
      <c r="D45" s="256"/>
      <c r="E45" s="256"/>
      <c r="F45" s="256"/>
      <c r="G45" s="256"/>
      <c r="H45" s="256"/>
      <c r="I45" s="256"/>
      <c r="J45" s="256"/>
      <c r="K45" s="256"/>
      <c r="L45" s="256"/>
      <c r="M45" s="256"/>
      <c r="N45" s="1922" t="s">
        <v>467</v>
      </c>
      <c r="O45" s="1922"/>
      <c r="P45" s="1922"/>
      <c r="Q45" s="1922"/>
      <c r="R45" s="1922"/>
      <c r="S45" s="1922"/>
      <c r="T45" s="1922"/>
      <c r="U45" s="1922"/>
      <c r="V45" s="1923"/>
      <c r="W45" s="1920"/>
      <c r="X45" s="1920"/>
      <c r="Y45" s="1920"/>
      <c r="Z45" s="1920"/>
      <c r="AA45" s="1922" t="s">
        <v>467</v>
      </c>
      <c r="AB45" s="1922"/>
      <c r="AC45" s="1922"/>
      <c r="AD45" s="1922"/>
      <c r="AE45" s="1922"/>
      <c r="AF45" s="1922"/>
      <c r="AG45" s="1922"/>
      <c r="AH45" s="1922"/>
      <c r="AI45" s="1923"/>
      <c r="AJ45" s="1920"/>
      <c r="AK45" s="1920"/>
      <c r="AL45" s="1920"/>
      <c r="AM45" s="1920"/>
      <c r="AN45" s="1922" t="s">
        <v>467</v>
      </c>
      <c r="AO45" s="1922"/>
      <c r="AP45" s="1922"/>
      <c r="AQ45" s="1922"/>
      <c r="AR45" s="1922"/>
      <c r="AS45" s="1922"/>
      <c r="AT45" s="1922"/>
      <c r="AU45" s="1922"/>
      <c r="AV45" s="1923"/>
      <c r="AW45" s="1920"/>
      <c r="AX45" s="1920"/>
      <c r="AY45" s="1920"/>
      <c r="AZ45" s="1920"/>
      <c r="BC45" s="256"/>
    </row>
    <row r="46" spans="1:68" ht="15" customHeight="1">
      <c r="A46" s="255"/>
      <c r="B46" s="255"/>
      <c r="C46" s="256"/>
      <c r="D46" s="256"/>
      <c r="E46" s="256"/>
      <c r="F46" s="256"/>
      <c r="G46" s="256"/>
      <c r="H46" s="256"/>
      <c r="I46" s="256"/>
      <c r="J46" s="256"/>
      <c r="K46" s="256"/>
      <c r="L46" s="256"/>
      <c r="M46" s="256"/>
      <c r="N46" s="1922"/>
      <c r="O46" s="1922"/>
      <c r="P46" s="1922"/>
      <c r="Q46" s="1922"/>
      <c r="R46" s="1922"/>
      <c r="S46" s="1922"/>
      <c r="T46" s="1922"/>
      <c r="U46" s="1922"/>
      <c r="V46" s="1923"/>
      <c r="W46" s="1920"/>
      <c r="X46" s="1920"/>
      <c r="Y46" s="1920"/>
      <c r="Z46" s="1920"/>
      <c r="AA46" s="1922"/>
      <c r="AB46" s="1922"/>
      <c r="AC46" s="1922"/>
      <c r="AD46" s="1922"/>
      <c r="AE46" s="1922"/>
      <c r="AF46" s="1922"/>
      <c r="AG46" s="1922"/>
      <c r="AH46" s="1922"/>
      <c r="AI46" s="1923"/>
      <c r="AJ46" s="1920"/>
      <c r="AK46" s="1920"/>
      <c r="AL46" s="1920"/>
      <c r="AM46" s="1920"/>
      <c r="AN46" s="1922"/>
      <c r="AO46" s="1922"/>
      <c r="AP46" s="1922"/>
      <c r="AQ46" s="1922"/>
      <c r="AR46" s="1922"/>
      <c r="AS46" s="1922"/>
      <c r="AT46" s="1922"/>
      <c r="AU46" s="1922"/>
      <c r="AV46" s="1923"/>
      <c r="AW46" s="1920"/>
      <c r="AX46" s="1920"/>
      <c r="AY46" s="1920"/>
      <c r="AZ46" s="1920"/>
      <c r="BC46" s="256"/>
      <c r="BD46" s="255"/>
      <c r="BE46" s="255"/>
      <c r="BF46" s="255"/>
      <c r="BG46" s="255"/>
      <c r="BH46" s="255"/>
      <c r="BI46" s="255"/>
      <c r="BJ46" s="255"/>
      <c r="BK46" s="255"/>
      <c r="BL46" s="255"/>
      <c r="BM46" s="256"/>
      <c r="BO46" s="256"/>
      <c r="BP46" s="256"/>
    </row>
    <row r="47" spans="1:68" ht="15" customHeight="1">
      <c r="A47" s="255"/>
      <c r="B47" s="255"/>
      <c r="C47" s="256"/>
      <c r="D47" s="256"/>
      <c r="E47" s="256"/>
      <c r="F47" s="256"/>
      <c r="G47" s="256"/>
      <c r="H47" s="256"/>
      <c r="I47" s="256"/>
      <c r="J47" s="256"/>
      <c r="K47" s="256"/>
      <c r="L47" s="256"/>
      <c r="M47" s="256"/>
      <c r="N47" s="1922" t="s">
        <v>470</v>
      </c>
      <c r="O47" s="1922"/>
      <c r="P47" s="1922"/>
      <c r="Q47" s="1922"/>
      <c r="R47" s="1922"/>
      <c r="S47" s="1922"/>
      <c r="T47" s="1922"/>
      <c r="U47" s="1922"/>
      <c r="V47" s="1923"/>
      <c r="W47" s="1920"/>
      <c r="X47" s="1920"/>
      <c r="Y47" s="1920"/>
      <c r="Z47" s="1920"/>
      <c r="AA47" s="1922" t="s">
        <v>500</v>
      </c>
      <c r="AB47" s="1922"/>
      <c r="AC47" s="1922"/>
      <c r="AD47" s="1922"/>
      <c r="AE47" s="1922"/>
      <c r="AF47" s="1922"/>
      <c r="AG47" s="1922"/>
      <c r="AH47" s="1922"/>
      <c r="AI47" s="1923"/>
      <c r="AJ47" s="1920"/>
      <c r="AK47" s="1920"/>
      <c r="AL47" s="1920"/>
      <c r="AM47" s="1920"/>
      <c r="AN47" s="1922" t="s">
        <v>470</v>
      </c>
      <c r="AO47" s="1922"/>
      <c r="AP47" s="1922"/>
      <c r="AQ47" s="1922"/>
      <c r="AR47" s="1922"/>
      <c r="AS47" s="1922"/>
      <c r="AT47" s="1922"/>
      <c r="AU47" s="1922"/>
      <c r="AV47" s="1923"/>
      <c r="AW47" s="1920"/>
      <c r="AX47" s="1920"/>
      <c r="AY47" s="1920"/>
      <c r="AZ47" s="1920"/>
      <c r="BC47" s="256"/>
      <c r="BD47" s="255"/>
      <c r="BE47" s="255"/>
      <c r="BF47" s="255"/>
      <c r="BG47" s="255"/>
      <c r="BH47" s="255"/>
      <c r="BI47" s="255"/>
      <c r="BJ47" s="255"/>
      <c r="BK47" s="255"/>
      <c r="BL47" s="255"/>
      <c r="BM47" s="256"/>
      <c r="BO47" s="256"/>
      <c r="BP47" s="256"/>
    </row>
    <row r="48" spans="1:68" ht="15" customHeight="1">
      <c r="A48" s="255"/>
      <c r="B48" s="255"/>
      <c r="C48" s="256"/>
      <c r="D48" s="256"/>
      <c r="E48" s="256"/>
      <c r="F48" s="256"/>
      <c r="G48" s="256"/>
      <c r="H48" s="256"/>
      <c r="I48" s="256"/>
      <c r="J48" s="256"/>
      <c r="K48" s="256"/>
      <c r="L48" s="256"/>
      <c r="M48" s="256"/>
      <c r="N48" s="1922"/>
      <c r="O48" s="1922"/>
      <c r="P48" s="1922"/>
      <c r="Q48" s="1922"/>
      <c r="R48" s="1922"/>
      <c r="S48" s="1922"/>
      <c r="T48" s="1922"/>
      <c r="U48" s="1922"/>
      <c r="V48" s="1923"/>
      <c r="W48" s="1920"/>
      <c r="X48" s="1920"/>
      <c r="Y48" s="1920"/>
      <c r="Z48" s="1920"/>
      <c r="AA48" s="1922"/>
      <c r="AB48" s="1922"/>
      <c r="AC48" s="1922"/>
      <c r="AD48" s="1922"/>
      <c r="AE48" s="1922"/>
      <c r="AF48" s="1922"/>
      <c r="AG48" s="1922"/>
      <c r="AH48" s="1922"/>
      <c r="AI48" s="1923"/>
      <c r="AJ48" s="1920"/>
      <c r="AK48" s="1920"/>
      <c r="AL48" s="1920"/>
      <c r="AM48" s="1920"/>
      <c r="AN48" s="1922"/>
      <c r="AO48" s="1922"/>
      <c r="AP48" s="1922"/>
      <c r="AQ48" s="1922"/>
      <c r="AR48" s="1922"/>
      <c r="AS48" s="1922"/>
      <c r="AT48" s="1922"/>
      <c r="AU48" s="1922"/>
      <c r="AV48" s="1923"/>
      <c r="AW48" s="1920"/>
      <c r="AX48" s="1920"/>
      <c r="AY48" s="1920"/>
      <c r="AZ48" s="1920"/>
      <c r="BC48" s="256"/>
      <c r="BD48" s="255"/>
      <c r="BE48" s="255"/>
      <c r="BF48" s="255"/>
      <c r="BG48" s="255"/>
      <c r="BH48" s="255"/>
      <c r="BI48" s="255"/>
      <c r="BJ48" s="255"/>
      <c r="BK48" s="255"/>
      <c r="BL48" s="255"/>
      <c r="BM48" s="256"/>
      <c r="BO48" s="256"/>
      <c r="BP48" s="256"/>
    </row>
    <row r="49" spans="1:72" ht="15" customHeight="1">
      <c r="A49" s="255"/>
      <c r="B49" s="255"/>
      <c r="C49" s="256"/>
      <c r="D49" s="256"/>
      <c r="E49" s="256"/>
      <c r="F49" s="256"/>
      <c r="G49" s="256"/>
      <c r="H49" s="256"/>
      <c r="I49" s="256"/>
      <c r="J49" s="256"/>
      <c r="K49" s="256"/>
      <c r="L49" s="256"/>
      <c r="M49" s="256"/>
      <c r="N49" s="1922" t="s">
        <v>501</v>
      </c>
      <c r="O49" s="1922"/>
      <c r="P49" s="1922"/>
      <c r="Q49" s="1922"/>
      <c r="R49" s="1922"/>
      <c r="S49" s="1922"/>
      <c r="T49" s="1922"/>
      <c r="U49" s="1922"/>
      <c r="V49" s="1923"/>
      <c r="W49" s="1920"/>
      <c r="X49" s="1920"/>
      <c r="Y49" s="1920"/>
      <c r="Z49" s="1920"/>
      <c r="AA49" s="1922" t="s">
        <v>502</v>
      </c>
      <c r="AB49" s="1922"/>
      <c r="AC49" s="1922"/>
      <c r="AD49" s="1922"/>
      <c r="AE49" s="1922"/>
      <c r="AF49" s="1922"/>
      <c r="AG49" s="1922"/>
      <c r="AH49" s="1922"/>
      <c r="AI49" s="1923"/>
      <c r="AJ49" s="1920"/>
      <c r="AK49" s="1920"/>
      <c r="AL49" s="1920"/>
      <c r="AM49" s="1920"/>
      <c r="AN49" s="1922" t="s">
        <v>503</v>
      </c>
      <c r="AO49" s="1922"/>
      <c r="AP49" s="1922"/>
      <c r="AQ49" s="1922"/>
      <c r="AR49" s="1922"/>
      <c r="AS49" s="1922"/>
      <c r="AT49" s="1922"/>
      <c r="AU49" s="1922"/>
      <c r="AV49" s="1923"/>
      <c r="AW49" s="1920"/>
      <c r="AX49" s="1920"/>
      <c r="AY49" s="1920"/>
      <c r="AZ49" s="1920"/>
      <c r="BC49" s="256"/>
      <c r="BD49" s="255"/>
      <c r="BE49" s="255"/>
      <c r="BF49" s="255"/>
      <c r="BG49" s="255"/>
      <c r="BH49" s="255"/>
      <c r="BI49" s="255"/>
      <c r="BJ49" s="255"/>
      <c r="BK49" s="255"/>
      <c r="BL49" s="255"/>
      <c r="BM49" s="256"/>
      <c r="BO49" s="256"/>
      <c r="BP49" s="256"/>
    </row>
    <row r="50" spans="1:72" ht="15" customHeight="1">
      <c r="A50" s="255"/>
      <c r="B50" s="255"/>
      <c r="C50" s="256"/>
      <c r="D50" s="256"/>
      <c r="E50" s="256"/>
      <c r="F50" s="256"/>
      <c r="G50" s="256"/>
      <c r="H50" s="256"/>
      <c r="I50" s="256"/>
      <c r="J50" s="256"/>
      <c r="K50" s="256"/>
      <c r="L50" s="256"/>
      <c r="M50" s="256"/>
      <c r="N50" s="1922"/>
      <c r="O50" s="1922"/>
      <c r="P50" s="1922"/>
      <c r="Q50" s="1922"/>
      <c r="R50" s="1922"/>
      <c r="S50" s="1922"/>
      <c r="T50" s="1922"/>
      <c r="U50" s="1922"/>
      <c r="V50" s="1923"/>
      <c r="W50" s="1920"/>
      <c r="X50" s="1920"/>
      <c r="Y50" s="1920"/>
      <c r="Z50" s="1920"/>
      <c r="AA50" s="1922"/>
      <c r="AB50" s="1922"/>
      <c r="AC50" s="1922"/>
      <c r="AD50" s="1922"/>
      <c r="AE50" s="1922"/>
      <c r="AF50" s="1922"/>
      <c r="AG50" s="1922"/>
      <c r="AH50" s="1922"/>
      <c r="AI50" s="1923"/>
      <c r="AJ50" s="1920"/>
      <c r="AK50" s="1920"/>
      <c r="AL50" s="1920"/>
      <c r="AM50" s="1920"/>
      <c r="AN50" s="1922"/>
      <c r="AO50" s="1922"/>
      <c r="AP50" s="1922"/>
      <c r="AQ50" s="1922"/>
      <c r="AR50" s="1922"/>
      <c r="AS50" s="1922"/>
      <c r="AT50" s="1922"/>
      <c r="AU50" s="1922"/>
      <c r="AV50" s="1923"/>
      <c r="AW50" s="1920"/>
      <c r="AX50" s="1920"/>
      <c r="AY50" s="1920"/>
      <c r="AZ50" s="1920"/>
      <c r="BC50" s="256"/>
      <c r="BD50" s="255"/>
      <c r="BE50" s="255"/>
      <c r="BF50" s="255"/>
      <c r="BG50" s="255"/>
      <c r="BH50" s="255"/>
      <c r="BI50" s="255"/>
      <c r="BJ50" s="255"/>
      <c r="BK50" s="255"/>
      <c r="BL50" s="255"/>
      <c r="BM50" s="256"/>
      <c r="BO50" s="256"/>
      <c r="BP50" s="256"/>
    </row>
    <row r="51" spans="1:72" ht="15" customHeight="1">
      <c r="A51" s="255"/>
      <c r="B51" s="255"/>
      <c r="C51" s="256"/>
      <c r="D51" s="256"/>
      <c r="E51" s="256"/>
      <c r="F51" s="256"/>
      <c r="G51" s="256"/>
      <c r="H51" s="256"/>
      <c r="I51" s="256"/>
      <c r="J51" s="256"/>
      <c r="K51" s="256"/>
      <c r="L51" s="256"/>
      <c r="M51" s="256"/>
      <c r="N51" s="1922" t="s">
        <v>477</v>
      </c>
      <c r="O51" s="1922"/>
      <c r="P51" s="1922"/>
      <c r="Q51" s="1922"/>
      <c r="R51" s="1922"/>
      <c r="S51" s="1922"/>
      <c r="T51" s="1922"/>
      <c r="U51" s="1922"/>
      <c r="V51" s="1923"/>
      <c r="W51" s="1920"/>
      <c r="X51" s="1920"/>
      <c r="Y51" s="1920"/>
      <c r="Z51" s="1920"/>
      <c r="AA51" s="1922" t="s">
        <v>477</v>
      </c>
      <c r="AB51" s="1922"/>
      <c r="AC51" s="1922"/>
      <c r="AD51" s="1922"/>
      <c r="AE51" s="1922"/>
      <c r="AF51" s="1922"/>
      <c r="AG51" s="1922"/>
      <c r="AH51" s="1922"/>
      <c r="AI51" s="1923"/>
      <c r="AJ51" s="1920"/>
      <c r="AK51" s="1920"/>
      <c r="AL51" s="1920"/>
      <c r="AM51" s="1920"/>
      <c r="AN51" s="1922" t="s">
        <v>477</v>
      </c>
      <c r="AO51" s="1922"/>
      <c r="AP51" s="1922"/>
      <c r="AQ51" s="1922"/>
      <c r="AR51" s="1922"/>
      <c r="AS51" s="1922"/>
      <c r="AT51" s="1922"/>
      <c r="AU51" s="1922"/>
      <c r="AV51" s="1923"/>
      <c r="AW51" s="1920"/>
      <c r="AX51" s="1920"/>
      <c r="AY51" s="1920"/>
      <c r="AZ51" s="1920"/>
      <c r="BC51" s="256"/>
      <c r="BD51" s="255"/>
      <c r="BE51" s="255"/>
      <c r="BF51" s="255"/>
      <c r="BG51" s="255"/>
      <c r="BH51" s="255"/>
      <c r="BI51" s="255"/>
      <c r="BJ51" s="255"/>
      <c r="BK51" s="255"/>
      <c r="BL51" s="255"/>
      <c r="BM51" s="256"/>
      <c r="BO51" s="256"/>
      <c r="BP51" s="256"/>
    </row>
    <row r="52" spans="1:72" ht="15" customHeight="1">
      <c r="A52" s="256"/>
      <c r="B52" s="256"/>
      <c r="C52" s="256"/>
      <c r="D52" s="256"/>
      <c r="E52" s="256"/>
      <c r="F52" s="256"/>
      <c r="G52" s="256"/>
      <c r="H52" s="256"/>
      <c r="I52" s="256"/>
      <c r="J52" s="256"/>
      <c r="K52" s="256"/>
      <c r="L52" s="256"/>
      <c r="M52" s="256"/>
      <c r="N52" s="1922"/>
      <c r="O52" s="1922"/>
      <c r="P52" s="1922"/>
      <c r="Q52" s="1922"/>
      <c r="R52" s="1922"/>
      <c r="S52" s="1922"/>
      <c r="T52" s="1922"/>
      <c r="U52" s="1922"/>
      <c r="V52" s="1923"/>
      <c r="W52" s="1920"/>
      <c r="X52" s="1920"/>
      <c r="Y52" s="1920"/>
      <c r="Z52" s="1920"/>
      <c r="AA52" s="1922"/>
      <c r="AB52" s="1922"/>
      <c r="AC52" s="1922"/>
      <c r="AD52" s="1922"/>
      <c r="AE52" s="1922"/>
      <c r="AF52" s="1922"/>
      <c r="AG52" s="1922"/>
      <c r="AH52" s="1922"/>
      <c r="AI52" s="1923"/>
      <c r="AJ52" s="1920"/>
      <c r="AK52" s="1920"/>
      <c r="AL52" s="1920"/>
      <c r="AM52" s="1920"/>
      <c r="AN52" s="1922"/>
      <c r="AO52" s="1922"/>
      <c r="AP52" s="1922"/>
      <c r="AQ52" s="1922"/>
      <c r="AR52" s="1922"/>
      <c r="AS52" s="1922"/>
      <c r="AT52" s="1922"/>
      <c r="AU52" s="1922"/>
      <c r="AV52" s="1923"/>
      <c r="AW52" s="1920"/>
      <c r="AX52" s="1920"/>
      <c r="AY52" s="1920"/>
      <c r="AZ52" s="1920"/>
      <c r="BC52" s="256"/>
      <c r="BD52" s="256"/>
      <c r="BE52" s="256"/>
      <c r="BF52" s="256"/>
      <c r="BG52" s="256"/>
      <c r="BH52" s="256"/>
      <c r="BI52" s="256"/>
      <c r="BJ52" s="256"/>
      <c r="BK52" s="256"/>
      <c r="BL52" s="256"/>
      <c r="BM52" s="256"/>
      <c r="BO52" s="256"/>
      <c r="BP52" s="256"/>
    </row>
    <row r="53" spans="1:72" ht="15" customHeight="1">
      <c r="A53" s="256"/>
      <c r="B53" s="256"/>
      <c r="C53" s="256"/>
      <c r="D53" s="256"/>
      <c r="E53" s="256"/>
      <c r="F53" s="256"/>
      <c r="G53" s="256"/>
      <c r="H53" s="256"/>
      <c r="I53" s="256"/>
      <c r="J53" s="256"/>
      <c r="K53" s="256"/>
      <c r="L53" s="256"/>
      <c r="M53" s="256"/>
      <c r="N53" s="1922" t="s">
        <v>495</v>
      </c>
      <c r="O53" s="1922"/>
      <c r="P53" s="1922"/>
      <c r="Q53" s="1922"/>
      <c r="R53" s="1922"/>
      <c r="S53" s="1922"/>
      <c r="T53" s="1922"/>
      <c r="U53" s="1922"/>
      <c r="V53" s="1923"/>
      <c r="W53" s="1920"/>
      <c r="X53" s="1920"/>
      <c r="Y53" s="1920"/>
      <c r="Z53" s="1920"/>
      <c r="AA53" s="257"/>
      <c r="AB53" s="258"/>
      <c r="AC53" s="258"/>
      <c r="AD53" s="258"/>
      <c r="AE53" s="258"/>
      <c r="AF53" s="257"/>
      <c r="AG53" s="257"/>
      <c r="AH53" s="258"/>
      <c r="AI53" s="258"/>
      <c r="AJ53" s="258"/>
      <c r="AK53" s="258"/>
      <c r="AL53" s="256"/>
      <c r="AM53" s="256"/>
      <c r="AN53" s="256"/>
      <c r="AO53" s="256"/>
      <c r="AP53" s="256"/>
      <c r="AQ53" s="256"/>
      <c r="AR53" s="256"/>
      <c r="AS53" s="256"/>
      <c r="AT53" s="256"/>
      <c r="AU53" s="256"/>
      <c r="AV53" s="256"/>
      <c r="AW53" s="256"/>
      <c r="AX53" s="256"/>
      <c r="AY53" s="256"/>
      <c r="AZ53" s="256"/>
      <c r="BC53" s="256"/>
      <c r="BD53" s="256"/>
      <c r="BE53" s="256"/>
      <c r="BF53" s="256"/>
      <c r="BG53" s="256"/>
      <c r="BH53" s="256"/>
      <c r="BI53" s="256"/>
      <c r="BJ53" s="256"/>
      <c r="BK53" s="256"/>
      <c r="BL53" s="256"/>
      <c r="BM53" s="256"/>
      <c r="BO53" s="256"/>
      <c r="BP53" s="256"/>
    </row>
    <row r="54" spans="1:72" ht="15" customHeight="1">
      <c r="A54" s="256"/>
      <c r="B54" s="256"/>
      <c r="C54" s="256"/>
      <c r="D54" s="256"/>
      <c r="E54" s="256"/>
      <c r="F54" s="256"/>
      <c r="G54" s="256"/>
      <c r="H54" s="256"/>
      <c r="I54" s="256"/>
      <c r="J54" s="256"/>
      <c r="K54" s="256"/>
      <c r="L54" s="256"/>
      <c r="M54" s="256"/>
      <c r="N54" s="1922"/>
      <c r="O54" s="1922"/>
      <c r="P54" s="1922"/>
      <c r="Q54" s="1922"/>
      <c r="R54" s="1922"/>
      <c r="S54" s="1922"/>
      <c r="T54" s="1922"/>
      <c r="U54" s="1922"/>
      <c r="V54" s="1923"/>
      <c r="W54" s="1920"/>
      <c r="X54" s="1920"/>
      <c r="Y54" s="1920"/>
      <c r="Z54" s="1920"/>
      <c r="AA54" s="257"/>
      <c r="AB54" s="258"/>
      <c r="AC54" s="258"/>
      <c r="AD54" s="258"/>
      <c r="AE54" s="258"/>
      <c r="AF54" s="257"/>
      <c r="AG54" s="257"/>
      <c r="AH54" s="258"/>
      <c r="AI54" s="258"/>
      <c r="AJ54" s="258"/>
      <c r="AK54" s="258"/>
      <c r="AL54" s="256"/>
      <c r="AM54" s="256"/>
      <c r="AN54" s="256"/>
      <c r="AO54" s="256"/>
      <c r="AP54" s="256"/>
      <c r="AQ54" s="256"/>
      <c r="AR54" s="256"/>
      <c r="AS54" s="256"/>
      <c r="AT54" s="256"/>
      <c r="AU54" s="256"/>
      <c r="AV54" s="256"/>
      <c r="AW54" s="256"/>
      <c r="AX54" s="256"/>
      <c r="AY54" s="256"/>
      <c r="AZ54" s="256"/>
      <c r="BC54" s="256"/>
      <c r="BD54" s="256"/>
      <c r="BE54" s="256"/>
      <c r="BF54" s="256"/>
      <c r="BG54" s="256"/>
      <c r="BH54" s="256"/>
      <c r="BI54" s="256"/>
      <c r="BJ54" s="256"/>
      <c r="BK54" s="256"/>
      <c r="BL54" s="256"/>
      <c r="BM54" s="255"/>
      <c r="BO54" s="255"/>
      <c r="BP54" s="255"/>
    </row>
    <row r="55" spans="1:72" ht="15" customHeight="1">
      <c r="A55" s="1917" t="s">
        <v>573</v>
      </c>
      <c r="B55" s="1917"/>
      <c r="C55" s="1917"/>
      <c r="D55" s="1917"/>
      <c r="E55" s="1917"/>
      <c r="F55" s="1917"/>
      <c r="G55" s="1917"/>
      <c r="H55" s="1917"/>
      <c r="I55" s="1917"/>
      <c r="J55" s="1917"/>
      <c r="K55" s="1917"/>
      <c r="L55" s="1917"/>
      <c r="M55" s="1917"/>
      <c r="N55" s="1917"/>
      <c r="O55" s="1917"/>
      <c r="P55" s="1917"/>
      <c r="Q55" s="1917"/>
      <c r="R55" s="1917"/>
      <c r="S55" s="1917"/>
      <c r="T55" s="1917"/>
      <c r="U55" s="1917"/>
      <c r="V55" s="1917"/>
      <c r="W55" s="1917"/>
      <c r="X55" s="1917"/>
      <c r="Y55" s="1917"/>
      <c r="Z55" s="1917"/>
      <c r="AA55" s="1917"/>
      <c r="AB55" s="1917"/>
      <c r="AC55" s="1917"/>
      <c r="AD55" s="1917"/>
      <c r="AE55" s="1917"/>
      <c r="AF55" s="1917"/>
      <c r="AG55" s="1917"/>
      <c r="AH55" s="1917"/>
      <c r="AI55" s="1917"/>
      <c r="AJ55" s="1917"/>
      <c r="AK55" s="1917"/>
      <c r="AL55" s="1917"/>
      <c r="AM55" s="1917"/>
      <c r="AN55" s="1917"/>
      <c r="AO55" s="1917"/>
      <c r="AP55" s="1917"/>
      <c r="AQ55" s="1917"/>
      <c r="AR55" s="1917"/>
      <c r="AS55" s="1917"/>
      <c r="AT55" s="1917"/>
      <c r="AU55" s="1917"/>
      <c r="AV55" s="1917"/>
      <c r="AW55" s="1917"/>
      <c r="AX55" s="1917"/>
      <c r="AY55" s="1917"/>
      <c r="AZ55" s="1917"/>
      <c r="BA55" s="1917"/>
      <c r="BB55" s="1917"/>
      <c r="BC55" s="1917"/>
      <c r="BD55" s="1917"/>
      <c r="BE55" s="1917"/>
      <c r="BF55" s="1917"/>
      <c r="BG55" s="1917"/>
      <c r="BH55" s="1917"/>
      <c r="BI55" s="1917"/>
      <c r="BJ55" s="1917"/>
      <c r="BK55" s="1917"/>
      <c r="BL55" s="1917"/>
      <c r="BM55" s="1917"/>
      <c r="BN55" s="1917"/>
      <c r="BO55" s="1917"/>
      <c r="BP55" s="1917"/>
      <c r="BQ55" s="1917"/>
      <c r="BR55" s="1917"/>
      <c r="BS55" s="1917"/>
      <c r="BT55" s="1917"/>
    </row>
    <row r="56" spans="1:72" ht="15" customHeight="1">
      <c r="A56" s="1917"/>
      <c r="B56" s="1917"/>
      <c r="C56" s="1917"/>
      <c r="D56" s="1917"/>
      <c r="E56" s="1917"/>
      <c r="F56" s="1917"/>
      <c r="G56" s="1917"/>
      <c r="H56" s="1917"/>
      <c r="I56" s="1917"/>
      <c r="J56" s="1917"/>
      <c r="K56" s="1917"/>
      <c r="L56" s="1917"/>
      <c r="M56" s="1917"/>
      <c r="N56" s="1917"/>
      <c r="O56" s="1917"/>
      <c r="P56" s="1917"/>
      <c r="Q56" s="1917"/>
      <c r="R56" s="1917"/>
      <c r="S56" s="1917"/>
      <c r="T56" s="1917"/>
      <c r="U56" s="1917"/>
      <c r="V56" s="1917"/>
      <c r="W56" s="1917"/>
      <c r="X56" s="1917"/>
      <c r="Y56" s="1917"/>
      <c r="Z56" s="1917"/>
      <c r="AA56" s="1917"/>
      <c r="AB56" s="1917"/>
      <c r="AC56" s="1917"/>
      <c r="AD56" s="1917"/>
      <c r="AE56" s="1917"/>
      <c r="AF56" s="1917"/>
      <c r="AG56" s="1917"/>
      <c r="AH56" s="1917"/>
      <c r="AI56" s="1917"/>
      <c r="AJ56" s="1917"/>
      <c r="AK56" s="1917"/>
      <c r="AL56" s="1917"/>
      <c r="AM56" s="1917"/>
      <c r="AN56" s="1917"/>
      <c r="AO56" s="1917"/>
      <c r="AP56" s="1917"/>
      <c r="AQ56" s="1917"/>
      <c r="AR56" s="1917"/>
      <c r="AS56" s="1917"/>
      <c r="AT56" s="1917"/>
      <c r="AU56" s="1917"/>
      <c r="AV56" s="1917"/>
      <c r="AW56" s="1917"/>
      <c r="AX56" s="1917"/>
      <c r="AY56" s="1917"/>
      <c r="AZ56" s="1917"/>
      <c r="BA56" s="1917"/>
      <c r="BB56" s="1917"/>
      <c r="BC56" s="1917"/>
      <c r="BD56" s="1917"/>
      <c r="BE56" s="1917"/>
      <c r="BF56" s="1917"/>
      <c r="BG56" s="1917"/>
      <c r="BH56" s="1917"/>
      <c r="BI56" s="1917"/>
      <c r="BJ56" s="1917"/>
      <c r="BK56" s="1917"/>
      <c r="BL56" s="1917"/>
      <c r="BM56" s="1917"/>
      <c r="BN56" s="1917"/>
      <c r="BO56" s="1917"/>
      <c r="BP56" s="1917"/>
      <c r="BQ56" s="1917"/>
      <c r="BR56" s="1917"/>
      <c r="BS56" s="1917"/>
      <c r="BT56" s="1917"/>
    </row>
    <row r="57" spans="1:72" ht="15" customHeight="1">
      <c r="A57" s="1954"/>
      <c r="B57" s="1955" t="s">
        <v>504</v>
      </c>
      <c r="C57" s="1955"/>
      <c r="D57" s="1955"/>
      <c r="E57" s="1955"/>
      <c r="F57" s="1955"/>
      <c r="G57" s="1955"/>
      <c r="H57" s="1955"/>
      <c r="I57" s="1955"/>
      <c r="J57" s="1955"/>
      <c r="K57" s="1962"/>
      <c r="L57" s="1962"/>
      <c r="M57" s="1956"/>
      <c r="N57" s="1955" t="s">
        <v>505</v>
      </c>
      <c r="O57" s="1955"/>
      <c r="P57" s="1955"/>
      <c r="Q57" s="1955"/>
      <c r="R57" s="1955"/>
      <c r="S57" s="1955"/>
      <c r="T57" s="1955"/>
      <c r="U57" s="1955"/>
      <c r="V57" s="1955"/>
      <c r="W57" s="1962"/>
      <c r="X57" s="1962"/>
      <c r="Y57" s="1957"/>
      <c r="Z57" s="1955" t="s">
        <v>506</v>
      </c>
      <c r="AA57" s="1955"/>
      <c r="AB57" s="1955"/>
      <c r="AC57" s="1955"/>
      <c r="AD57" s="1955"/>
      <c r="AE57" s="1955"/>
      <c r="AF57" s="1955"/>
      <c r="AG57" s="1955"/>
      <c r="AH57" s="1955"/>
      <c r="AI57" s="1962"/>
      <c r="AJ57" s="1962"/>
      <c r="AK57" s="1976"/>
      <c r="AL57" s="1955" t="s">
        <v>507</v>
      </c>
      <c r="AM57" s="1955"/>
      <c r="AN57" s="1955"/>
      <c r="AO57" s="1955"/>
      <c r="AP57" s="1955"/>
      <c r="AQ57" s="1955"/>
      <c r="AR57" s="1955"/>
      <c r="AS57" s="1955"/>
      <c r="AT57" s="1955"/>
      <c r="AU57" s="1962"/>
      <c r="AV57" s="1962"/>
      <c r="AW57" s="1977"/>
      <c r="AX57" s="1955" t="s">
        <v>508</v>
      </c>
      <c r="AY57" s="1955"/>
      <c r="AZ57" s="1955"/>
      <c r="BA57" s="1955"/>
      <c r="BB57" s="1955"/>
      <c r="BC57" s="1955"/>
      <c r="BD57" s="1955"/>
      <c r="BE57" s="1955"/>
      <c r="BF57" s="1955"/>
      <c r="BG57" s="1962"/>
      <c r="BH57" s="1962"/>
      <c r="BJ57" s="1182" t="s">
        <v>263</v>
      </c>
      <c r="BK57" s="1183"/>
      <c r="BL57" s="1183"/>
      <c r="BM57" s="1183"/>
      <c r="BN57" s="1183"/>
      <c r="BO57" s="1184"/>
    </row>
    <row r="58" spans="1:72" ht="15" customHeight="1">
      <c r="A58" s="1954"/>
      <c r="B58" s="1955"/>
      <c r="C58" s="1955"/>
      <c r="D58" s="1955"/>
      <c r="E58" s="1955"/>
      <c r="F58" s="1955"/>
      <c r="G58" s="1955"/>
      <c r="H58" s="1955"/>
      <c r="I58" s="1955"/>
      <c r="J58" s="1955"/>
      <c r="K58" s="1962"/>
      <c r="L58" s="1962"/>
      <c r="M58" s="1956"/>
      <c r="N58" s="1955"/>
      <c r="O58" s="1955"/>
      <c r="P58" s="1955"/>
      <c r="Q58" s="1955"/>
      <c r="R58" s="1955"/>
      <c r="S58" s="1955"/>
      <c r="T58" s="1955"/>
      <c r="U58" s="1955"/>
      <c r="V58" s="1955"/>
      <c r="W58" s="1962"/>
      <c r="X58" s="1962"/>
      <c r="Y58" s="1957"/>
      <c r="Z58" s="1955"/>
      <c r="AA58" s="1955"/>
      <c r="AB58" s="1955"/>
      <c r="AC58" s="1955"/>
      <c r="AD58" s="1955"/>
      <c r="AE58" s="1955"/>
      <c r="AF58" s="1955"/>
      <c r="AG58" s="1955"/>
      <c r="AH58" s="1955"/>
      <c r="AI58" s="1962"/>
      <c r="AJ58" s="1962"/>
      <c r="AK58" s="1976"/>
      <c r="AL58" s="1955"/>
      <c r="AM58" s="1955"/>
      <c r="AN58" s="1955"/>
      <c r="AO58" s="1955"/>
      <c r="AP58" s="1955"/>
      <c r="AQ58" s="1955"/>
      <c r="AR58" s="1955"/>
      <c r="AS58" s="1955"/>
      <c r="AT58" s="1955"/>
      <c r="AU58" s="1962"/>
      <c r="AV58" s="1962"/>
      <c r="AW58" s="1977"/>
      <c r="AX58" s="1955"/>
      <c r="AY58" s="1955"/>
      <c r="AZ58" s="1955"/>
      <c r="BA58" s="1955"/>
      <c r="BB58" s="1955"/>
      <c r="BC58" s="1955"/>
      <c r="BD58" s="1955"/>
      <c r="BE58" s="1955"/>
      <c r="BF58" s="1955"/>
      <c r="BG58" s="1962"/>
      <c r="BH58" s="1962"/>
      <c r="BJ58" s="1965"/>
      <c r="BK58" s="1965"/>
      <c r="BL58" s="1965"/>
      <c r="BM58" s="1965"/>
      <c r="BN58" s="1965"/>
      <c r="BO58" s="1965"/>
    </row>
    <row r="59" spans="1:72" ht="15" customHeight="1">
      <c r="A59" s="1948" t="s">
        <v>510</v>
      </c>
      <c r="B59" s="1948"/>
      <c r="C59" s="1948"/>
      <c r="D59" s="1948"/>
      <c r="E59" s="1948"/>
      <c r="F59" s="1948"/>
      <c r="G59" s="1948"/>
      <c r="H59" s="1948"/>
      <c r="I59" s="1948"/>
      <c r="J59" s="1948"/>
      <c r="K59" s="1951" t="str">
        <f>IF(ISBLANK(K$57),"",1)</f>
        <v/>
      </c>
      <c r="L59" s="1951" t="str">
        <f>IF(ISBLANK($L$57),"",1)</f>
        <v/>
      </c>
      <c r="M59" s="1948" t="s">
        <v>511</v>
      </c>
      <c r="N59" s="1948"/>
      <c r="O59" s="1948"/>
      <c r="P59" s="1948"/>
      <c r="Q59" s="1948"/>
      <c r="R59" s="1948"/>
      <c r="S59" s="1948"/>
      <c r="T59" s="1948"/>
      <c r="U59" s="1948"/>
      <c r="V59" s="1948"/>
      <c r="W59" s="1951" t="str">
        <f>IF(ISBLANK(W$57),"",1)</f>
        <v/>
      </c>
      <c r="X59" s="1951" t="str">
        <f>IF(ISBLANK(X$57),"",1)</f>
        <v/>
      </c>
      <c r="Y59" s="1948" t="s">
        <v>512</v>
      </c>
      <c r="Z59" s="1948"/>
      <c r="AA59" s="1948"/>
      <c r="AB59" s="1948"/>
      <c r="AC59" s="1948"/>
      <c r="AD59" s="1948"/>
      <c r="AE59" s="1948"/>
      <c r="AF59" s="1948"/>
      <c r="AG59" s="1948"/>
      <c r="AH59" s="1948"/>
      <c r="AI59" s="1951" t="str">
        <f>IF(ISBLANK($AI$57),"",1)</f>
        <v/>
      </c>
      <c r="AJ59" s="1951" t="str">
        <f>IF(ISBLANK(AJ$57),"",1)</f>
        <v/>
      </c>
      <c r="AK59" s="1948" t="s">
        <v>513</v>
      </c>
      <c r="AL59" s="1948"/>
      <c r="AM59" s="1948"/>
      <c r="AN59" s="1948"/>
      <c r="AO59" s="1948"/>
      <c r="AP59" s="1948"/>
      <c r="AQ59" s="1948"/>
      <c r="AR59" s="1948"/>
      <c r="AS59" s="1948"/>
      <c r="AT59" s="1948"/>
      <c r="AU59" s="1951" t="str">
        <f>IF(ISBLANK($AU$57),"",1)</f>
        <v/>
      </c>
      <c r="AV59" s="1951" t="str">
        <f>IF(ISBLANK(AV$57),"",1)</f>
        <v/>
      </c>
      <c r="AW59" s="1948" t="s">
        <v>514</v>
      </c>
      <c r="AX59" s="1948"/>
      <c r="AY59" s="1948"/>
      <c r="AZ59" s="1948"/>
      <c r="BA59" s="1948"/>
      <c r="BB59" s="1948"/>
      <c r="BC59" s="1948"/>
      <c r="BD59" s="1948"/>
      <c r="BE59" s="1948"/>
      <c r="BF59" s="1948"/>
      <c r="BG59" s="1959" t="str">
        <f>IF(ISBLANK(BG$57),"",1)</f>
        <v/>
      </c>
      <c r="BH59" s="1951" t="str">
        <f>IF(ISBLANK(BH$57),"",1)</f>
        <v/>
      </c>
      <c r="BJ59" s="1965"/>
      <c r="BK59" s="1965"/>
      <c r="BL59" s="1965"/>
      <c r="BM59" s="1965"/>
      <c r="BN59" s="1965"/>
      <c r="BO59" s="1965"/>
    </row>
    <row r="60" spans="1:72" ht="15" customHeight="1">
      <c r="A60" s="1949"/>
      <c r="B60" s="1949"/>
      <c r="C60" s="1949"/>
      <c r="D60" s="1949"/>
      <c r="E60" s="1949"/>
      <c r="F60" s="1949"/>
      <c r="G60" s="1949"/>
      <c r="H60" s="1949"/>
      <c r="I60" s="1949"/>
      <c r="J60" s="1949"/>
      <c r="K60" s="1951"/>
      <c r="L60" s="1951"/>
      <c r="M60" s="1949"/>
      <c r="N60" s="1949"/>
      <c r="O60" s="1949"/>
      <c r="P60" s="1949"/>
      <c r="Q60" s="1949"/>
      <c r="R60" s="1949"/>
      <c r="S60" s="1949"/>
      <c r="T60" s="1949"/>
      <c r="U60" s="1949"/>
      <c r="V60" s="1949"/>
      <c r="W60" s="1951"/>
      <c r="X60" s="1951"/>
      <c r="Y60" s="1949"/>
      <c r="Z60" s="1949"/>
      <c r="AA60" s="1949"/>
      <c r="AB60" s="1949"/>
      <c r="AC60" s="1949"/>
      <c r="AD60" s="1949"/>
      <c r="AE60" s="1949"/>
      <c r="AF60" s="1949"/>
      <c r="AG60" s="1949"/>
      <c r="AH60" s="1949"/>
      <c r="AI60" s="1951"/>
      <c r="AJ60" s="1951"/>
      <c r="AK60" s="1949"/>
      <c r="AL60" s="1949"/>
      <c r="AM60" s="1949"/>
      <c r="AN60" s="1949"/>
      <c r="AO60" s="1949"/>
      <c r="AP60" s="1949"/>
      <c r="AQ60" s="1949"/>
      <c r="AR60" s="1949"/>
      <c r="AS60" s="1949"/>
      <c r="AT60" s="1949"/>
      <c r="AU60" s="1951"/>
      <c r="AV60" s="1951"/>
      <c r="AW60" s="1949"/>
      <c r="AX60" s="1949"/>
      <c r="AY60" s="1949"/>
      <c r="AZ60" s="1949"/>
      <c r="BA60" s="1949"/>
      <c r="BB60" s="1949"/>
      <c r="BC60" s="1949"/>
      <c r="BD60" s="1949"/>
      <c r="BE60" s="1949"/>
      <c r="BF60" s="1949"/>
      <c r="BG60" s="1951"/>
      <c r="BH60" s="1951"/>
      <c r="BJ60" s="1965"/>
      <c r="BK60" s="1965"/>
      <c r="BL60" s="1965"/>
      <c r="BM60" s="1965"/>
      <c r="BN60" s="1965"/>
      <c r="BO60" s="1965"/>
    </row>
    <row r="61" spans="1:72" ht="15" customHeight="1">
      <c r="A61" s="1949"/>
      <c r="B61" s="1949"/>
      <c r="C61" s="1949"/>
      <c r="D61" s="1949"/>
      <c r="E61" s="1949"/>
      <c r="F61" s="1949"/>
      <c r="G61" s="1949"/>
      <c r="H61" s="1949"/>
      <c r="I61" s="1949"/>
      <c r="J61" s="1949"/>
      <c r="K61" s="1952"/>
      <c r="L61" s="1952"/>
      <c r="M61" s="1949"/>
      <c r="N61" s="1949"/>
      <c r="O61" s="1949"/>
      <c r="P61" s="1949"/>
      <c r="Q61" s="1949"/>
      <c r="R61" s="1949"/>
      <c r="S61" s="1949"/>
      <c r="T61" s="1949"/>
      <c r="U61" s="1949"/>
      <c r="V61" s="1949"/>
      <c r="W61" s="1952"/>
      <c r="X61" s="1952"/>
      <c r="Y61" s="1949"/>
      <c r="Z61" s="1949"/>
      <c r="AA61" s="1949"/>
      <c r="AB61" s="1949"/>
      <c r="AC61" s="1949"/>
      <c r="AD61" s="1949"/>
      <c r="AE61" s="1949"/>
      <c r="AF61" s="1949"/>
      <c r="AG61" s="1949"/>
      <c r="AH61" s="1949"/>
      <c r="AI61" s="1952"/>
      <c r="AJ61" s="1952"/>
      <c r="AK61" s="1949"/>
      <c r="AL61" s="1949"/>
      <c r="AM61" s="1949"/>
      <c r="AN61" s="1949"/>
      <c r="AO61" s="1949"/>
      <c r="AP61" s="1949"/>
      <c r="AQ61" s="1949"/>
      <c r="AR61" s="1949"/>
      <c r="AS61" s="1949"/>
      <c r="AT61" s="1949"/>
      <c r="AU61" s="1952"/>
      <c r="AV61" s="1952"/>
      <c r="AW61" s="1949"/>
      <c r="AX61" s="1949"/>
      <c r="AY61" s="1949"/>
      <c r="AZ61" s="1949"/>
      <c r="BA61" s="1949"/>
      <c r="BB61" s="1949"/>
      <c r="BC61" s="1949"/>
      <c r="BD61" s="1949"/>
      <c r="BE61" s="1949"/>
      <c r="BF61" s="1949"/>
      <c r="BG61" s="1952"/>
      <c r="BH61" s="1952"/>
      <c r="BJ61" s="1965"/>
      <c r="BK61" s="1965"/>
      <c r="BL61" s="1965"/>
      <c r="BM61" s="1965"/>
      <c r="BN61" s="1965"/>
      <c r="BO61" s="1965"/>
    </row>
    <row r="62" spans="1:72" ht="15" customHeight="1">
      <c r="A62" s="1949" t="s">
        <v>516</v>
      </c>
      <c r="B62" s="1949"/>
      <c r="C62" s="1949"/>
      <c r="D62" s="1949"/>
      <c r="E62" s="1949"/>
      <c r="F62" s="1949"/>
      <c r="G62" s="1949"/>
      <c r="H62" s="1949"/>
      <c r="I62" s="1949"/>
      <c r="J62" s="1949"/>
      <c r="K62" s="1950" t="str">
        <f>IF(ISBLANK(K$57),"",1)</f>
        <v/>
      </c>
      <c r="L62" s="1950" t="str">
        <f>IF(ISBLANK($L$57),"",1)</f>
        <v/>
      </c>
      <c r="M62" s="1949" t="s">
        <v>517</v>
      </c>
      <c r="N62" s="1949"/>
      <c r="O62" s="1949"/>
      <c r="P62" s="1949"/>
      <c r="Q62" s="1949"/>
      <c r="R62" s="1949"/>
      <c r="S62" s="1949"/>
      <c r="T62" s="1949"/>
      <c r="U62" s="1949"/>
      <c r="V62" s="1949"/>
      <c r="W62" s="1950" t="str">
        <f>IF(ISBLANK(W$57),"",1)</f>
        <v/>
      </c>
      <c r="X62" s="1950" t="str">
        <f>IF(ISBLANK(X$57),"",1)</f>
        <v/>
      </c>
      <c r="Y62" s="1949" t="s">
        <v>518</v>
      </c>
      <c r="Z62" s="1949"/>
      <c r="AA62" s="1949"/>
      <c r="AB62" s="1949"/>
      <c r="AC62" s="1949"/>
      <c r="AD62" s="1949"/>
      <c r="AE62" s="1949"/>
      <c r="AF62" s="1949"/>
      <c r="AG62" s="1949"/>
      <c r="AH62" s="1949"/>
      <c r="AI62" s="1951" t="str">
        <f>IF(ISBLANK($AI$57),"",1)</f>
        <v/>
      </c>
      <c r="AJ62" s="1951" t="str">
        <f t="shared" ref="AJ62" si="0">IF(ISBLANK(AJ$57),"",1)</f>
        <v/>
      </c>
      <c r="AK62" s="1949" t="s">
        <v>519</v>
      </c>
      <c r="AL62" s="1949"/>
      <c r="AM62" s="1949"/>
      <c r="AN62" s="1949"/>
      <c r="AO62" s="1949"/>
      <c r="AP62" s="1949"/>
      <c r="AQ62" s="1949"/>
      <c r="AR62" s="1949"/>
      <c r="AS62" s="1949"/>
      <c r="AT62" s="1949"/>
      <c r="AU62" s="1951" t="str">
        <f>IF(ISBLANK($AU$57),"",1)</f>
        <v/>
      </c>
      <c r="AV62" s="1951" t="str">
        <f t="shared" ref="AV62" si="1">IF(ISBLANK(AV$57),"",1)</f>
        <v/>
      </c>
      <c r="AW62" s="1949" t="s">
        <v>520</v>
      </c>
      <c r="AX62" s="1949"/>
      <c r="AY62" s="1949"/>
      <c r="AZ62" s="1949"/>
      <c r="BA62" s="1949"/>
      <c r="BB62" s="1949"/>
      <c r="BC62" s="1949"/>
      <c r="BD62" s="1949"/>
      <c r="BE62" s="1949"/>
      <c r="BF62" s="1949"/>
      <c r="BG62" s="1951" t="str">
        <f t="shared" ref="BG62:BH62" si="2">IF(ISBLANK(BG$57),"",1)</f>
        <v/>
      </c>
      <c r="BH62" s="1951" t="str">
        <f t="shared" si="2"/>
        <v/>
      </c>
      <c r="BJ62" s="1965"/>
      <c r="BK62" s="1965"/>
      <c r="BL62" s="1965"/>
      <c r="BM62" s="1965"/>
      <c r="BN62" s="1965"/>
      <c r="BO62" s="1965"/>
    </row>
    <row r="63" spans="1:72" ht="15" customHeight="1">
      <c r="A63" s="1949"/>
      <c r="B63" s="1949"/>
      <c r="C63" s="1949"/>
      <c r="D63" s="1949"/>
      <c r="E63" s="1949"/>
      <c r="F63" s="1949"/>
      <c r="G63" s="1949"/>
      <c r="H63" s="1949"/>
      <c r="I63" s="1949"/>
      <c r="J63" s="1949"/>
      <c r="K63" s="1951"/>
      <c r="L63" s="1951"/>
      <c r="M63" s="1949"/>
      <c r="N63" s="1949"/>
      <c r="O63" s="1949"/>
      <c r="P63" s="1949"/>
      <c r="Q63" s="1949"/>
      <c r="R63" s="1949"/>
      <c r="S63" s="1949"/>
      <c r="T63" s="1949"/>
      <c r="U63" s="1949"/>
      <c r="V63" s="1949"/>
      <c r="W63" s="1951"/>
      <c r="X63" s="1951"/>
      <c r="Y63" s="1949"/>
      <c r="Z63" s="1949"/>
      <c r="AA63" s="1949"/>
      <c r="AB63" s="1949"/>
      <c r="AC63" s="1949"/>
      <c r="AD63" s="1949"/>
      <c r="AE63" s="1949"/>
      <c r="AF63" s="1949"/>
      <c r="AG63" s="1949"/>
      <c r="AH63" s="1949"/>
      <c r="AI63" s="1951"/>
      <c r="AJ63" s="1951"/>
      <c r="AK63" s="1949"/>
      <c r="AL63" s="1949"/>
      <c r="AM63" s="1949"/>
      <c r="AN63" s="1949"/>
      <c r="AO63" s="1949"/>
      <c r="AP63" s="1949"/>
      <c r="AQ63" s="1949"/>
      <c r="AR63" s="1949"/>
      <c r="AS63" s="1949"/>
      <c r="AT63" s="1949"/>
      <c r="AU63" s="1951"/>
      <c r="AV63" s="1951"/>
      <c r="AW63" s="1949"/>
      <c r="AX63" s="1949"/>
      <c r="AY63" s="1949"/>
      <c r="AZ63" s="1949"/>
      <c r="BA63" s="1949"/>
      <c r="BB63" s="1949"/>
      <c r="BC63" s="1949"/>
      <c r="BD63" s="1949"/>
      <c r="BE63" s="1949"/>
      <c r="BF63" s="1949"/>
      <c r="BG63" s="1951"/>
      <c r="BH63" s="1951"/>
      <c r="BJ63" s="1965"/>
      <c r="BK63" s="1965"/>
      <c r="BL63" s="1965"/>
      <c r="BM63" s="1965"/>
      <c r="BN63" s="1965"/>
      <c r="BO63" s="1965"/>
    </row>
    <row r="64" spans="1:72" ht="15" customHeight="1">
      <c r="A64" s="1949"/>
      <c r="B64" s="1949"/>
      <c r="C64" s="1949"/>
      <c r="D64" s="1949"/>
      <c r="E64" s="1949"/>
      <c r="F64" s="1949"/>
      <c r="G64" s="1949"/>
      <c r="H64" s="1949"/>
      <c r="I64" s="1949"/>
      <c r="J64" s="1949"/>
      <c r="K64" s="1951"/>
      <c r="L64" s="1951"/>
      <c r="M64" s="1949"/>
      <c r="N64" s="1949"/>
      <c r="O64" s="1949"/>
      <c r="P64" s="1949"/>
      <c r="Q64" s="1949"/>
      <c r="R64" s="1949"/>
      <c r="S64" s="1949"/>
      <c r="T64" s="1949"/>
      <c r="U64" s="1949"/>
      <c r="V64" s="1949"/>
      <c r="W64" s="1951"/>
      <c r="X64" s="1951"/>
      <c r="Y64" s="1949" t="s">
        <v>522</v>
      </c>
      <c r="Z64" s="1949"/>
      <c r="AA64" s="1949"/>
      <c r="AB64" s="1949"/>
      <c r="AC64" s="1949"/>
      <c r="AD64" s="1949"/>
      <c r="AE64" s="1949"/>
      <c r="AF64" s="1949">
        <v>5.2</v>
      </c>
      <c r="AG64" s="1949"/>
      <c r="AH64" s="1949"/>
      <c r="AI64" s="1952"/>
      <c r="AJ64" s="1952"/>
      <c r="AK64" s="1949"/>
      <c r="AL64" s="1949"/>
      <c r="AM64" s="1949"/>
      <c r="AN64" s="1949"/>
      <c r="AO64" s="1949"/>
      <c r="AP64" s="1949"/>
      <c r="AQ64" s="1949"/>
      <c r="AR64" s="1949"/>
      <c r="AS64" s="1949"/>
      <c r="AT64" s="1949"/>
      <c r="AU64" s="1952"/>
      <c r="AV64" s="1952"/>
      <c r="AW64" s="1949"/>
      <c r="AX64" s="1949"/>
      <c r="AY64" s="1949"/>
      <c r="AZ64" s="1949"/>
      <c r="BA64" s="1949"/>
      <c r="BB64" s="1949"/>
      <c r="BC64" s="1949"/>
      <c r="BD64" s="1949"/>
      <c r="BE64" s="1949"/>
      <c r="BF64" s="1949"/>
      <c r="BG64" s="1952"/>
      <c r="BH64" s="1952"/>
      <c r="BJ64" s="1965"/>
      <c r="BK64" s="1965"/>
      <c r="BL64" s="1965"/>
      <c r="BM64" s="1965"/>
      <c r="BN64" s="1965"/>
      <c r="BO64" s="1965"/>
    </row>
    <row r="65" spans="1:72" ht="15" customHeight="1">
      <c r="A65" s="1949" t="s">
        <v>523</v>
      </c>
      <c r="B65" s="1949"/>
      <c r="C65" s="1949"/>
      <c r="D65" s="1949"/>
      <c r="E65" s="1949"/>
      <c r="F65" s="1949"/>
      <c r="G65" s="1949"/>
      <c r="H65" s="1949"/>
      <c r="I65" s="1949"/>
      <c r="J65" s="1949"/>
      <c r="K65" s="1951"/>
      <c r="L65" s="1951"/>
      <c r="M65" s="1949" t="s">
        <v>524</v>
      </c>
      <c r="N65" s="1949"/>
      <c r="O65" s="1949"/>
      <c r="P65" s="1949"/>
      <c r="Q65" s="1949"/>
      <c r="R65" s="1949"/>
      <c r="S65" s="1949"/>
      <c r="T65" s="1949"/>
      <c r="U65" s="1949"/>
      <c r="V65" s="1949"/>
      <c r="W65" s="1951"/>
      <c r="X65" s="1951"/>
      <c r="Y65" s="1949" t="s">
        <v>525</v>
      </c>
      <c r="Z65" s="1949"/>
      <c r="AA65" s="1949"/>
      <c r="AB65" s="1949"/>
      <c r="AC65" s="1949"/>
      <c r="AD65" s="1949"/>
      <c r="AE65" s="1949"/>
      <c r="AF65" s="1949"/>
      <c r="AG65" s="1949"/>
      <c r="AH65" s="1949"/>
      <c r="AI65" s="1951" t="str">
        <f>IF(ISBLANK($AI$57),"",1)</f>
        <v/>
      </c>
      <c r="AJ65" s="1951" t="str">
        <f t="shared" ref="AJ65" si="3">IF(ISBLANK(AJ$57),"",1)</f>
        <v/>
      </c>
      <c r="AK65" s="1949" t="s">
        <v>526</v>
      </c>
      <c r="AL65" s="1949"/>
      <c r="AM65" s="1949"/>
      <c r="AN65" s="1949"/>
      <c r="AO65" s="1949"/>
      <c r="AP65" s="1949"/>
      <c r="AQ65" s="1949"/>
      <c r="AR65" s="1949"/>
      <c r="AS65" s="1949"/>
      <c r="AT65" s="1949"/>
      <c r="AU65" s="1951" t="str">
        <f>IF(ISBLANK($AU$57),"",1)</f>
        <v/>
      </c>
      <c r="AV65" s="1951" t="str">
        <f t="shared" ref="AV65" si="4">IF(ISBLANK(AV$57),"",1)</f>
        <v/>
      </c>
      <c r="AW65" s="1949" t="s">
        <v>527</v>
      </c>
      <c r="AX65" s="1949"/>
      <c r="AY65" s="1949"/>
      <c r="AZ65" s="1949"/>
      <c r="BA65" s="1949"/>
      <c r="BB65" s="1949"/>
      <c r="BC65" s="1949"/>
      <c r="BD65" s="1949"/>
      <c r="BE65" s="1949"/>
      <c r="BF65" s="1949"/>
      <c r="BG65" s="1951" t="str">
        <f t="shared" ref="BG65:BH65" si="5">IF(ISBLANK(BG$57),"",1)</f>
        <v/>
      </c>
      <c r="BH65" s="1951" t="str">
        <f t="shared" si="5"/>
        <v/>
      </c>
      <c r="BJ65" s="1965"/>
      <c r="BK65" s="1965"/>
      <c r="BL65" s="1965"/>
      <c r="BM65" s="1965"/>
      <c r="BN65" s="1965"/>
      <c r="BO65" s="1965"/>
    </row>
    <row r="66" spans="1:72" ht="15" customHeight="1">
      <c r="A66" s="1949"/>
      <c r="B66" s="1949"/>
      <c r="C66" s="1949"/>
      <c r="D66" s="1949"/>
      <c r="E66" s="1949"/>
      <c r="F66" s="1949"/>
      <c r="G66" s="1949"/>
      <c r="H66" s="1949"/>
      <c r="I66" s="1949"/>
      <c r="J66" s="1949"/>
      <c r="K66" s="1951"/>
      <c r="L66" s="1951"/>
      <c r="M66" s="1949"/>
      <c r="N66" s="1949"/>
      <c r="O66" s="1949"/>
      <c r="P66" s="1949"/>
      <c r="Q66" s="1949"/>
      <c r="R66" s="1949"/>
      <c r="S66" s="1949"/>
      <c r="T66" s="1949"/>
      <c r="U66" s="1949"/>
      <c r="V66" s="1949"/>
      <c r="W66" s="1951"/>
      <c r="X66" s="1951"/>
      <c r="Y66" s="1949"/>
      <c r="Z66" s="1949"/>
      <c r="AA66" s="1949"/>
      <c r="AB66" s="1949"/>
      <c r="AC66" s="1949"/>
      <c r="AD66" s="1949"/>
      <c r="AE66" s="1949"/>
      <c r="AF66" s="1949"/>
      <c r="AG66" s="1949"/>
      <c r="AH66" s="1949"/>
      <c r="AI66" s="1951"/>
      <c r="AJ66" s="1951"/>
      <c r="AK66" s="1949"/>
      <c r="AL66" s="1949"/>
      <c r="AM66" s="1949"/>
      <c r="AN66" s="1949"/>
      <c r="AO66" s="1949"/>
      <c r="AP66" s="1949"/>
      <c r="AQ66" s="1949"/>
      <c r="AR66" s="1949"/>
      <c r="AS66" s="1949"/>
      <c r="AT66" s="1949"/>
      <c r="AU66" s="1951"/>
      <c r="AV66" s="1951"/>
      <c r="AW66" s="1949"/>
      <c r="AX66" s="1949"/>
      <c r="AY66" s="1949"/>
      <c r="AZ66" s="1949"/>
      <c r="BA66" s="1949"/>
      <c r="BB66" s="1949"/>
      <c r="BC66" s="1949"/>
      <c r="BD66" s="1949"/>
      <c r="BE66" s="1949"/>
      <c r="BF66" s="1949"/>
      <c r="BG66" s="1951"/>
      <c r="BH66" s="1951"/>
      <c r="BJ66" s="1965"/>
      <c r="BK66" s="1965"/>
      <c r="BL66" s="1965"/>
      <c r="BM66" s="1965"/>
      <c r="BN66" s="1965"/>
      <c r="BO66" s="1965"/>
    </row>
    <row r="67" spans="1:72" ht="15" customHeight="1">
      <c r="A67" s="1949"/>
      <c r="B67" s="1949"/>
      <c r="C67" s="1949"/>
      <c r="D67" s="1949"/>
      <c r="E67" s="1949"/>
      <c r="F67" s="1949"/>
      <c r="G67" s="1949"/>
      <c r="H67" s="1949"/>
      <c r="I67" s="1949"/>
      <c r="J67" s="1949"/>
      <c r="K67" s="1952"/>
      <c r="L67" s="1952"/>
      <c r="M67" s="1949"/>
      <c r="N67" s="1949"/>
      <c r="O67" s="1949"/>
      <c r="P67" s="1949"/>
      <c r="Q67" s="1949"/>
      <c r="R67" s="1949"/>
      <c r="S67" s="1949"/>
      <c r="T67" s="1949"/>
      <c r="U67" s="1949"/>
      <c r="V67" s="1949"/>
      <c r="W67" s="1952"/>
      <c r="X67" s="1952"/>
      <c r="Y67" s="1949" t="s">
        <v>522</v>
      </c>
      <c r="Z67" s="1949"/>
      <c r="AA67" s="1949"/>
      <c r="AB67" s="1949"/>
      <c r="AC67" s="1949"/>
      <c r="AD67" s="1949"/>
      <c r="AE67" s="1949"/>
      <c r="AF67" s="1949">
        <v>7.2</v>
      </c>
      <c r="AG67" s="1949"/>
      <c r="AH67" s="1949"/>
      <c r="AI67" s="1952"/>
      <c r="AJ67" s="1952"/>
      <c r="AK67" s="1949"/>
      <c r="AL67" s="1949"/>
      <c r="AM67" s="1949"/>
      <c r="AN67" s="1949"/>
      <c r="AO67" s="1949"/>
      <c r="AP67" s="1949"/>
      <c r="AQ67" s="1949"/>
      <c r="AR67" s="1949"/>
      <c r="AS67" s="1949"/>
      <c r="AT67" s="1949"/>
      <c r="AU67" s="1952"/>
      <c r="AV67" s="1952"/>
      <c r="AW67" s="1949"/>
      <c r="AX67" s="1949"/>
      <c r="AY67" s="1949"/>
      <c r="AZ67" s="1949"/>
      <c r="BA67" s="1949"/>
      <c r="BB67" s="1949"/>
      <c r="BC67" s="1949"/>
      <c r="BD67" s="1949"/>
      <c r="BE67" s="1949"/>
      <c r="BF67" s="1949"/>
      <c r="BG67" s="1952"/>
      <c r="BH67" s="1952"/>
      <c r="BJ67" s="1965"/>
      <c r="BK67" s="1965"/>
      <c r="BL67" s="1965"/>
      <c r="BM67" s="1965"/>
      <c r="BN67" s="1965"/>
      <c r="BO67" s="1965"/>
    </row>
    <row r="68" spans="1:72" ht="15" customHeight="1">
      <c r="A68" s="1949" t="s">
        <v>517</v>
      </c>
      <c r="B68" s="1949"/>
      <c r="C68" s="1949"/>
      <c r="D68" s="1949"/>
      <c r="E68" s="1949"/>
      <c r="F68" s="1949"/>
      <c r="G68" s="1949"/>
      <c r="H68" s="1949"/>
      <c r="I68" s="1949"/>
      <c r="J68" s="1949"/>
      <c r="K68" s="1950" t="str">
        <f>IF(ISBLANK(K$57),"",1)</f>
        <v/>
      </c>
      <c r="L68" s="1950" t="str">
        <f>IF(ISBLANK($L$57),"",1)</f>
        <v/>
      </c>
      <c r="M68" s="1949" t="s">
        <v>528</v>
      </c>
      <c r="N68" s="1949"/>
      <c r="O68" s="1949"/>
      <c r="P68" s="1949"/>
      <c r="Q68" s="1949"/>
      <c r="R68" s="1949"/>
      <c r="S68" s="1949"/>
      <c r="T68" s="1949"/>
      <c r="U68" s="1949"/>
      <c r="V68" s="1949"/>
      <c r="W68" s="1951" t="str">
        <f>IF(ISBLANK(W$57),"",1)</f>
        <v/>
      </c>
      <c r="X68" s="1951" t="str">
        <f>IF(ISBLANK(X$57),"",1)</f>
        <v/>
      </c>
      <c r="Y68" s="1949" t="s">
        <v>529</v>
      </c>
      <c r="Z68" s="1949"/>
      <c r="AA68" s="1949"/>
      <c r="AB68" s="1949"/>
      <c r="AC68" s="1949"/>
      <c r="AD68" s="1949"/>
      <c r="AE68" s="1949"/>
      <c r="AF68" s="1949"/>
      <c r="AG68" s="1949"/>
      <c r="AH68" s="1949"/>
      <c r="AI68" s="1951" t="str">
        <f>IF(ISBLANK($AI$57),"",1)</f>
        <v/>
      </c>
      <c r="AJ68" s="1951" t="str">
        <f t="shared" ref="AJ68" si="6">IF(ISBLANK(AJ$57),"",1)</f>
        <v/>
      </c>
      <c r="AK68" s="1949" t="s">
        <v>530</v>
      </c>
      <c r="AL68" s="1949"/>
      <c r="AM68" s="1949"/>
      <c r="AN68" s="1949"/>
      <c r="AO68" s="1949"/>
      <c r="AP68" s="1949"/>
      <c r="AQ68" s="1949"/>
      <c r="AR68" s="1949"/>
      <c r="AS68" s="1949"/>
      <c r="AT68" s="1949"/>
      <c r="AU68" s="1951" t="str">
        <f>IF(ISBLANK($AU$57),"",1)</f>
        <v/>
      </c>
      <c r="AV68" s="1951" t="str">
        <f t="shared" ref="AV68" si="7">IF(ISBLANK(AV$57),"",1)</f>
        <v/>
      </c>
      <c r="AW68" s="1949" t="s">
        <v>531</v>
      </c>
      <c r="AX68" s="1949"/>
      <c r="AY68" s="1949"/>
      <c r="AZ68" s="1949"/>
      <c r="BA68" s="1949"/>
      <c r="BB68" s="1949"/>
      <c r="BC68" s="1949"/>
      <c r="BD68" s="1949"/>
      <c r="BE68" s="1949"/>
      <c r="BF68" s="1949"/>
      <c r="BG68" s="1951" t="str">
        <f t="shared" ref="BG68:BH68" si="8">IF(ISBLANK(BG$57),"",1)</f>
        <v/>
      </c>
      <c r="BH68" s="1951" t="str">
        <f t="shared" si="8"/>
        <v/>
      </c>
      <c r="BJ68" s="1965"/>
      <c r="BK68" s="1965"/>
      <c r="BL68" s="1965"/>
      <c r="BM68" s="1965"/>
      <c r="BN68" s="1965"/>
      <c r="BO68" s="1965"/>
    </row>
    <row r="69" spans="1:72" ht="15" customHeight="1">
      <c r="A69" s="1949"/>
      <c r="B69" s="1949"/>
      <c r="C69" s="1949"/>
      <c r="D69" s="1949"/>
      <c r="E69" s="1949"/>
      <c r="F69" s="1949"/>
      <c r="G69" s="1949"/>
      <c r="H69" s="1949"/>
      <c r="I69" s="1949"/>
      <c r="J69" s="1949"/>
      <c r="K69" s="1951"/>
      <c r="L69" s="1951"/>
      <c r="M69" s="1949"/>
      <c r="N69" s="1949"/>
      <c r="O69" s="1949"/>
      <c r="P69" s="1949"/>
      <c r="Q69" s="1949"/>
      <c r="R69" s="1949"/>
      <c r="S69" s="1949"/>
      <c r="T69" s="1949"/>
      <c r="U69" s="1949"/>
      <c r="V69" s="1949"/>
      <c r="W69" s="1951"/>
      <c r="X69" s="1951"/>
      <c r="Y69" s="1949"/>
      <c r="Z69" s="1949"/>
      <c r="AA69" s="1949"/>
      <c r="AB69" s="1949"/>
      <c r="AC69" s="1949"/>
      <c r="AD69" s="1949"/>
      <c r="AE69" s="1949"/>
      <c r="AF69" s="1949"/>
      <c r="AG69" s="1949"/>
      <c r="AH69" s="1949"/>
      <c r="AI69" s="1951"/>
      <c r="AJ69" s="1951"/>
      <c r="AK69" s="1949"/>
      <c r="AL69" s="1949"/>
      <c r="AM69" s="1949"/>
      <c r="AN69" s="1949"/>
      <c r="AO69" s="1949"/>
      <c r="AP69" s="1949"/>
      <c r="AQ69" s="1949"/>
      <c r="AR69" s="1949"/>
      <c r="AS69" s="1949"/>
      <c r="AT69" s="1949"/>
      <c r="AU69" s="1951"/>
      <c r="AV69" s="1951"/>
      <c r="AW69" s="1949"/>
      <c r="AX69" s="1949"/>
      <c r="AY69" s="1949"/>
      <c r="AZ69" s="1949"/>
      <c r="BA69" s="1949"/>
      <c r="BB69" s="1949"/>
      <c r="BC69" s="1949"/>
      <c r="BD69" s="1949"/>
      <c r="BE69" s="1949"/>
      <c r="BF69" s="1949"/>
      <c r="BG69" s="1951"/>
      <c r="BH69" s="1951"/>
      <c r="BJ69" s="1965"/>
      <c r="BK69" s="1965"/>
      <c r="BL69" s="1965"/>
      <c r="BM69" s="1965"/>
      <c r="BN69" s="1965"/>
      <c r="BO69" s="1965"/>
    </row>
    <row r="70" spans="1:72" ht="15" customHeight="1">
      <c r="A70" s="1949"/>
      <c r="B70" s="1949"/>
      <c r="C70" s="1949"/>
      <c r="D70" s="1949"/>
      <c r="E70" s="1949"/>
      <c r="F70" s="1949"/>
      <c r="G70" s="1949"/>
      <c r="H70" s="1949"/>
      <c r="I70" s="1949"/>
      <c r="J70" s="1949"/>
      <c r="K70" s="1952"/>
      <c r="L70" s="1952"/>
      <c r="M70" s="1949"/>
      <c r="N70" s="1949"/>
      <c r="O70" s="1949"/>
      <c r="P70" s="1949"/>
      <c r="Q70" s="1949"/>
      <c r="R70" s="1949"/>
      <c r="S70" s="1949"/>
      <c r="T70" s="1949"/>
      <c r="U70" s="1949"/>
      <c r="V70" s="1949"/>
      <c r="W70" s="1952"/>
      <c r="X70" s="1952"/>
      <c r="Y70" s="1949" t="s">
        <v>522</v>
      </c>
      <c r="Z70" s="1949"/>
      <c r="AA70" s="1949"/>
      <c r="AB70" s="1949"/>
      <c r="AC70" s="1949"/>
      <c r="AD70" s="1949"/>
      <c r="AE70" s="1949"/>
      <c r="AF70" s="1949">
        <v>8.1999999999999993</v>
      </c>
      <c r="AG70" s="1949"/>
      <c r="AH70" s="1949"/>
      <c r="AI70" s="1952"/>
      <c r="AJ70" s="1952"/>
      <c r="AK70" s="1949"/>
      <c r="AL70" s="1949"/>
      <c r="AM70" s="1949"/>
      <c r="AN70" s="1949"/>
      <c r="AO70" s="1949"/>
      <c r="AP70" s="1949"/>
      <c r="AQ70" s="1949"/>
      <c r="AR70" s="1949"/>
      <c r="AS70" s="1949"/>
      <c r="AT70" s="1949"/>
      <c r="AU70" s="1952"/>
      <c r="AV70" s="1952"/>
      <c r="AW70" s="1949"/>
      <c r="AX70" s="1949"/>
      <c r="AY70" s="1949"/>
      <c r="AZ70" s="1949"/>
      <c r="BA70" s="1949"/>
      <c r="BB70" s="1949"/>
      <c r="BC70" s="1949"/>
      <c r="BD70" s="1949"/>
      <c r="BE70" s="1949"/>
      <c r="BF70" s="1949"/>
      <c r="BG70" s="1952"/>
      <c r="BH70" s="1952"/>
      <c r="BJ70" s="1965"/>
      <c r="BK70" s="1965"/>
      <c r="BL70" s="1965"/>
      <c r="BM70" s="1965"/>
      <c r="BN70" s="1965"/>
      <c r="BO70" s="1965"/>
    </row>
    <row r="71" spans="1:72" ht="15" customHeight="1">
      <c r="A71" s="1949" t="s">
        <v>533</v>
      </c>
      <c r="B71" s="1949"/>
      <c r="C71" s="1949"/>
      <c r="D71" s="1949"/>
      <c r="E71" s="1949"/>
      <c r="F71" s="1949"/>
      <c r="G71" s="1949"/>
      <c r="H71" s="1949"/>
      <c r="I71" s="1949"/>
      <c r="J71" s="1949"/>
      <c r="K71" s="1950" t="str">
        <f t="shared" ref="K71" si="9">IF(ISBLANK(K$57),"",1)</f>
        <v/>
      </c>
      <c r="L71" s="1950" t="str">
        <f>IF(ISBLANK($L$57),"",1)</f>
        <v/>
      </c>
      <c r="M71" s="1949" t="s">
        <v>534</v>
      </c>
      <c r="N71" s="1949"/>
      <c r="O71" s="1949"/>
      <c r="P71" s="1949"/>
      <c r="Q71" s="1949"/>
      <c r="R71" s="1949"/>
      <c r="S71" s="1949"/>
      <c r="T71" s="1949"/>
      <c r="U71" s="1949"/>
      <c r="V71" s="1949"/>
      <c r="W71" s="1951" t="str">
        <f t="shared" ref="W71:X71" si="10">IF(ISBLANK(W$57),"",1)</f>
        <v/>
      </c>
      <c r="X71" s="1951" t="str">
        <f t="shared" si="10"/>
        <v/>
      </c>
      <c r="Y71" s="1949" t="s">
        <v>527</v>
      </c>
      <c r="Z71" s="1949"/>
      <c r="AA71" s="1949"/>
      <c r="AB71" s="1949"/>
      <c r="AC71" s="1949"/>
      <c r="AD71" s="1949"/>
      <c r="AE71" s="1949"/>
      <c r="AF71" s="1949"/>
      <c r="AG71" s="1949"/>
      <c r="AH71" s="1949"/>
      <c r="AI71" s="1951" t="str">
        <f>IF(ISBLANK($AI$57),"",1)</f>
        <v/>
      </c>
      <c r="AJ71" s="1951" t="str">
        <f t="shared" ref="AJ71" si="11">IF(ISBLANK(AJ$57),"",1)</f>
        <v/>
      </c>
      <c r="AK71" s="1949" t="s">
        <v>527</v>
      </c>
      <c r="AL71" s="1949"/>
      <c r="AM71" s="1949"/>
      <c r="AN71" s="1949"/>
      <c r="AO71" s="1949"/>
      <c r="AP71" s="1949"/>
      <c r="AQ71" s="1949"/>
      <c r="AR71" s="1949"/>
      <c r="AS71" s="1949"/>
      <c r="AT71" s="1949"/>
      <c r="AU71" s="1951" t="str">
        <f>IF(ISBLANK($AU$57),"",1)</f>
        <v/>
      </c>
      <c r="AV71" s="1951" t="str">
        <f t="shared" ref="AV71" si="12">IF(ISBLANK(AV$57),"",1)</f>
        <v/>
      </c>
      <c r="AW71" s="1949" t="s">
        <v>535</v>
      </c>
      <c r="AX71" s="1949"/>
      <c r="AY71" s="1949"/>
      <c r="AZ71" s="1949"/>
      <c r="BA71" s="1949"/>
      <c r="BB71" s="1949"/>
      <c r="BC71" s="1949"/>
      <c r="BD71" s="1949"/>
      <c r="BE71" s="1949"/>
      <c r="BF71" s="1949"/>
      <c r="BG71" s="1951" t="str">
        <f t="shared" ref="BG71:BH71" si="13">IF(ISBLANK(BG$57),"",1)</f>
        <v/>
      </c>
      <c r="BH71" s="1951" t="str">
        <f t="shared" si="13"/>
        <v/>
      </c>
      <c r="BJ71" s="1965"/>
      <c r="BK71" s="1965"/>
      <c r="BL71" s="1965"/>
      <c r="BM71" s="1965"/>
      <c r="BN71" s="1965"/>
      <c r="BO71" s="1965"/>
    </row>
    <row r="72" spans="1:72" ht="15" customHeight="1">
      <c r="A72" s="1949"/>
      <c r="B72" s="1949"/>
      <c r="C72" s="1949"/>
      <c r="D72" s="1949"/>
      <c r="E72" s="1949"/>
      <c r="F72" s="1949"/>
      <c r="G72" s="1949"/>
      <c r="H72" s="1949"/>
      <c r="I72" s="1949"/>
      <c r="J72" s="1949"/>
      <c r="K72" s="1951"/>
      <c r="L72" s="1951"/>
      <c r="M72" s="1949"/>
      <c r="N72" s="1949"/>
      <c r="O72" s="1949"/>
      <c r="P72" s="1949"/>
      <c r="Q72" s="1949"/>
      <c r="R72" s="1949"/>
      <c r="S72" s="1949"/>
      <c r="T72" s="1949"/>
      <c r="U72" s="1949"/>
      <c r="V72" s="1949"/>
      <c r="W72" s="1951"/>
      <c r="X72" s="1951"/>
      <c r="Y72" s="1949"/>
      <c r="Z72" s="1949"/>
      <c r="AA72" s="1949"/>
      <c r="AB72" s="1949"/>
      <c r="AC72" s="1949"/>
      <c r="AD72" s="1949"/>
      <c r="AE72" s="1949"/>
      <c r="AF72" s="1949"/>
      <c r="AG72" s="1949"/>
      <c r="AH72" s="1949"/>
      <c r="AI72" s="1951"/>
      <c r="AJ72" s="1951"/>
      <c r="AK72" s="1949"/>
      <c r="AL72" s="1949"/>
      <c r="AM72" s="1949"/>
      <c r="AN72" s="1949"/>
      <c r="AO72" s="1949"/>
      <c r="AP72" s="1949"/>
      <c r="AQ72" s="1949"/>
      <c r="AR72" s="1949"/>
      <c r="AS72" s="1949"/>
      <c r="AT72" s="1949"/>
      <c r="AU72" s="1951"/>
      <c r="AV72" s="1951"/>
      <c r="AW72" s="1949"/>
      <c r="AX72" s="1949"/>
      <c r="AY72" s="1949"/>
      <c r="AZ72" s="1949"/>
      <c r="BA72" s="1949"/>
      <c r="BB72" s="1949"/>
      <c r="BC72" s="1949"/>
      <c r="BD72" s="1949"/>
      <c r="BE72" s="1949"/>
      <c r="BF72" s="1949"/>
      <c r="BG72" s="1951"/>
      <c r="BH72" s="1951"/>
      <c r="BJ72" s="1965"/>
      <c r="BK72" s="1965"/>
      <c r="BL72" s="1965"/>
      <c r="BM72" s="1965"/>
      <c r="BN72" s="1965"/>
      <c r="BO72" s="1965"/>
    </row>
    <row r="73" spans="1:72" ht="15" customHeight="1">
      <c r="A73" s="1949"/>
      <c r="B73" s="1949"/>
      <c r="C73" s="1949"/>
      <c r="D73" s="1949"/>
      <c r="E73" s="1949"/>
      <c r="F73" s="1949"/>
      <c r="G73" s="1949"/>
      <c r="H73" s="1949"/>
      <c r="I73" s="1949"/>
      <c r="J73" s="1949"/>
      <c r="K73" s="1952"/>
      <c r="L73" s="1952"/>
      <c r="M73" s="1949"/>
      <c r="N73" s="1949"/>
      <c r="O73" s="1949"/>
      <c r="P73" s="1949"/>
      <c r="Q73" s="1949"/>
      <c r="R73" s="1949"/>
      <c r="S73" s="1949"/>
      <c r="T73" s="1949"/>
      <c r="U73" s="1949"/>
      <c r="V73" s="1949"/>
      <c r="W73" s="1952"/>
      <c r="X73" s="1952"/>
      <c r="Y73" s="1949"/>
      <c r="Z73" s="1949"/>
      <c r="AA73" s="1949"/>
      <c r="AB73" s="1949"/>
      <c r="AC73" s="1949"/>
      <c r="AD73" s="1949"/>
      <c r="AE73" s="1949"/>
      <c r="AF73" s="1949"/>
      <c r="AG73" s="1949"/>
      <c r="AH73" s="1949"/>
      <c r="AI73" s="1952"/>
      <c r="AJ73" s="1952"/>
      <c r="AK73" s="1949"/>
      <c r="AL73" s="1949"/>
      <c r="AM73" s="1949"/>
      <c r="AN73" s="1949"/>
      <c r="AO73" s="1949"/>
      <c r="AP73" s="1949"/>
      <c r="AQ73" s="1949"/>
      <c r="AR73" s="1949"/>
      <c r="AS73" s="1949"/>
      <c r="AT73" s="1949"/>
      <c r="AU73" s="1952"/>
      <c r="AV73" s="1952"/>
      <c r="AW73" s="1949"/>
      <c r="AX73" s="1949"/>
      <c r="AY73" s="1949"/>
      <c r="AZ73" s="1949"/>
      <c r="BA73" s="1949"/>
      <c r="BB73" s="1949"/>
      <c r="BC73" s="1949"/>
      <c r="BD73" s="1949"/>
      <c r="BE73" s="1949"/>
      <c r="BF73" s="1949"/>
      <c r="BG73" s="1952"/>
      <c r="BH73" s="1952"/>
      <c r="BJ73" s="1965"/>
      <c r="BK73" s="1965"/>
      <c r="BL73" s="1965"/>
      <c r="BM73" s="1965"/>
      <c r="BN73" s="1965"/>
      <c r="BO73" s="1965"/>
    </row>
    <row r="74" spans="1:72" ht="15" customHeight="1">
      <c r="A74" s="1949" t="s">
        <v>537</v>
      </c>
      <c r="B74" s="1949"/>
      <c r="C74" s="1949"/>
      <c r="D74" s="1949"/>
      <c r="E74" s="1949"/>
      <c r="F74" s="1949"/>
      <c r="G74" s="1949"/>
      <c r="H74" s="1949"/>
      <c r="I74" s="1949"/>
      <c r="J74" s="1949"/>
      <c r="K74" s="1950" t="str">
        <f t="shared" ref="K74" si="14">IF(ISBLANK(K$57),"",1)</f>
        <v/>
      </c>
      <c r="L74" s="1950" t="str">
        <f>IF(ISBLANK($L$57),"",1)</f>
        <v/>
      </c>
      <c r="M74" s="1949" t="s">
        <v>527</v>
      </c>
      <c r="N74" s="1949"/>
      <c r="O74" s="1949"/>
      <c r="P74" s="1949"/>
      <c r="Q74" s="1949"/>
      <c r="R74" s="1949"/>
      <c r="S74" s="1949"/>
      <c r="T74" s="1949"/>
      <c r="U74" s="1949"/>
      <c r="V74" s="1949"/>
      <c r="W74" s="1951" t="str">
        <f t="shared" ref="W74:X74" si="15">IF(ISBLANK(W$57),"",1)</f>
        <v/>
      </c>
      <c r="X74" s="1951" t="str">
        <f t="shared" si="15"/>
        <v/>
      </c>
      <c r="Y74" s="1949" t="s">
        <v>538</v>
      </c>
      <c r="Z74" s="1949"/>
      <c r="AA74" s="1949"/>
      <c r="AB74" s="1949"/>
      <c r="AC74" s="1949"/>
      <c r="AD74" s="1949"/>
      <c r="AE74" s="1949"/>
      <c r="AF74" s="1949"/>
      <c r="AG74" s="1949"/>
      <c r="AH74" s="1949"/>
      <c r="AI74" s="1951" t="str">
        <f>IF(ISBLANK($AI$57),"",1)</f>
        <v/>
      </c>
      <c r="AJ74" s="1951" t="str">
        <f t="shared" ref="AJ74" si="16">IF(ISBLANK(AJ$57),"",1)</f>
        <v/>
      </c>
      <c r="AK74" s="1949" t="s">
        <v>539</v>
      </c>
      <c r="AL74" s="1949"/>
      <c r="AM74" s="1949"/>
      <c r="AN74" s="1949"/>
      <c r="AO74" s="1949"/>
      <c r="AP74" s="1949"/>
      <c r="AQ74" s="1949"/>
      <c r="AR74" s="1949"/>
      <c r="AS74" s="1949"/>
      <c r="AT74" s="1949"/>
      <c r="AU74" s="1951" t="str">
        <f>IF(ISBLANK($AU$57),"",1)</f>
        <v/>
      </c>
      <c r="AV74" s="1951" t="str">
        <f t="shared" ref="AV74" si="17">IF(ISBLANK(AV$57),"",1)</f>
        <v/>
      </c>
      <c r="AW74" s="1949" t="s">
        <v>540</v>
      </c>
      <c r="AX74" s="1949"/>
      <c r="AY74" s="1949"/>
      <c r="AZ74" s="1949"/>
      <c r="BA74" s="1949"/>
      <c r="BB74" s="1949"/>
      <c r="BC74" s="1949"/>
      <c r="BD74" s="1949"/>
      <c r="BE74" s="1949"/>
      <c r="BF74" s="1949"/>
      <c r="BG74" s="1951" t="str">
        <f t="shared" ref="BG74:BH74" si="18">IF(ISBLANK(BG$57),"",1)</f>
        <v/>
      </c>
      <c r="BH74" s="1951" t="str">
        <f t="shared" si="18"/>
        <v/>
      </c>
      <c r="BI74" s="255"/>
      <c r="BJ74" s="1965"/>
      <c r="BK74" s="1965"/>
      <c r="BL74" s="1965"/>
      <c r="BM74" s="1965"/>
      <c r="BN74" s="1965"/>
      <c r="BO74" s="1965"/>
      <c r="BP74" s="255"/>
      <c r="BQ74" s="255"/>
      <c r="BR74" s="255"/>
      <c r="BS74" s="256"/>
      <c r="BT74" s="255"/>
    </row>
    <row r="75" spans="1:72" ht="15" customHeight="1">
      <c r="A75" s="1949"/>
      <c r="B75" s="1949"/>
      <c r="C75" s="1949"/>
      <c r="D75" s="1949"/>
      <c r="E75" s="1949"/>
      <c r="F75" s="1949"/>
      <c r="G75" s="1949"/>
      <c r="H75" s="1949"/>
      <c r="I75" s="1949"/>
      <c r="J75" s="1949"/>
      <c r="K75" s="1951"/>
      <c r="L75" s="1951"/>
      <c r="M75" s="1949"/>
      <c r="N75" s="1949"/>
      <c r="O75" s="1949"/>
      <c r="P75" s="1949"/>
      <c r="Q75" s="1949"/>
      <c r="R75" s="1949"/>
      <c r="S75" s="1949"/>
      <c r="T75" s="1949"/>
      <c r="U75" s="1949"/>
      <c r="V75" s="1949"/>
      <c r="W75" s="1951"/>
      <c r="X75" s="1951"/>
      <c r="Y75" s="1949"/>
      <c r="Z75" s="1949"/>
      <c r="AA75" s="1949"/>
      <c r="AB75" s="1949"/>
      <c r="AC75" s="1949"/>
      <c r="AD75" s="1949"/>
      <c r="AE75" s="1949"/>
      <c r="AF75" s="1949"/>
      <c r="AG75" s="1949"/>
      <c r="AH75" s="1949"/>
      <c r="AI75" s="1951"/>
      <c r="AJ75" s="1951"/>
      <c r="AK75" s="1949"/>
      <c r="AL75" s="1949"/>
      <c r="AM75" s="1949"/>
      <c r="AN75" s="1949"/>
      <c r="AO75" s="1949"/>
      <c r="AP75" s="1949"/>
      <c r="AQ75" s="1949"/>
      <c r="AR75" s="1949"/>
      <c r="AS75" s="1949"/>
      <c r="AT75" s="1949"/>
      <c r="AU75" s="1951"/>
      <c r="AV75" s="1951"/>
      <c r="AW75" s="1949"/>
      <c r="AX75" s="1949"/>
      <c r="AY75" s="1949"/>
      <c r="AZ75" s="1949"/>
      <c r="BA75" s="1949"/>
      <c r="BB75" s="1949"/>
      <c r="BC75" s="1949"/>
      <c r="BD75" s="1949"/>
      <c r="BE75" s="1949"/>
      <c r="BF75" s="1949"/>
      <c r="BG75" s="1951"/>
      <c r="BH75" s="1951"/>
      <c r="BI75" s="255"/>
      <c r="BJ75" s="1965"/>
      <c r="BK75" s="1965"/>
      <c r="BL75" s="1965"/>
      <c r="BM75" s="1965"/>
      <c r="BN75" s="1965"/>
      <c r="BO75" s="1965"/>
      <c r="BP75" s="255"/>
      <c r="BQ75" s="255"/>
      <c r="BR75" s="255"/>
      <c r="BS75" s="256"/>
      <c r="BT75" s="255"/>
    </row>
    <row r="76" spans="1:72" ht="15" customHeight="1">
      <c r="A76" s="1949"/>
      <c r="B76" s="1949"/>
      <c r="C76" s="1949"/>
      <c r="D76" s="1949"/>
      <c r="E76" s="1949"/>
      <c r="F76" s="1949"/>
      <c r="G76" s="1949"/>
      <c r="H76" s="1949"/>
      <c r="I76" s="1949"/>
      <c r="J76" s="1949"/>
      <c r="K76" s="1952"/>
      <c r="L76" s="1952"/>
      <c r="M76" s="1949"/>
      <c r="N76" s="1949"/>
      <c r="O76" s="1949"/>
      <c r="P76" s="1949"/>
      <c r="Q76" s="1949"/>
      <c r="R76" s="1949"/>
      <c r="S76" s="1949"/>
      <c r="T76" s="1949"/>
      <c r="U76" s="1949"/>
      <c r="V76" s="1949"/>
      <c r="W76" s="1952"/>
      <c r="X76" s="1952"/>
      <c r="Y76" s="1949" t="s">
        <v>522</v>
      </c>
      <c r="Z76" s="1949"/>
      <c r="AA76" s="1949"/>
      <c r="AB76" s="1949"/>
      <c r="AC76" s="1949"/>
      <c r="AD76" s="1949"/>
      <c r="AE76" s="1949"/>
      <c r="AF76" s="1949">
        <v>8.1999999999999993</v>
      </c>
      <c r="AG76" s="1949"/>
      <c r="AH76" s="1949"/>
      <c r="AI76" s="1952"/>
      <c r="AJ76" s="1952"/>
      <c r="AK76" s="1949"/>
      <c r="AL76" s="1949"/>
      <c r="AM76" s="1949"/>
      <c r="AN76" s="1949"/>
      <c r="AO76" s="1949"/>
      <c r="AP76" s="1949"/>
      <c r="AQ76" s="1949"/>
      <c r="AR76" s="1949"/>
      <c r="AS76" s="1949"/>
      <c r="AT76" s="1949"/>
      <c r="AU76" s="1952"/>
      <c r="AV76" s="1952"/>
      <c r="AW76" s="1949"/>
      <c r="AX76" s="1949"/>
      <c r="AY76" s="1949"/>
      <c r="AZ76" s="1949"/>
      <c r="BA76" s="1949"/>
      <c r="BB76" s="1949"/>
      <c r="BC76" s="1949"/>
      <c r="BD76" s="1949"/>
      <c r="BE76" s="1949"/>
      <c r="BF76" s="1949"/>
      <c r="BG76" s="1952"/>
      <c r="BH76" s="1952"/>
      <c r="BI76" s="255"/>
      <c r="BJ76" s="1965"/>
      <c r="BK76" s="1965"/>
      <c r="BL76" s="1965"/>
      <c r="BM76" s="1965"/>
      <c r="BN76" s="1965"/>
      <c r="BO76" s="1965"/>
      <c r="BP76" s="255"/>
      <c r="BQ76" s="255"/>
      <c r="BR76" s="255"/>
      <c r="BS76" s="256"/>
      <c r="BT76" s="255"/>
    </row>
    <row r="77" spans="1:72" ht="15" customHeight="1">
      <c r="A77" s="1949" t="s">
        <v>534</v>
      </c>
      <c r="B77" s="1949"/>
      <c r="C77" s="1949"/>
      <c r="D77" s="1949"/>
      <c r="E77" s="1949"/>
      <c r="F77" s="1949"/>
      <c r="G77" s="1949"/>
      <c r="H77" s="1949"/>
      <c r="I77" s="1949"/>
      <c r="J77" s="1949"/>
      <c r="K77" s="1950" t="str">
        <f t="shared" ref="K77" si="19">IF(ISBLANK(K$57),"",1)</f>
        <v/>
      </c>
      <c r="L77" s="1950" t="str">
        <f>IF(ISBLANK($L$57),"",1)</f>
        <v/>
      </c>
      <c r="M77" s="1949" t="s">
        <v>536</v>
      </c>
      <c r="N77" s="1949"/>
      <c r="O77" s="1949"/>
      <c r="P77" s="1949"/>
      <c r="Q77" s="1949"/>
      <c r="R77" s="1949"/>
      <c r="S77" s="1949"/>
      <c r="T77" s="1949"/>
      <c r="U77" s="1949"/>
      <c r="V77" s="1949"/>
      <c r="W77" s="1951" t="str">
        <f t="shared" ref="W77:X77" si="20">IF(ISBLANK(W$57),"",1)</f>
        <v/>
      </c>
      <c r="X77" s="1951" t="str">
        <f t="shared" si="20"/>
        <v/>
      </c>
      <c r="Y77" s="1949" t="s">
        <v>541</v>
      </c>
      <c r="Z77" s="1949"/>
      <c r="AA77" s="1949"/>
      <c r="AB77" s="1949"/>
      <c r="AC77" s="1949"/>
      <c r="AD77" s="1949"/>
      <c r="AE77" s="1949"/>
      <c r="AF77" s="1949"/>
      <c r="AG77" s="1949"/>
      <c r="AH77" s="1949"/>
      <c r="AI77" s="1951" t="str">
        <f>IF(ISBLANK($AI$57),"",1)</f>
        <v/>
      </c>
      <c r="AJ77" s="1951" t="str">
        <f t="shared" ref="AJ77" si="21">IF(ISBLANK(AJ$57),"",1)</f>
        <v/>
      </c>
      <c r="AK77" s="256"/>
      <c r="AL77" s="256"/>
      <c r="AM77" s="256"/>
      <c r="AN77" s="256"/>
      <c r="AO77" s="256"/>
      <c r="AP77" s="256"/>
      <c r="AQ77" s="256"/>
      <c r="AR77" s="256"/>
      <c r="AS77" s="256"/>
      <c r="AT77" s="256"/>
      <c r="AU77" s="256"/>
      <c r="AV77" s="256"/>
      <c r="AW77" s="256"/>
      <c r="AX77" s="256"/>
      <c r="AY77" s="256"/>
      <c r="AZ77" s="256"/>
      <c r="BA77" s="256"/>
      <c r="BB77" s="256"/>
      <c r="BC77" s="256"/>
      <c r="BD77" s="256"/>
      <c r="BE77" s="256"/>
      <c r="BF77" s="256"/>
      <c r="BG77" s="256"/>
      <c r="BH77" s="256"/>
      <c r="BI77" s="255"/>
      <c r="BJ77" s="1965"/>
      <c r="BK77" s="1965"/>
      <c r="BL77" s="1965"/>
      <c r="BM77" s="1965"/>
      <c r="BN77" s="1965"/>
      <c r="BO77" s="1965"/>
      <c r="BP77" s="255"/>
      <c r="BQ77" s="255"/>
      <c r="BR77" s="255"/>
      <c r="BS77" s="256"/>
      <c r="BT77" s="255"/>
    </row>
    <row r="78" spans="1:72" ht="15" customHeight="1">
      <c r="A78" s="1949"/>
      <c r="B78" s="1949"/>
      <c r="C78" s="1949"/>
      <c r="D78" s="1949"/>
      <c r="E78" s="1949"/>
      <c r="F78" s="1949"/>
      <c r="G78" s="1949"/>
      <c r="H78" s="1949"/>
      <c r="I78" s="1949"/>
      <c r="J78" s="1949"/>
      <c r="K78" s="1951"/>
      <c r="L78" s="1951"/>
      <c r="M78" s="1949"/>
      <c r="N78" s="1949"/>
      <c r="O78" s="1949"/>
      <c r="P78" s="1949"/>
      <c r="Q78" s="1949"/>
      <c r="R78" s="1949"/>
      <c r="S78" s="1949"/>
      <c r="T78" s="1949"/>
      <c r="U78" s="1949"/>
      <c r="V78" s="1949"/>
      <c r="W78" s="1951"/>
      <c r="X78" s="1951"/>
      <c r="Y78" s="1949"/>
      <c r="Z78" s="1949"/>
      <c r="AA78" s="1949"/>
      <c r="AB78" s="1949"/>
      <c r="AC78" s="1949"/>
      <c r="AD78" s="1949"/>
      <c r="AE78" s="1949"/>
      <c r="AF78" s="1949"/>
      <c r="AG78" s="1949"/>
      <c r="AH78" s="1949"/>
      <c r="AI78" s="1951"/>
      <c r="AJ78" s="1951"/>
      <c r="AK78" s="256"/>
      <c r="AL78" s="256"/>
      <c r="AM78" s="256"/>
      <c r="AN78" s="256"/>
      <c r="AO78" s="256"/>
      <c r="AP78" s="256"/>
      <c r="AQ78" s="256"/>
      <c r="AR78" s="256"/>
      <c r="AS78" s="256"/>
      <c r="AT78" s="256"/>
      <c r="AU78" s="256"/>
      <c r="AV78" s="256"/>
      <c r="AW78" s="256"/>
      <c r="AX78" s="256"/>
      <c r="AY78" s="256"/>
      <c r="AZ78" s="256"/>
      <c r="BA78" s="256"/>
      <c r="BB78" s="256"/>
      <c r="BC78" s="256"/>
      <c r="BD78" s="256"/>
      <c r="BE78" s="256"/>
      <c r="BF78" s="256"/>
      <c r="BG78" s="256"/>
      <c r="BH78" s="256"/>
      <c r="BI78" s="255"/>
      <c r="BJ78" s="1965"/>
      <c r="BK78" s="1965"/>
      <c r="BL78" s="1965"/>
      <c r="BM78" s="1965"/>
      <c r="BN78" s="1965"/>
      <c r="BO78" s="1965"/>
      <c r="BP78" s="255"/>
      <c r="BQ78" s="255"/>
      <c r="BR78" s="255"/>
      <c r="BS78" s="256"/>
      <c r="BT78" s="255"/>
    </row>
    <row r="79" spans="1:72" ht="15" customHeight="1">
      <c r="A79" s="1949"/>
      <c r="B79" s="1949"/>
      <c r="C79" s="1949"/>
      <c r="D79" s="1949"/>
      <c r="E79" s="1949"/>
      <c r="F79" s="1949"/>
      <c r="G79" s="1949"/>
      <c r="H79" s="1949"/>
      <c r="I79" s="1949"/>
      <c r="J79" s="1949"/>
      <c r="K79" s="1952"/>
      <c r="L79" s="1952"/>
      <c r="M79" s="1949"/>
      <c r="N79" s="1949"/>
      <c r="O79" s="1949"/>
      <c r="P79" s="1949"/>
      <c r="Q79" s="1949"/>
      <c r="R79" s="1949"/>
      <c r="S79" s="1949"/>
      <c r="T79" s="1949"/>
      <c r="U79" s="1949"/>
      <c r="V79" s="1949"/>
      <c r="W79" s="1952"/>
      <c r="X79" s="1952"/>
      <c r="Y79" s="1949" t="s">
        <v>522</v>
      </c>
      <c r="Z79" s="1949"/>
      <c r="AA79" s="1949"/>
      <c r="AB79" s="1949"/>
      <c r="AC79" s="1949"/>
      <c r="AD79" s="1949"/>
      <c r="AE79" s="1949"/>
      <c r="AF79" s="1949">
        <v>9.1999999999999993</v>
      </c>
      <c r="AG79" s="1949"/>
      <c r="AH79" s="1949"/>
      <c r="AI79" s="1952"/>
      <c r="AJ79" s="1952"/>
      <c r="BJ79" s="1965"/>
      <c r="BK79" s="1965"/>
      <c r="BL79" s="1965"/>
      <c r="BM79" s="1965"/>
      <c r="BN79" s="1965"/>
      <c r="BO79" s="1965"/>
    </row>
    <row r="80" spans="1:72" ht="15" customHeight="1">
      <c r="A80" s="1949" t="s">
        <v>527</v>
      </c>
      <c r="B80" s="1949"/>
      <c r="C80" s="1949"/>
      <c r="D80" s="1949"/>
      <c r="E80" s="1949"/>
      <c r="F80" s="1949"/>
      <c r="G80" s="1949"/>
      <c r="H80" s="1949"/>
      <c r="I80" s="1949"/>
      <c r="J80" s="1949"/>
      <c r="K80" s="1950" t="str">
        <f t="shared" ref="K80" si="22">IF(ISBLANK(K$57),"",1)</f>
        <v/>
      </c>
      <c r="L80" s="1950" t="str">
        <f>IF(ISBLANK($L$57),"",1)</f>
        <v/>
      </c>
      <c r="M80" s="256"/>
      <c r="N80" s="256"/>
      <c r="O80" s="256"/>
      <c r="P80" s="256"/>
      <c r="Q80" s="256"/>
      <c r="R80" s="256"/>
      <c r="S80" s="256"/>
      <c r="T80" s="256"/>
      <c r="U80" s="256"/>
      <c r="V80" s="256"/>
      <c r="W80" s="256"/>
      <c r="X80" s="256"/>
      <c r="Y80" s="256"/>
      <c r="Z80" s="256"/>
      <c r="AA80" s="256"/>
      <c r="AB80" s="256"/>
      <c r="AC80" s="256"/>
      <c r="AD80" s="256"/>
      <c r="AE80" s="256"/>
      <c r="AF80" s="256"/>
      <c r="AG80" s="256"/>
      <c r="AH80" s="256"/>
      <c r="AI80" s="256"/>
      <c r="AJ80" s="256"/>
      <c r="BJ80" s="1965"/>
      <c r="BK80" s="1965"/>
      <c r="BL80" s="1965"/>
      <c r="BM80" s="1965"/>
      <c r="BN80" s="1965"/>
      <c r="BO80" s="1965"/>
    </row>
    <row r="81" spans="1:67" ht="15" customHeight="1">
      <c r="A81" s="1949"/>
      <c r="B81" s="1949"/>
      <c r="C81" s="1949"/>
      <c r="D81" s="1949"/>
      <c r="E81" s="1949"/>
      <c r="F81" s="1949"/>
      <c r="G81" s="1949"/>
      <c r="H81" s="1949"/>
      <c r="I81" s="1949"/>
      <c r="J81" s="1949"/>
      <c r="K81" s="1951"/>
      <c r="L81" s="1951"/>
      <c r="M81" s="256"/>
      <c r="N81" s="256"/>
      <c r="O81" s="256"/>
      <c r="P81" s="256"/>
      <c r="Q81" s="256"/>
      <c r="R81" s="256"/>
      <c r="S81" s="256"/>
      <c r="T81" s="256"/>
      <c r="U81" s="256"/>
      <c r="V81" s="256"/>
      <c r="W81" s="256"/>
      <c r="X81" s="256"/>
      <c r="Y81" s="256"/>
      <c r="Z81" s="256"/>
      <c r="AA81" s="256"/>
      <c r="AB81" s="256"/>
      <c r="AC81" s="256"/>
      <c r="AD81" s="256"/>
      <c r="AE81" s="256"/>
      <c r="AF81" s="256"/>
      <c r="AG81" s="256"/>
      <c r="AH81" s="256"/>
      <c r="AI81" s="256"/>
      <c r="AJ81" s="256"/>
      <c r="BJ81" s="1965"/>
      <c r="BK81" s="1965"/>
      <c r="BL81" s="1965"/>
      <c r="BM81" s="1965"/>
      <c r="BN81" s="1965"/>
      <c r="BO81" s="1965"/>
    </row>
    <row r="82" spans="1:67" ht="15" customHeight="1">
      <c r="A82" s="1949"/>
      <c r="B82" s="1949"/>
      <c r="C82" s="1949"/>
      <c r="D82" s="1949"/>
      <c r="E82" s="1949"/>
      <c r="F82" s="1949"/>
      <c r="G82" s="1949"/>
      <c r="H82" s="1949"/>
      <c r="I82" s="1949"/>
      <c r="J82" s="1949"/>
      <c r="K82" s="1952"/>
      <c r="L82" s="1952"/>
      <c r="M82" s="256"/>
      <c r="N82" s="256"/>
      <c r="O82" s="256"/>
      <c r="P82" s="256"/>
      <c r="Q82" s="256"/>
      <c r="R82" s="256"/>
      <c r="S82" s="256"/>
      <c r="T82" s="256"/>
      <c r="U82" s="256"/>
      <c r="V82" s="256"/>
      <c r="W82" s="256"/>
      <c r="X82" s="256"/>
      <c r="Y82" s="256"/>
      <c r="Z82" s="256"/>
      <c r="AA82" s="256"/>
      <c r="AB82" s="256"/>
      <c r="AC82" s="256"/>
      <c r="AD82" s="256"/>
      <c r="AE82" s="256"/>
      <c r="AF82" s="256"/>
      <c r="AG82" s="256"/>
      <c r="AH82" s="256"/>
      <c r="AI82" s="256"/>
      <c r="AJ82" s="256"/>
      <c r="BJ82" s="1965"/>
      <c r="BK82" s="1965"/>
      <c r="BL82" s="1965"/>
      <c r="BM82" s="1965"/>
      <c r="BN82" s="1965"/>
      <c r="BO82" s="1965"/>
    </row>
    <row r="83" spans="1:67" ht="15" customHeight="1">
      <c r="A83" s="1949" t="s">
        <v>536</v>
      </c>
      <c r="B83" s="1949"/>
      <c r="C83" s="1949"/>
      <c r="D83" s="1949"/>
      <c r="E83" s="1949"/>
      <c r="F83" s="1949"/>
      <c r="G83" s="1949"/>
      <c r="H83" s="1949"/>
      <c r="I83" s="1949"/>
      <c r="J83" s="1949"/>
      <c r="K83" s="1950" t="str">
        <f t="shared" ref="K83" si="23">IF(ISBLANK(K$57),"",1)</f>
        <v/>
      </c>
      <c r="L83" s="1950" t="str">
        <f>IF(ISBLANK($L$57),"",1)</f>
        <v/>
      </c>
      <c r="M83" s="256"/>
      <c r="N83" s="256"/>
      <c r="O83" s="256"/>
      <c r="P83" s="256"/>
      <c r="Q83" s="256"/>
      <c r="R83" s="256"/>
      <c r="S83" s="256"/>
      <c r="T83" s="256"/>
      <c r="U83" s="256"/>
      <c r="V83" s="256"/>
      <c r="W83" s="256"/>
      <c r="X83" s="256"/>
      <c r="Y83" s="256"/>
      <c r="Z83" s="256"/>
      <c r="AA83" s="256"/>
      <c r="AB83" s="256"/>
      <c r="AC83" s="256"/>
      <c r="AD83" s="256"/>
      <c r="AE83" s="256"/>
      <c r="AF83" s="256"/>
      <c r="AG83" s="256"/>
      <c r="AH83" s="256"/>
      <c r="AI83" s="256"/>
      <c r="AJ83" s="256"/>
      <c r="BJ83" s="1965"/>
      <c r="BK83" s="1965"/>
      <c r="BL83" s="1965"/>
      <c r="BM83" s="1965"/>
      <c r="BN83" s="1965"/>
      <c r="BO83" s="1965"/>
    </row>
    <row r="84" spans="1:67" ht="15" customHeight="1">
      <c r="A84" s="1949"/>
      <c r="B84" s="1949"/>
      <c r="C84" s="1949"/>
      <c r="D84" s="1949"/>
      <c r="E84" s="1949"/>
      <c r="F84" s="1949"/>
      <c r="G84" s="1949"/>
      <c r="H84" s="1949"/>
      <c r="I84" s="1949"/>
      <c r="J84" s="1949"/>
      <c r="K84" s="1951"/>
      <c r="L84" s="1951"/>
      <c r="M84" s="256"/>
      <c r="N84" s="256"/>
      <c r="O84" s="256"/>
      <c r="P84" s="256"/>
      <c r="Q84" s="256"/>
      <c r="R84" s="256"/>
      <c r="S84" s="256"/>
      <c r="T84" s="256"/>
      <c r="U84" s="256"/>
      <c r="V84" s="256"/>
      <c r="W84" s="256"/>
      <c r="X84" s="256"/>
      <c r="Y84" s="256"/>
      <c r="Z84" s="256"/>
      <c r="AA84" s="256"/>
      <c r="AB84" s="256"/>
      <c r="AC84" s="256"/>
      <c r="AD84" s="256"/>
      <c r="AE84" s="256"/>
      <c r="AF84" s="256"/>
      <c r="AG84" s="256"/>
      <c r="AH84" s="256"/>
      <c r="AI84" s="256"/>
      <c r="AJ84" s="256"/>
      <c r="BJ84" s="1965"/>
      <c r="BK84" s="1965"/>
      <c r="BL84" s="1965"/>
      <c r="BM84" s="1965"/>
      <c r="BN84" s="1965"/>
      <c r="BO84" s="1965"/>
    </row>
    <row r="85" spans="1:67" ht="15" customHeight="1">
      <c r="A85" s="1958"/>
      <c r="B85" s="1958"/>
      <c r="C85" s="1958"/>
      <c r="D85" s="1958"/>
      <c r="E85" s="1958"/>
      <c r="F85" s="1958"/>
      <c r="G85" s="1958"/>
      <c r="H85" s="1958"/>
      <c r="I85" s="1958"/>
      <c r="J85" s="1958"/>
      <c r="K85" s="1952"/>
      <c r="L85" s="1952"/>
      <c r="M85" s="256"/>
      <c r="N85" s="256"/>
      <c r="O85" s="256"/>
      <c r="P85" s="256"/>
      <c r="Q85" s="256"/>
      <c r="R85" s="256"/>
      <c r="S85" s="256"/>
      <c r="T85" s="256"/>
      <c r="U85" s="256"/>
      <c r="V85" s="256"/>
      <c r="W85" s="256"/>
      <c r="X85" s="256"/>
      <c r="Y85" s="256"/>
      <c r="Z85" s="256"/>
      <c r="AA85" s="256"/>
      <c r="AB85" s="256"/>
      <c r="AC85" s="256"/>
      <c r="AD85" s="256"/>
      <c r="AE85" s="256"/>
      <c r="AF85" s="256"/>
      <c r="AG85" s="256"/>
      <c r="AH85" s="256"/>
      <c r="AI85" s="256"/>
      <c r="AJ85" s="256"/>
      <c r="BJ85" s="1965"/>
      <c r="BK85" s="1965"/>
      <c r="BL85" s="1965"/>
      <c r="BM85" s="1965"/>
      <c r="BN85" s="1965"/>
      <c r="BO85" s="1965"/>
    </row>
    <row r="86" spans="1:67" ht="15" customHeight="1">
      <c r="A86" s="1953"/>
      <c r="B86" s="1955" t="s">
        <v>509</v>
      </c>
      <c r="C86" s="1955"/>
      <c r="D86" s="1955"/>
      <c r="E86" s="1955"/>
      <c r="F86" s="1955"/>
      <c r="G86" s="1955"/>
      <c r="H86" s="1955"/>
      <c r="I86" s="1955"/>
      <c r="J86" s="1955"/>
      <c r="K86" s="1962"/>
      <c r="L86" s="1962"/>
      <c r="M86" s="1960"/>
      <c r="N86" s="1955" t="s">
        <v>542</v>
      </c>
      <c r="O86" s="1955"/>
      <c r="P86" s="1955"/>
      <c r="Q86" s="1955"/>
      <c r="R86" s="1955"/>
      <c r="S86" s="1955"/>
      <c r="T86" s="1955"/>
      <c r="U86" s="1955"/>
      <c r="V86" s="1955"/>
      <c r="W86" s="1962"/>
      <c r="X86" s="1962"/>
      <c r="Y86" s="1966"/>
      <c r="Z86" s="1955" t="s">
        <v>543</v>
      </c>
      <c r="AA86" s="1955"/>
      <c r="AB86" s="1955"/>
      <c r="AC86" s="1955"/>
      <c r="AD86" s="1955"/>
      <c r="AE86" s="1955"/>
      <c r="AF86" s="1955"/>
      <c r="AG86" s="1955"/>
      <c r="AH86" s="1955"/>
      <c r="AI86" s="1962"/>
      <c r="AJ86" s="1962"/>
      <c r="AK86" s="1953"/>
      <c r="AL86" s="1955" t="s">
        <v>567</v>
      </c>
      <c r="AM86" s="1955"/>
      <c r="AN86" s="1955"/>
      <c r="AO86" s="1955"/>
      <c r="AP86" s="1955"/>
      <c r="AQ86" s="1955"/>
      <c r="AR86" s="1955"/>
      <c r="AS86" s="1955"/>
      <c r="AT86" s="1955"/>
      <c r="AU86" s="1962"/>
      <c r="AV86" s="1962"/>
      <c r="BJ86" s="1182" t="s">
        <v>263</v>
      </c>
      <c r="BK86" s="1183"/>
      <c r="BL86" s="1183"/>
      <c r="BM86" s="1183"/>
      <c r="BN86" s="1183"/>
      <c r="BO86" s="1184"/>
    </row>
    <row r="87" spans="1:67" ht="15" customHeight="1">
      <c r="A87" s="1953"/>
      <c r="B87" s="1955"/>
      <c r="C87" s="1955"/>
      <c r="D87" s="1955"/>
      <c r="E87" s="1955"/>
      <c r="F87" s="1955"/>
      <c r="G87" s="1955"/>
      <c r="H87" s="1955"/>
      <c r="I87" s="1955"/>
      <c r="J87" s="1955"/>
      <c r="K87" s="1962"/>
      <c r="L87" s="1962"/>
      <c r="M87" s="1960"/>
      <c r="N87" s="1955"/>
      <c r="O87" s="1955"/>
      <c r="P87" s="1955"/>
      <c r="Q87" s="1955"/>
      <c r="R87" s="1955"/>
      <c r="S87" s="1955"/>
      <c r="T87" s="1955"/>
      <c r="U87" s="1955"/>
      <c r="V87" s="1955"/>
      <c r="W87" s="1962"/>
      <c r="X87" s="1962"/>
      <c r="Y87" s="1966"/>
      <c r="Z87" s="1955"/>
      <c r="AA87" s="1955"/>
      <c r="AB87" s="1955"/>
      <c r="AC87" s="1955"/>
      <c r="AD87" s="1955"/>
      <c r="AE87" s="1955"/>
      <c r="AF87" s="1955"/>
      <c r="AG87" s="1955"/>
      <c r="AH87" s="1955"/>
      <c r="AI87" s="1962"/>
      <c r="AJ87" s="1962"/>
      <c r="AK87" s="1953"/>
      <c r="AL87" s="1955"/>
      <c r="AM87" s="1955"/>
      <c r="AN87" s="1955"/>
      <c r="AO87" s="1955"/>
      <c r="AP87" s="1955"/>
      <c r="AQ87" s="1955"/>
      <c r="AR87" s="1955"/>
      <c r="AS87" s="1955"/>
      <c r="AT87" s="1955"/>
      <c r="AU87" s="1962"/>
      <c r="AV87" s="1962"/>
      <c r="BJ87" s="1965"/>
      <c r="BK87" s="1965"/>
      <c r="BL87" s="1965"/>
      <c r="BM87" s="1965"/>
      <c r="BN87" s="1965"/>
      <c r="BO87" s="1965"/>
    </row>
    <row r="88" spans="1:67" ht="15" customHeight="1">
      <c r="A88" s="1948" t="s">
        <v>515</v>
      </c>
      <c r="B88" s="1948"/>
      <c r="C88" s="1948"/>
      <c r="D88" s="1948"/>
      <c r="E88" s="1948"/>
      <c r="F88" s="1948"/>
      <c r="G88" s="1948"/>
      <c r="H88" s="1948"/>
      <c r="I88" s="1948"/>
      <c r="J88" s="1948"/>
      <c r="K88" s="1951" t="str">
        <f>IF(ISBLANK(K$86),"",1)</f>
        <v/>
      </c>
      <c r="L88" s="1951" t="str">
        <f>IF(ISBLANK(L$86),"",1)</f>
        <v/>
      </c>
      <c r="M88" s="1948" t="s">
        <v>548</v>
      </c>
      <c r="N88" s="1948"/>
      <c r="O88" s="1948"/>
      <c r="P88" s="1948"/>
      <c r="Q88" s="1948"/>
      <c r="R88" s="1948"/>
      <c r="S88" s="1948"/>
      <c r="T88" s="1948"/>
      <c r="U88" s="1948"/>
      <c r="V88" s="1948"/>
      <c r="W88" s="1951" t="str">
        <f>IF(ISBLANK(W$86),"",1)</f>
        <v/>
      </c>
      <c r="X88" s="1951" t="str">
        <f>IF(ISBLANK(X$86),"",1)</f>
        <v/>
      </c>
      <c r="Y88" s="1948" t="s">
        <v>549</v>
      </c>
      <c r="Z88" s="1948"/>
      <c r="AA88" s="1948"/>
      <c r="AB88" s="1948"/>
      <c r="AC88" s="1948"/>
      <c r="AD88" s="1948"/>
      <c r="AE88" s="1948"/>
      <c r="AF88" s="1948"/>
      <c r="AG88" s="1948"/>
      <c r="AH88" s="1948"/>
      <c r="AI88" s="1951" t="str">
        <f>IF(ISBLANK($AI$86),"",1)</f>
        <v/>
      </c>
      <c r="AJ88" s="1951" t="str">
        <f>IF(ISBLANK(AJ$86),"",1)</f>
        <v/>
      </c>
      <c r="AK88" s="1948" t="s">
        <v>569</v>
      </c>
      <c r="AL88" s="1948"/>
      <c r="AM88" s="1948"/>
      <c r="AN88" s="1948"/>
      <c r="AO88" s="1948"/>
      <c r="AP88" s="1948"/>
      <c r="AQ88" s="1948"/>
      <c r="AR88" s="1948"/>
      <c r="AS88" s="1948"/>
      <c r="AT88" s="1948"/>
      <c r="AU88" s="1951" t="str">
        <f>IF(ISBLANK(AU$86),"",1)</f>
        <v/>
      </c>
      <c r="AV88" s="1951" t="str">
        <f>IF(ISBLANK(AV$86),"",1)</f>
        <v/>
      </c>
      <c r="BJ88" s="1965"/>
      <c r="BK88" s="1965"/>
      <c r="BL88" s="1965"/>
      <c r="BM88" s="1965"/>
      <c r="BN88" s="1965"/>
      <c r="BO88" s="1965"/>
    </row>
    <row r="89" spans="1:67" ht="15" customHeight="1">
      <c r="A89" s="1949"/>
      <c r="B89" s="1949"/>
      <c r="C89" s="1949"/>
      <c r="D89" s="1949"/>
      <c r="E89" s="1949"/>
      <c r="F89" s="1949"/>
      <c r="G89" s="1949"/>
      <c r="H89" s="1949"/>
      <c r="I89" s="1949"/>
      <c r="J89" s="1949"/>
      <c r="K89" s="1951"/>
      <c r="L89" s="1951"/>
      <c r="M89" s="1949"/>
      <c r="N89" s="1949"/>
      <c r="O89" s="1949"/>
      <c r="P89" s="1949"/>
      <c r="Q89" s="1949"/>
      <c r="R89" s="1949"/>
      <c r="S89" s="1949"/>
      <c r="T89" s="1949"/>
      <c r="U89" s="1949"/>
      <c r="V89" s="1949"/>
      <c r="W89" s="1951"/>
      <c r="X89" s="1951"/>
      <c r="Y89" s="1949"/>
      <c r="Z89" s="1949"/>
      <c r="AA89" s="1949"/>
      <c r="AB89" s="1949"/>
      <c r="AC89" s="1949"/>
      <c r="AD89" s="1949"/>
      <c r="AE89" s="1949"/>
      <c r="AF89" s="1949"/>
      <c r="AG89" s="1949"/>
      <c r="AH89" s="1949"/>
      <c r="AI89" s="1951"/>
      <c r="AJ89" s="1951"/>
      <c r="AK89" s="1949"/>
      <c r="AL89" s="1949"/>
      <c r="AM89" s="1949"/>
      <c r="AN89" s="1949"/>
      <c r="AO89" s="1949"/>
      <c r="AP89" s="1949"/>
      <c r="AQ89" s="1949"/>
      <c r="AR89" s="1949"/>
      <c r="AS89" s="1949"/>
      <c r="AT89" s="1949"/>
      <c r="AU89" s="1951"/>
      <c r="AV89" s="1951"/>
      <c r="BJ89" s="1965"/>
      <c r="BK89" s="1965"/>
      <c r="BL89" s="1965"/>
      <c r="BM89" s="1965"/>
      <c r="BN89" s="1965"/>
      <c r="BO89" s="1965"/>
    </row>
    <row r="90" spans="1:67" ht="15" customHeight="1">
      <c r="A90" s="1949"/>
      <c r="B90" s="1949"/>
      <c r="C90" s="1949"/>
      <c r="D90" s="1949"/>
      <c r="E90" s="1949"/>
      <c r="F90" s="1949"/>
      <c r="G90" s="1949"/>
      <c r="H90" s="1949"/>
      <c r="I90" s="1949"/>
      <c r="J90" s="1949"/>
      <c r="K90" s="1952"/>
      <c r="L90" s="1952"/>
      <c r="M90" s="1949" t="s">
        <v>522</v>
      </c>
      <c r="N90" s="1949"/>
      <c r="O90" s="1949"/>
      <c r="P90" s="1949"/>
      <c r="Q90" s="1949"/>
      <c r="R90" s="1949"/>
      <c r="S90" s="1949"/>
      <c r="T90" s="1949">
        <v>4.2</v>
      </c>
      <c r="U90" s="1949"/>
      <c r="V90" s="1949"/>
      <c r="W90" s="1952"/>
      <c r="X90" s="1952"/>
      <c r="Y90" s="1949"/>
      <c r="Z90" s="1949"/>
      <c r="AA90" s="1949"/>
      <c r="AB90" s="1949"/>
      <c r="AC90" s="1949"/>
      <c r="AD90" s="1949"/>
      <c r="AE90" s="1949"/>
      <c r="AF90" s="1949"/>
      <c r="AG90" s="1949"/>
      <c r="AH90" s="1949"/>
      <c r="AI90" s="1952"/>
      <c r="AJ90" s="1952"/>
      <c r="AK90" s="1949"/>
      <c r="AL90" s="1949"/>
      <c r="AM90" s="1949"/>
      <c r="AN90" s="1949"/>
      <c r="AO90" s="1949"/>
      <c r="AP90" s="1949"/>
      <c r="AQ90" s="1949"/>
      <c r="AR90" s="1949"/>
      <c r="AS90" s="1949"/>
      <c r="AT90" s="1949"/>
      <c r="AU90" s="1952"/>
      <c r="AV90" s="1952"/>
      <c r="BJ90" s="1965"/>
      <c r="BK90" s="1965"/>
      <c r="BL90" s="1965"/>
      <c r="BM90" s="1965"/>
      <c r="BN90" s="1965"/>
      <c r="BO90" s="1965"/>
    </row>
    <row r="91" spans="1:67" ht="15" customHeight="1">
      <c r="A91" s="1949" t="s">
        <v>521</v>
      </c>
      <c r="B91" s="1949"/>
      <c r="C91" s="1949"/>
      <c r="D91" s="1949"/>
      <c r="E91" s="1949"/>
      <c r="F91" s="1949"/>
      <c r="G91" s="1949"/>
      <c r="H91" s="1949"/>
      <c r="I91" s="1949"/>
      <c r="J91" s="1949"/>
      <c r="K91" s="1951" t="str">
        <f t="shared" ref="K91:L91" si="24">IF(ISBLANK(K$86),"",1)</f>
        <v/>
      </c>
      <c r="L91" s="1951" t="str">
        <f t="shared" si="24"/>
        <v/>
      </c>
      <c r="M91" s="1949" t="s">
        <v>554</v>
      </c>
      <c r="N91" s="1949"/>
      <c r="O91" s="1949"/>
      <c r="P91" s="1949"/>
      <c r="Q91" s="1949"/>
      <c r="R91" s="1949"/>
      <c r="S91" s="1949"/>
      <c r="T91" s="1949"/>
      <c r="U91" s="1949"/>
      <c r="V91" s="1949"/>
      <c r="W91" s="1951" t="str">
        <f t="shared" ref="W91:X91" si="25">IF(ISBLANK(W$86),"",1)</f>
        <v/>
      </c>
      <c r="X91" s="1951" t="str">
        <f t="shared" si="25"/>
        <v/>
      </c>
      <c r="Y91" s="1949" t="s">
        <v>555</v>
      </c>
      <c r="Z91" s="1949"/>
      <c r="AA91" s="1949"/>
      <c r="AB91" s="1949"/>
      <c r="AC91" s="1949"/>
      <c r="AD91" s="1949"/>
      <c r="AE91" s="1949"/>
      <c r="AF91" s="1949"/>
      <c r="AG91" s="1949"/>
      <c r="AH91" s="1949"/>
      <c r="AI91" s="1951" t="str">
        <f>IF(ISBLANK($AI$86),"",1)</f>
        <v/>
      </c>
      <c r="AJ91" s="1951" t="str">
        <f t="shared" ref="AJ91" si="26">IF(ISBLANK(AJ$86),"",1)</f>
        <v/>
      </c>
      <c r="AK91" s="1949" t="s">
        <v>571</v>
      </c>
      <c r="AL91" s="1949"/>
      <c r="AM91" s="1949"/>
      <c r="AN91" s="1949"/>
      <c r="AO91" s="1949"/>
      <c r="AP91" s="1949"/>
      <c r="AQ91" s="1949"/>
      <c r="AR91" s="1949"/>
      <c r="AS91" s="1949"/>
      <c r="AT91" s="1949"/>
      <c r="AU91" s="1951" t="str">
        <f t="shared" ref="AU91:AV91" si="27">IF(ISBLANK(AU$86),"",1)</f>
        <v/>
      </c>
      <c r="AV91" s="1951" t="str">
        <f t="shared" si="27"/>
        <v/>
      </c>
      <c r="BJ91" s="1965"/>
      <c r="BK91" s="1965"/>
      <c r="BL91" s="1965"/>
      <c r="BM91" s="1965"/>
      <c r="BN91" s="1965"/>
      <c r="BO91" s="1965"/>
    </row>
    <row r="92" spans="1:67" ht="15" customHeight="1">
      <c r="A92" s="1949"/>
      <c r="B92" s="1949"/>
      <c r="C92" s="1949"/>
      <c r="D92" s="1949"/>
      <c r="E92" s="1949"/>
      <c r="F92" s="1949"/>
      <c r="G92" s="1949"/>
      <c r="H92" s="1949"/>
      <c r="I92" s="1949"/>
      <c r="J92" s="1949"/>
      <c r="K92" s="1951"/>
      <c r="L92" s="1951"/>
      <c r="M92" s="1949"/>
      <c r="N92" s="1949"/>
      <c r="O92" s="1949"/>
      <c r="P92" s="1949"/>
      <c r="Q92" s="1949"/>
      <c r="R92" s="1949"/>
      <c r="S92" s="1949"/>
      <c r="T92" s="1949"/>
      <c r="U92" s="1949"/>
      <c r="V92" s="1949"/>
      <c r="W92" s="1951"/>
      <c r="X92" s="1951"/>
      <c r="Y92" s="1949"/>
      <c r="Z92" s="1949"/>
      <c r="AA92" s="1949"/>
      <c r="AB92" s="1949"/>
      <c r="AC92" s="1949"/>
      <c r="AD92" s="1949"/>
      <c r="AE92" s="1949"/>
      <c r="AF92" s="1949"/>
      <c r="AG92" s="1949"/>
      <c r="AH92" s="1949"/>
      <c r="AI92" s="1951"/>
      <c r="AJ92" s="1951"/>
      <c r="AK92" s="1949"/>
      <c r="AL92" s="1949"/>
      <c r="AM92" s="1949"/>
      <c r="AN92" s="1949"/>
      <c r="AO92" s="1949"/>
      <c r="AP92" s="1949"/>
      <c r="AQ92" s="1949"/>
      <c r="AR92" s="1949"/>
      <c r="AS92" s="1949"/>
      <c r="AT92" s="1949"/>
      <c r="AU92" s="1951"/>
      <c r="AV92" s="1951"/>
      <c r="BJ92" s="1965"/>
      <c r="BK92" s="1965"/>
      <c r="BL92" s="1965"/>
      <c r="BM92" s="1965"/>
      <c r="BN92" s="1965"/>
      <c r="BO92" s="1965"/>
    </row>
    <row r="93" spans="1:67" ht="15" customHeight="1">
      <c r="A93" s="1949"/>
      <c r="B93" s="1949"/>
      <c r="C93" s="1949"/>
      <c r="D93" s="1949"/>
      <c r="E93" s="1949"/>
      <c r="F93" s="1949"/>
      <c r="G93" s="1949"/>
      <c r="H93" s="1949"/>
      <c r="I93" s="1949"/>
      <c r="J93" s="1949"/>
      <c r="K93" s="1952"/>
      <c r="L93" s="1952"/>
      <c r="M93" s="1949" t="s">
        <v>315</v>
      </c>
      <c r="N93" s="1949"/>
      <c r="O93" s="1949"/>
      <c r="P93" s="1949"/>
      <c r="Q93" s="1949"/>
      <c r="R93" s="1949"/>
      <c r="S93" s="1949"/>
      <c r="T93" s="1949">
        <v>4.3</v>
      </c>
      <c r="U93" s="1949"/>
      <c r="V93" s="1949"/>
      <c r="W93" s="1952"/>
      <c r="X93" s="1952"/>
      <c r="Y93" s="1949"/>
      <c r="Z93" s="1949"/>
      <c r="AA93" s="1949"/>
      <c r="AB93" s="1949"/>
      <c r="AC93" s="1949"/>
      <c r="AD93" s="1949"/>
      <c r="AE93" s="1949"/>
      <c r="AF93" s="1949"/>
      <c r="AG93" s="1949"/>
      <c r="AH93" s="1949"/>
      <c r="AI93" s="1952"/>
      <c r="AJ93" s="1952"/>
      <c r="AK93" s="1949"/>
      <c r="AL93" s="1949"/>
      <c r="AM93" s="1949"/>
      <c r="AN93" s="1949"/>
      <c r="AO93" s="1949"/>
      <c r="AP93" s="1949"/>
      <c r="AQ93" s="1949"/>
      <c r="AR93" s="1949"/>
      <c r="AS93" s="1949"/>
      <c r="AT93" s="1949"/>
      <c r="AU93" s="1952"/>
      <c r="AV93" s="1952"/>
      <c r="BJ93" s="1965"/>
      <c r="BK93" s="1965"/>
      <c r="BL93" s="1965"/>
      <c r="BM93" s="1965"/>
      <c r="BN93" s="1965"/>
      <c r="BO93" s="1965"/>
    </row>
    <row r="94" spans="1:67" ht="15" customHeight="1">
      <c r="A94" s="1949" t="s">
        <v>527</v>
      </c>
      <c r="B94" s="1949"/>
      <c r="C94" s="1949"/>
      <c r="D94" s="1949"/>
      <c r="E94" s="1949"/>
      <c r="F94" s="1949"/>
      <c r="G94" s="1949"/>
      <c r="H94" s="1949"/>
      <c r="I94" s="1949"/>
      <c r="J94" s="1949"/>
      <c r="K94" s="1951" t="str">
        <f t="shared" ref="K94:L94" si="28">IF(ISBLANK(K$86),"",1)</f>
        <v/>
      </c>
      <c r="L94" s="1951" t="str">
        <f t="shared" si="28"/>
        <v/>
      </c>
      <c r="M94" s="1949" t="s">
        <v>560</v>
      </c>
      <c r="N94" s="1949"/>
      <c r="O94" s="1949"/>
      <c r="P94" s="1949"/>
      <c r="Q94" s="1949"/>
      <c r="R94" s="1949"/>
      <c r="S94" s="1949"/>
      <c r="T94" s="1949"/>
      <c r="U94" s="1949"/>
      <c r="V94" s="1949"/>
      <c r="W94" s="1951" t="str">
        <f t="shared" ref="W94:X94" si="29">IF(ISBLANK(W$86),"",1)</f>
        <v/>
      </c>
      <c r="X94" s="1951" t="str">
        <f t="shared" si="29"/>
        <v/>
      </c>
      <c r="Y94" s="1949" t="s">
        <v>561</v>
      </c>
      <c r="Z94" s="1949"/>
      <c r="AA94" s="1949"/>
      <c r="AB94" s="1949"/>
      <c r="AC94" s="1949"/>
      <c r="AD94" s="1949"/>
      <c r="AE94" s="1949"/>
      <c r="AF94" s="1949"/>
      <c r="AG94" s="1949"/>
      <c r="AH94" s="1949"/>
      <c r="AI94" s="1951" t="str">
        <f>IF(ISBLANK($AI$86),"",1)</f>
        <v/>
      </c>
      <c r="AJ94" s="1951" t="str">
        <f t="shared" ref="AJ94" si="30">IF(ISBLANK(AJ$86),"",1)</f>
        <v/>
      </c>
      <c r="AK94" s="1949" t="s">
        <v>570</v>
      </c>
      <c r="AL94" s="1949"/>
      <c r="AM94" s="1949"/>
      <c r="AN94" s="1949"/>
      <c r="AO94" s="1949"/>
      <c r="AP94" s="1949"/>
      <c r="AQ94" s="1949"/>
      <c r="AR94" s="1949"/>
      <c r="AS94" s="1949"/>
      <c r="AT94" s="1949"/>
      <c r="AU94" s="1951" t="str">
        <f t="shared" ref="AU94:AV94" si="31">IF(ISBLANK(AU$86),"",1)</f>
        <v/>
      </c>
      <c r="AV94" s="1951" t="str">
        <f t="shared" si="31"/>
        <v/>
      </c>
      <c r="BJ94" s="1965"/>
      <c r="BK94" s="1965"/>
      <c r="BL94" s="1965"/>
      <c r="BM94" s="1965"/>
      <c r="BN94" s="1965"/>
      <c r="BO94" s="1965"/>
    </row>
    <row r="95" spans="1:67" ht="15" customHeight="1">
      <c r="A95" s="1949"/>
      <c r="B95" s="1949"/>
      <c r="C95" s="1949"/>
      <c r="D95" s="1949"/>
      <c r="E95" s="1949"/>
      <c r="F95" s="1949"/>
      <c r="G95" s="1949"/>
      <c r="H95" s="1949"/>
      <c r="I95" s="1949"/>
      <c r="J95" s="1949"/>
      <c r="K95" s="1951"/>
      <c r="L95" s="1951"/>
      <c r="M95" s="1949"/>
      <c r="N95" s="1949"/>
      <c r="O95" s="1949"/>
      <c r="P95" s="1949"/>
      <c r="Q95" s="1949"/>
      <c r="R95" s="1949"/>
      <c r="S95" s="1949"/>
      <c r="T95" s="1949"/>
      <c r="U95" s="1949"/>
      <c r="V95" s="1949"/>
      <c r="W95" s="1951"/>
      <c r="X95" s="1951"/>
      <c r="Y95" s="1949"/>
      <c r="Z95" s="1949"/>
      <c r="AA95" s="1949"/>
      <c r="AB95" s="1949"/>
      <c r="AC95" s="1949"/>
      <c r="AD95" s="1949"/>
      <c r="AE95" s="1949"/>
      <c r="AF95" s="1949"/>
      <c r="AG95" s="1949"/>
      <c r="AH95" s="1949"/>
      <c r="AI95" s="1951"/>
      <c r="AJ95" s="1951"/>
      <c r="AK95" s="1949"/>
      <c r="AL95" s="1949"/>
      <c r="AM95" s="1949"/>
      <c r="AN95" s="1949"/>
      <c r="AO95" s="1949"/>
      <c r="AP95" s="1949"/>
      <c r="AQ95" s="1949"/>
      <c r="AR95" s="1949"/>
      <c r="AS95" s="1949"/>
      <c r="AT95" s="1949"/>
      <c r="AU95" s="1951"/>
      <c r="AV95" s="1951"/>
      <c r="BJ95" s="1965"/>
      <c r="BK95" s="1965"/>
      <c r="BL95" s="1965"/>
      <c r="BM95" s="1965"/>
      <c r="BN95" s="1965"/>
      <c r="BO95" s="1965"/>
    </row>
    <row r="96" spans="1:67" ht="15" customHeight="1">
      <c r="A96" s="1949"/>
      <c r="B96" s="1949"/>
      <c r="C96" s="1949"/>
      <c r="D96" s="1949"/>
      <c r="E96" s="1949"/>
      <c r="F96" s="1949"/>
      <c r="G96" s="1949"/>
      <c r="H96" s="1949"/>
      <c r="I96" s="1949"/>
      <c r="J96" s="1949"/>
      <c r="K96" s="1952"/>
      <c r="L96" s="1952"/>
      <c r="M96" s="1949" t="s">
        <v>318</v>
      </c>
      <c r="N96" s="1949"/>
      <c r="O96" s="1949"/>
      <c r="P96" s="1949"/>
      <c r="Q96" s="1949"/>
      <c r="R96" s="1949"/>
      <c r="S96" s="1949"/>
      <c r="T96" s="1949">
        <v>4.3</v>
      </c>
      <c r="U96" s="1949"/>
      <c r="V96" s="1949"/>
      <c r="W96" s="1952"/>
      <c r="X96" s="1952"/>
      <c r="Y96" s="1949"/>
      <c r="Z96" s="1949"/>
      <c r="AA96" s="1949"/>
      <c r="AB96" s="1949"/>
      <c r="AC96" s="1949"/>
      <c r="AD96" s="1949"/>
      <c r="AE96" s="1949"/>
      <c r="AF96" s="1949"/>
      <c r="AG96" s="1949"/>
      <c r="AH96" s="1949"/>
      <c r="AI96" s="1952"/>
      <c r="AJ96" s="1952"/>
      <c r="AK96" s="1949"/>
      <c r="AL96" s="1949"/>
      <c r="AM96" s="1949"/>
      <c r="AN96" s="1949"/>
      <c r="AO96" s="1949"/>
      <c r="AP96" s="1949"/>
      <c r="AQ96" s="1949"/>
      <c r="AR96" s="1949"/>
      <c r="AS96" s="1949"/>
      <c r="AT96" s="1949"/>
      <c r="AU96" s="1952"/>
      <c r="AV96" s="1952"/>
      <c r="BJ96" s="1965"/>
      <c r="BK96" s="1965"/>
      <c r="BL96" s="1965"/>
      <c r="BM96" s="1965"/>
      <c r="BN96" s="1965"/>
      <c r="BO96" s="1965"/>
    </row>
    <row r="97" spans="1:73" ht="15" customHeight="1">
      <c r="A97" s="1949" t="s">
        <v>532</v>
      </c>
      <c r="B97" s="1949"/>
      <c r="C97" s="1949"/>
      <c r="D97" s="1949"/>
      <c r="E97" s="1949"/>
      <c r="F97" s="1949"/>
      <c r="G97" s="1949"/>
      <c r="H97" s="1949"/>
      <c r="I97" s="1949"/>
      <c r="J97" s="1949"/>
      <c r="K97" s="1951" t="str">
        <f t="shared" ref="K97:L97" si="32">IF(ISBLANK(K$86),"",1)</f>
        <v/>
      </c>
      <c r="L97" s="1951" t="str">
        <f t="shared" si="32"/>
        <v/>
      </c>
      <c r="M97" s="1949" t="s">
        <v>527</v>
      </c>
      <c r="N97" s="1949"/>
      <c r="O97" s="1949"/>
      <c r="P97" s="1949"/>
      <c r="Q97" s="1949"/>
      <c r="R97" s="1949"/>
      <c r="S97" s="1949"/>
      <c r="T97" s="1949"/>
      <c r="U97" s="1949"/>
      <c r="V97" s="1949"/>
      <c r="W97" s="1951" t="str">
        <f t="shared" ref="W97:X97" si="33">IF(ISBLANK(W$86),"",1)</f>
        <v/>
      </c>
      <c r="X97" s="1951" t="str">
        <f t="shared" si="33"/>
        <v/>
      </c>
      <c r="Y97" s="1949" t="s">
        <v>565</v>
      </c>
      <c r="Z97" s="1949"/>
      <c r="AA97" s="1949"/>
      <c r="AB97" s="1949"/>
      <c r="AC97" s="1949"/>
      <c r="AD97" s="1949"/>
      <c r="AE97" s="1949"/>
      <c r="AF97" s="1949"/>
      <c r="AG97" s="1949"/>
      <c r="AH97" s="1949"/>
      <c r="AI97" s="1951" t="str">
        <f>IF(ISBLANK($AI$86),"",1)</f>
        <v/>
      </c>
      <c r="AJ97" s="1951" t="str">
        <f t="shared" ref="AJ97" si="34">IF(ISBLANK(AJ$86),"",1)</f>
        <v/>
      </c>
      <c r="AK97" s="1949" t="s">
        <v>572</v>
      </c>
      <c r="AL97" s="1949"/>
      <c r="AM97" s="1949"/>
      <c r="AN97" s="1949"/>
      <c r="AO97" s="1949"/>
      <c r="AP97" s="1949"/>
      <c r="AQ97" s="1949"/>
      <c r="AR97" s="1949"/>
      <c r="AS97" s="1949"/>
      <c r="AT97" s="1949"/>
      <c r="AU97" s="1951" t="str">
        <f t="shared" ref="AU97:AV97" si="35">IF(ISBLANK(AU$86),"",1)</f>
        <v/>
      </c>
      <c r="AV97" s="1951" t="str">
        <f t="shared" si="35"/>
        <v/>
      </c>
      <c r="BJ97" s="1965"/>
      <c r="BK97" s="1965"/>
      <c r="BL97" s="1965"/>
      <c r="BM97" s="1965"/>
      <c r="BN97" s="1965"/>
      <c r="BO97" s="1965"/>
    </row>
    <row r="98" spans="1:73" ht="15" customHeight="1">
      <c r="A98" s="1949"/>
      <c r="B98" s="1949"/>
      <c r="C98" s="1949"/>
      <c r="D98" s="1949"/>
      <c r="E98" s="1949"/>
      <c r="F98" s="1949"/>
      <c r="G98" s="1949"/>
      <c r="H98" s="1949"/>
      <c r="I98" s="1949"/>
      <c r="J98" s="1949"/>
      <c r="K98" s="1951"/>
      <c r="L98" s="1951"/>
      <c r="M98" s="1949"/>
      <c r="N98" s="1949"/>
      <c r="O98" s="1949"/>
      <c r="P98" s="1949"/>
      <c r="Q98" s="1949"/>
      <c r="R98" s="1949"/>
      <c r="S98" s="1949"/>
      <c r="T98" s="1949"/>
      <c r="U98" s="1949"/>
      <c r="V98" s="1949"/>
      <c r="W98" s="1951"/>
      <c r="X98" s="1951"/>
      <c r="Y98" s="1949"/>
      <c r="Z98" s="1949"/>
      <c r="AA98" s="1949"/>
      <c r="AB98" s="1949"/>
      <c r="AC98" s="1949"/>
      <c r="AD98" s="1949"/>
      <c r="AE98" s="1949"/>
      <c r="AF98" s="1949"/>
      <c r="AG98" s="1949"/>
      <c r="AH98" s="1949"/>
      <c r="AI98" s="1951"/>
      <c r="AJ98" s="1951"/>
      <c r="AK98" s="1949"/>
      <c r="AL98" s="1949"/>
      <c r="AM98" s="1949"/>
      <c r="AN98" s="1949"/>
      <c r="AO98" s="1949"/>
      <c r="AP98" s="1949"/>
      <c r="AQ98" s="1949"/>
      <c r="AR98" s="1949"/>
      <c r="AS98" s="1949"/>
      <c r="AT98" s="1949"/>
      <c r="AU98" s="1951"/>
      <c r="AV98" s="1951"/>
      <c r="BJ98" s="1965"/>
      <c r="BK98" s="1965"/>
      <c r="BL98" s="1965"/>
      <c r="BM98" s="1965"/>
      <c r="BN98" s="1965"/>
      <c r="BO98" s="1965"/>
    </row>
    <row r="99" spans="1:73" ht="15" customHeight="1">
      <c r="A99" s="1949"/>
      <c r="B99" s="1949"/>
      <c r="C99" s="1949"/>
      <c r="D99" s="1949"/>
      <c r="E99" s="1949"/>
      <c r="F99" s="1949"/>
      <c r="G99" s="1949"/>
      <c r="H99" s="1949"/>
      <c r="I99" s="1949"/>
      <c r="J99" s="1949"/>
      <c r="K99" s="1952"/>
      <c r="L99" s="1952"/>
      <c r="M99" s="1949"/>
      <c r="N99" s="1949"/>
      <c r="O99" s="1949"/>
      <c r="P99" s="1949"/>
      <c r="Q99" s="1949"/>
      <c r="R99" s="1949"/>
      <c r="S99" s="1949"/>
      <c r="T99" s="1949"/>
      <c r="U99" s="1949"/>
      <c r="V99" s="1949"/>
      <c r="W99" s="1952"/>
      <c r="X99" s="1952"/>
      <c r="Y99" s="1949"/>
      <c r="Z99" s="1949"/>
      <c r="AA99" s="1949"/>
      <c r="AB99" s="1949"/>
      <c r="AC99" s="1949"/>
      <c r="AD99" s="1949"/>
      <c r="AE99" s="1949"/>
      <c r="AF99" s="1949"/>
      <c r="AG99" s="1949"/>
      <c r="AH99" s="1949"/>
      <c r="AI99" s="1952"/>
      <c r="AJ99" s="1952"/>
      <c r="AK99" s="1949"/>
      <c r="AL99" s="1949"/>
      <c r="AM99" s="1949"/>
      <c r="AN99" s="1949"/>
      <c r="AO99" s="1949"/>
      <c r="AP99" s="1949"/>
      <c r="AQ99" s="1949"/>
      <c r="AR99" s="1949"/>
      <c r="AS99" s="1949"/>
      <c r="AT99" s="1949"/>
      <c r="AU99" s="1952"/>
      <c r="AV99" s="1952"/>
      <c r="BJ99" s="1965"/>
      <c r="BK99" s="1965"/>
      <c r="BL99" s="1965"/>
      <c r="BM99" s="1965"/>
      <c r="BN99" s="1965"/>
      <c r="BO99" s="1965"/>
    </row>
    <row r="100" spans="1:73" ht="15" customHeight="1">
      <c r="A100" s="1949" t="s">
        <v>536</v>
      </c>
      <c r="B100" s="1949"/>
      <c r="C100" s="1949"/>
      <c r="D100" s="1949"/>
      <c r="E100" s="1949"/>
      <c r="F100" s="1949"/>
      <c r="G100" s="1949"/>
      <c r="H100" s="1949"/>
      <c r="I100" s="1949"/>
      <c r="J100" s="1949"/>
      <c r="K100" s="1951" t="str">
        <f t="shared" ref="K100:L100" si="36">IF(ISBLANK(K$86),"",1)</f>
        <v/>
      </c>
      <c r="L100" s="1951" t="str">
        <f t="shared" si="36"/>
        <v/>
      </c>
      <c r="BJ100" s="1965"/>
      <c r="BK100" s="1965"/>
      <c r="BL100" s="1965"/>
      <c r="BM100" s="1965"/>
      <c r="BN100" s="1965"/>
      <c r="BO100" s="1965"/>
    </row>
    <row r="101" spans="1:73" ht="15" customHeight="1">
      <c r="A101" s="1949"/>
      <c r="B101" s="1949"/>
      <c r="C101" s="1949"/>
      <c r="D101" s="1949"/>
      <c r="E101" s="1949"/>
      <c r="F101" s="1949"/>
      <c r="G101" s="1949"/>
      <c r="H101" s="1949"/>
      <c r="I101" s="1949"/>
      <c r="J101" s="1949"/>
      <c r="K101" s="1951"/>
      <c r="L101" s="1951"/>
      <c r="BJ101" s="1965"/>
      <c r="BK101" s="1965"/>
      <c r="BL101" s="1965"/>
      <c r="BM101" s="1965"/>
      <c r="BN101" s="1965"/>
      <c r="BO101" s="1965"/>
    </row>
    <row r="102" spans="1:73" ht="15" customHeight="1">
      <c r="A102" s="1958"/>
      <c r="B102" s="1958"/>
      <c r="C102" s="1958"/>
      <c r="D102" s="1958"/>
      <c r="E102" s="1958"/>
      <c r="F102" s="1958"/>
      <c r="G102" s="1958"/>
      <c r="H102" s="1958"/>
      <c r="I102" s="1958"/>
      <c r="J102" s="1958"/>
      <c r="K102" s="1952"/>
      <c r="L102" s="1952"/>
      <c r="BJ102" s="1965"/>
      <c r="BK102" s="1965"/>
      <c r="BL102" s="1965"/>
      <c r="BM102" s="1965"/>
      <c r="BN102" s="1965"/>
      <c r="BO102" s="1965"/>
    </row>
    <row r="103" spans="1:73" ht="15" customHeight="1">
      <c r="A103" s="1960"/>
      <c r="B103" s="1955" t="s">
        <v>547</v>
      </c>
      <c r="C103" s="1955"/>
      <c r="D103" s="1955"/>
      <c r="E103" s="1955"/>
      <c r="F103" s="1955"/>
      <c r="G103" s="1955"/>
      <c r="H103" s="1955"/>
      <c r="I103" s="1955"/>
      <c r="J103" s="1955"/>
      <c r="K103" s="1962"/>
      <c r="L103" s="1962"/>
      <c r="M103" s="1957"/>
      <c r="N103" s="1955" t="s">
        <v>545</v>
      </c>
      <c r="O103" s="1955"/>
      <c r="P103" s="1955"/>
      <c r="Q103" s="1955"/>
      <c r="R103" s="1955"/>
      <c r="S103" s="1955"/>
      <c r="T103" s="1955"/>
      <c r="U103" s="1955"/>
      <c r="V103" s="1955"/>
      <c r="W103" s="1962"/>
      <c r="X103" s="1962"/>
      <c r="Y103" s="1961"/>
      <c r="Z103" s="1955" t="s">
        <v>544</v>
      </c>
      <c r="AA103" s="1955"/>
      <c r="AB103" s="1955"/>
      <c r="AC103" s="1955"/>
      <c r="AD103" s="1955"/>
      <c r="AE103" s="1955"/>
      <c r="AF103" s="1955"/>
      <c r="AG103" s="1955"/>
      <c r="AH103" s="1955"/>
      <c r="AI103" s="1962"/>
      <c r="AJ103" s="1962"/>
      <c r="AK103" s="1964"/>
      <c r="AL103" s="1955" t="s">
        <v>546</v>
      </c>
      <c r="AM103" s="1955"/>
      <c r="AN103" s="1955"/>
      <c r="AO103" s="1955"/>
      <c r="AP103" s="1955"/>
      <c r="AQ103" s="1955"/>
      <c r="AR103" s="1955"/>
      <c r="AS103" s="1955"/>
      <c r="AT103" s="1955"/>
      <c r="AU103" s="1962"/>
      <c r="AV103" s="1962"/>
      <c r="AW103" s="1963"/>
      <c r="AX103" s="1955" t="s">
        <v>566</v>
      </c>
      <c r="AY103" s="1955"/>
      <c r="AZ103" s="1955"/>
      <c r="BA103" s="1955"/>
      <c r="BB103" s="1955"/>
      <c r="BC103" s="1955"/>
      <c r="BD103" s="1955"/>
      <c r="BE103" s="1955"/>
      <c r="BF103" s="1955"/>
      <c r="BG103" s="1962"/>
      <c r="BH103" s="1962"/>
      <c r="BJ103" s="1965"/>
      <c r="BK103" s="1965"/>
      <c r="BL103" s="1965"/>
      <c r="BM103" s="1965"/>
      <c r="BN103" s="1965"/>
      <c r="BO103" s="1965"/>
    </row>
    <row r="104" spans="1:73" ht="15" customHeight="1">
      <c r="A104" s="1960"/>
      <c r="B104" s="1955"/>
      <c r="C104" s="1955"/>
      <c r="D104" s="1955"/>
      <c r="E104" s="1955"/>
      <c r="F104" s="1955"/>
      <c r="G104" s="1955"/>
      <c r="H104" s="1955"/>
      <c r="I104" s="1955"/>
      <c r="J104" s="1955"/>
      <c r="K104" s="1962"/>
      <c r="L104" s="1962"/>
      <c r="M104" s="1957"/>
      <c r="N104" s="1955"/>
      <c r="O104" s="1955"/>
      <c r="P104" s="1955"/>
      <c r="Q104" s="1955"/>
      <c r="R104" s="1955"/>
      <c r="S104" s="1955"/>
      <c r="T104" s="1955"/>
      <c r="U104" s="1955"/>
      <c r="V104" s="1955"/>
      <c r="W104" s="1962"/>
      <c r="X104" s="1962"/>
      <c r="Y104" s="1961"/>
      <c r="Z104" s="1955"/>
      <c r="AA104" s="1955"/>
      <c r="AB104" s="1955"/>
      <c r="AC104" s="1955"/>
      <c r="AD104" s="1955"/>
      <c r="AE104" s="1955"/>
      <c r="AF104" s="1955"/>
      <c r="AG104" s="1955"/>
      <c r="AH104" s="1955"/>
      <c r="AI104" s="1962"/>
      <c r="AJ104" s="1962"/>
      <c r="AK104" s="1964"/>
      <c r="AL104" s="1955"/>
      <c r="AM104" s="1955"/>
      <c r="AN104" s="1955"/>
      <c r="AO104" s="1955"/>
      <c r="AP104" s="1955"/>
      <c r="AQ104" s="1955"/>
      <c r="AR104" s="1955"/>
      <c r="AS104" s="1955"/>
      <c r="AT104" s="1955"/>
      <c r="AU104" s="1962"/>
      <c r="AV104" s="1962"/>
      <c r="AW104" s="1963"/>
      <c r="AX104" s="1955"/>
      <c r="AY104" s="1955"/>
      <c r="AZ104" s="1955"/>
      <c r="BA104" s="1955"/>
      <c r="BB104" s="1955"/>
      <c r="BC104" s="1955"/>
      <c r="BD104" s="1955"/>
      <c r="BE104" s="1955"/>
      <c r="BF104" s="1955"/>
      <c r="BG104" s="1962"/>
      <c r="BH104" s="1962"/>
      <c r="BJ104" s="1965"/>
      <c r="BK104" s="1965"/>
      <c r="BL104" s="1965"/>
      <c r="BM104" s="1965"/>
      <c r="BN104" s="1965"/>
      <c r="BO104" s="1965"/>
    </row>
    <row r="105" spans="1:73" ht="15" customHeight="1">
      <c r="A105" s="1948" t="s">
        <v>553</v>
      </c>
      <c r="B105" s="1948"/>
      <c r="C105" s="1948"/>
      <c r="D105" s="1948"/>
      <c r="E105" s="1948"/>
      <c r="F105" s="1948"/>
      <c r="G105" s="1948"/>
      <c r="H105" s="1948"/>
      <c r="I105" s="1948"/>
      <c r="J105" s="1948"/>
      <c r="K105" s="1951" t="str">
        <f>IF(ISBLANK(K$103),"",1)</f>
        <v/>
      </c>
      <c r="L105" s="1951" t="str">
        <f>IF(ISBLANK(L$103),"",1)</f>
        <v/>
      </c>
      <c r="M105" s="1948" t="s">
        <v>551</v>
      </c>
      <c r="N105" s="1948"/>
      <c r="O105" s="1948"/>
      <c r="P105" s="1948"/>
      <c r="Q105" s="1948"/>
      <c r="R105" s="1948"/>
      <c r="S105" s="1948"/>
      <c r="T105" s="1948"/>
      <c r="U105" s="1948"/>
      <c r="V105" s="1948"/>
      <c r="W105" s="1951" t="str">
        <f>IF(ISBLANK(W$103),"",1)</f>
        <v/>
      </c>
      <c r="X105" s="1951" t="str">
        <f>IF(ISBLANK(X$103),"",1)</f>
        <v/>
      </c>
      <c r="Y105" s="1948" t="s">
        <v>550</v>
      </c>
      <c r="Z105" s="1948"/>
      <c r="AA105" s="1948"/>
      <c r="AB105" s="1948"/>
      <c r="AC105" s="1948"/>
      <c r="AD105" s="1948"/>
      <c r="AE105" s="1948"/>
      <c r="AF105" s="1948"/>
      <c r="AG105" s="1948"/>
      <c r="AH105" s="1948"/>
      <c r="AI105" s="1951" t="str">
        <f>IF(ISBLANK(AI$103),"",1)</f>
        <v/>
      </c>
      <c r="AJ105" s="1951" t="str">
        <f>IF(ISBLANK(AJ$103),"",1)</f>
        <v/>
      </c>
      <c r="AK105" s="1948" t="s">
        <v>552</v>
      </c>
      <c r="AL105" s="1948"/>
      <c r="AM105" s="1948"/>
      <c r="AN105" s="1948"/>
      <c r="AO105" s="1948"/>
      <c r="AP105" s="1948"/>
      <c r="AQ105" s="1948"/>
      <c r="AR105" s="1948"/>
      <c r="AS105" s="1948"/>
      <c r="AT105" s="1948"/>
      <c r="AU105" s="1951" t="str">
        <f>IF(ISBLANK(AU$103),"",1)</f>
        <v/>
      </c>
      <c r="AV105" s="1951" t="str">
        <f>IF(ISBLANK(AV$103),"",1)</f>
        <v/>
      </c>
      <c r="AW105" s="1948" t="s">
        <v>568</v>
      </c>
      <c r="AX105" s="1948"/>
      <c r="AY105" s="1948"/>
      <c r="AZ105" s="1948"/>
      <c r="BA105" s="1948"/>
      <c r="BB105" s="1948"/>
      <c r="BC105" s="1948"/>
      <c r="BD105" s="1948"/>
      <c r="BE105" s="1948"/>
      <c r="BF105" s="1948"/>
      <c r="BG105" s="1951" t="str">
        <f>IF(ISBLANK(BG$103),"",1)</f>
        <v/>
      </c>
      <c r="BH105" s="1951" t="str">
        <f>IF(ISBLANK(BH$103),"",1)</f>
        <v/>
      </c>
      <c r="BJ105" s="1965"/>
      <c r="BK105" s="1965"/>
      <c r="BL105" s="1965"/>
      <c r="BM105" s="1965"/>
      <c r="BN105" s="1965"/>
      <c r="BO105" s="1965"/>
    </row>
    <row r="106" spans="1:73" ht="15" customHeight="1">
      <c r="A106" s="1949"/>
      <c r="B106" s="1949"/>
      <c r="C106" s="1949"/>
      <c r="D106" s="1949"/>
      <c r="E106" s="1949"/>
      <c r="F106" s="1949"/>
      <c r="G106" s="1949"/>
      <c r="H106" s="1949"/>
      <c r="I106" s="1949"/>
      <c r="J106" s="1949"/>
      <c r="K106" s="1951"/>
      <c r="L106" s="1951"/>
      <c r="M106" s="1949"/>
      <c r="N106" s="1949"/>
      <c r="O106" s="1949"/>
      <c r="P106" s="1949"/>
      <c r="Q106" s="1949"/>
      <c r="R106" s="1949"/>
      <c r="S106" s="1949"/>
      <c r="T106" s="1949"/>
      <c r="U106" s="1949"/>
      <c r="V106" s="1949"/>
      <c r="W106" s="1951"/>
      <c r="X106" s="1951"/>
      <c r="Y106" s="1949"/>
      <c r="Z106" s="1949"/>
      <c r="AA106" s="1949"/>
      <c r="AB106" s="1949"/>
      <c r="AC106" s="1949"/>
      <c r="AD106" s="1949"/>
      <c r="AE106" s="1949"/>
      <c r="AF106" s="1949"/>
      <c r="AG106" s="1949"/>
      <c r="AH106" s="1949"/>
      <c r="AI106" s="1951"/>
      <c r="AJ106" s="1951"/>
      <c r="AK106" s="1949"/>
      <c r="AL106" s="1949"/>
      <c r="AM106" s="1949"/>
      <c r="AN106" s="1949"/>
      <c r="AO106" s="1949"/>
      <c r="AP106" s="1949"/>
      <c r="AQ106" s="1949"/>
      <c r="AR106" s="1949"/>
      <c r="AS106" s="1949"/>
      <c r="AT106" s="1949"/>
      <c r="AU106" s="1951"/>
      <c r="AV106" s="1951"/>
      <c r="AW106" s="1949"/>
      <c r="AX106" s="1949"/>
      <c r="AY106" s="1949"/>
      <c r="AZ106" s="1949"/>
      <c r="BA106" s="1949"/>
      <c r="BB106" s="1949"/>
      <c r="BC106" s="1949"/>
      <c r="BD106" s="1949"/>
      <c r="BE106" s="1949"/>
      <c r="BF106" s="1949"/>
      <c r="BG106" s="1951"/>
      <c r="BH106" s="1951"/>
      <c r="BJ106" s="1965"/>
      <c r="BK106" s="1965"/>
      <c r="BL106" s="1965"/>
      <c r="BM106" s="1965"/>
      <c r="BN106" s="1965"/>
      <c r="BO106" s="1965"/>
    </row>
    <row r="107" spans="1:73" ht="15" customHeight="1">
      <c r="A107" s="1949"/>
      <c r="B107" s="1949"/>
      <c r="C107" s="1949"/>
      <c r="D107" s="1949"/>
      <c r="E107" s="1949"/>
      <c r="F107" s="1949"/>
      <c r="G107" s="1949"/>
      <c r="H107" s="1949"/>
      <c r="I107" s="1949"/>
      <c r="J107" s="1949"/>
      <c r="K107" s="1952"/>
      <c r="L107" s="1952"/>
      <c r="M107" s="1949"/>
      <c r="N107" s="1949"/>
      <c r="O107" s="1949"/>
      <c r="P107" s="1949"/>
      <c r="Q107" s="1949"/>
      <c r="R107" s="1949"/>
      <c r="S107" s="1949"/>
      <c r="T107" s="1949"/>
      <c r="U107" s="1949"/>
      <c r="V107" s="1949"/>
      <c r="W107" s="1952"/>
      <c r="X107" s="1952"/>
      <c r="Y107" s="1949"/>
      <c r="Z107" s="1949"/>
      <c r="AA107" s="1949"/>
      <c r="AB107" s="1949"/>
      <c r="AC107" s="1949"/>
      <c r="AD107" s="1949"/>
      <c r="AE107" s="1949"/>
      <c r="AF107" s="1949"/>
      <c r="AG107" s="1949"/>
      <c r="AH107" s="1949"/>
      <c r="AI107" s="1952"/>
      <c r="AJ107" s="1952"/>
      <c r="AK107" s="1949"/>
      <c r="AL107" s="1949"/>
      <c r="AM107" s="1949"/>
      <c r="AN107" s="1949"/>
      <c r="AO107" s="1949"/>
      <c r="AP107" s="1949"/>
      <c r="AQ107" s="1949"/>
      <c r="AR107" s="1949"/>
      <c r="AS107" s="1949"/>
      <c r="AT107" s="1949"/>
      <c r="AU107" s="1952"/>
      <c r="AV107" s="1952"/>
      <c r="AW107" s="1949"/>
      <c r="AX107" s="1949"/>
      <c r="AY107" s="1949"/>
      <c r="AZ107" s="1949"/>
      <c r="BA107" s="1949"/>
      <c r="BB107" s="1949"/>
      <c r="BC107" s="1949"/>
      <c r="BD107" s="1949"/>
      <c r="BE107" s="1949"/>
      <c r="BF107" s="1949"/>
      <c r="BG107" s="1952"/>
      <c r="BH107" s="1952"/>
      <c r="BJ107" s="1965"/>
      <c r="BK107" s="1965"/>
      <c r="BL107" s="1965"/>
      <c r="BM107" s="1965"/>
      <c r="BN107" s="1965"/>
      <c r="BO107" s="1965"/>
      <c r="BU107" s="1"/>
    </row>
    <row r="108" spans="1:73" ht="15" customHeight="1">
      <c r="A108" s="1949" t="s">
        <v>559</v>
      </c>
      <c r="B108" s="1949"/>
      <c r="C108" s="1949"/>
      <c r="D108" s="1949"/>
      <c r="E108" s="1949"/>
      <c r="F108" s="1949"/>
      <c r="G108" s="1949"/>
      <c r="H108" s="1949"/>
      <c r="I108" s="1949"/>
      <c r="J108" s="1949"/>
      <c r="K108" s="1951" t="str">
        <f t="shared" ref="K108:L108" si="37">IF(ISBLANK(K$103),"",1)</f>
        <v/>
      </c>
      <c r="L108" s="1951" t="str">
        <f t="shared" si="37"/>
        <v/>
      </c>
      <c r="M108" s="1949" t="s">
        <v>557</v>
      </c>
      <c r="N108" s="1949"/>
      <c r="O108" s="1949"/>
      <c r="P108" s="1949"/>
      <c r="Q108" s="1949"/>
      <c r="R108" s="1949"/>
      <c r="S108" s="1949"/>
      <c r="T108" s="1949"/>
      <c r="U108" s="1949"/>
      <c r="V108" s="1949"/>
      <c r="W108" s="1951" t="str">
        <f t="shared" ref="W108:X108" si="38">IF(ISBLANK(W$103),"",1)</f>
        <v/>
      </c>
      <c r="X108" s="1951" t="str">
        <f t="shared" si="38"/>
        <v/>
      </c>
      <c r="Y108" s="1949" t="s">
        <v>556</v>
      </c>
      <c r="Z108" s="1949"/>
      <c r="AA108" s="1949"/>
      <c r="AB108" s="1949"/>
      <c r="AC108" s="1949"/>
      <c r="AD108" s="1949"/>
      <c r="AE108" s="1949"/>
      <c r="AF108" s="1949"/>
      <c r="AG108" s="1949"/>
      <c r="AH108" s="1949"/>
      <c r="AI108" s="1951" t="str">
        <f t="shared" ref="AI108:AJ108" si="39">IF(ISBLANK(AI$103),"",1)</f>
        <v/>
      </c>
      <c r="AJ108" s="1951" t="str">
        <f t="shared" si="39"/>
        <v/>
      </c>
      <c r="AK108" s="1967" t="s">
        <v>558</v>
      </c>
      <c r="AL108" s="1968"/>
      <c r="AM108" s="1968"/>
      <c r="AN108" s="1968"/>
      <c r="AO108" s="1968"/>
      <c r="AP108" s="1968"/>
      <c r="AQ108" s="1968"/>
      <c r="AR108" s="1968"/>
      <c r="AS108" s="1968"/>
      <c r="AT108" s="1969"/>
      <c r="AU108" s="1951" t="str">
        <f t="shared" ref="AU108:AV108" si="40">IF(ISBLANK(AU$103),"",1)</f>
        <v/>
      </c>
      <c r="AV108" s="1951" t="str">
        <f t="shared" si="40"/>
        <v/>
      </c>
      <c r="BJ108" s="1965"/>
      <c r="BK108" s="1965"/>
      <c r="BL108" s="1965"/>
      <c r="BM108" s="1965"/>
      <c r="BN108" s="1965"/>
      <c r="BO108" s="1965"/>
      <c r="BU108" s="1"/>
    </row>
    <row r="109" spans="1:73" ht="15" customHeight="1">
      <c r="A109" s="1949"/>
      <c r="B109" s="1949"/>
      <c r="C109" s="1949"/>
      <c r="D109" s="1949"/>
      <c r="E109" s="1949"/>
      <c r="F109" s="1949"/>
      <c r="G109" s="1949"/>
      <c r="H109" s="1949"/>
      <c r="I109" s="1949"/>
      <c r="J109" s="1949"/>
      <c r="K109" s="1951"/>
      <c r="L109" s="1951"/>
      <c r="M109" s="1949"/>
      <c r="N109" s="1949"/>
      <c r="O109" s="1949"/>
      <c r="P109" s="1949"/>
      <c r="Q109" s="1949"/>
      <c r="R109" s="1949"/>
      <c r="S109" s="1949"/>
      <c r="T109" s="1949"/>
      <c r="U109" s="1949"/>
      <c r="V109" s="1949"/>
      <c r="W109" s="1951"/>
      <c r="X109" s="1951"/>
      <c r="Y109" s="1949"/>
      <c r="Z109" s="1949"/>
      <c r="AA109" s="1949"/>
      <c r="AB109" s="1949"/>
      <c r="AC109" s="1949"/>
      <c r="AD109" s="1949"/>
      <c r="AE109" s="1949"/>
      <c r="AF109" s="1949"/>
      <c r="AG109" s="1949"/>
      <c r="AH109" s="1949"/>
      <c r="AI109" s="1951"/>
      <c r="AJ109" s="1951"/>
      <c r="AK109" s="1970"/>
      <c r="AL109" s="1971"/>
      <c r="AM109" s="1971"/>
      <c r="AN109" s="1971"/>
      <c r="AO109" s="1971"/>
      <c r="AP109" s="1971"/>
      <c r="AQ109" s="1971"/>
      <c r="AR109" s="1971"/>
      <c r="AS109" s="1971"/>
      <c r="AT109" s="1972"/>
      <c r="AU109" s="1951"/>
      <c r="AV109" s="1951"/>
      <c r="BJ109" s="1965"/>
      <c r="BK109" s="1965"/>
      <c r="BL109" s="1965"/>
      <c r="BM109" s="1965"/>
      <c r="BN109" s="1965"/>
      <c r="BO109" s="1965"/>
      <c r="BU109" s="1"/>
    </row>
    <row r="110" spans="1:73" ht="15" customHeight="1">
      <c r="A110" s="1949"/>
      <c r="B110" s="1949"/>
      <c r="C110" s="1949"/>
      <c r="D110" s="1949"/>
      <c r="E110" s="1949"/>
      <c r="F110" s="1949"/>
      <c r="G110" s="1949"/>
      <c r="H110" s="1949"/>
      <c r="I110" s="1949"/>
      <c r="J110" s="1949"/>
      <c r="K110" s="1952"/>
      <c r="L110" s="1952"/>
      <c r="M110" s="1949"/>
      <c r="N110" s="1949"/>
      <c r="O110" s="1949"/>
      <c r="P110" s="1949"/>
      <c r="Q110" s="1949"/>
      <c r="R110" s="1949"/>
      <c r="S110" s="1949"/>
      <c r="T110" s="1949"/>
      <c r="U110" s="1949"/>
      <c r="V110" s="1949"/>
      <c r="W110" s="1952"/>
      <c r="X110" s="1952"/>
      <c r="Y110" s="1949"/>
      <c r="Z110" s="1949"/>
      <c r="AA110" s="1949"/>
      <c r="AB110" s="1949"/>
      <c r="AC110" s="1949"/>
      <c r="AD110" s="1949"/>
      <c r="AE110" s="1949"/>
      <c r="AF110" s="1949"/>
      <c r="AG110" s="1949"/>
      <c r="AH110" s="1949"/>
      <c r="AI110" s="1952"/>
      <c r="AJ110" s="1952"/>
      <c r="AK110" s="1973"/>
      <c r="AL110" s="1974"/>
      <c r="AM110" s="1974"/>
      <c r="AN110" s="1974"/>
      <c r="AO110" s="1974"/>
      <c r="AP110" s="1974"/>
      <c r="AQ110" s="1974"/>
      <c r="AR110" s="1974"/>
      <c r="AS110" s="1974"/>
      <c r="AT110" s="1975"/>
      <c r="AU110" s="1952"/>
      <c r="AV110" s="1952"/>
      <c r="BJ110" s="1965"/>
      <c r="BK110" s="1965"/>
      <c r="BL110" s="1965"/>
      <c r="BM110" s="1965"/>
      <c r="BN110" s="1965"/>
      <c r="BO110" s="1965"/>
      <c r="BU110" s="1"/>
    </row>
    <row r="111" spans="1:73" ht="15" customHeight="1">
      <c r="A111" s="1949" t="s">
        <v>564</v>
      </c>
      <c r="B111" s="1949"/>
      <c r="C111" s="1949"/>
      <c r="D111" s="1949"/>
      <c r="E111" s="1949"/>
      <c r="F111" s="1949"/>
      <c r="G111" s="1949"/>
      <c r="H111" s="1949"/>
      <c r="I111" s="1949"/>
      <c r="J111" s="1949"/>
      <c r="K111" s="1951" t="str">
        <f t="shared" ref="K111:L111" si="41">IF(ISBLANK(K$103),"",1)</f>
        <v/>
      </c>
      <c r="L111" s="1951" t="str">
        <f t="shared" si="41"/>
        <v/>
      </c>
      <c r="M111" s="1949" t="s">
        <v>563</v>
      </c>
      <c r="N111" s="1949"/>
      <c r="O111" s="1949"/>
      <c r="P111" s="1949"/>
      <c r="Q111" s="1949"/>
      <c r="R111" s="1949"/>
      <c r="S111" s="1949"/>
      <c r="T111" s="1949"/>
      <c r="U111" s="1949"/>
      <c r="V111" s="1949"/>
      <c r="W111" s="1951" t="str">
        <f t="shared" ref="W111:X111" si="42">IF(ISBLANK(W$103),"",1)</f>
        <v/>
      </c>
      <c r="X111" s="1951" t="str">
        <f t="shared" si="42"/>
        <v/>
      </c>
      <c r="Y111" s="1949" t="s">
        <v>562</v>
      </c>
      <c r="Z111" s="1949"/>
      <c r="AA111" s="1949"/>
      <c r="AB111" s="1949"/>
      <c r="AC111" s="1949"/>
      <c r="AD111" s="1949"/>
      <c r="AE111" s="1949"/>
      <c r="AF111" s="1949"/>
      <c r="AG111" s="1949"/>
      <c r="AH111" s="1949"/>
      <c r="AI111" s="1951" t="str">
        <f t="shared" ref="AI111:AJ111" si="43">IF(ISBLANK(AI$103),"",1)</f>
        <v/>
      </c>
      <c r="AJ111" s="1951" t="str">
        <f t="shared" si="43"/>
        <v/>
      </c>
      <c r="AK111" s="1949" t="s">
        <v>527</v>
      </c>
      <c r="AL111" s="1949"/>
      <c r="AM111" s="1949"/>
      <c r="AN111" s="1949"/>
      <c r="AO111" s="1949"/>
      <c r="AP111" s="1949"/>
      <c r="AQ111" s="1949"/>
      <c r="AR111" s="1949"/>
      <c r="AS111" s="1949"/>
      <c r="AT111" s="1949"/>
      <c r="AU111" s="1951" t="str">
        <f t="shared" ref="AU111:AV111" si="44">IF(ISBLANK(AU$103),"",1)</f>
        <v/>
      </c>
      <c r="AV111" s="1951" t="str">
        <f t="shared" si="44"/>
        <v/>
      </c>
      <c r="BJ111" s="1965"/>
      <c r="BK111" s="1965"/>
      <c r="BL111" s="1965"/>
      <c r="BM111" s="1965"/>
      <c r="BN111" s="1965"/>
      <c r="BO111" s="1965"/>
      <c r="BP111" s="1"/>
      <c r="BQ111" s="1"/>
      <c r="BR111" s="1"/>
      <c r="BS111" s="1"/>
      <c r="BT111" s="1"/>
      <c r="BU111" s="1"/>
    </row>
    <row r="112" spans="1:73" ht="15" customHeight="1">
      <c r="A112" s="1949"/>
      <c r="B112" s="1949"/>
      <c r="C112" s="1949"/>
      <c r="D112" s="1949"/>
      <c r="E112" s="1949"/>
      <c r="F112" s="1949"/>
      <c r="G112" s="1949"/>
      <c r="H112" s="1949"/>
      <c r="I112" s="1949"/>
      <c r="J112" s="1949"/>
      <c r="K112" s="1951"/>
      <c r="L112" s="1951"/>
      <c r="M112" s="1949"/>
      <c r="N112" s="1949"/>
      <c r="O112" s="1949"/>
      <c r="P112" s="1949"/>
      <c r="Q112" s="1949"/>
      <c r="R112" s="1949"/>
      <c r="S112" s="1949"/>
      <c r="T112" s="1949"/>
      <c r="U112" s="1949"/>
      <c r="V112" s="1949"/>
      <c r="W112" s="1951"/>
      <c r="X112" s="1951"/>
      <c r="Y112" s="1949"/>
      <c r="Z112" s="1949"/>
      <c r="AA112" s="1949"/>
      <c r="AB112" s="1949"/>
      <c r="AC112" s="1949"/>
      <c r="AD112" s="1949"/>
      <c r="AE112" s="1949"/>
      <c r="AF112" s="1949"/>
      <c r="AG112" s="1949"/>
      <c r="AH112" s="1949"/>
      <c r="AI112" s="1951"/>
      <c r="AJ112" s="1951"/>
      <c r="AK112" s="1949"/>
      <c r="AL112" s="1949"/>
      <c r="AM112" s="1949"/>
      <c r="AN112" s="1949"/>
      <c r="AO112" s="1949"/>
      <c r="AP112" s="1949"/>
      <c r="AQ112" s="1949"/>
      <c r="AR112" s="1949"/>
      <c r="AS112" s="1949"/>
      <c r="AT112" s="1949"/>
      <c r="AU112" s="1951"/>
      <c r="AV112" s="1951"/>
      <c r="BJ112" s="1965"/>
      <c r="BK112" s="1965"/>
      <c r="BL112" s="1965"/>
      <c r="BM112" s="1965"/>
      <c r="BN112" s="1965"/>
      <c r="BO112" s="1965"/>
      <c r="BP112" s="1"/>
      <c r="BQ112" s="1"/>
      <c r="BR112" s="1"/>
      <c r="BS112" s="1"/>
      <c r="BT112" s="1"/>
      <c r="BU112" s="1"/>
    </row>
    <row r="113" spans="1:73" ht="15" customHeight="1">
      <c r="A113" s="1949"/>
      <c r="B113" s="1949"/>
      <c r="C113" s="1949"/>
      <c r="D113" s="1949"/>
      <c r="E113" s="1949"/>
      <c r="F113" s="1949"/>
      <c r="G113" s="1949"/>
      <c r="H113" s="1949"/>
      <c r="I113" s="1949"/>
      <c r="J113" s="1949"/>
      <c r="K113" s="1952"/>
      <c r="L113" s="1952"/>
      <c r="M113" s="1949"/>
      <c r="N113" s="1949"/>
      <c r="O113" s="1949"/>
      <c r="P113" s="1949"/>
      <c r="Q113" s="1949"/>
      <c r="R113" s="1949"/>
      <c r="S113" s="1949"/>
      <c r="T113" s="1949"/>
      <c r="U113" s="1949"/>
      <c r="V113" s="1949"/>
      <c r="W113" s="1952"/>
      <c r="X113" s="1952"/>
      <c r="Y113" s="1949"/>
      <c r="Z113" s="1949"/>
      <c r="AA113" s="1949"/>
      <c r="AB113" s="1949"/>
      <c r="AC113" s="1949"/>
      <c r="AD113" s="1949"/>
      <c r="AE113" s="1949"/>
      <c r="AF113" s="1949"/>
      <c r="AG113" s="1949"/>
      <c r="AH113" s="1949"/>
      <c r="AI113" s="1952"/>
      <c r="AJ113" s="1952"/>
      <c r="AK113" s="1949"/>
      <c r="AL113" s="1949"/>
      <c r="AM113" s="1949"/>
      <c r="AN113" s="1949"/>
      <c r="AO113" s="1949"/>
      <c r="AP113" s="1949"/>
      <c r="AQ113" s="1949"/>
      <c r="AR113" s="1949"/>
      <c r="AS113" s="1949"/>
      <c r="AT113" s="1949"/>
      <c r="AU113" s="1952"/>
      <c r="AV113" s="1952"/>
      <c r="BI113" s="1"/>
      <c r="BJ113" s="1965"/>
      <c r="BK113" s="1965"/>
      <c r="BL113" s="1965"/>
      <c r="BM113" s="1965"/>
      <c r="BN113" s="1965"/>
      <c r="BO113" s="1965"/>
      <c r="BP113" s="1"/>
      <c r="BQ113" s="1"/>
      <c r="BR113" s="1"/>
      <c r="BS113" s="1"/>
      <c r="BT113" s="1"/>
      <c r="BU113" s="1"/>
    </row>
    <row r="114" spans="1:73" ht="15" customHeight="1">
      <c r="BI114" s="1"/>
      <c r="BJ114" s="1965"/>
      <c r="BK114" s="1965"/>
      <c r="BL114" s="1965"/>
      <c r="BM114" s="1965"/>
      <c r="BN114" s="1965"/>
      <c r="BO114" s="1965"/>
      <c r="BP114" s="1"/>
      <c r="BQ114" s="1"/>
      <c r="BR114" s="1"/>
      <c r="BS114" s="1"/>
      <c r="BT114" s="1"/>
      <c r="BU114" s="1"/>
    </row>
    <row r="115" spans="1:73" ht="15" customHeight="1">
      <c r="BI115" s="1"/>
      <c r="BJ115" s="1"/>
      <c r="BK115" s="1"/>
      <c r="BL115" s="1"/>
      <c r="BM115" s="1"/>
      <c r="BN115" s="1"/>
      <c r="BO115" s="1"/>
      <c r="BP115" s="1"/>
      <c r="BQ115" s="1"/>
      <c r="BR115" s="1"/>
      <c r="BS115" s="1"/>
      <c r="BT115" s="1"/>
      <c r="BU115" s="1"/>
    </row>
    <row r="116" spans="1:73" ht="15" customHeight="1">
      <c r="BI116" s="1"/>
      <c r="BJ116" s="1"/>
      <c r="BK116" s="1"/>
      <c r="BL116" s="1"/>
      <c r="BM116" s="1"/>
      <c r="BN116" s="1"/>
      <c r="BO116" s="1"/>
      <c r="BP116" s="1"/>
      <c r="BQ116" s="1"/>
      <c r="BR116" s="1"/>
      <c r="BS116" s="1"/>
      <c r="BT116" s="1"/>
      <c r="BU116" s="1"/>
    </row>
    <row r="117" spans="1:73" ht="15" customHeight="1">
      <c r="BI117" s="1"/>
      <c r="BJ117" s="1"/>
      <c r="BK117" s="1"/>
      <c r="BL117" s="1"/>
      <c r="BM117" s="1"/>
      <c r="BN117" s="1"/>
      <c r="BO117" s="1"/>
      <c r="BP117" s="1"/>
      <c r="BQ117" s="1"/>
      <c r="BR117" s="1"/>
      <c r="BS117" s="1"/>
      <c r="BT117" s="1"/>
      <c r="BU117" s="1"/>
    </row>
    <row r="118" spans="1:73" ht="15" customHeight="1">
      <c r="BI118" s="1"/>
      <c r="BJ118" s="1"/>
      <c r="BK118" s="1"/>
      <c r="BL118" s="1"/>
      <c r="BM118" s="1"/>
      <c r="BN118" s="1"/>
      <c r="BO118" s="1"/>
      <c r="BP118" s="1"/>
      <c r="BQ118" s="1"/>
      <c r="BR118" s="1"/>
      <c r="BS118" s="1"/>
      <c r="BT118" s="1"/>
      <c r="BU118" s="1"/>
    </row>
    <row r="119" spans="1:73" ht="15" customHeight="1">
      <c r="BI119" s="1"/>
      <c r="BJ119" s="1"/>
      <c r="BK119" s="1"/>
      <c r="BL119" s="1"/>
      <c r="BM119" s="1"/>
      <c r="BN119" s="1"/>
      <c r="BO119" s="1"/>
      <c r="BP119" s="1"/>
      <c r="BQ119" s="1"/>
      <c r="BR119" s="1"/>
      <c r="BS119" s="1"/>
      <c r="BT119" s="1"/>
      <c r="BU119" s="1"/>
    </row>
    <row r="120" spans="1:73" ht="15" customHeight="1">
      <c r="BI120" s="1"/>
      <c r="BJ120" s="1"/>
      <c r="BK120" s="1"/>
      <c r="BL120" s="1"/>
      <c r="BM120" s="1"/>
      <c r="BN120" s="1"/>
      <c r="BO120" s="1"/>
      <c r="BP120" s="1"/>
      <c r="BQ120" s="1"/>
      <c r="BR120" s="1"/>
      <c r="BS120" s="1"/>
      <c r="BT120" s="1"/>
      <c r="BU120" s="1"/>
    </row>
  </sheetData>
  <sheetProtection sheet="1" objects="1" scenarios="1"/>
  <customSheetViews>
    <customSheetView guid="{B4419C5D-1877-4ABB-A46F-9E0AFFC75B59}" scale="85" showGridLines="0" fitToPage="1">
      <pane ySplit="4" topLeftCell="A5" activePane="bottomLeft" state="frozen"/>
      <selection pane="bottomLeft" activeCell="BL34" sqref="BL34"/>
      <pageMargins left="0.25" right="0.25" top="0.75" bottom="0.75" header="0.3" footer="0.3"/>
      <pageSetup paperSize="9" scale="29" orientation="landscape" r:id="rId1"/>
    </customSheetView>
  </customSheetViews>
  <mergeCells count="784">
    <mergeCell ref="BH3:BL4"/>
    <mergeCell ref="BM3:BM4"/>
    <mergeCell ref="A3:D4"/>
    <mergeCell ref="E3:H4"/>
    <mergeCell ref="I3:L4"/>
    <mergeCell ref="M3:P4"/>
    <mergeCell ref="Q3:T4"/>
    <mergeCell ref="BH103:BH104"/>
    <mergeCell ref="L103:L104"/>
    <mergeCell ref="W103:W104"/>
    <mergeCell ref="X103:X104"/>
    <mergeCell ref="AI103:AI104"/>
    <mergeCell ref="AJ103:AJ104"/>
    <mergeCell ref="BH57:BH58"/>
    <mergeCell ref="K86:K87"/>
    <mergeCell ref="L86:L87"/>
    <mergeCell ref="W86:W87"/>
    <mergeCell ref="X86:X87"/>
    <mergeCell ref="AI86:AI87"/>
    <mergeCell ref="AJ86:AJ87"/>
    <mergeCell ref="AU86:AU87"/>
    <mergeCell ref="AV86:AV87"/>
    <mergeCell ref="Z86:AH87"/>
    <mergeCell ref="BJ87:BO114"/>
    <mergeCell ref="K57:K58"/>
    <mergeCell ref="L57:L58"/>
    <mergeCell ref="W57:W58"/>
    <mergeCell ref="X57:X58"/>
    <mergeCell ref="AI57:AI58"/>
    <mergeCell ref="AJ57:AJ58"/>
    <mergeCell ref="AU57:AU58"/>
    <mergeCell ref="AV57:AV58"/>
    <mergeCell ref="BG57:BG58"/>
    <mergeCell ref="Z57:AH58"/>
    <mergeCell ref="AK57:AK58"/>
    <mergeCell ref="AL57:AT58"/>
    <mergeCell ref="AW57:AW58"/>
    <mergeCell ref="AX57:BF58"/>
    <mergeCell ref="AK111:AT113"/>
    <mergeCell ref="AU111:AU113"/>
    <mergeCell ref="AV111:AV113"/>
    <mergeCell ref="M94:V96"/>
    <mergeCell ref="AI94:AI96"/>
    <mergeCell ref="AJ94:AJ96"/>
    <mergeCell ref="AK91:AT93"/>
    <mergeCell ref="AU91:AU93"/>
    <mergeCell ref="AV91:AV93"/>
    <mergeCell ref="AK94:AT96"/>
    <mergeCell ref="W94:W96"/>
    <mergeCell ref="X94:X96"/>
    <mergeCell ref="Y94:AH96"/>
    <mergeCell ref="M91:V93"/>
    <mergeCell ref="W91:W93"/>
    <mergeCell ref="X91:X93"/>
    <mergeCell ref="AK108:AT110"/>
    <mergeCell ref="AU108:AU110"/>
    <mergeCell ref="AV108:AV110"/>
    <mergeCell ref="Y91:AH93"/>
    <mergeCell ref="A55:BT56"/>
    <mergeCell ref="BH105:BH107"/>
    <mergeCell ref="BJ57:BO57"/>
    <mergeCell ref="BJ58:BO85"/>
    <mergeCell ref="BJ86:BO86"/>
    <mergeCell ref="AK88:AT90"/>
    <mergeCell ref="AU88:AU90"/>
    <mergeCell ref="AV88:AV90"/>
    <mergeCell ref="AK86:AK87"/>
    <mergeCell ref="AJ91:AJ93"/>
    <mergeCell ref="M88:V90"/>
    <mergeCell ref="W88:W90"/>
    <mergeCell ref="X88:X90"/>
    <mergeCell ref="Y88:AH90"/>
    <mergeCell ref="AI88:AI90"/>
    <mergeCell ref="AJ88:AJ90"/>
    <mergeCell ref="N103:V104"/>
    <mergeCell ref="L100:L102"/>
    <mergeCell ref="A97:J99"/>
    <mergeCell ref="AW74:BF76"/>
    <mergeCell ref="BG74:BG76"/>
    <mergeCell ref="M86:M87"/>
    <mergeCell ref="N86:V87"/>
    <mergeCell ref="Y86:Y87"/>
    <mergeCell ref="K97:K99"/>
    <mergeCell ref="L97:L99"/>
    <mergeCell ref="AU94:AU96"/>
    <mergeCell ref="AV94:AV96"/>
    <mergeCell ref="AW105:BF107"/>
    <mergeCell ref="BG105:BG107"/>
    <mergeCell ref="AU103:AU104"/>
    <mergeCell ref="AV103:AV104"/>
    <mergeCell ref="BG103:BG104"/>
    <mergeCell ref="AW103:AW104"/>
    <mergeCell ref="AX103:BF104"/>
    <mergeCell ref="AU105:AU107"/>
    <mergeCell ref="AV105:AV107"/>
    <mergeCell ref="L94:L96"/>
    <mergeCell ref="AK103:AK104"/>
    <mergeCell ref="AI105:AI107"/>
    <mergeCell ref="AJ105:AJ107"/>
    <mergeCell ref="M105:V107"/>
    <mergeCell ref="AK105:AT107"/>
    <mergeCell ref="AL103:AT104"/>
    <mergeCell ref="AK97:AT99"/>
    <mergeCell ref="AU97:AU99"/>
    <mergeCell ref="AV97:AV99"/>
    <mergeCell ref="A111:J113"/>
    <mergeCell ref="K111:K113"/>
    <mergeCell ref="L111:L113"/>
    <mergeCell ref="M97:V99"/>
    <mergeCell ref="W97:W99"/>
    <mergeCell ref="X97:X99"/>
    <mergeCell ref="Y97:AH99"/>
    <mergeCell ref="AI97:AI99"/>
    <mergeCell ref="AJ97:AJ99"/>
    <mergeCell ref="K103:K104"/>
    <mergeCell ref="M111:V113"/>
    <mergeCell ref="W111:W113"/>
    <mergeCell ref="X111:X113"/>
    <mergeCell ref="L108:L110"/>
    <mergeCell ref="Y111:AH113"/>
    <mergeCell ref="AI111:AI113"/>
    <mergeCell ref="AJ111:AJ113"/>
    <mergeCell ref="X108:X110"/>
    <mergeCell ref="W105:W107"/>
    <mergeCell ref="X105:X107"/>
    <mergeCell ref="A105:J107"/>
    <mergeCell ref="K105:K107"/>
    <mergeCell ref="L105:L107"/>
    <mergeCell ref="A108:J110"/>
    <mergeCell ref="K108:K110"/>
    <mergeCell ref="Y108:AH110"/>
    <mergeCell ref="AI108:AI110"/>
    <mergeCell ref="AJ108:AJ110"/>
    <mergeCell ref="M108:V110"/>
    <mergeCell ref="W108:W110"/>
    <mergeCell ref="A103:A104"/>
    <mergeCell ref="B103:J104"/>
    <mergeCell ref="Y105:AH107"/>
    <mergeCell ref="Y103:Y104"/>
    <mergeCell ref="Z103:AH104"/>
    <mergeCell ref="M103:M104"/>
    <mergeCell ref="A100:J102"/>
    <mergeCell ref="K100:K102"/>
    <mergeCell ref="X71:X73"/>
    <mergeCell ref="Y71:AH73"/>
    <mergeCell ref="AI71:AI73"/>
    <mergeCell ref="AJ71:AJ73"/>
    <mergeCell ref="AK71:AT73"/>
    <mergeCell ref="AU71:AU73"/>
    <mergeCell ref="A91:J93"/>
    <mergeCell ref="K91:K93"/>
    <mergeCell ref="L91:L93"/>
    <mergeCell ref="A88:J90"/>
    <mergeCell ref="K88:K90"/>
    <mergeCell ref="L88:L90"/>
    <mergeCell ref="A74:J76"/>
    <mergeCell ref="K74:K76"/>
    <mergeCell ref="L74:L76"/>
    <mergeCell ref="M74:V76"/>
    <mergeCell ref="W74:W76"/>
    <mergeCell ref="X74:X76"/>
    <mergeCell ref="AJ77:AJ79"/>
    <mergeCell ref="A80:J82"/>
    <mergeCell ref="A94:J96"/>
    <mergeCell ref="K94:K96"/>
    <mergeCell ref="A71:J73"/>
    <mergeCell ref="K71:K73"/>
    <mergeCell ref="L71:L73"/>
    <mergeCell ref="M71:V73"/>
    <mergeCell ref="W71:W73"/>
    <mergeCell ref="K80:K82"/>
    <mergeCell ref="L80:L82"/>
    <mergeCell ref="A77:J79"/>
    <mergeCell ref="K77:K79"/>
    <mergeCell ref="L77:L79"/>
    <mergeCell ref="M77:V79"/>
    <mergeCell ref="BG71:BG73"/>
    <mergeCell ref="BH71:BH73"/>
    <mergeCell ref="AV71:AV73"/>
    <mergeCell ref="AW71:BF73"/>
    <mergeCell ref="BH74:BH76"/>
    <mergeCell ref="AK74:AT76"/>
    <mergeCell ref="AU74:AU76"/>
    <mergeCell ref="AV74:AV76"/>
    <mergeCell ref="AI91:AI93"/>
    <mergeCell ref="AJ74:AJ76"/>
    <mergeCell ref="AI77:AI79"/>
    <mergeCell ref="AL86:AT87"/>
    <mergeCell ref="BG62:BG64"/>
    <mergeCell ref="BH62:BH64"/>
    <mergeCell ref="AV62:AV64"/>
    <mergeCell ref="AW62:BF64"/>
    <mergeCell ref="BG68:BG70"/>
    <mergeCell ref="BH68:BH70"/>
    <mergeCell ref="AK68:AT70"/>
    <mergeCell ref="AU68:AU70"/>
    <mergeCell ref="AV68:AV70"/>
    <mergeCell ref="AW68:BF70"/>
    <mergeCell ref="AW65:BF67"/>
    <mergeCell ref="BG65:BG67"/>
    <mergeCell ref="BH65:BH67"/>
    <mergeCell ref="BG59:BG61"/>
    <mergeCell ref="BH59:BH61"/>
    <mergeCell ref="B86:J87"/>
    <mergeCell ref="A59:J61"/>
    <mergeCell ref="K59:K61"/>
    <mergeCell ref="L59:L61"/>
    <mergeCell ref="M59:V61"/>
    <mergeCell ref="W59:W61"/>
    <mergeCell ref="X59:X61"/>
    <mergeCell ref="Y59:AH61"/>
    <mergeCell ref="AI59:AI61"/>
    <mergeCell ref="AJ59:AJ61"/>
    <mergeCell ref="A65:J67"/>
    <mergeCell ref="M65:V67"/>
    <mergeCell ref="Y65:AH67"/>
    <mergeCell ref="AI65:AI67"/>
    <mergeCell ref="AJ65:AJ67"/>
    <mergeCell ref="AI62:AI64"/>
    <mergeCell ref="AJ62:AJ64"/>
    <mergeCell ref="AK62:AT64"/>
    <mergeCell ref="AU62:AU64"/>
    <mergeCell ref="A62:J64"/>
    <mergeCell ref="K62:K67"/>
    <mergeCell ref="L62:L67"/>
    <mergeCell ref="A86:A87"/>
    <mergeCell ref="A57:A58"/>
    <mergeCell ref="B57:J58"/>
    <mergeCell ref="M57:M58"/>
    <mergeCell ref="N57:V58"/>
    <mergeCell ref="Y57:Y58"/>
    <mergeCell ref="AK59:AT61"/>
    <mergeCell ref="AU59:AU61"/>
    <mergeCell ref="AV59:AV61"/>
    <mergeCell ref="W77:W79"/>
    <mergeCell ref="X77:X79"/>
    <mergeCell ref="Y74:AH76"/>
    <mergeCell ref="AI74:AI76"/>
    <mergeCell ref="AJ68:AJ70"/>
    <mergeCell ref="A68:J70"/>
    <mergeCell ref="K68:K70"/>
    <mergeCell ref="L68:L70"/>
    <mergeCell ref="M68:V70"/>
    <mergeCell ref="W68:W70"/>
    <mergeCell ref="AI68:AI70"/>
    <mergeCell ref="A83:J85"/>
    <mergeCell ref="K83:K85"/>
    <mergeCell ref="L83:L85"/>
    <mergeCell ref="Y77:AH79"/>
    <mergeCell ref="AW59:BF61"/>
    <mergeCell ref="M62:V64"/>
    <mergeCell ref="W62:W67"/>
    <mergeCell ref="X62:X67"/>
    <mergeCell ref="Y62:AH64"/>
    <mergeCell ref="X68:X70"/>
    <mergeCell ref="Y68:AH70"/>
    <mergeCell ref="AK65:AT67"/>
    <mergeCell ref="AU65:AU67"/>
    <mergeCell ref="AV65:AV67"/>
    <mergeCell ref="N53:U54"/>
    <mergeCell ref="V53:V54"/>
    <mergeCell ref="W53:W54"/>
    <mergeCell ref="X53:X54"/>
    <mergeCell ref="Y53:Y54"/>
    <mergeCell ref="Z53:Z54"/>
    <mergeCell ref="AM51:AM52"/>
    <mergeCell ref="AN51:AU52"/>
    <mergeCell ref="AV51:AV52"/>
    <mergeCell ref="Z51:Z52"/>
    <mergeCell ref="AA51:AH52"/>
    <mergeCell ref="AI51:AI52"/>
    <mergeCell ref="AJ51:AJ52"/>
    <mergeCell ref="AK51:AK52"/>
    <mergeCell ref="AL51:AL52"/>
    <mergeCell ref="AY49:AY50"/>
    <mergeCell ref="AZ49:AZ50"/>
    <mergeCell ref="N51:U52"/>
    <mergeCell ref="V51:V52"/>
    <mergeCell ref="W51:W52"/>
    <mergeCell ref="X51:X52"/>
    <mergeCell ref="Y51:Y52"/>
    <mergeCell ref="AI49:AI50"/>
    <mergeCell ref="AJ49:AJ50"/>
    <mergeCell ref="AK49:AK50"/>
    <mergeCell ref="AL49:AL50"/>
    <mergeCell ref="AM49:AM50"/>
    <mergeCell ref="AN49:AU50"/>
    <mergeCell ref="AZ51:AZ52"/>
    <mergeCell ref="AW51:AW52"/>
    <mergeCell ref="AX51:AX52"/>
    <mergeCell ref="AY51:AY52"/>
    <mergeCell ref="AA45:AH46"/>
    <mergeCell ref="AI45:AI46"/>
    <mergeCell ref="AJ45:AJ46"/>
    <mergeCell ref="AK45:AK46"/>
    <mergeCell ref="AL45:AL46"/>
    <mergeCell ref="AX47:AX48"/>
    <mergeCell ref="AY47:AY48"/>
    <mergeCell ref="AZ47:AZ48"/>
    <mergeCell ref="N49:U50"/>
    <mergeCell ref="V49:V50"/>
    <mergeCell ref="W49:W50"/>
    <mergeCell ref="X49:X50"/>
    <mergeCell ref="Y49:Y50"/>
    <mergeCell ref="Z49:Z50"/>
    <mergeCell ref="AA49:AH50"/>
    <mergeCell ref="AK47:AK48"/>
    <mergeCell ref="AL47:AL48"/>
    <mergeCell ref="AM47:AM48"/>
    <mergeCell ref="AN47:AU48"/>
    <mergeCell ref="AV47:AV48"/>
    <mergeCell ref="AW47:AW48"/>
    <mergeCell ref="AV49:AV50"/>
    <mergeCell ref="AW49:AW50"/>
    <mergeCell ref="AX49:AX50"/>
    <mergeCell ref="N47:U48"/>
    <mergeCell ref="V47:V48"/>
    <mergeCell ref="W47:W48"/>
    <mergeCell ref="X47:X48"/>
    <mergeCell ref="Y47:Y48"/>
    <mergeCell ref="Z47:Z48"/>
    <mergeCell ref="AA47:AH48"/>
    <mergeCell ref="AI47:AI48"/>
    <mergeCell ref="AJ47:AJ48"/>
    <mergeCell ref="AV43:AV44"/>
    <mergeCell ref="AW43:AW44"/>
    <mergeCell ref="AX43:AX44"/>
    <mergeCell ref="AY43:AY44"/>
    <mergeCell ref="AZ43:AZ44"/>
    <mergeCell ref="N45:U46"/>
    <mergeCell ref="V45:V46"/>
    <mergeCell ref="W45:W46"/>
    <mergeCell ref="X45:X46"/>
    <mergeCell ref="Y45:Y46"/>
    <mergeCell ref="AI43:AI44"/>
    <mergeCell ref="AJ43:AJ44"/>
    <mergeCell ref="AK43:AK44"/>
    <mergeCell ref="AL43:AL44"/>
    <mergeCell ref="AM43:AM44"/>
    <mergeCell ref="AN43:AU44"/>
    <mergeCell ref="AZ45:AZ46"/>
    <mergeCell ref="AM45:AM46"/>
    <mergeCell ref="AN45:AU46"/>
    <mergeCell ref="AV45:AV46"/>
    <mergeCell ref="AW45:AW46"/>
    <mergeCell ref="AX45:AX46"/>
    <mergeCell ref="AY45:AY46"/>
    <mergeCell ref="Z45:Z46"/>
    <mergeCell ref="AX41:AX42"/>
    <mergeCell ref="AY41:AY42"/>
    <mergeCell ref="AZ41:AZ42"/>
    <mergeCell ref="N43:U44"/>
    <mergeCell ref="V43:V44"/>
    <mergeCell ref="W43:W44"/>
    <mergeCell ref="X43:X44"/>
    <mergeCell ref="Y43:Y44"/>
    <mergeCell ref="Z43:Z44"/>
    <mergeCell ref="AA43:AH44"/>
    <mergeCell ref="AL41:AL42"/>
    <mergeCell ref="AM41:AM42"/>
    <mergeCell ref="AN41:AN42"/>
    <mergeCell ref="AO41:AU42"/>
    <mergeCell ref="AV41:AV42"/>
    <mergeCell ref="AW41:AW42"/>
    <mergeCell ref="Z41:Z42"/>
    <mergeCell ref="AA41:AA42"/>
    <mergeCell ref="AB41:AH42"/>
    <mergeCell ref="AI41:AI42"/>
    <mergeCell ref="AJ41:AJ42"/>
    <mergeCell ref="AK41:AK42"/>
    <mergeCell ref="N41:N42"/>
    <mergeCell ref="O41:U42"/>
    <mergeCell ref="V41:V42"/>
    <mergeCell ref="W41:W42"/>
    <mergeCell ref="X41:X42"/>
    <mergeCell ref="Y41:Y42"/>
    <mergeCell ref="A35:H38"/>
    <mergeCell ref="I35:I38"/>
    <mergeCell ref="J35:J38"/>
    <mergeCell ref="K35:K38"/>
    <mergeCell ref="L35:L38"/>
    <mergeCell ref="M35:M38"/>
    <mergeCell ref="N37:U38"/>
    <mergeCell ref="V37:V38"/>
    <mergeCell ref="W37:W38"/>
    <mergeCell ref="X37:X38"/>
    <mergeCell ref="Y37:Y38"/>
    <mergeCell ref="AA39:AH40"/>
    <mergeCell ref="AI39:AI40"/>
    <mergeCell ref="AJ39:AJ40"/>
    <mergeCell ref="AK39:AK40"/>
    <mergeCell ref="AL39:AL40"/>
    <mergeCell ref="AM39:AM40"/>
    <mergeCell ref="N39:U40"/>
    <mergeCell ref="V39:V40"/>
    <mergeCell ref="W39:W40"/>
    <mergeCell ref="X39:X40"/>
    <mergeCell ref="Y39:Y40"/>
    <mergeCell ref="Z39:Z40"/>
    <mergeCell ref="AV37:AV38"/>
    <mergeCell ref="AW37:AW38"/>
    <mergeCell ref="AX37:AX38"/>
    <mergeCell ref="AY37:AY38"/>
    <mergeCell ref="AZ37:AZ38"/>
    <mergeCell ref="AA37:AH38"/>
    <mergeCell ref="AI37:AI38"/>
    <mergeCell ref="AJ37:AJ38"/>
    <mergeCell ref="AK37:AK38"/>
    <mergeCell ref="AL37:AL38"/>
    <mergeCell ref="AM37:AM38"/>
    <mergeCell ref="Z37:Z38"/>
    <mergeCell ref="A31:H34"/>
    <mergeCell ref="I31:I34"/>
    <mergeCell ref="J31:J34"/>
    <mergeCell ref="K31:K34"/>
    <mergeCell ref="L31:L34"/>
    <mergeCell ref="M31:M34"/>
    <mergeCell ref="AN35:AU36"/>
    <mergeCell ref="AV35:AV36"/>
    <mergeCell ref="N35:U36"/>
    <mergeCell ref="V35:V36"/>
    <mergeCell ref="W35:W36"/>
    <mergeCell ref="X35:X36"/>
    <mergeCell ref="Y35:Y36"/>
    <mergeCell ref="Z35:Z36"/>
    <mergeCell ref="AN33:AU34"/>
    <mergeCell ref="AV33:AV34"/>
    <mergeCell ref="N33:U34"/>
    <mergeCell ref="V33:V34"/>
    <mergeCell ref="W33:W34"/>
    <mergeCell ref="X33:X34"/>
    <mergeCell ref="Y33:Y34"/>
    <mergeCell ref="Z33:Z34"/>
    <mergeCell ref="AN37:AU38"/>
    <mergeCell ref="AW35:AW36"/>
    <mergeCell ref="AX35:AX36"/>
    <mergeCell ref="AY35:AY36"/>
    <mergeCell ref="AZ35:AZ36"/>
    <mergeCell ref="AA35:AH36"/>
    <mergeCell ref="AI35:AI36"/>
    <mergeCell ref="AJ35:AJ36"/>
    <mergeCell ref="AK35:AK36"/>
    <mergeCell ref="AL35:AL36"/>
    <mergeCell ref="AM35:AM36"/>
    <mergeCell ref="AI31:AI32"/>
    <mergeCell ref="AZ29:AZ30"/>
    <mergeCell ref="AM29:AM30"/>
    <mergeCell ref="AW33:AW34"/>
    <mergeCell ref="AX33:AX34"/>
    <mergeCell ref="AY33:AY34"/>
    <mergeCell ref="AZ33:AZ34"/>
    <mergeCell ref="AA33:AH34"/>
    <mergeCell ref="AI33:AI34"/>
    <mergeCell ref="AJ33:AJ34"/>
    <mergeCell ref="AK33:AK34"/>
    <mergeCell ref="AL33:AL34"/>
    <mergeCell ref="AM33:AM34"/>
    <mergeCell ref="AJ29:AJ30"/>
    <mergeCell ref="AK29:AK30"/>
    <mergeCell ref="AL29:AL30"/>
    <mergeCell ref="N31:U32"/>
    <mergeCell ref="V31:V32"/>
    <mergeCell ref="V25:V26"/>
    <mergeCell ref="AW31:AW32"/>
    <mergeCell ref="AX31:AX32"/>
    <mergeCell ref="AY31:AY32"/>
    <mergeCell ref="AZ31:AZ32"/>
    <mergeCell ref="A27:H30"/>
    <mergeCell ref="I27:I30"/>
    <mergeCell ref="J27:J30"/>
    <mergeCell ref="K27:K30"/>
    <mergeCell ref="L27:L30"/>
    <mergeCell ref="M27:M30"/>
    <mergeCell ref="AJ31:AJ32"/>
    <mergeCell ref="AK31:AK32"/>
    <mergeCell ref="AL31:AL32"/>
    <mergeCell ref="AM31:AM32"/>
    <mergeCell ref="AN31:AU32"/>
    <mergeCell ref="AV31:AV32"/>
    <mergeCell ref="W31:W32"/>
    <mergeCell ref="X31:X32"/>
    <mergeCell ref="Y31:Y32"/>
    <mergeCell ref="Z31:Z32"/>
    <mergeCell ref="AA31:AH32"/>
    <mergeCell ref="A25:A26"/>
    <mergeCell ref="B25:H26"/>
    <mergeCell ref="I25:I26"/>
    <mergeCell ref="J25:J26"/>
    <mergeCell ref="K25:K26"/>
    <mergeCell ref="L25:L26"/>
    <mergeCell ref="M25:M26"/>
    <mergeCell ref="AV27:AV28"/>
    <mergeCell ref="AW27:AW28"/>
    <mergeCell ref="W25:W26"/>
    <mergeCell ref="X25:X26"/>
    <mergeCell ref="Y25:Y26"/>
    <mergeCell ref="AX27:AX28"/>
    <mergeCell ref="AY27:AY28"/>
    <mergeCell ref="AZ27:AZ28"/>
    <mergeCell ref="N29:U30"/>
    <mergeCell ref="V29:V30"/>
    <mergeCell ref="W29:W30"/>
    <mergeCell ref="X29:X30"/>
    <mergeCell ref="Y29:Y30"/>
    <mergeCell ref="AI27:AI28"/>
    <mergeCell ref="AJ27:AJ28"/>
    <mergeCell ref="AK27:AK28"/>
    <mergeCell ref="AL27:AL28"/>
    <mergeCell ref="AM27:AM28"/>
    <mergeCell ref="AN27:AU28"/>
    <mergeCell ref="AN29:AU30"/>
    <mergeCell ref="AV29:AV30"/>
    <mergeCell ref="AW29:AW30"/>
    <mergeCell ref="AX29:AX30"/>
    <mergeCell ref="AY29:AY30"/>
    <mergeCell ref="Z29:Z30"/>
    <mergeCell ref="AA29:AH30"/>
    <mergeCell ref="AI29:AI30"/>
    <mergeCell ref="AX25:AX26"/>
    <mergeCell ref="AY25:AY26"/>
    <mergeCell ref="AZ25:AZ26"/>
    <mergeCell ref="N27:U28"/>
    <mergeCell ref="V27:V28"/>
    <mergeCell ref="W27:W28"/>
    <mergeCell ref="X27:X28"/>
    <mergeCell ref="Y27:Y28"/>
    <mergeCell ref="Z27:Z28"/>
    <mergeCell ref="AA27:AH28"/>
    <mergeCell ref="AL25:AL26"/>
    <mergeCell ref="AM25:AM26"/>
    <mergeCell ref="AN25:AN26"/>
    <mergeCell ref="AO25:AU26"/>
    <mergeCell ref="AV25:AV26"/>
    <mergeCell ref="AW25:AW26"/>
    <mergeCell ref="Z25:Z26"/>
    <mergeCell ref="AA25:AA26"/>
    <mergeCell ref="AB25:AH26"/>
    <mergeCell ref="AI25:AI26"/>
    <mergeCell ref="AJ25:AJ26"/>
    <mergeCell ref="AK25:AK26"/>
    <mergeCell ref="N25:N26"/>
    <mergeCell ref="O25:U26"/>
    <mergeCell ref="A19:H20"/>
    <mergeCell ref="I19:I20"/>
    <mergeCell ref="J19:J20"/>
    <mergeCell ref="K19:K20"/>
    <mergeCell ref="L19:L20"/>
    <mergeCell ref="M19:M20"/>
    <mergeCell ref="A21:H22"/>
    <mergeCell ref="I21:I22"/>
    <mergeCell ref="J21:J22"/>
    <mergeCell ref="K21:K22"/>
    <mergeCell ref="L21:L22"/>
    <mergeCell ref="M21:M22"/>
    <mergeCell ref="N21:U22"/>
    <mergeCell ref="V21:V22"/>
    <mergeCell ref="W21:W22"/>
    <mergeCell ref="X21:X22"/>
    <mergeCell ref="Y21:Y22"/>
    <mergeCell ref="Z21:Z22"/>
    <mergeCell ref="AW21:AW22"/>
    <mergeCell ref="X23:X24"/>
    <mergeCell ref="Y23:Y24"/>
    <mergeCell ref="Z23:Z24"/>
    <mergeCell ref="N23:U24"/>
    <mergeCell ref="V23:V24"/>
    <mergeCell ref="W23:W24"/>
    <mergeCell ref="AX21:AX22"/>
    <mergeCell ref="AY21:AY22"/>
    <mergeCell ref="AZ21:AZ22"/>
    <mergeCell ref="AA21:AH22"/>
    <mergeCell ref="AI21:AI22"/>
    <mergeCell ref="AJ21:AJ22"/>
    <mergeCell ref="AK21:AK22"/>
    <mergeCell ref="AL21:AL22"/>
    <mergeCell ref="AM21:AM22"/>
    <mergeCell ref="AN21:AU22"/>
    <mergeCell ref="AV21:AV22"/>
    <mergeCell ref="K17:K18"/>
    <mergeCell ref="L17:L18"/>
    <mergeCell ref="M17:M18"/>
    <mergeCell ref="AN19:AU20"/>
    <mergeCell ref="AV19:AV20"/>
    <mergeCell ref="AW19:AW20"/>
    <mergeCell ref="N19:U20"/>
    <mergeCell ref="V19:V20"/>
    <mergeCell ref="W19:W20"/>
    <mergeCell ref="X19:X20"/>
    <mergeCell ref="Y19:Y20"/>
    <mergeCell ref="Z19:Z20"/>
    <mergeCell ref="AX19:AX20"/>
    <mergeCell ref="AY19:AY20"/>
    <mergeCell ref="AZ19:AZ20"/>
    <mergeCell ref="AA19:AH20"/>
    <mergeCell ref="AI19:AI20"/>
    <mergeCell ref="AJ19:AJ20"/>
    <mergeCell ref="AK19:AK20"/>
    <mergeCell ref="AL19:AL20"/>
    <mergeCell ref="AM19:AM20"/>
    <mergeCell ref="A15:H16"/>
    <mergeCell ref="I15:I16"/>
    <mergeCell ref="J15:J16"/>
    <mergeCell ref="K15:K16"/>
    <mergeCell ref="L15:L16"/>
    <mergeCell ref="M15:M16"/>
    <mergeCell ref="BA17:BH18"/>
    <mergeCell ref="BI17:BI18"/>
    <mergeCell ref="BJ17:BJ18"/>
    <mergeCell ref="AA17:AH18"/>
    <mergeCell ref="AI17:AI18"/>
    <mergeCell ref="AJ17:AJ18"/>
    <mergeCell ref="AK17:AK18"/>
    <mergeCell ref="AL17:AL18"/>
    <mergeCell ref="AM17:AM18"/>
    <mergeCell ref="N17:U18"/>
    <mergeCell ref="V17:V18"/>
    <mergeCell ref="W17:W18"/>
    <mergeCell ref="X17:X18"/>
    <mergeCell ref="Y17:Y18"/>
    <mergeCell ref="Z17:Z18"/>
    <mergeCell ref="A17:H18"/>
    <mergeCell ref="I17:I18"/>
    <mergeCell ref="J17:J18"/>
    <mergeCell ref="BK17:BK18"/>
    <mergeCell ref="BL17:BL18"/>
    <mergeCell ref="BM17:BM18"/>
    <mergeCell ref="AN17:AU18"/>
    <mergeCell ref="AV17:AV18"/>
    <mergeCell ref="AW17:AW18"/>
    <mergeCell ref="AX17:AX18"/>
    <mergeCell ref="AY17:AY18"/>
    <mergeCell ref="AZ17:AZ18"/>
    <mergeCell ref="K13:K14"/>
    <mergeCell ref="L13:L14"/>
    <mergeCell ref="M13:M14"/>
    <mergeCell ref="BA15:BH16"/>
    <mergeCell ref="BI15:BI16"/>
    <mergeCell ref="BJ15:BJ16"/>
    <mergeCell ref="AA15:AH16"/>
    <mergeCell ref="AI15:AI16"/>
    <mergeCell ref="AJ15:AJ16"/>
    <mergeCell ref="AK15:AK16"/>
    <mergeCell ref="AL15:AL16"/>
    <mergeCell ref="AM15:AM16"/>
    <mergeCell ref="N15:U16"/>
    <mergeCell ref="V15:V16"/>
    <mergeCell ref="W15:W16"/>
    <mergeCell ref="X15:X16"/>
    <mergeCell ref="Y15:Y16"/>
    <mergeCell ref="Z15:Z16"/>
    <mergeCell ref="BK15:BK16"/>
    <mergeCell ref="BL15:BL16"/>
    <mergeCell ref="BM15:BM16"/>
    <mergeCell ref="AN15:AU16"/>
    <mergeCell ref="AV15:AV16"/>
    <mergeCell ref="AW15:AW16"/>
    <mergeCell ref="AX15:AX16"/>
    <mergeCell ref="AY15:AY16"/>
    <mergeCell ref="AZ15:AZ16"/>
    <mergeCell ref="A11:H12"/>
    <mergeCell ref="I11:I12"/>
    <mergeCell ref="J11:J12"/>
    <mergeCell ref="K11:K12"/>
    <mergeCell ref="L11:L12"/>
    <mergeCell ref="M11:M12"/>
    <mergeCell ref="BA13:BH14"/>
    <mergeCell ref="BI13:BI14"/>
    <mergeCell ref="BJ13:BJ14"/>
    <mergeCell ref="AA13:AH14"/>
    <mergeCell ref="AI13:AI14"/>
    <mergeCell ref="AJ13:AJ14"/>
    <mergeCell ref="AK13:AK14"/>
    <mergeCell ref="AL13:AL14"/>
    <mergeCell ref="AM13:AM14"/>
    <mergeCell ref="N13:U14"/>
    <mergeCell ref="V13:V14"/>
    <mergeCell ref="W13:W14"/>
    <mergeCell ref="X13:X14"/>
    <mergeCell ref="Y13:Y14"/>
    <mergeCell ref="Z13:Z14"/>
    <mergeCell ref="A13:H14"/>
    <mergeCell ref="I13:I14"/>
    <mergeCell ref="J13:J14"/>
    <mergeCell ref="BK13:BK14"/>
    <mergeCell ref="BL13:BL14"/>
    <mergeCell ref="BM13:BM14"/>
    <mergeCell ref="AN13:AU14"/>
    <mergeCell ref="AV13:AV14"/>
    <mergeCell ref="AW13:AW14"/>
    <mergeCell ref="AX13:AX14"/>
    <mergeCell ref="AY13:AY14"/>
    <mergeCell ref="AZ13:AZ14"/>
    <mergeCell ref="BK7:BK8"/>
    <mergeCell ref="BL7:BL8"/>
    <mergeCell ref="J9:J10"/>
    <mergeCell ref="K9:K10"/>
    <mergeCell ref="L9:L10"/>
    <mergeCell ref="M9:M10"/>
    <mergeCell ref="BA11:BH12"/>
    <mergeCell ref="BI11:BI12"/>
    <mergeCell ref="BJ11:BJ12"/>
    <mergeCell ref="AA11:AH12"/>
    <mergeCell ref="AI11:AI12"/>
    <mergeCell ref="AJ11:AJ12"/>
    <mergeCell ref="AK11:AK12"/>
    <mergeCell ref="AL11:AL12"/>
    <mergeCell ref="AM11:AM12"/>
    <mergeCell ref="N11:U12"/>
    <mergeCell ref="V11:V12"/>
    <mergeCell ref="W11:W12"/>
    <mergeCell ref="X11:X12"/>
    <mergeCell ref="Y11:Y12"/>
    <mergeCell ref="Z11:Z12"/>
    <mergeCell ref="V9:V10"/>
    <mergeCell ref="W9:W10"/>
    <mergeCell ref="X9:X10"/>
    <mergeCell ref="A9:H10"/>
    <mergeCell ref="I9:I10"/>
    <mergeCell ref="BM7:BM8"/>
    <mergeCell ref="N9:U10"/>
    <mergeCell ref="BK11:BK12"/>
    <mergeCell ref="BL11:BL12"/>
    <mergeCell ref="BM11:BM12"/>
    <mergeCell ref="AN11:AU12"/>
    <mergeCell ref="AV11:AV12"/>
    <mergeCell ref="AW11:AW12"/>
    <mergeCell ref="AX11:AX12"/>
    <mergeCell ref="AY11:AY12"/>
    <mergeCell ref="AZ11:AZ12"/>
    <mergeCell ref="BI7:BI8"/>
    <mergeCell ref="BJ7:BJ8"/>
    <mergeCell ref="BK9:BK10"/>
    <mergeCell ref="BL9:BL10"/>
    <mergeCell ref="BM9:BM10"/>
    <mergeCell ref="AZ9:AZ10"/>
    <mergeCell ref="BA9:BH10"/>
    <mergeCell ref="BI9:BI10"/>
    <mergeCell ref="BJ9:BJ10"/>
    <mergeCell ref="BA7:BA8"/>
    <mergeCell ref="BB7:BH8"/>
    <mergeCell ref="I7:I8"/>
    <mergeCell ref="J7:J8"/>
    <mergeCell ref="K7:K8"/>
    <mergeCell ref="L7:L8"/>
    <mergeCell ref="M7:M8"/>
    <mergeCell ref="AX9:AX10"/>
    <mergeCell ref="AY9:AY10"/>
    <mergeCell ref="AK9:AK10"/>
    <mergeCell ref="AL9:AL10"/>
    <mergeCell ref="AM9:AM10"/>
    <mergeCell ref="AN9:AU10"/>
    <mergeCell ref="AV9:AV10"/>
    <mergeCell ref="AW9:AW10"/>
    <mergeCell ref="AM7:AM8"/>
    <mergeCell ref="AN7:AN8"/>
    <mergeCell ref="Y9:Y10"/>
    <mergeCell ref="Z9:Z10"/>
    <mergeCell ref="AA9:AH10"/>
    <mergeCell ref="AI9:AI10"/>
    <mergeCell ref="AJ9:AJ10"/>
    <mergeCell ref="U3:X4"/>
    <mergeCell ref="Y3:AB4"/>
    <mergeCell ref="N7:N8"/>
    <mergeCell ref="O7:U8"/>
    <mergeCell ref="V7:V8"/>
    <mergeCell ref="W7:W8"/>
    <mergeCell ref="X7:X8"/>
    <mergeCell ref="Y7:Y8"/>
    <mergeCell ref="Z7:Z8"/>
    <mergeCell ref="AA7:AA8"/>
    <mergeCell ref="AB7:AH8"/>
    <mergeCell ref="A5:BF6"/>
    <mergeCell ref="AO7:AU8"/>
    <mergeCell ref="AV7:AV8"/>
    <mergeCell ref="AW7:AW8"/>
    <mergeCell ref="AX7:AX8"/>
    <mergeCell ref="AY7:AY8"/>
    <mergeCell ref="AZ7:AZ8"/>
    <mergeCell ref="AI7:AI8"/>
    <mergeCell ref="AJ7:AJ8"/>
    <mergeCell ref="AK7:AK8"/>
    <mergeCell ref="AL7:AL8"/>
    <mergeCell ref="A7:A8"/>
    <mergeCell ref="B7:H8"/>
  </mergeCells>
  <hyperlinks>
    <hyperlink ref="E3:H4" location="DEL_" display="DEL" xr:uid="{00000000-0004-0000-1600-000000000000}"/>
    <hyperlink ref="A3:D4" location="'PRC | KHI'!KHI_" display="KHI" xr:uid="{00000000-0004-0000-1600-000001000000}"/>
    <hyperlink ref="I3:L4" location="BKK!BKK_" display="BKK" xr:uid="{00000000-0004-0000-1600-000002000000}"/>
    <hyperlink ref="M3:P4" location="'LHR AT'!LHRAT_" display="LHR-AT" xr:uid="{00000000-0004-0000-1600-000003000000}"/>
    <hyperlink ref="Q3:T4" location="'LHR LU'!LHRLU_" display="LHR-LU" xr:uid="{00000000-0004-0000-1600-000004000000}"/>
    <hyperlink ref="U3:X4" location="'JFK LU'!JFKLU_" display="JFK-LU" xr:uid="{00000000-0004-0000-1600-000005000000}"/>
    <hyperlink ref="Y3:AB4" location="'JFK LB | BF'!JFKLBBF_" display="JFK-LB|BF" xr:uid="{00000000-0004-0000-1600-000006000000}"/>
  </hyperlinks>
  <pageMargins left="0.23622047244094491" right="0.23622047244094491" top="0" bottom="0.74803149606299213" header="0.31496062992125984" footer="0.31496062992125984"/>
  <pageSetup paperSize="9" scale="53" fitToHeight="0" orientation="portrait" r:id="rId2"/>
  <rowBreaks count="1" manualBreakCount="1">
    <brk id="54" max="16383" man="1"/>
  </rowBreaks>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dimension ref="A1:Q66"/>
  <sheetViews>
    <sheetView showGridLines="0" view="pageBreakPreview" zoomScale="60" zoomScaleNormal="100" workbookViewId="0">
      <selection activeCell="C6" sqref="C6"/>
    </sheetView>
  </sheetViews>
  <sheetFormatPr baseColWidth="10" defaultColWidth="0" defaultRowHeight="14" zeroHeight="1"/>
  <cols>
    <col min="1" max="10" width="9.1640625" style="122" customWidth="1"/>
    <col min="11" max="11" width="48.1640625" style="52" bestFit="1" customWidth="1"/>
    <col min="12" max="12" width="9.5" style="645" customWidth="1"/>
    <col min="13" max="14" width="9.1640625" style="645" hidden="1" customWidth="1"/>
    <col min="15" max="15" width="9.1640625" style="52" customWidth="1"/>
    <col min="16" max="16" width="86.6640625" style="52" bestFit="1" customWidth="1"/>
    <col min="17" max="17" width="9.1640625" style="52" customWidth="1"/>
    <col min="18" max="16384" width="9.1640625" style="52" hidden="1"/>
  </cols>
  <sheetData>
    <row r="1" spans="1:16" ht="15" customHeight="1">
      <c r="A1" s="153" t="s">
        <v>35</v>
      </c>
      <c r="B1" s="2002">
        <f>Name</f>
        <v>0</v>
      </c>
      <c r="C1" s="2002"/>
      <c r="D1" s="2002"/>
      <c r="E1" s="2002"/>
      <c r="F1" s="153" t="s">
        <v>36</v>
      </c>
      <c r="G1" s="2003">
        <f>StaffNumber</f>
        <v>0</v>
      </c>
      <c r="H1" s="2003"/>
      <c r="I1" s="2003"/>
      <c r="J1" s="2003"/>
      <c r="K1" s="1998" t="s">
        <v>1018</v>
      </c>
      <c r="L1" s="1998"/>
      <c r="P1" s="1998" t="s">
        <v>1019</v>
      </c>
    </row>
    <row r="2" spans="1:16" ht="15" customHeight="1">
      <c r="A2" s="153" t="s">
        <v>37</v>
      </c>
      <c r="B2" s="2002">
        <f>Trainers</f>
        <v>0</v>
      </c>
      <c r="C2" s="2002"/>
      <c r="D2" s="2002"/>
      <c r="E2" s="2002"/>
      <c r="F2" s="153" t="s">
        <v>38</v>
      </c>
      <c r="G2" s="2003">
        <f>Group</f>
        <v>0</v>
      </c>
      <c r="H2" s="2003"/>
      <c r="I2" s="2003"/>
      <c r="J2" s="2003"/>
      <c r="K2" s="1998"/>
      <c r="L2" s="1998"/>
      <c r="P2" s="1999"/>
    </row>
    <row r="3" spans="1:16" ht="15" customHeight="1">
      <c r="A3" s="1986" t="s">
        <v>32</v>
      </c>
      <c r="B3" s="1986"/>
      <c r="C3" s="1986" t="s">
        <v>23</v>
      </c>
      <c r="D3" s="1986" t="s">
        <v>29</v>
      </c>
      <c r="E3" s="1986" t="s">
        <v>24</v>
      </c>
      <c r="F3" s="2"/>
      <c r="G3" s="1986" t="s">
        <v>69</v>
      </c>
      <c r="H3" s="1986"/>
      <c r="I3" s="1986" t="s">
        <v>23</v>
      </c>
      <c r="J3" s="2"/>
      <c r="K3" s="1998"/>
      <c r="L3" s="1998"/>
      <c r="M3" s="2000" t="s">
        <v>235</v>
      </c>
      <c r="N3" s="2001" t="s">
        <v>944</v>
      </c>
      <c r="O3" s="379"/>
      <c r="P3" s="1999"/>
    </row>
    <row r="4" spans="1:16" ht="15" customHeight="1">
      <c r="A4" s="1986"/>
      <c r="B4" s="1986"/>
      <c r="C4" s="1986"/>
      <c r="D4" s="1986"/>
      <c r="E4" s="1986"/>
      <c r="F4" s="2"/>
      <c r="G4" s="1986"/>
      <c r="H4" s="1986"/>
      <c r="I4" s="1986"/>
      <c r="J4" s="2"/>
      <c r="K4" s="1998"/>
      <c r="L4" s="1998"/>
      <c r="M4" s="2000"/>
      <c r="N4" s="2001"/>
      <c r="O4" s="638"/>
      <c r="P4" s="1999"/>
    </row>
    <row r="5" spans="1:16" ht="15" customHeight="1">
      <c r="A5" s="1986"/>
      <c r="B5" s="1986"/>
      <c r="C5" s="1986"/>
      <c r="D5" s="1986"/>
      <c r="E5" s="1986"/>
      <c r="F5" s="2"/>
      <c r="G5" s="1986"/>
      <c r="H5" s="1986"/>
      <c r="I5" s="1986"/>
      <c r="J5" s="2"/>
      <c r="K5" s="1998"/>
      <c r="L5" s="1998"/>
      <c r="M5" s="2000"/>
      <c r="N5" s="2001"/>
      <c r="O5" s="638"/>
      <c r="P5" s="1999"/>
    </row>
    <row r="6" spans="1:16" ht="15" customHeight="1">
      <c r="A6" s="1985" t="s">
        <v>25</v>
      </c>
      <c r="B6" s="1985"/>
      <c r="C6" s="609"/>
      <c r="D6" s="609"/>
      <c r="E6" s="610" t="e">
        <f>AVERAGE(C6:D6)</f>
        <v>#DIV/0!</v>
      </c>
      <c r="F6" s="2"/>
      <c r="G6" s="1984" t="s">
        <v>14</v>
      </c>
      <c r="H6" s="1984"/>
      <c r="I6" s="611">
        <f>OAS!H11</f>
        <v>0</v>
      </c>
      <c r="J6" s="2"/>
      <c r="K6" s="650" t="s">
        <v>945</v>
      </c>
      <c r="L6" s="651"/>
      <c r="M6" s="642"/>
      <c r="N6" s="643"/>
      <c r="O6" s="379"/>
      <c r="P6" s="650" t="s">
        <v>945</v>
      </c>
    </row>
    <row r="7" spans="1:16" ht="15" customHeight="1">
      <c r="A7" s="1985" t="s">
        <v>26</v>
      </c>
      <c r="B7" s="1985"/>
      <c r="C7" s="609"/>
      <c r="D7" s="609"/>
      <c r="E7" s="610" t="e">
        <f>AVERAGE(C7:D7)</f>
        <v>#DIV/0!</v>
      </c>
      <c r="F7" s="2"/>
      <c r="G7" s="1984" t="s">
        <v>33</v>
      </c>
      <c r="H7" s="1984"/>
      <c r="I7" s="612" t="e">
        <f>OAS!I11</f>
        <v>#DIV/0!</v>
      </c>
      <c r="J7" s="2"/>
      <c r="K7" s="652" t="s">
        <v>946</v>
      </c>
      <c r="L7" s="653">
        <v>2</v>
      </c>
      <c r="M7" s="644"/>
      <c r="N7" s="641"/>
      <c r="O7" s="633"/>
      <c r="P7" s="657" t="s">
        <v>947</v>
      </c>
    </row>
    <row r="8" spans="1:16" ht="15" customHeight="1">
      <c r="A8" s="1985" t="s">
        <v>27</v>
      </c>
      <c r="B8" s="1985"/>
      <c r="C8" s="609"/>
      <c r="D8" s="609"/>
      <c r="E8" s="610" t="e">
        <f>AVERAGE(C8:D8)</f>
        <v>#DIV/0!</v>
      </c>
      <c r="F8" s="2"/>
      <c r="G8" s="1984" t="s">
        <v>203</v>
      </c>
      <c r="H8" s="1984"/>
      <c r="I8" s="612" t="e">
        <f>OAS!J11</f>
        <v>#DIV/0!</v>
      </c>
      <c r="J8" s="2"/>
      <c r="K8" s="652" t="s">
        <v>949</v>
      </c>
      <c r="L8" s="653">
        <v>2</v>
      </c>
      <c r="M8" s="644"/>
      <c r="N8" s="641"/>
      <c r="O8" s="633"/>
      <c r="P8" s="658" t="s">
        <v>948</v>
      </c>
    </row>
    <row r="9" spans="1:16" ht="15" customHeight="1">
      <c r="A9" s="1985" t="s">
        <v>28</v>
      </c>
      <c r="B9" s="1985"/>
      <c r="C9" s="609"/>
      <c r="D9" s="609"/>
      <c r="E9" s="610" t="e">
        <f>AVERAGE(C9:D9)</f>
        <v>#DIV/0!</v>
      </c>
      <c r="F9" s="2"/>
      <c r="G9" s="1984" t="str">
        <f>IF(Rotation="B",LHRLU,LHRAT)</f>
        <v>LHR-AT</v>
      </c>
      <c r="H9" s="1984"/>
      <c r="I9" s="612" t="e">
        <f>OAS!K11</f>
        <v>#DIV/0!</v>
      </c>
      <c r="J9" s="2"/>
      <c r="K9" s="654" t="s">
        <v>952</v>
      </c>
      <c r="L9" s="651"/>
      <c r="M9" s="643"/>
      <c r="N9" s="640"/>
      <c r="O9" s="633"/>
      <c r="P9" s="659" t="s">
        <v>950</v>
      </c>
    </row>
    <row r="10" spans="1:16" ht="15" customHeight="1">
      <c r="A10" s="1985" t="s">
        <v>835</v>
      </c>
      <c r="B10" s="1985"/>
      <c r="C10" s="609"/>
      <c r="D10" s="609"/>
      <c r="E10" s="610" t="e">
        <f t="shared" ref="E10:E11" si="0">AVERAGE(C10:D10)</f>
        <v>#DIV/0!</v>
      </c>
      <c r="F10" s="2"/>
      <c r="G10" s="1984" t="str">
        <f>IF(Rotation="B",JFKLBBF,JFKLU)</f>
        <v>JFK-LU</v>
      </c>
      <c r="H10" s="1984"/>
      <c r="I10" s="612" t="e">
        <f>OAS!L11</f>
        <v>#DIV/0!</v>
      </c>
      <c r="J10" s="2"/>
      <c r="K10" s="652" t="s">
        <v>955</v>
      </c>
      <c r="L10" s="653">
        <v>2</v>
      </c>
      <c r="M10" s="644"/>
      <c r="N10" s="641"/>
      <c r="O10" s="633"/>
      <c r="P10" s="657" t="s">
        <v>951</v>
      </c>
    </row>
    <row r="11" spans="1:16" ht="15" customHeight="1">
      <c r="A11" s="1985" t="s">
        <v>834</v>
      </c>
      <c r="B11" s="1985"/>
      <c r="C11" s="609"/>
      <c r="D11" s="609"/>
      <c r="E11" s="610" t="e">
        <f t="shared" si="0"/>
        <v>#DIV/0!</v>
      </c>
      <c r="F11" s="2"/>
      <c r="G11" s="2"/>
      <c r="H11" s="2"/>
      <c r="I11" s="2"/>
      <c r="J11" s="2"/>
      <c r="K11" s="652" t="s">
        <v>958</v>
      </c>
      <c r="L11" s="653">
        <v>2</v>
      </c>
      <c r="M11" s="644"/>
      <c r="N11" s="641"/>
      <c r="O11" s="633"/>
      <c r="P11" s="659" t="s">
        <v>953</v>
      </c>
    </row>
    <row r="12" spans="1:16" ht="15" customHeight="1">
      <c r="A12" s="1985" t="s">
        <v>1017</v>
      </c>
      <c r="B12" s="1985"/>
      <c r="C12" s="649"/>
      <c r="D12" s="649"/>
      <c r="E12" s="610">
        <f>I25</f>
        <v>100</v>
      </c>
      <c r="F12" s="2"/>
      <c r="G12" s="52"/>
      <c r="H12" s="52"/>
      <c r="I12" s="52"/>
      <c r="J12" s="52"/>
      <c r="K12" s="652" t="s">
        <v>959</v>
      </c>
      <c r="L12" s="653">
        <v>2</v>
      </c>
      <c r="M12" s="644"/>
      <c r="N12" s="641"/>
      <c r="O12" s="633"/>
      <c r="P12" s="659" t="s">
        <v>954</v>
      </c>
    </row>
    <row r="13" spans="1:16" ht="15" customHeight="1">
      <c r="A13" s="52"/>
      <c r="B13" s="52"/>
      <c r="C13" s="52"/>
      <c r="D13" s="52"/>
      <c r="E13" s="52"/>
      <c r="F13" s="2"/>
      <c r="G13" s="2"/>
      <c r="H13" s="2"/>
      <c r="I13" s="2"/>
      <c r="J13" s="2"/>
      <c r="K13" s="652" t="s">
        <v>962</v>
      </c>
      <c r="L13" s="653">
        <v>2</v>
      </c>
      <c r="M13" s="644"/>
      <c r="N13" s="641"/>
      <c r="O13" s="633"/>
      <c r="P13" s="659" t="s">
        <v>956</v>
      </c>
    </row>
    <row r="14" spans="1:16" ht="15" customHeight="1">
      <c r="A14" s="1981" t="s">
        <v>18</v>
      </c>
      <c r="B14" s="1981"/>
      <c r="C14" s="1981"/>
      <c r="D14" s="1981"/>
      <c r="E14" s="1983" t="e">
        <f>SUM(E6:E9,E12)</f>
        <v>#DIV/0!</v>
      </c>
      <c r="F14" s="2"/>
      <c r="G14" s="1981" t="s">
        <v>18</v>
      </c>
      <c r="H14" s="1981"/>
      <c r="I14" s="1982" t="e">
        <f>SUM(I7:I10)</f>
        <v>#DIV/0!</v>
      </c>
      <c r="J14" s="2"/>
      <c r="K14" s="654" t="s">
        <v>965</v>
      </c>
      <c r="L14" s="651"/>
      <c r="M14" s="643"/>
      <c r="N14" s="640"/>
      <c r="O14" s="633"/>
      <c r="P14" s="659" t="s">
        <v>957</v>
      </c>
    </row>
    <row r="15" spans="1:16" ht="15" customHeight="1" thickBot="1">
      <c r="A15" s="1981"/>
      <c r="B15" s="1981"/>
      <c r="C15" s="1981"/>
      <c r="D15" s="1981"/>
      <c r="E15" s="1983"/>
      <c r="F15" s="2"/>
      <c r="G15" s="1981"/>
      <c r="H15" s="1981"/>
      <c r="I15" s="1983"/>
      <c r="J15" s="2"/>
      <c r="K15" s="655" t="s">
        <v>967</v>
      </c>
      <c r="L15" s="653">
        <v>2</v>
      </c>
      <c r="M15" s="644"/>
      <c r="N15" s="641"/>
      <c r="O15" s="633"/>
      <c r="P15" s="659" t="s">
        <v>1016</v>
      </c>
    </row>
    <row r="16" spans="1:16" ht="15" customHeight="1">
      <c r="A16" s="1991" t="s">
        <v>4</v>
      </c>
      <c r="B16" s="1991"/>
      <c r="C16" s="1991"/>
      <c r="D16" s="1991"/>
      <c r="E16" s="1123" t="e">
        <f>(E14/500)*100</f>
        <v>#DIV/0!</v>
      </c>
      <c r="F16" s="1992" t="s">
        <v>4</v>
      </c>
      <c r="G16" s="1993"/>
      <c r="H16" s="1994"/>
      <c r="I16" s="1123" t="e">
        <f>(I14/400)*100</f>
        <v>#DIV/0!</v>
      </c>
      <c r="J16" s="2"/>
      <c r="K16" s="656" t="s">
        <v>970</v>
      </c>
      <c r="L16" s="651"/>
      <c r="M16" s="643"/>
      <c r="N16" s="640"/>
      <c r="O16" s="633"/>
      <c r="P16" s="659" t="s">
        <v>958</v>
      </c>
    </row>
    <row r="17" spans="1:16" ht="15" customHeight="1" thickBot="1">
      <c r="A17" s="1991"/>
      <c r="B17" s="1991"/>
      <c r="C17" s="1991"/>
      <c r="D17" s="1991"/>
      <c r="E17" s="1124"/>
      <c r="F17" s="1992"/>
      <c r="G17" s="1993"/>
      <c r="H17" s="1994"/>
      <c r="I17" s="1124"/>
      <c r="J17" s="2"/>
      <c r="K17" s="655" t="s">
        <v>488</v>
      </c>
      <c r="L17" s="653">
        <v>2</v>
      </c>
      <c r="M17" s="644"/>
      <c r="N17" s="641"/>
      <c r="O17" s="633"/>
      <c r="P17" s="659" t="s">
        <v>960</v>
      </c>
    </row>
    <row r="18" spans="1:16" ht="15" customHeight="1">
      <c r="A18" s="53"/>
      <c r="B18" s="53"/>
      <c r="C18" s="53"/>
      <c r="D18" s="54"/>
      <c r="E18" s="2"/>
      <c r="F18" s="2"/>
      <c r="G18" s="2"/>
      <c r="H18" s="2"/>
      <c r="I18" s="2"/>
      <c r="J18" s="2"/>
      <c r="K18" s="655" t="s">
        <v>973</v>
      </c>
      <c r="L18" s="653">
        <v>2</v>
      </c>
      <c r="M18" s="644"/>
      <c r="N18" s="641"/>
      <c r="O18" s="633"/>
      <c r="P18" s="650" t="s">
        <v>961</v>
      </c>
    </row>
    <row r="19" spans="1:16" ht="15" customHeight="1">
      <c r="A19" s="1987" t="s">
        <v>5</v>
      </c>
      <c r="B19" s="1987"/>
      <c r="C19" s="1987"/>
      <c r="D19" s="1987"/>
      <c r="E19" s="1997" t="s">
        <v>30</v>
      </c>
      <c r="F19" s="1127" t="s">
        <v>5</v>
      </c>
      <c r="G19" s="1987"/>
      <c r="H19" s="1987"/>
      <c r="I19" s="1995" t="s">
        <v>30</v>
      </c>
      <c r="J19" s="2"/>
      <c r="K19" s="656" t="s">
        <v>976</v>
      </c>
      <c r="L19" s="651"/>
      <c r="M19" s="643"/>
      <c r="N19" s="640"/>
      <c r="O19" s="633"/>
      <c r="P19" s="659" t="s">
        <v>963</v>
      </c>
    </row>
    <row r="20" spans="1:16" ht="15" customHeight="1">
      <c r="A20" s="1987"/>
      <c r="B20" s="1987"/>
      <c r="C20" s="1987"/>
      <c r="D20" s="1987"/>
      <c r="E20" s="1997"/>
      <c r="F20" s="1127"/>
      <c r="G20" s="1987"/>
      <c r="H20" s="1987"/>
      <c r="I20" s="1996"/>
      <c r="J20" s="2"/>
      <c r="K20" s="655" t="s">
        <v>1015</v>
      </c>
      <c r="L20" s="653">
        <v>2</v>
      </c>
      <c r="M20" s="644"/>
      <c r="N20" s="641"/>
      <c r="O20" s="633"/>
      <c r="P20" s="659" t="s">
        <v>964</v>
      </c>
    </row>
    <row r="21" spans="1:16" ht="15" customHeight="1">
      <c r="A21" s="1987" t="s">
        <v>6</v>
      </c>
      <c r="B21" s="1987"/>
      <c r="C21" s="1987"/>
      <c r="D21" s="1987"/>
      <c r="E21" s="1990" t="s">
        <v>31</v>
      </c>
      <c r="F21" s="1127" t="s">
        <v>6</v>
      </c>
      <c r="G21" s="1987"/>
      <c r="H21" s="1987"/>
      <c r="I21" s="1988" t="s">
        <v>31</v>
      </c>
      <c r="J21" s="2"/>
      <c r="K21" s="656" t="s">
        <v>980</v>
      </c>
      <c r="L21" s="651"/>
      <c r="M21" s="643"/>
      <c r="N21" s="640"/>
      <c r="O21" s="633"/>
      <c r="P21" s="659" t="s">
        <v>966</v>
      </c>
    </row>
    <row r="22" spans="1:16" ht="15" customHeight="1">
      <c r="A22" s="1987"/>
      <c r="B22" s="1987"/>
      <c r="C22" s="1987"/>
      <c r="D22" s="1987"/>
      <c r="E22" s="1990"/>
      <c r="F22" s="1127"/>
      <c r="G22" s="1987"/>
      <c r="H22" s="1987"/>
      <c r="I22" s="1989"/>
      <c r="J22" s="2"/>
      <c r="K22" s="655" t="s">
        <v>967</v>
      </c>
      <c r="L22" s="653">
        <v>2</v>
      </c>
      <c r="M22" s="644"/>
      <c r="N22" s="641"/>
      <c r="O22" s="633"/>
      <c r="P22" s="659" t="s">
        <v>968</v>
      </c>
    </row>
    <row r="23" spans="1:16" ht="15" customHeight="1">
      <c r="E23" s="52"/>
      <c r="F23" s="52"/>
      <c r="G23" s="52"/>
      <c r="H23" s="52"/>
      <c r="I23" s="648">
        <f>SUM(L7:L35)</f>
        <v>38</v>
      </c>
      <c r="J23" s="52"/>
      <c r="K23" s="656" t="s">
        <v>983</v>
      </c>
      <c r="L23" s="651"/>
      <c r="M23" s="643"/>
      <c r="N23" s="640"/>
      <c r="O23" s="634"/>
      <c r="P23" s="660" t="s">
        <v>969</v>
      </c>
    </row>
    <row r="24" spans="1:16" ht="15" customHeight="1">
      <c r="I24" s="648">
        <v>38</v>
      </c>
      <c r="K24" s="655" t="s">
        <v>985</v>
      </c>
      <c r="L24" s="653">
        <v>2</v>
      </c>
      <c r="M24" s="644"/>
      <c r="N24" s="641"/>
      <c r="O24" s="633"/>
      <c r="P24" s="650" t="s">
        <v>965</v>
      </c>
    </row>
    <row r="25" spans="1:16" ht="15" customHeight="1">
      <c r="I25" s="648">
        <f>(I23/I24)*100</f>
        <v>100</v>
      </c>
      <c r="K25" s="655" t="s">
        <v>988</v>
      </c>
      <c r="L25" s="653">
        <v>2</v>
      </c>
      <c r="M25" s="644"/>
      <c r="N25" s="641"/>
      <c r="O25" s="633"/>
      <c r="P25" s="661" t="s">
        <v>971</v>
      </c>
    </row>
    <row r="26" spans="1:16" ht="15" customHeight="1">
      <c r="K26" s="656" t="s">
        <v>990</v>
      </c>
      <c r="L26" s="651"/>
      <c r="M26" s="643"/>
      <c r="N26" s="640"/>
      <c r="O26" s="634"/>
      <c r="P26" s="661" t="s">
        <v>972</v>
      </c>
    </row>
    <row r="27" spans="1:16" ht="15" customHeight="1">
      <c r="K27" s="655" t="s">
        <v>992</v>
      </c>
      <c r="L27" s="653">
        <v>2</v>
      </c>
      <c r="M27" s="644"/>
      <c r="N27" s="641"/>
      <c r="O27" s="633"/>
      <c r="P27" s="660" t="s">
        <v>974</v>
      </c>
    </row>
    <row r="28" spans="1:16" ht="15" customHeight="1">
      <c r="K28" s="656" t="s">
        <v>994</v>
      </c>
      <c r="L28" s="651"/>
      <c r="M28" s="643"/>
      <c r="N28" s="640"/>
      <c r="O28" s="633"/>
      <c r="P28" s="660" t="s">
        <v>975</v>
      </c>
    </row>
    <row r="29" spans="1:16" ht="15" customHeight="1">
      <c r="K29" s="655" t="s">
        <v>996</v>
      </c>
      <c r="L29" s="653">
        <v>2</v>
      </c>
      <c r="M29" s="644"/>
      <c r="N29" s="641"/>
      <c r="O29" s="633"/>
      <c r="P29" s="660" t="s">
        <v>977</v>
      </c>
    </row>
    <row r="30" spans="1:16" ht="15" customHeight="1">
      <c r="K30" s="655" t="s">
        <v>1021</v>
      </c>
      <c r="L30" s="653">
        <v>2</v>
      </c>
      <c r="M30" s="644"/>
      <c r="N30" s="641"/>
      <c r="O30" s="633"/>
      <c r="P30" s="661" t="s">
        <v>978</v>
      </c>
    </row>
    <row r="31" spans="1:16" ht="15" customHeight="1">
      <c r="K31" s="656" t="s">
        <v>1000</v>
      </c>
      <c r="L31" s="651"/>
      <c r="M31" s="643"/>
      <c r="N31" s="640"/>
      <c r="O31" s="634"/>
      <c r="P31" s="660" t="s">
        <v>979</v>
      </c>
    </row>
    <row r="32" spans="1:16" ht="15" customHeight="1">
      <c r="K32" s="655" t="s">
        <v>1001</v>
      </c>
      <c r="L32" s="653">
        <v>2</v>
      </c>
      <c r="M32" s="644"/>
      <c r="N32" s="641"/>
      <c r="O32" s="633"/>
      <c r="P32" s="660" t="s">
        <v>981</v>
      </c>
    </row>
    <row r="33" spans="11:16" ht="15" customHeight="1">
      <c r="K33" s="655" t="s">
        <v>1004</v>
      </c>
      <c r="L33" s="653">
        <v>2</v>
      </c>
      <c r="M33" s="644"/>
      <c r="N33" s="641"/>
      <c r="O33" s="633"/>
      <c r="P33" s="662" t="s">
        <v>982</v>
      </c>
    </row>
    <row r="34" spans="11:16" ht="15" customHeight="1">
      <c r="K34" s="656" t="s">
        <v>1006</v>
      </c>
      <c r="L34" s="651"/>
      <c r="M34" s="643"/>
      <c r="N34" s="640"/>
      <c r="O34" s="634"/>
      <c r="P34" s="650" t="s">
        <v>970</v>
      </c>
    </row>
    <row r="35" spans="11:16" ht="15" customHeight="1">
      <c r="K35" s="655" t="s">
        <v>967</v>
      </c>
      <c r="L35" s="653">
        <v>2</v>
      </c>
      <c r="M35" s="644"/>
      <c r="N35" s="641"/>
      <c r="O35" s="633"/>
      <c r="P35" s="660" t="s">
        <v>984</v>
      </c>
    </row>
    <row r="36" spans="11:16" ht="15" customHeight="1">
      <c r="M36" s="645">
        <f t="shared" ref="M36:N36" si="1">SUM(M7:M35)</f>
        <v>0</v>
      </c>
      <c r="N36" s="645">
        <f t="shared" si="1"/>
        <v>0</v>
      </c>
      <c r="O36" s="633"/>
      <c r="P36" s="660" t="s">
        <v>986</v>
      </c>
    </row>
    <row r="37" spans="11:16" ht="15" customHeight="1">
      <c r="O37" s="634"/>
      <c r="P37" s="660" t="s">
        <v>987</v>
      </c>
    </row>
    <row r="38" spans="11:16" ht="15" customHeight="1">
      <c r="M38" s="646"/>
      <c r="N38" s="646"/>
      <c r="O38" s="633"/>
      <c r="P38" s="650" t="s">
        <v>976</v>
      </c>
    </row>
    <row r="39" spans="11:16" ht="15" customHeight="1">
      <c r="L39" s="646"/>
      <c r="M39" s="646"/>
      <c r="N39" s="646"/>
      <c r="O39" s="633"/>
      <c r="P39" s="663" t="s">
        <v>989</v>
      </c>
    </row>
    <row r="40" spans="11:16" ht="15" customHeight="1">
      <c r="L40" s="646"/>
      <c r="M40" s="646"/>
      <c r="N40" s="646"/>
      <c r="O40" s="633"/>
      <c r="P40" s="660" t="s">
        <v>991</v>
      </c>
    </row>
    <row r="41" spans="11:16" ht="15" customHeight="1">
      <c r="L41" s="646"/>
      <c r="M41" s="646"/>
      <c r="N41" s="646"/>
      <c r="O41" s="633"/>
      <c r="P41" s="650" t="s">
        <v>980</v>
      </c>
    </row>
    <row r="42" spans="11:16" ht="15" customHeight="1">
      <c r="L42" s="646"/>
      <c r="M42" s="646"/>
      <c r="N42" s="646"/>
      <c r="O42" s="634"/>
      <c r="P42" s="660" t="s">
        <v>993</v>
      </c>
    </row>
    <row r="43" spans="11:16" ht="15" customHeight="1">
      <c r="L43" s="646"/>
      <c r="M43" s="646"/>
      <c r="N43" s="646"/>
      <c r="O43" s="633"/>
      <c r="P43" s="660" t="s">
        <v>995</v>
      </c>
    </row>
    <row r="44" spans="11:16" ht="15" customHeight="1">
      <c r="L44" s="646"/>
      <c r="M44" s="646"/>
      <c r="N44" s="646"/>
      <c r="O44" s="633"/>
      <c r="P44" s="650" t="s">
        <v>983</v>
      </c>
    </row>
    <row r="45" spans="11:16" ht="15" customHeight="1">
      <c r="K45" s="639"/>
      <c r="L45" s="646"/>
      <c r="M45" s="646"/>
      <c r="N45" s="646"/>
      <c r="O45" s="634"/>
      <c r="P45" s="660" t="s">
        <v>997</v>
      </c>
    </row>
    <row r="46" spans="11:16" ht="15" customHeight="1">
      <c r="K46" s="122"/>
      <c r="L46" s="646"/>
      <c r="M46" s="646"/>
      <c r="N46" s="646"/>
      <c r="O46" s="633"/>
      <c r="P46" s="660" t="s">
        <v>998</v>
      </c>
    </row>
    <row r="47" spans="11:16" ht="15" customHeight="1">
      <c r="K47" s="639"/>
      <c r="L47" s="646"/>
      <c r="M47" s="646"/>
      <c r="N47" s="646"/>
      <c r="O47" s="633"/>
      <c r="P47" s="660" t="s">
        <v>999</v>
      </c>
    </row>
    <row r="48" spans="11:16" ht="15" customHeight="1">
      <c r="K48" s="122"/>
      <c r="L48" s="646"/>
      <c r="M48" s="646"/>
      <c r="N48" s="646"/>
      <c r="O48" s="633"/>
      <c r="P48" s="650" t="s">
        <v>990</v>
      </c>
    </row>
    <row r="49" spans="11:16" ht="15" customHeight="1">
      <c r="K49" s="122"/>
      <c r="L49" s="646"/>
      <c r="M49" s="646"/>
      <c r="N49" s="646"/>
      <c r="O49" s="633"/>
      <c r="P49" s="660" t="s">
        <v>1002</v>
      </c>
    </row>
    <row r="50" spans="11:16" ht="15" customHeight="1">
      <c r="K50" s="639"/>
      <c r="L50" s="647"/>
      <c r="M50" s="647"/>
      <c r="N50" s="647"/>
      <c r="O50" s="634"/>
      <c r="P50" s="660" t="s">
        <v>1003</v>
      </c>
    </row>
    <row r="51" spans="11:16" ht="15" customHeight="1">
      <c r="K51" s="122"/>
      <c r="L51" s="646"/>
      <c r="M51" s="646"/>
      <c r="N51" s="646"/>
      <c r="O51" s="633"/>
      <c r="P51" s="660" t="s">
        <v>1005</v>
      </c>
    </row>
    <row r="52" spans="11:16" ht="15" customHeight="1">
      <c r="K52" s="639"/>
      <c r="L52" s="646"/>
      <c r="M52" s="646"/>
      <c r="N52" s="646"/>
      <c r="O52" s="633"/>
      <c r="P52" s="660" t="s">
        <v>998</v>
      </c>
    </row>
    <row r="53" spans="11:16" ht="15" customHeight="1">
      <c r="K53" s="122"/>
      <c r="L53" s="646"/>
      <c r="M53" s="646"/>
      <c r="N53" s="646"/>
      <c r="O53" s="633"/>
      <c r="P53" s="660" t="s">
        <v>1007</v>
      </c>
    </row>
    <row r="54" spans="11:16" ht="15" customHeight="1">
      <c r="K54" s="122"/>
      <c r="L54" s="646"/>
      <c r="M54" s="646"/>
      <c r="N54" s="646"/>
      <c r="O54" s="633"/>
      <c r="P54" s="660" t="s">
        <v>1008</v>
      </c>
    </row>
    <row r="55" spans="11:16" ht="15" customHeight="1">
      <c r="K55" s="639"/>
      <c r="L55" s="647"/>
      <c r="M55" s="647"/>
      <c r="N55" s="647"/>
      <c r="O55" s="634"/>
      <c r="P55" s="650" t="s">
        <v>994</v>
      </c>
    </row>
    <row r="56" spans="11:16" ht="15" customHeight="1">
      <c r="K56" s="530"/>
      <c r="L56" s="646"/>
      <c r="M56" s="646"/>
      <c r="N56" s="646"/>
      <c r="O56" s="633"/>
      <c r="P56" s="660" t="s">
        <v>1009</v>
      </c>
    </row>
    <row r="57" spans="11:16" ht="15" customHeight="1">
      <c r="K57" s="379"/>
      <c r="L57" s="646"/>
      <c r="M57" s="646"/>
      <c r="N57" s="646"/>
      <c r="O57" s="633"/>
      <c r="P57" s="660" t="s">
        <v>1010</v>
      </c>
    </row>
    <row r="58" spans="11:16" ht="15" customHeight="1">
      <c r="K58" s="635"/>
      <c r="L58" s="390"/>
      <c r="M58" s="390"/>
      <c r="N58" s="390"/>
      <c r="O58" s="379"/>
      <c r="P58" s="660" t="s">
        <v>1011</v>
      </c>
    </row>
    <row r="59" spans="11:16" ht="15" customHeight="1">
      <c r="K59" s="635"/>
      <c r="L59" s="390"/>
      <c r="M59" s="390"/>
      <c r="N59" s="390"/>
      <c r="O59" s="379"/>
      <c r="P59" s="660" t="s">
        <v>979</v>
      </c>
    </row>
    <row r="60" spans="11:16" ht="15" customHeight="1">
      <c r="K60" s="635"/>
      <c r="L60" s="390"/>
      <c r="M60" s="390"/>
      <c r="N60" s="390"/>
      <c r="O60" s="379"/>
      <c r="P60" s="650" t="s">
        <v>1000</v>
      </c>
    </row>
    <row r="61" spans="11:16" ht="15" customHeight="1">
      <c r="K61" s="636"/>
      <c r="L61" s="390"/>
      <c r="M61" s="390"/>
      <c r="N61" s="390"/>
      <c r="O61" s="379"/>
      <c r="P61" s="660" t="s">
        <v>1012</v>
      </c>
    </row>
    <row r="62" spans="11:16" ht="15" customHeight="1">
      <c r="K62" s="637"/>
      <c r="L62" s="390"/>
      <c r="M62" s="390"/>
      <c r="N62" s="390"/>
      <c r="O62" s="379"/>
      <c r="P62" s="660" t="s">
        <v>1013</v>
      </c>
    </row>
    <row r="63" spans="11:16" ht="15" customHeight="1">
      <c r="K63" s="379"/>
      <c r="L63" s="390"/>
      <c r="M63" s="390"/>
      <c r="N63" s="390"/>
      <c r="O63" s="379"/>
      <c r="P63" s="650" t="s">
        <v>1006</v>
      </c>
    </row>
    <row r="64" spans="11:16" ht="15" customHeight="1">
      <c r="K64" s="379"/>
      <c r="L64" s="390"/>
      <c r="M64" s="390"/>
      <c r="N64" s="390"/>
      <c r="O64" s="379"/>
      <c r="P64" s="660" t="s">
        <v>1014</v>
      </c>
    </row>
    <row r="65" ht="15" customHeight="1"/>
    <row r="66" ht="15" hidden="1" customHeight="1"/>
  </sheetData>
  <sheetProtection selectLockedCells="1"/>
  <customSheetViews>
    <customSheetView guid="{6F32447A-4407-44AD-A35F-AE919A5CF3AF}" scale="120" showPageBreaks="1" showGridLines="0" view="pageBreakPreview">
      <selection activeCell="C6" sqref="C6"/>
    </customSheetView>
    <customSheetView guid="{B4419C5D-1877-4ABB-A46F-9E0AFFC75B59}" showPageBreaks="1" showGridLines="0" printArea="1" hiddenRows="1" hiddenColumns="1" view="pageBreakPreview">
      <selection activeCell="D9" sqref="D9"/>
      <colBreaks count="1" manualBreakCount="1">
        <brk id="12" min="2" max="18" man="1"/>
      </colBreaks>
      <pageMargins left="0.7" right="0.7" top="0.75" bottom="0.75" header="0.3" footer="0.3"/>
      <pageSetup paperSize="9" scale="95" orientation="portrait" r:id="rId1"/>
    </customSheetView>
  </customSheetViews>
  <mergeCells count="42">
    <mergeCell ref="K1:L5"/>
    <mergeCell ref="P1:P5"/>
    <mergeCell ref="M3:M5"/>
    <mergeCell ref="N3:N5"/>
    <mergeCell ref="A8:B8"/>
    <mergeCell ref="B1:E1"/>
    <mergeCell ref="B2:E2"/>
    <mergeCell ref="G1:J1"/>
    <mergeCell ref="G2:J2"/>
    <mergeCell ref="D3:D5"/>
    <mergeCell ref="A3:B5"/>
    <mergeCell ref="C3:C5"/>
    <mergeCell ref="E3:E5"/>
    <mergeCell ref="G3:H5"/>
    <mergeCell ref="A6:B6"/>
    <mergeCell ref="A7:B7"/>
    <mergeCell ref="I21:I22"/>
    <mergeCell ref="A21:D22"/>
    <mergeCell ref="E21:E22"/>
    <mergeCell ref="A16:D17"/>
    <mergeCell ref="F21:H22"/>
    <mergeCell ref="F16:H17"/>
    <mergeCell ref="F19:H20"/>
    <mergeCell ref="I19:I20"/>
    <mergeCell ref="E19:E20"/>
    <mergeCell ref="E16:E17"/>
    <mergeCell ref="A19:D20"/>
    <mergeCell ref="A14:D15"/>
    <mergeCell ref="A12:B12"/>
    <mergeCell ref="I16:I17"/>
    <mergeCell ref="I3:I5"/>
    <mergeCell ref="G6:H6"/>
    <mergeCell ref="G7:H7"/>
    <mergeCell ref="G8:H8"/>
    <mergeCell ref="E14:E15"/>
    <mergeCell ref="G14:H15"/>
    <mergeCell ref="I14:I15"/>
    <mergeCell ref="G9:H9"/>
    <mergeCell ref="G10:H10"/>
    <mergeCell ref="A9:B9"/>
    <mergeCell ref="A10:B10"/>
    <mergeCell ref="A11:B11"/>
  </mergeCells>
  <conditionalFormatting sqref="E16:E17">
    <cfRule type="cellIs" dxfId="3" priority="3" operator="between">
      <formula>80</formula>
      <formula>100</formula>
    </cfRule>
    <cfRule type="cellIs" dxfId="2" priority="4" operator="lessThan">
      <formula>80</formula>
    </cfRule>
  </conditionalFormatting>
  <conditionalFormatting sqref="I16:I17">
    <cfRule type="cellIs" dxfId="1" priority="1" operator="between">
      <formula>80</formula>
      <formula>100</formula>
    </cfRule>
    <cfRule type="cellIs" dxfId="0" priority="2" operator="lessThan">
      <formula>80</formula>
    </cfRule>
  </conditionalFormatting>
  <pageMargins left="0.70866141732283472" right="0.70866141732283472" top="0.74803149606299213" bottom="0.74803149606299213" header="0.31496062992125984" footer="0.31496062992125984"/>
  <pageSetup paperSize="9" scale="95"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dimension ref="A1:N3"/>
  <sheetViews>
    <sheetView showGridLines="0" view="pageBreakPreview" topLeftCell="A9" zoomScale="85" zoomScaleNormal="100" zoomScaleSheetLayoutView="85" workbookViewId="0"/>
  </sheetViews>
  <sheetFormatPr baseColWidth="10" defaultColWidth="8.83203125" defaultRowHeight="15"/>
  <sheetData>
    <row r="1" spans="1:14" s="1" customFormat="1">
      <c r="A1" s="52" t="s">
        <v>35</v>
      </c>
      <c r="B1" s="65"/>
      <c r="C1" s="66">
        <f>Name</f>
        <v>0</v>
      </c>
      <c r="D1" s="52"/>
      <c r="E1" s="52"/>
      <c r="F1" s="65"/>
      <c r="G1" s="65"/>
      <c r="H1" s="65"/>
      <c r="I1" s="65"/>
      <c r="J1" s="52" t="s">
        <v>36</v>
      </c>
      <c r="L1" s="2004">
        <f>StaffNumber</f>
        <v>0</v>
      </c>
      <c r="M1" s="2004"/>
      <c r="N1" s="65"/>
    </row>
    <row r="2" spans="1:14" s="1" customFormat="1">
      <c r="A2" s="52" t="s">
        <v>37</v>
      </c>
      <c r="B2" s="65"/>
      <c r="C2" s="66">
        <f>Trainers</f>
        <v>0</v>
      </c>
      <c r="D2" s="52"/>
      <c r="E2" s="52"/>
      <c r="F2" s="65"/>
      <c r="G2" s="65"/>
      <c r="H2" s="65"/>
      <c r="I2" s="65"/>
      <c r="J2" s="52" t="s">
        <v>38</v>
      </c>
      <c r="L2" s="2004">
        <f>Group</f>
        <v>0</v>
      </c>
      <c r="M2" s="2004"/>
      <c r="N2" s="65"/>
    </row>
    <row r="3" spans="1:14" s="1" customFormat="1"/>
  </sheetData>
  <sheetProtection sheet="1" objects="1" scenarios="1" selectLockedCells="1"/>
  <customSheetViews>
    <customSheetView guid="{6F32447A-4407-44AD-A35F-AE919A5CF3AF}" state="hidden"/>
    <customSheetView guid="{B4419C5D-1877-4ABB-A46F-9E0AFFC75B59}" showGridLines="0">
      <selection activeCell="S27" sqref="S27"/>
      <pageMargins left="0.7" right="0.7" top="0.75" bottom="0.75" header="0.3" footer="0.3"/>
      <pageSetup paperSize="9" orientation="portrait" r:id="rId1"/>
    </customSheetView>
  </customSheetViews>
  <mergeCells count="2">
    <mergeCell ref="L1:M1"/>
    <mergeCell ref="L2:M2"/>
  </mergeCells>
  <pageMargins left="0.7" right="0.7" top="0.75" bottom="0.75" header="0.3" footer="0.3"/>
  <pageSetup paperSize="9" scale="51" fitToWidth="0" fitToHeight="0" orientation="portrait" r:id="rId2"/>
  <colBreaks count="1" manualBreakCount="1">
    <brk id="18" max="31" man="1"/>
  </colBreaks>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pageSetUpPr fitToPage="1"/>
  </sheetPr>
  <dimension ref="A1:H51"/>
  <sheetViews>
    <sheetView showGridLines="0" view="pageBreakPreview" zoomScale="85" zoomScaleNormal="100" zoomScaleSheetLayoutView="85" workbookViewId="0">
      <selection activeCell="C32" sqref="C32"/>
    </sheetView>
  </sheetViews>
  <sheetFormatPr baseColWidth="10" defaultColWidth="9.1640625" defaultRowHeight="15" zeroHeight="1"/>
  <cols>
    <col min="1" max="4" width="40.6640625" style="1" customWidth="1"/>
    <col min="5" max="16384" width="9.1640625" style="1"/>
  </cols>
  <sheetData>
    <row r="1" spans="1:8" ht="30" customHeight="1">
      <c r="A1" s="2008" t="s">
        <v>594</v>
      </c>
      <c r="B1" s="2008"/>
      <c r="C1" s="2008"/>
      <c r="D1" s="2008"/>
    </row>
    <row r="2" spans="1:8" ht="20" customHeight="1">
      <c r="A2" s="2007" t="s">
        <v>595</v>
      </c>
      <c r="B2" s="2007"/>
      <c r="C2" s="2007"/>
      <c r="D2" s="2007"/>
      <c r="G2" s="353"/>
    </row>
    <row r="3" spans="1:8" ht="60" customHeight="1">
      <c r="A3" s="360" t="s">
        <v>774</v>
      </c>
      <c r="B3" s="361" t="s">
        <v>775</v>
      </c>
      <c r="C3" s="361" t="s">
        <v>776</v>
      </c>
      <c r="D3" s="361" t="s">
        <v>765</v>
      </c>
      <c r="G3" s="353"/>
    </row>
    <row r="4" spans="1:8" ht="20" customHeight="1">
      <c r="A4" s="2007" t="s">
        <v>596</v>
      </c>
      <c r="B4" s="2007"/>
      <c r="C4" s="2007"/>
      <c r="D4" s="2007"/>
      <c r="G4" s="353"/>
    </row>
    <row r="5" spans="1:8" ht="60" customHeight="1">
      <c r="A5" s="360" t="s">
        <v>777</v>
      </c>
      <c r="B5" s="361" t="s">
        <v>778</v>
      </c>
      <c r="C5" s="361" t="s">
        <v>779</v>
      </c>
      <c r="D5" s="361" t="s">
        <v>764</v>
      </c>
      <c r="G5" s="353"/>
    </row>
    <row r="6" spans="1:8" ht="20" customHeight="1">
      <c r="A6" s="2007" t="s">
        <v>597</v>
      </c>
      <c r="B6" s="2007"/>
      <c r="C6" s="2007"/>
      <c r="D6" s="2007"/>
      <c r="G6" s="353"/>
    </row>
    <row r="7" spans="1:8" ht="60" customHeight="1">
      <c r="A7" s="360" t="s">
        <v>780</v>
      </c>
      <c r="B7" s="361" t="s">
        <v>781</v>
      </c>
      <c r="C7" s="361" t="s">
        <v>782</v>
      </c>
      <c r="D7" s="361" t="s">
        <v>783</v>
      </c>
      <c r="G7" s="353"/>
    </row>
    <row r="8" spans="1:8" ht="20" customHeight="1">
      <c r="A8" s="2007" t="s">
        <v>630</v>
      </c>
      <c r="B8" s="2007"/>
      <c r="C8" s="2007"/>
      <c r="D8" s="2007"/>
      <c r="G8" s="353"/>
    </row>
    <row r="9" spans="1:8" ht="60" customHeight="1">
      <c r="A9" s="360" t="s">
        <v>824</v>
      </c>
      <c r="B9" s="361" t="s">
        <v>826</v>
      </c>
      <c r="C9" s="361" t="s">
        <v>827</v>
      </c>
      <c r="D9" s="361" t="s">
        <v>825</v>
      </c>
      <c r="G9" s="353"/>
    </row>
    <row r="10" spans="1:8" ht="20" customHeight="1">
      <c r="A10" s="2007" t="s">
        <v>631</v>
      </c>
      <c r="B10" s="2007"/>
      <c r="C10" s="2007"/>
      <c r="D10" s="2007"/>
      <c r="G10" s="353"/>
      <c r="H10" s="362"/>
    </row>
    <row r="11" spans="1:8" ht="60" customHeight="1">
      <c r="A11" s="367" t="s">
        <v>831</v>
      </c>
      <c r="B11" s="368" t="s">
        <v>830</v>
      </c>
      <c r="C11" s="368" t="s">
        <v>829</v>
      </c>
      <c r="D11" s="368" t="s">
        <v>828</v>
      </c>
      <c r="H11" s="362"/>
    </row>
    <row r="12" spans="1:8" ht="30" customHeight="1">
      <c r="A12" s="2009" t="s">
        <v>586</v>
      </c>
      <c r="B12" s="2009"/>
      <c r="C12" s="2009"/>
      <c r="D12" s="2009"/>
      <c r="H12" s="362"/>
    </row>
    <row r="13" spans="1:8" s="377" customFormat="1" ht="20" customHeight="1">
      <c r="A13" s="2010" t="s">
        <v>588</v>
      </c>
      <c r="B13" s="2010"/>
      <c r="C13" s="2010"/>
      <c r="D13" s="2010"/>
    </row>
    <row r="14" spans="1:8" ht="60" customHeight="1">
      <c r="A14" s="369" t="s">
        <v>784</v>
      </c>
      <c r="B14" s="370" t="s">
        <v>785</v>
      </c>
      <c r="C14" s="370" t="s">
        <v>786</v>
      </c>
      <c r="D14" s="370" t="s">
        <v>787</v>
      </c>
      <c r="H14" s="362"/>
    </row>
    <row r="15" spans="1:8" s="377" customFormat="1" ht="20" customHeight="1">
      <c r="A15" s="2010" t="s">
        <v>587</v>
      </c>
      <c r="B15" s="2010"/>
      <c r="C15" s="2010"/>
      <c r="D15" s="2010"/>
    </row>
    <row r="16" spans="1:8" ht="60" customHeight="1">
      <c r="A16" s="369" t="s">
        <v>788</v>
      </c>
      <c r="B16" s="370" t="s">
        <v>789</v>
      </c>
      <c r="C16" s="370" t="s">
        <v>790</v>
      </c>
      <c r="D16" s="370" t="s">
        <v>791</v>
      </c>
      <c r="H16" s="362"/>
    </row>
    <row r="17" spans="1:8" s="377" customFormat="1" ht="20" customHeight="1">
      <c r="A17" s="2010" t="s">
        <v>589</v>
      </c>
      <c r="B17" s="2010"/>
      <c r="C17" s="2010"/>
      <c r="D17" s="2010"/>
    </row>
    <row r="18" spans="1:8" ht="60" customHeight="1">
      <c r="A18" s="369" t="s">
        <v>792</v>
      </c>
      <c r="B18" s="370" t="s">
        <v>793</v>
      </c>
      <c r="C18" s="371" t="s">
        <v>794</v>
      </c>
      <c r="D18" s="370" t="s">
        <v>795</v>
      </c>
    </row>
    <row r="19" spans="1:8" s="377" customFormat="1" ht="20" customHeight="1">
      <c r="A19" s="2010" t="s">
        <v>590</v>
      </c>
      <c r="B19" s="2010"/>
      <c r="C19" s="2010"/>
      <c r="D19" s="2010"/>
    </row>
    <row r="20" spans="1:8" ht="60" customHeight="1">
      <c r="A20" s="384" t="s">
        <v>796</v>
      </c>
      <c r="B20" s="385" t="s">
        <v>797</v>
      </c>
      <c r="C20" s="385" t="s">
        <v>798</v>
      </c>
      <c r="D20" s="385" t="s">
        <v>799</v>
      </c>
    </row>
    <row r="21" spans="1:8" ht="30" customHeight="1">
      <c r="A21" s="2012" t="s">
        <v>591</v>
      </c>
      <c r="B21" s="2012"/>
      <c r="C21" s="2012"/>
      <c r="D21" s="2012"/>
      <c r="H21" s="372"/>
    </row>
    <row r="22" spans="1:8" ht="20" customHeight="1">
      <c r="A22" s="2011" t="s">
        <v>592</v>
      </c>
      <c r="B22" s="2011"/>
      <c r="C22" s="2011"/>
      <c r="D22" s="2011"/>
      <c r="H22" s="372"/>
    </row>
    <row r="23" spans="1:8" ht="60" customHeight="1">
      <c r="A23" s="386" t="s">
        <v>800</v>
      </c>
      <c r="B23" s="387" t="s">
        <v>801</v>
      </c>
      <c r="C23" s="387" t="s">
        <v>802</v>
      </c>
      <c r="D23" s="387" t="s">
        <v>803</v>
      </c>
      <c r="H23" s="372"/>
    </row>
    <row r="24" spans="1:8" ht="20" customHeight="1">
      <c r="A24" s="2011" t="s">
        <v>593</v>
      </c>
      <c r="B24" s="2011"/>
      <c r="C24" s="2011"/>
      <c r="D24" s="2011"/>
      <c r="H24" s="372"/>
    </row>
    <row r="25" spans="1:8" ht="60" customHeight="1">
      <c r="A25" s="386" t="s">
        <v>804</v>
      </c>
      <c r="B25" s="387" t="s">
        <v>805</v>
      </c>
      <c r="C25" s="387" t="s">
        <v>806</v>
      </c>
      <c r="D25" s="387" t="s">
        <v>807</v>
      </c>
      <c r="H25" s="372"/>
    </row>
    <row r="26" spans="1:8" ht="20" customHeight="1">
      <c r="A26" s="2011" t="s">
        <v>627</v>
      </c>
      <c r="B26" s="2011"/>
      <c r="C26" s="2011"/>
      <c r="D26" s="2011"/>
      <c r="H26" s="372"/>
    </row>
    <row r="27" spans="1:8" ht="60" customHeight="1">
      <c r="A27" s="664" t="s">
        <v>808</v>
      </c>
      <c r="B27" s="665" t="s">
        <v>809</v>
      </c>
      <c r="C27" s="665" t="s">
        <v>810</v>
      </c>
      <c r="D27" s="665" t="s">
        <v>811</v>
      </c>
      <c r="H27" s="372"/>
    </row>
    <row r="28" spans="1:8" ht="30" customHeight="1">
      <c r="A28" s="2006" t="s">
        <v>598</v>
      </c>
      <c r="B28" s="2006"/>
      <c r="C28" s="2006"/>
      <c r="D28" s="2006"/>
      <c r="G28" s="379"/>
      <c r="H28" s="372"/>
    </row>
    <row r="29" spans="1:8" s="383" customFormat="1" ht="20" customHeight="1">
      <c r="A29" s="2005" t="s">
        <v>603</v>
      </c>
      <c r="B29" s="2005"/>
      <c r="C29" s="2005"/>
      <c r="D29" s="2005"/>
      <c r="G29" s="379"/>
    </row>
    <row r="30" spans="1:8" ht="49" customHeight="1">
      <c r="A30" s="666"/>
      <c r="B30" s="667" t="s">
        <v>845</v>
      </c>
      <c r="C30" s="666" t="s">
        <v>844</v>
      </c>
      <c r="D30" s="667" t="s">
        <v>843</v>
      </c>
      <c r="G30" s="379"/>
      <c r="H30" s="372"/>
    </row>
    <row r="31" spans="1:8" s="383" customFormat="1" ht="20" customHeight="1">
      <c r="A31" s="2005" t="s">
        <v>604</v>
      </c>
      <c r="B31" s="2005"/>
      <c r="C31" s="2005"/>
      <c r="D31" s="2005"/>
      <c r="G31" s="379"/>
    </row>
    <row r="32" spans="1:8" ht="75.75" customHeight="1">
      <c r="A32" s="666"/>
      <c r="B32" s="667" t="s">
        <v>812</v>
      </c>
      <c r="C32" s="666" t="s">
        <v>813</v>
      </c>
      <c r="D32" s="667" t="s">
        <v>814</v>
      </c>
      <c r="G32" s="379"/>
      <c r="H32" s="372"/>
    </row>
    <row r="33" spans="1:8" s="383" customFormat="1" ht="20" customHeight="1">
      <c r="A33" s="2005" t="s">
        <v>605</v>
      </c>
      <c r="B33" s="2005"/>
      <c r="C33" s="2005"/>
      <c r="D33" s="2005"/>
      <c r="G33" s="379"/>
    </row>
    <row r="34" spans="1:8" ht="75" customHeight="1">
      <c r="A34" s="666"/>
      <c r="B34" s="667" t="s">
        <v>846</v>
      </c>
      <c r="C34" s="666" t="s">
        <v>815</v>
      </c>
      <c r="D34" s="667" t="s">
        <v>816</v>
      </c>
      <c r="G34" s="379"/>
      <c r="H34" s="372"/>
    </row>
    <row r="35" spans="1:8" s="383" customFormat="1" ht="20" customHeight="1">
      <c r="A35" s="2005" t="s">
        <v>606</v>
      </c>
      <c r="B35" s="2005"/>
      <c r="C35" s="2005"/>
      <c r="D35" s="2005"/>
      <c r="G35" s="379"/>
    </row>
    <row r="36" spans="1:8" ht="49" customHeight="1">
      <c r="A36" s="666"/>
      <c r="B36" s="667" t="s">
        <v>817</v>
      </c>
      <c r="C36" s="666" t="s">
        <v>818</v>
      </c>
      <c r="D36" s="667" t="s">
        <v>819</v>
      </c>
      <c r="G36" s="379"/>
      <c r="H36" s="372"/>
    </row>
    <row r="37" spans="1:8">
      <c r="G37" s="379"/>
    </row>
    <row r="38" spans="1:8">
      <c r="G38" s="379"/>
    </row>
    <row r="39" spans="1:8">
      <c r="G39" s="379"/>
    </row>
    <row r="40" spans="1:8"/>
    <row r="41" spans="1:8"/>
    <row r="42" spans="1:8"/>
    <row r="43" spans="1:8"/>
    <row r="44" spans="1:8"/>
    <row r="45" spans="1:8"/>
    <row r="46" spans="1:8"/>
    <row r="47" spans="1:8"/>
    <row r="48" spans="1:8"/>
    <row r="49"/>
    <row r="50"/>
    <row r="51"/>
  </sheetData>
  <sheetProtection sheet="1" objects="1" scenarios="1" selectLockedCells="1"/>
  <customSheetViews>
    <customSheetView guid="{6F32447A-4407-44AD-A35F-AE919A5CF3AF}" showPageBreaks="1" view="pageBreakPreview">
      <selection activeCell="A39" sqref="A39:XFD1048576"/>
    </customSheetView>
    <customSheetView guid="{B4419C5D-1877-4ABB-A46F-9E0AFFC75B59}" scale="85" showPageBreaks="1" fitToPage="1" hiddenRows="1" hiddenColumns="1" view="pageBreakPreview" topLeftCell="A28">
      <selection activeCell="BJ58" sqref="BJ58:BO85"/>
      <rowBreaks count="1" manualBreakCount="1">
        <brk id="27" max="16383" man="1"/>
      </rowBreaks>
      <pageMargins left="0.7" right="0.7" top="0.75" bottom="0.75" header="0.3" footer="0.3"/>
      <pageSetup scale="55" fitToHeight="0" orientation="portrait" horizontalDpi="4294967293" r:id="rId1"/>
    </customSheetView>
  </customSheetViews>
  <mergeCells count="20">
    <mergeCell ref="A12:D12"/>
    <mergeCell ref="A13:D13"/>
    <mergeCell ref="A24:D24"/>
    <mergeCell ref="A26:D26"/>
    <mergeCell ref="A21:D21"/>
    <mergeCell ref="A22:D22"/>
    <mergeCell ref="A15:D15"/>
    <mergeCell ref="A17:D17"/>
    <mergeCell ref="A19:D19"/>
    <mergeCell ref="A4:D4"/>
    <mergeCell ref="A6:D6"/>
    <mergeCell ref="A1:D1"/>
    <mergeCell ref="A2:D2"/>
    <mergeCell ref="A10:D10"/>
    <mergeCell ref="A8:D8"/>
    <mergeCell ref="A31:D31"/>
    <mergeCell ref="A33:D33"/>
    <mergeCell ref="A35:D35"/>
    <mergeCell ref="A28:D28"/>
    <mergeCell ref="A29:D29"/>
  </mergeCells>
  <pageMargins left="0.70866141732283472" right="0.70866141732283472" top="0" bottom="0" header="0.31496062992125984" footer="0.31496062992125984"/>
  <pageSetup scale="52" fitToHeight="0"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D49"/>
  <sheetViews>
    <sheetView workbookViewId="0">
      <selection sqref="A1:D1"/>
    </sheetView>
  </sheetViews>
  <sheetFormatPr baseColWidth="10" defaultColWidth="0" defaultRowHeight="15" zeroHeight="1"/>
  <cols>
    <col min="1" max="4" width="40.6640625" style="1" customWidth="1"/>
    <col min="5" max="16384" width="9.1640625" style="1" hidden="1"/>
  </cols>
  <sheetData>
    <row r="1" spans="1:4" ht="30" customHeight="1">
      <c r="A1" s="2008" t="str">
        <f>Rubric!A1</f>
        <v>1. My Professionalism</v>
      </c>
      <c r="B1" s="2008"/>
      <c r="C1" s="2008"/>
      <c r="D1" s="2008"/>
    </row>
    <row r="2" spans="1:4" s="383" customFormat="1" ht="20" customHeight="1">
      <c r="A2" s="2007" t="str">
        <f>Rubric!A2</f>
        <v>1.1 Positive Approach: Shows drive, passion and energy</v>
      </c>
      <c r="B2" s="2007"/>
      <c r="C2" s="2007"/>
      <c r="D2" s="2007"/>
    </row>
    <row r="3" spans="1:4" ht="70" customHeight="1">
      <c r="A3" s="360" t="str">
        <f>"•  "&amp;SUBSTITUTE(TRIM(Rubric!A3),". ",CHAR(10)&amp;"•  ")</f>
        <v>•  1.1.4 Appeared to have a negative attitude to the job
•  Encouraged negative conversations
•  Displayed passive or aggressive body language, e.g
•  scowling, pointing or crossing arms.</v>
      </c>
      <c r="B3" s="361" t="str">
        <f>"•  "&amp;SUBSTITUTE(TRIM(Rubric!B3),". ",CHAR(10)&amp;"•  ")</f>
        <v>•  1.1.3 Could have demonstrated greater enthusiasm when interacting with colleagues and/or customers
•  Sometimes appeared disinterested.</v>
      </c>
      <c r="C3" s="361" t="str">
        <f>"•  "&amp;SUBSTITUTE(TRIM(Rubric!C3),". ",CHAR(10)&amp;"•  ")</f>
        <v>•  1.1.2 Had a consistently positive approach during sessions and throughout the course
•  Body language was open and friendly.</v>
      </c>
      <c r="D3" s="361" t="str">
        <f>"•  "&amp;SUBSTITUTE(TRIM(Rubric!D3),". ",CHAR(10)&amp;"•  ")</f>
        <v>•  1.1.1 Passionate and enthusiastic about their role and inspired and encouraged a positive approach in others.</v>
      </c>
    </row>
    <row r="4" spans="1:4" s="383" customFormat="1" ht="20" customHeight="1">
      <c r="A4" s="2007" t="str">
        <f>Rubric!A4</f>
        <v>1.2 Resilient: Is calm and controlled under pressure. Adjusts to changes and manages challenging situations effectively</v>
      </c>
      <c r="B4" s="2007"/>
      <c r="C4" s="2007"/>
      <c r="D4" s="2007"/>
    </row>
    <row r="5" spans="1:4" ht="70" customHeight="1">
      <c r="A5" s="360" t="str">
        <f>"•  "&amp;SUBSTITUTE(TRIM(Rubric!A5),". ",CHAR(10)&amp;"•  ")</f>
        <v>•  1.2.4 Talks negatively about change
•  Appears agitated or distressed in challenging situations.</v>
      </c>
      <c r="B5" s="361" t="str">
        <f>"•  "&amp;SUBSTITUTE(TRIM(Rubric!B5),". ",CHAR(10)&amp;"•  ")</f>
        <v>•  1.2.3 Needs support to ensure composure and to develop resilience when faced with challenging situations.</v>
      </c>
      <c r="C5" s="361" t="str">
        <f>"•  "&amp;SUBSTITUTE(TRIM(Rubric!C5),". ",CHAR(10)&amp;"•  ")</f>
        <v>•  1.2.2 Calm and controlled under pressure
•  Showed flexibility and adapted to changes when needed.</v>
      </c>
      <c r="D5" s="361" t="str">
        <f>"•  "&amp;SUBSTITUTE(TRIM(Rubric!D5),". ",CHAR(10)&amp;"•  ")</f>
        <v>•  1.2.1 Delivered an excellent service despite challenging circumstances
•  Was able to support others in difficult situations.</v>
      </c>
    </row>
    <row r="6" spans="1:4" s="383" customFormat="1" ht="20" customHeight="1">
      <c r="A6" s="2007" t="str">
        <f>Rubric!A6</f>
        <v>1.3 Cosmopolitan: Shows respect for other cultures and appreciates differences</v>
      </c>
      <c r="B6" s="2007"/>
      <c r="C6" s="2007"/>
      <c r="D6" s="2007"/>
    </row>
    <row r="7" spans="1:4" ht="100" customHeight="1">
      <c r="A7" s="360" t="str">
        <f>"•  "&amp;SUBSTITUTE(TRIM(Rubric!A7),". ",CHAR(10)&amp;"•  ")</f>
        <v>•  1.3.4 Talks about or behaves in a way which is disrespectful of others
•  Does not interact with colleagues of other cultures.</v>
      </c>
      <c r="B7" s="361" t="str">
        <f>"•  "&amp;SUBSTITUTE(TRIM(Rubric!B7),". ",CHAR(10)&amp;"•  ")</f>
        <v>•  1.3.3 Could demonstrate more awareness/consideration of cultural differences.</v>
      </c>
      <c r="C7" s="361" t="str">
        <f>"•  "&amp;SUBSTITUTE(TRIM(Rubric!C7),". ",CHAR(10)&amp;"•  ")</f>
        <v>•  1.3.2 Showed respect for other cultures and appreciated cultural differences amongst colleagues and customers.</v>
      </c>
      <c r="D7" s="361" t="str">
        <f>"•  "&amp;SUBSTITUTE(TRIM(Rubric!D7),". ",CHAR(10)&amp;"•  ")</f>
        <v>•  1.3.1 Proactively used knowledge of different cultures and language skills to enhance the customer experience.</v>
      </c>
    </row>
    <row r="8" spans="1:4" s="383" customFormat="1" ht="20" customHeight="1">
      <c r="A8" s="2007" t="str">
        <f>Rubric!A8</f>
        <v>1.4 Organised: Has an organised and structured approach to work</v>
      </c>
      <c r="B8" s="2007"/>
      <c r="C8" s="2007"/>
      <c r="D8" s="2007"/>
    </row>
    <row r="9" spans="1:4" ht="100" customHeight="1">
      <c r="A9" s="360" t="str">
        <f>"•  "&amp;SUBSTITUTE(TRIM(Rubric!A9),". ",CHAR(10)&amp;"•  ")</f>
        <v>•  1.4.4 Reported late for duty or without required elements.</v>
      </c>
      <c r="B9" s="361" t="str">
        <f>"•  "&amp;SUBSTITUTE(TRIM(Rubric!B9),". ",CHAR(10)&amp;"•  ")</f>
        <v>•  1.4.3 Encouraged to show more initiative in performing various duties and to manage time more effectively.</v>
      </c>
      <c r="C9" s="361" t="str">
        <f>"•  "&amp;SUBSTITUTE(TRIM(Rubric!C9),". ",CHAR(10)&amp;"•  ")</f>
        <v>•  1.4.2 Planned, prioritised and managed workload effectively in the galley and/or the cabin
•  Was punctual throughout the course.</v>
      </c>
      <c r="D9" s="361" t="str">
        <f>"•  "&amp;SUBSTITUTE(TRIM(Rubric!D9),". ",CHAR(10)&amp;"•  ")</f>
        <v>•  1.4.1 Anticipated challenges and put plans in place to overcome them
•  Adjusted priorities and adapted quickly to changes when needed.</v>
      </c>
    </row>
    <row r="10" spans="1:4" s="383" customFormat="1" ht="20" customHeight="1">
      <c r="A10" s="2007" t="str">
        <f>Rubric!A10</f>
        <v>1.5 Thorough: Demonstrates a strong attention to detail</v>
      </c>
      <c r="B10" s="2007"/>
      <c r="C10" s="2007"/>
      <c r="D10" s="2007"/>
    </row>
    <row r="11" spans="1:4" ht="100" customHeight="1">
      <c r="A11" s="367" t="str">
        <f>"•  "&amp;SUBSTITUTE(TRIM(Rubric!A11),". ",CHAR(10)&amp;"•  ")</f>
        <v>•  1.5.4 Missed many details or often repeated errors
•  Didn’t attempt to correct shortfalls that were highlighted to them.</v>
      </c>
      <c r="B11" s="368" t="str">
        <f>"•  "&amp;SUBSTITUTE(TRIM(Rubric!B11),". ",CHAR(10)&amp;"•  ")</f>
        <v>•  1.5.3 Needs to ensure details are not missed or errors aren’t repeated
•  Attempted to correct highlighted shortfalls.</v>
      </c>
      <c r="C11" s="368" t="str">
        <f>"•  "&amp;SUBSTITUTE(TRIM(Rubric!C11),". ",CHAR(10)&amp;"•  ")</f>
        <v>•  1.5.2 Ensured own work was complete and correct
•  Fixed any mistakes promptly
•  Demonstrated good attention to detail.</v>
      </c>
      <c r="D11" s="368" t="str">
        <f>"•  "&amp;SUBSTITUTE(TRIM(Rubric!D11),". ",CHAR(10)&amp;"•  ")</f>
        <v>•  1.5.1 Excellent attention to detail
•  Kept standard and quality of work high even when workload was heavy or complex.</v>
      </c>
    </row>
    <row r="12" spans="1:4" ht="30" customHeight="1">
      <c r="A12" s="2009" t="str">
        <f>Rubric!A12</f>
        <v>2. My Customer Service</v>
      </c>
      <c r="B12" s="2009"/>
      <c r="C12" s="2009"/>
      <c r="D12" s="2009"/>
    </row>
    <row r="13" spans="1:4" s="383" customFormat="1" ht="20" customHeight="1">
      <c r="A13" s="2010" t="str">
        <f>Rubric!A13</f>
        <v>2.1 Friendly and Caring: Builds relationships with customers and creates a welcoming and comfortable environment</v>
      </c>
      <c r="B13" s="2010"/>
      <c r="C13" s="2010"/>
      <c r="D13" s="2010"/>
    </row>
    <row r="14" spans="1:4" ht="100" customHeight="1">
      <c r="A14" s="369" t="str">
        <f>"•  "&amp;SUBSTITUTE(TRIM(Rubric!A14),". ",CHAR(10)&amp;"•  ")</f>
        <v>•  2.1.4 Dismissive, abrupt or insincere with customers
•  Creates a negative first impression.</v>
      </c>
      <c r="B14" s="370" t="str">
        <f>"•  "&amp;SUBSTITUTE(TRIM(Rubric!B14),". ",CHAR(10)&amp;"•  ")</f>
        <v>•  2.1.3 Needs to ensure customers feel welcome and comfortable by engaging in conversation with them and smiling.</v>
      </c>
      <c r="C14" s="370" t="str">
        <f>"•  "&amp;SUBSTITUTE(TRIM(Rubric!C14),". ",CHAR(10)&amp;"•  ")</f>
        <v>•  2.1.2 Greeted and welcomed customers on-board
•  Was friendly, smiling and initiated conversation with customers
•  Ensured customers were comfortable throughout their flight.</v>
      </c>
      <c r="D14" s="370" t="str">
        <f>"•  "&amp;SUBSTITUTE(TRIM(Rubric!D14),". ",CHAR(10)&amp;"•  ")</f>
        <v>•  2.1.1 Built strong rapport with customers
•  Made exceptional effort to engage with customers and inspired others in customer care.</v>
      </c>
    </row>
    <row r="15" spans="1:4" s="383" customFormat="1" ht="20" customHeight="1">
      <c r="A15" s="2010" t="str">
        <f>Rubric!A15</f>
        <v>2.2 Anticipating customer needs: Anticipates customers’ needs and uses their initiative to meet them</v>
      </c>
      <c r="B15" s="2010"/>
      <c r="C15" s="2010"/>
      <c r="D15" s="2010"/>
    </row>
    <row r="16" spans="1:4" ht="100" customHeight="1">
      <c r="A16" s="369" t="str">
        <f>"•  "&amp;SUBSTITUTE(TRIM(Rubric!A16),". ",CHAR(10)&amp;"•  ")</f>
        <v>•  2.2.4 Avoids spending time in the cabin with customers
•  Appears indifferent to customer needs.</v>
      </c>
      <c r="B16" s="370" t="str">
        <f>"•  "&amp;SUBSTITUTE(TRIM(Rubric!B16),". ",CHAR(10)&amp;"•  ")</f>
        <v>•  2.2.3 Could be more attentive to customer needs e.g., those travelling with children; replenishing drinks; being more present in the cabin.</v>
      </c>
      <c r="C16" s="370" t="str">
        <f>"•  "&amp;SUBSTITUTE(TRIM(Rubric!C16),". ",CHAR(10)&amp;"•  ")</f>
        <v>•  2.2.2 Available and active in the cabin
•  Checked cabin and lavatories
•  Anticipated customer needs and was proactive in looking and finding ways to help them.</v>
      </c>
      <c r="D16" s="370" t="str">
        <f>"•  "&amp;SUBSTITUTE(TRIM(Rubric!D16),". ",CHAR(10)&amp;"•  ")</f>
        <v>•  2.2.1 Used their initiative and found ways and opportunities to really exceed customer expectations and enhance their overall experience.</v>
      </c>
    </row>
    <row r="17" spans="1:4" s="383" customFormat="1" ht="20" customHeight="1">
      <c r="A17" s="2010" t="str">
        <f>Rubric!A17</f>
        <v>2.3 Responsive and Helpful: Provides a prompt and flexible approach to meeting customer needs and requests. Ability to handle customer complaints and concerns.</v>
      </c>
      <c r="B17" s="2010"/>
      <c r="C17" s="2010"/>
      <c r="D17" s="2010"/>
    </row>
    <row r="18" spans="1:4" ht="100" customHeight="1">
      <c r="A18" s="369" t="str">
        <f>"•  "&amp;SUBSTITUTE(TRIM(Rubric!A18),". ",CHAR(10)&amp;"•  ")</f>
        <v>•  2.3.4 Did not identify or acknowledge customer requests.</v>
      </c>
      <c r="B18" s="370" t="str">
        <f>"•  "&amp;SUBSTITUTE(TRIM(Rubric!B18),". ",CHAR(10)&amp;"•  ")</f>
        <v>•  2.3.3 Not always responsive to call bells and/or customer requests
•  Had to be repeatedly reminded to assist customers.</v>
      </c>
      <c r="C18" s="371" t="str">
        <f>"•  "&amp;SUBSTITUTE(TRIM(Rubric!C18),". ",CHAR(10)&amp;"•  ")</f>
        <v>•  2.3.2 Helpful and prompt in response to customer requests
•  Flexible and offered alternatives when needs could not be met
•  Made effort to resolve customer concerns or complaints.</v>
      </c>
      <c r="D18" s="370" t="str">
        <f>"•  "&amp;SUBSTITUTE(TRIM(Rubric!D18),". ",CHAR(10)&amp;"•  ")</f>
        <v>•  2.3.1 Demonstrated exceptional effort in response to challenging customer needs or requests
•  Able to deal with difficult customer complaints; provided solutions and ensured follow up.</v>
      </c>
    </row>
    <row r="19" spans="1:4" s="383" customFormat="1" ht="20" customHeight="1">
      <c r="A19" s="2010" t="str">
        <f>Rubric!A19</f>
        <v>2.4 Service Style: Fully reflected expectations for their cabin</v>
      </c>
      <c r="B19" s="2010"/>
      <c r="C19" s="2010"/>
      <c r="D19" s="2010"/>
    </row>
    <row r="20" spans="1:4" ht="100" customHeight="1">
      <c r="A20" s="384" t="str">
        <f>"•  "&amp;SUBSTITUTE(TRIM(Rubric!A20),". ",CHAR(10)&amp;"•  ")</f>
        <v>•  2.4.4 Presented service awkwardly
•  Appears clumsy when handling service items.</v>
      </c>
      <c r="B20" s="385" t="str">
        <f>"•  "&amp;SUBSTITUTE(TRIM(Rubric!B20),". ",CHAR(10)&amp;"•  ")</f>
        <v>•  2.4.3 Needs to ensure service style and presentation is confident and professional
•  Had some shortfalls.</v>
      </c>
      <c r="C20" s="385" t="str">
        <f>"•  "&amp;SUBSTITUTE(TRIM(Rubric!C20),". ",CHAR(10)&amp;"•  ")</f>
        <v>•  2.4.2 Ensured service style was confident and professional
•  Used correct service phrases
•  Was aware of noise made in the galley and cabin and worked to minimise this.</v>
      </c>
      <c r="D20" s="385" t="str">
        <f>"•  "&amp;SUBSTITUTE(TRIM(Rubric!D20),". ",CHAR(10)&amp;"•  ")</f>
        <v>•  2.4.1 Demonstrated a detailed awareness of service and presentation
•  Was able to make personal recommendations
•  Delivered service with style and finesse.</v>
      </c>
    </row>
    <row r="21" spans="1:4" ht="30" customHeight="1">
      <c r="A21" s="2012" t="str">
        <f>Rubric!A21</f>
        <v>3. My Teamwork</v>
      </c>
      <c r="B21" s="2012"/>
      <c r="C21" s="2012"/>
      <c r="D21" s="2012"/>
    </row>
    <row r="22" spans="1:4" s="383" customFormat="1" ht="20" customHeight="1">
      <c r="A22" s="2015" t="str">
        <f>Rubric!A22</f>
        <v>3.1 Relationship Builder: Develops good working relationship and promotes a positive work environment</v>
      </c>
      <c r="B22" s="2015"/>
      <c r="C22" s="2015"/>
      <c r="D22" s="2015"/>
    </row>
    <row r="23" spans="1:4" ht="100" customHeight="1">
      <c r="A23" s="386" t="str">
        <f>"•  "&amp;SUBSTITUTE(TRIM(Rubric!A23),". ",CHAR(10)&amp;"•  ")</f>
        <v>•  3.1.4 Does not interact or involve others in discussions.</v>
      </c>
      <c r="B23" s="387" t="str">
        <f>"•  "&amp;SUBSTITUTE(TRIM(Rubric!B23),". ",CHAR(10)&amp;"•  ")</f>
        <v>•  3.1.3 Needs to ensure builds good working relationships with colleagues
•  Be aware not to make others feel excluded.</v>
      </c>
      <c r="C23" s="387" t="str">
        <f>"•  "&amp;SUBSTITUTE(TRIM(Rubric!C23),". ",CHAR(10)&amp;"•  ")</f>
        <v>•  3.1.2 Showed consideration to colleagues
•  Contributed to an enjoyable and effective working environment
•  Created a strong team spirit.</v>
      </c>
      <c r="D23" s="387" t="str">
        <f>"•  "&amp;SUBSTITUTE(TRIM(Rubric!D23),". ",CHAR(10)&amp;"•  ")</f>
        <v>•  3.1.1 Built strong relationships and/or engaged with wider teams e.g
•  ground staff
•  Provided encouragement to colleagues in challenging situations.</v>
      </c>
    </row>
    <row r="24" spans="1:4" s="383" customFormat="1" ht="20" customHeight="1">
      <c r="A24" s="2015" t="str">
        <f>Rubric!A24</f>
        <v>3.2 Team Player: Helps and supports others to achieve team goals. Understands how their work affects others</v>
      </c>
      <c r="B24" s="2015"/>
      <c r="C24" s="2015"/>
      <c r="D24" s="2015"/>
    </row>
    <row r="25" spans="1:4" ht="100" customHeight="1">
      <c r="A25" s="386" t="str">
        <f>"•  "&amp;SUBSTITUTE(TRIM(Rubric!A25),". ",CHAR(10)&amp;"•  ")</f>
        <v>•  3.2.4 Appears to avoid taking ownership or working with others
•  Does not assist colleagues or acknowledge ideas of others.</v>
      </c>
      <c r="B25" s="387" t="str">
        <f>"•  "&amp;SUBSTITUTE(TRIM(Rubric!B25),". ",CHAR(10)&amp;"•  ")</f>
        <v>•  3.2.3 Could have worked more closely with colleagues throughout the flight
•  Encouraged to offer assistance to colleagues in need.</v>
      </c>
      <c r="C25" s="387" t="str">
        <f>"•  "&amp;SUBSTITUTE(TRIM(Rubric!C25),". ",CHAR(10)&amp;"•  ")</f>
        <v>•  3.2.2 Accepted an equal workload and contributed to achieving team goals
•  Shared experience and knowledge with colleagues
•  Actively supported colleagues as needed.</v>
      </c>
      <c r="D25" s="387" t="str">
        <f>"•  "&amp;SUBSTITUTE(TRIM(Rubric!D25),". ",CHAR(10)&amp;"•  ")</f>
        <v>•  3.2.1 Actively encouraged team work
•  Offered solutions to help resolve team challenges
•  Exceptional support to colleagues through challenging situations.</v>
      </c>
    </row>
    <row r="26" spans="1:4" s="383" customFormat="1" ht="20" customHeight="1">
      <c r="A26" s="2015" t="str">
        <f>Rubric!A26</f>
        <v>3.3 Effective Communicator: Communicates clearly and appropriately. Shares information to ensure the efficient and effective delivery of service. Used active listening skills</v>
      </c>
      <c r="B26" s="2015"/>
      <c r="C26" s="2015"/>
      <c r="D26" s="2015"/>
    </row>
    <row r="27" spans="1:4" ht="100" customHeight="1">
      <c r="A27" s="386" t="str">
        <f>"•  "&amp;SUBSTITUTE(TRIM(Rubric!A27),". ",CHAR(10)&amp;"•  ")</f>
        <v>•  3.3.4 Interrupts others or does not listen to the full communication
•  Appears to dominate others or retain important information.</v>
      </c>
      <c r="B27" s="387" t="str">
        <f>"•  "&amp;SUBSTITUTE(TRIM(Rubric!B27),". ",CHAR(10)&amp;"•  ")</f>
        <v>•  3.3.3 Needs to ensure that communication is clear and appropriate.</v>
      </c>
      <c r="C27" s="387" t="str">
        <f>"•  "&amp;SUBSTITUTE(TRIM(Rubric!C27),". ",CHAR(10)&amp;"•  ")</f>
        <v>•  3.3.2 Communicated clearly, openly and appropriately with colleagues and customers
•  Sought clarification and guidance when unsure.</v>
      </c>
      <c r="D27" s="387" t="str">
        <f>"•  "&amp;SUBSTITUTE(TRIM(Rubric!D27),". ",CHAR(10)&amp;"•  ")</f>
        <v>•  3.3.1 Took a leading role in sharing and communicating with others
•  An inspirational communicator; able to capture and hold people’s attention.</v>
      </c>
    </row>
    <row r="28" spans="1:4" ht="30" customHeight="1">
      <c r="A28" s="2014" t="str">
        <f>Rubric!A28</f>
        <v>4. My Knowledge and Professional Image</v>
      </c>
      <c r="B28" s="2014"/>
      <c r="C28" s="2014"/>
      <c r="D28" s="2014"/>
    </row>
    <row r="29" spans="1:4" s="383" customFormat="1" ht="20" customHeight="1">
      <c r="A29" s="2013" t="str">
        <f>Rubric!A29</f>
        <v>4.1 Image &amp; Uniform</v>
      </c>
      <c r="B29" s="2013"/>
      <c r="C29" s="2013"/>
      <c r="D29" s="2013"/>
    </row>
    <row r="30" spans="1:4" ht="100" customHeight="1">
      <c r="A30" s="35" t="str">
        <f>"•  "&amp;SUBSTITUTE(TRIM(Rubric!B30),". ",CHAR(10)&amp;"•  ")</f>
        <v>•  4.1.3 Image and Uniform was not to standard and/or their shortfalls were not corrected.</v>
      </c>
      <c r="B30" s="267" t="str">
        <f>"•  "&amp;SUBSTITUTE(TRIM(Rubric!C30),". ",CHAR(10)&amp;"•  ")</f>
        <v>•  4.1.2 Attempted to correct Image &amp; Uniform shortfalls</v>
      </c>
      <c r="C30" s="35" t="str">
        <f>"•  "&amp;SUBSTITUTE(TRIM(Rubric!D30),". ",CHAR(10)&amp;"•  ")</f>
        <v>•  4.1.1 Met Image and Uniform standards
•  Any Shortfalls they had were corrected promptly
•  Portrayed a professional Emirates image.</v>
      </c>
      <c r="D30" s="35" t="e">
        <f>"•  "&amp;SUBSTITUTE(TRIM(Rubric!#REF!),". ",CHAR(10)&amp;"•  ")</f>
        <v>#REF!</v>
      </c>
    </row>
    <row r="31" spans="1:4" s="383" customFormat="1" ht="20" customHeight="1">
      <c r="A31" s="2013" t="str">
        <f>Rubric!A31</f>
        <v>4.2  SEP/ SEC/ GMT</v>
      </c>
      <c r="B31" s="2013"/>
      <c r="C31" s="2013"/>
      <c r="D31" s="2013"/>
    </row>
    <row r="32" spans="1:4" ht="100" customHeight="1">
      <c r="A32" s="35" t="str">
        <f>"•  "&amp;SUBSTITUTE(TRIM(Rubric!B32),". ",CHAR(10)&amp;"•  ")</f>
        <v>•  4.2.3 Did not meet knowledge standards in theory and/or practise
•  Gave incorrect or uncertain answers to safe talk questions
•  Did not adhere to SOPs during the flight.</v>
      </c>
      <c r="B32" s="267" t="str">
        <f>"•  "&amp;SUBSTITUTE(TRIM(Rubric!C32),". ",CHAR(10)&amp;"•  ")</f>
        <v>•  4.2.2 Managed scenario with guidance from trainers.</v>
      </c>
      <c r="C32" s="35" t="str">
        <f>"•  "&amp;SUBSTITUTE(TRIM(Rubric!D32),". ",CHAR(10)&amp;"•  ")</f>
        <v>•  4.2.1 Met knowledge standards – in theory and practise
•  Correctly answered SafeTalk
•  Conducted thorough pre-flight security search
•  Consistently adhered to SOPs during normal situations
•  Regularly monitored cabin for safety/medical concerns.</v>
      </c>
      <c r="D32" s="35" t="e">
        <f>"•  "&amp;SUBSTITUTE(TRIM(Rubric!#REF!),". ",CHAR(10)&amp;"•  ")</f>
        <v>#REF!</v>
      </c>
    </row>
    <row r="33" spans="1:4" s="383" customFormat="1" ht="20" customHeight="1">
      <c r="A33" s="2013" t="str">
        <f>Rubric!A33</f>
        <v>4.3 Knowledge and promotion of Emirates products: Evaluation of crew in this category should take into account assigned cabin onboard</v>
      </c>
      <c r="B33" s="2013"/>
      <c r="C33" s="2013"/>
      <c r="D33" s="2013"/>
    </row>
    <row r="34" spans="1:4" ht="100" customHeight="1">
      <c r="A34" s="35" t="str">
        <f>"•  "&amp;SUBSTITUTE(TRIM(Rubric!B34),". ",CHAR(10)&amp;"•  ")</f>
        <v>•  4.3.3 Did not use accurate terminology when offering or delivering products on-board
•  Oversimplified menu terminology
•  Needs to demonstrate knowledge of wider EK product e.g
•  Emirates Skywards.</v>
      </c>
      <c r="B34" s="267" t="str">
        <f>"•  "&amp;SUBSTITUTE(TRIM(Rubric!C34),". ",CHAR(10)&amp;"•  ")</f>
        <v>•  4.3.2 Terminology or pronunciation is inconsistent when introducing items to customers
•  Some items were not delivered to customers
•  Shared basic information of products
•  Response to queries at times incorrect.</v>
      </c>
      <c r="C34" s="35" t="str">
        <f>"•  "&amp;SUBSTITUTE(TRIM(Rubric!D34),". ",CHAR(10)&amp;"•  ")</f>
        <v>•  4.3.1 Good knowledge of menu and products, including terminology and pronunciation
•  Ensured that products were offered to customers
•  Was able to share information on EK services and products
•  Able to answer queries correctly.</v>
      </c>
      <c r="D34" s="35" t="e">
        <f>"•  "&amp;SUBSTITUTE(TRIM(Rubric!#REF!),". ",CHAR(10)&amp;"•  ")</f>
        <v>#REF!</v>
      </c>
    </row>
    <row r="35" spans="1:4" s="383" customFormat="1" ht="20" customHeight="1">
      <c r="A35" s="2013" t="str">
        <f>Rubric!A35</f>
        <v>4.4 Knowledge and delivery of service standards and procedures: Evaluation of crew in this category should take into account assigned cabin onboard</v>
      </c>
      <c r="B35" s="2013"/>
      <c r="C35" s="2013"/>
      <c r="D35" s="2013"/>
    </row>
    <row r="36" spans="1:4" ht="100" customHeight="1">
      <c r="A36" s="35" t="str">
        <f>"•  "&amp;SUBSTITUTE(TRIM(Rubric!B36),". ",CHAR(10)&amp;"•  ")</f>
        <v>•  4.4.3 Unable to follow the correct service sequence or presentation
•  Lacked knowledge of service standards, procedures or knowledge not updated.</v>
      </c>
      <c r="B36" s="267" t="str">
        <f>"•  "&amp;SUBSTITUTE(TRIM(Rubric!C36),". ",CHAR(10)&amp;"•  ")</f>
        <v>•  4.4.2 Demonstrated basic awareness of service standards
•  Standards or procedures delivered out of correct sequence or service order.</v>
      </c>
      <c r="C36" s="35" t="str">
        <f>"•  "&amp;SUBSTITUTE(TRIM(Rubric!D36),". ",CHAR(10)&amp;"•  ")</f>
        <v>•  4.4.1 Knowledge was up to date
•  Followed service standards and procedures and applied correct service order or flow.</v>
      </c>
      <c r="D36" s="35" t="e">
        <f>"•  "&amp;SUBSTITUTE(TRIM(Rubric!#REF!),". ",CHAR(10)&amp;"•  ")</f>
        <v>#REF!</v>
      </c>
    </row>
    <row r="37" spans="1:4"/>
    <row r="38" spans="1:4"/>
    <row r="39" spans="1:4"/>
    <row r="40" spans="1:4"/>
    <row r="41" spans="1:4"/>
    <row r="42" spans="1:4"/>
    <row r="43" spans="1:4"/>
    <row r="44" spans="1:4"/>
    <row r="45" spans="1:4"/>
    <row r="46" spans="1:4"/>
    <row r="47" spans="1:4"/>
    <row r="48" spans="1:4"/>
    <row r="49"/>
  </sheetData>
  <sheetProtection sheet="1" objects="1" scenarios="1" selectLockedCells="1"/>
  <customSheetViews>
    <customSheetView guid="{B4419C5D-1877-4ABB-A46F-9E0AFFC75B59}" showPageBreaks="1" hiddenRows="1" hiddenColumns="1" state="hidden" view="pageBreakPreview">
      <selection activeCell="BJ58" sqref="BJ58:BO85"/>
      <pageMargins left="0.7" right="0.7" top="0.75" bottom="0.75" header="0.3" footer="0.3"/>
      <pageSetup scale="32" orientation="portrait" horizontalDpi="4294967293" r:id="rId1"/>
    </customSheetView>
  </customSheetViews>
  <mergeCells count="20">
    <mergeCell ref="A35:D35"/>
    <mergeCell ref="A4:D4"/>
    <mergeCell ref="A6:D6"/>
    <mergeCell ref="A10:D10"/>
    <mergeCell ref="A28:D28"/>
    <mergeCell ref="A29:D29"/>
    <mergeCell ref="A31:D31"/>
    <mergeCell ref="A19:D19"/>
    <mergeCell ref="A21:D21"/>
    <mergeCell ref="A22:D22"/>
    <mergeCell ref="A24:D24"/>
    <mergeCell ref="A26:D26"/>
    <mergeCell ref="A12:D12"/>
    <mergeCell ref="A13:D13"/>
    <mergeCell ref="A15:D15"/>
    <mergeCell ref="A17:D17"/>
    <mergeCell ref="A1:D1"/>
    <mergeCell ref="A8:D8"/>
    <mergeCell ref="A2:D2"/>
    <mergeCell ref="A33:D33"/>
  </mergeCells>
  <pageMargins left="0.7" right="0.7" top="0.75" bottom="0.75" header="0.3" footer="0.3"/>
  <pageSetup scale="32" orientation="portrait" horizontalDpi="4294967293"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E4:L33"/>
  <sheetViews>
    <sheetView workbookViewId="0"/>
  </sheetViews>
  <sheetFormatPr baseColWidth="10" defaultColWidth="8.83203125" defaultRowHeight="15"/>
  <cols>
    <col min="6" max="6" width="7.5" customWidth="1"/>
    <col min="7" max="7" width="16.1640625" customWidth="1"/>
    <col min="8" max="12" width="32.33203125" customWidth="1"/>
  </cols>
  <sheetData>
    <row r="4" spans="5:12">
      <c r="E4" s="353"/>
      <c r="F4" s="353"/>
      <c r="G4" s="353"/>
      <c r="H4" s="353" t="s">
        <v>664</v>
      </c>
      <c r="I4" s="353"/>
      <c r="J4" s="353"/>
      <c r="K4" s="353"/>
      <c r="L4" s="353"/>
    </row>
    <row r="5" spans="5:12">
      <c r="E5" s="353" t="s">
        <v>665</v>
      </c>
      <c r="F5" s="353"/>
      <c r="G5" s="353" t="s">
        <v>666</v>
      </c>
      <c r="H5" s="354"/>
      <c r="I5" s="388"/>
      <c r="J5" s="373"/>
      <c r="K5" s="378"/>
      <c r="L5" s="389"/>
    </row>
    <row r="6" spans="5:12">
      <c r="E6" s="353"/>
      <c r="F6" s="353"/>
      <c r="H6" s="390">
        <v>78</v>
      </c>
      <c r="I6" s="390">
        <v>191</v>
      </c>
      <c r="J6" s="390">
        <v>111</v>
      </c>
      <c r="K6" s="390">
        <v>0</v>
      </c>
      <c r="L6" s="390">
        <v>226</v>
      </c>
    </row>
    <row r="7" spans="5:12">
      <c r="H7" s="390">
        <v>129</v>
      </c>
      <c r="I7" s="390">
        <v>32</v>
      </c>
      <c r="J7" s="390">
        <v>57</v>
      </c>
      <c r="K7" s="390">
        <v>176</v>
      </c>
      <c r="L7" s="390">
        <v>109</v>
      </c>
    </row>
    <row r="8" spans="5:12">
      <c r="E8" s="353"/>
      <c r="F8" s="353"/>
      <c r="H8" s="390">
        <v>189</v>
      </c>
      <c r="I8" s="390">
        <v>37</v>
      </c>
      <c r="J8" s="390">
        <v>149</v>
      </c>
      <c r="K8" s="390">
        <v>79</v>
      </c>
      <c r="L8" s="390">
        <v>37</v>
      </c>
    </row>
    <row r="9" spans="5:12">
      <c r="E9" s="353"/>
      <c r="F9" s="353"/>
      <c r="G9" s="353" t="s">
        <v>667</v>
      </c>
      <c r="H9" s="391"/>
      <c r="I9" s="392"/>
      <c r="J9" s="393"/>
      <c r="K9" s="394"/>
      <c r="L9" s="395"/>
    </row>
    <row r="10" spans="5:12">
      <c r="E10" s="353"/>
      <c r="F10" s="353"/>
      <c r="G10" s="353"/>
      <c r="H10" s="390">
        <v>184</v>
      </c>
      <c r="I10" s="390">
        <v>216</v>
      </c>
      <c r="J10" s="390">
        <v>178</v>
      </c>
      <c r="K10" s="390">
        <v>147</v>
      </c>
      <c r="L10" s="390">
        <v>250</v>
      </c>
    </row>
    <row r="11" spans="5:12">
      <c r="E11" s="353"/>
      <c r="F11" s="353"/>
      <c r="G11" s="353"/>
      <c r="H11" s="390">
        <v>203</v>
      </c>
      <c r="I11" s="390">
        <v>148</v>
      </c>
      <c r="J11" s="390">
        <v>161</v>
      </c>
      <c r="K11" s="390">
        <v>201</v>
      </c>
      <c r="L11" s="390">
        <v>191</v>
      </c>
    </row>
    <row r="12" spans="5:12">
      <c r="E12" s="353"/>
      <c r="F12" s="353"/>
      <c r="G12" s="353"/>
      <c r="H12" s="390">
        <v>226</v>
      </c>
      <c r="I12" s="390">
        <v>148</v>
      </c>
      <c r="J12" s="390">
        <v>198</v>
      </c>
      <c r="K12" s="390">
        <v>83</v>
      </c>
      <c r="L12" s="390">
        <v>142</v>
      </c>
    </row>
    <row r="13" spans="5:12">
      <c r="G13" s="353" t="s">
        <v>668</v>
      </c>
      <c r="H13" s="390"/>
      <c r="I13" s="390"/>
      <c r="J13" s="390"/>
      <c r="K13" s="390"/>
      <c r="L13" s="390"/>
    </row>
    <row r="14" spans="5:12">
      <c r="H14" s="355">
        <v>1.1000000000000001</v>
      </c>
      <c r="I14" s="396"/>
      <c r="J14" s="397"/>
      <c r="K14" s="398"/>
      <c r="L14" s="399"/>
    </row>
    <row r="15" spans="5:12">
      <c r="H15" s="390">
        <v>35</v>
      </c>
      <c r="I15" s="390">
        <v>114</v>
      </c>
      <c r="J15" s="390">
        <v>50</v>
      </c>
      <c r="K15" s="390">
        <v>11</v>
      </c>
      <c r="L15" s="390">
        <v>150</v>
      </c>
    </row>
    <row r="16" spans="5:12">
      <c r="H16" s="390">
        <v>71</v>
      </c>
      <c r="I16" s="390">
        <v>15</v>
      </c>
      <c r="J16" s="390">
        <v>22</v>
      </c>
      <c r="K16" s="390">
        <v>99</v>
      </c>
      <c r="L16" s="390">
        <v>65</v>
      </c>
    </row>
    <row r="17" spans="8:12">
      <c r="H17" s="390">
        <v>113</v>
      </c>
      <c r="I17" s="390">
        <v>17</v>
      </c>
      <c r="J17" s="390">
        <v>73</v>
      </c>
      <c r="K17" s="390">
        <v>51</v>
      </c>
      <c r="L17" s="390">
        <v>32</v>
      </c>
    </row>
    <row r="18" spans="8:12">
      <c r="H18" s="356">
        <v>1.2</v>
      </c>
      <c r="I18" s="363">
        <v>2.1</v>
      </c>
      <c r="J18" s="374">
        <v>3.1</v>
      </c>
      <c r="K18" s="380">
        <v>4.0999999999999996</v>
      </c>
      <c r="L18" s="400"/>
    </row>
    <row r="19" spans="8:12">
      <c r="H19" s="390">
        <v>112</v>
      </c>
      <c r="I19" s="390">
        <v>201</v>
      </c>
      <c r="J19" s="390">
        <v>131</v>
      </c>
      <c r="K19" s="390">
        <v>93</v>
      </c>
      <c r="L19" s="390">
        <v>231</v>
      </c>
    </row>
    <row r="20" spans="8:12">
      <c r="H20" s="390">
        <v>147</v>
      </c>
      <c r="I20" s="390">
        <v>82</v>
      </c>
      <c r="J20" s="390">
        <v>91</v>
      </c>
      <c r="K20" s="390">
        <v>187</v>
      </c>
      <c r="L20" s="390">
        <v>134</v>
      </c>
    </row>
    <row r="21" spans="8:12">
      <c r="H21" s="390">
        <v>200</v>
      </c>
      <c r="I21" s="390">
        <v>62</v>
      </c>
      <c r="J21" s="390">
        <v>165</v>
      </c>
      <c r="K21" s="390">
        <v>108</v>
      </c>
      <c r="L21" s="390">
        <v>71</v>
      </c>
    </row>
    <row r="22" spans="8:12">
      <c r="H22" s="357">
        <v>1.3</v>
      </c>
      <c r="I22" s="364">
        <v>2.2000000000000002</v>
      </c>
      <c r="J22" s="375">
        <v>3.2</v>
      </c>
      <c r="K22" s="381">
        <v>4.2</v>
      </c>
      <c r="L22" s="401"/>
    </row>
    <row r="23" spans="8:12">
      <c r="H23" s="390">
        <v>143</v>
      </c>
      <c r="I23" s="390">
        <v>211</v>
      </c>
      <c r="J23" s="390">
        <v>154</v>
      </c>
      <c r="K23" s="390">
        <v>136</v>
      </c>
      <c r="L23" s="390">
        <v>236</v>
      </c>
    </row>
    <row r="24" spans="8:12">
      <c r="H24" s="390">
        <v>169</v>
      </c>
      <c r="I24" s="390">
        <v>121</v>
      </c>
      <c r="J24" s="390">
        <v>123</v>
      </c>
      <c r="K24" s="390">
        <v>201</v>
      </c>
      <c r="L24" s="390">
        <v>161</v>
      </c>
    </row>
    <row r="25" spans="8:12">
      <c r="H25" s="390">
        <v>212</v>
      </c>
      <c r="I25" s="390">
        <v>97</v>
      </c>
      <c r="J25" s="390">
        <v>183</v>
      </c>
      <c r="K25" s="390">
        <v>142</v>
      </c>
      <c r="L25" s="390">
        <v>111</v>
      </c>
    </row>
    <row r="26" spans="8:12">
      <c r="H26" s="358">
        <v>1.4</v>
      </c>
      <c r="I26" s="365">
        <v>2.2999999999999998</v>
      </c>
      <c r="J26" s="376">
        <v>3.3</v>
      </c>
      <c r="K26" s="382">
        <v>4.3</v>
      </c>
      <c r="L26" s="402"/>
    </row>
    <row r="27" spans="8:12">
      <c r="H27" s="390">
        <v>177</v>
      </c>
      <c r="I27" s="390">
        <v>223</v>
      </c>
      <c r="J27" s="390">
        <v>182</v>
      </c>
      <c r="K27" s="390">
        <v>175</v>
      </c>
      <c r="L27" s="390">
        <v>242</v>
      </c>
    </row>
    <row r="28" spans="8:12">
      <c r="H28" s="390">
        <v>193</v>
      </c>
      <c r="I28" s="390">
        <v>159</v>
      </c>
      <c r="J28" s="390">
        <v>160</v>
      </c>
      <c r="K28" s="390">
        <v>217</v>
      </c>
      <c r="L28" s="390">
        <v>190</v>
      </c>
    </row>
    <row r="29" spans="8:12">
      <c r="H29" s="390">
        <v>224</v>
      </c>
      <c r="I29" s="390">
        <v>138</v>
      </c>
      <c r="J29" s="390">
        <v>204</v>
      </c>
      <c r="K29" s="390">
        <v>175</v>
      </c>
      <c r="L29" s="390">
        <v>152</v>
      </c>
    </row>
    <row r="30" spans="8:12">
      <c r="H30" s="359">
        <v>1.5</v>
      </c>
      <c r="I30" s="366">
        <v>2.4</v>
      </c>
      <c r="J30" s="403"/>
      <c r="K30" s="404">
        <v>4.4000000000000004</v>
      </c>
      <c r="L30" s="405"/>
    </row>
    <row r="31" spans="8:12">
      <c r="H31" s="390">
        <v>213</v>
      </c>
      <c r="I31" s="390">
        <v>236</v>
      </c>
      <c r="J31" s="390">
        <v>214</v>
      </c>
      <c r="K31" s="390">
        <v>213</v>
      </c>
      <c r="L31" s="390">
        <v>248</v>
      </c>
    </row>
    <row r="32" spans="8:12">
      <c r="H32" s="390">
        <v>220</v>
      </c>
      <c r="I32" s="390">
        <v>202</v>
      </c>
      <c r="J32" s="390">
        <v>203</v>
      </c>
      <c r="K32" s="390">
        <v>234</v>
      </c>
      <c r="L32" s="390">
        <v>219</v>
      </c>
    </row>
    <row r="33" spans="8:12">
      <c r="H33" s="390">
        <v>238</v>
      </c>
      <c r="I33" s="390">
        <v>188</v>
      </c>
      <c r="J33" s="390">
        <v>228</v>
      </c>
      <c r="K33" s="390">
        <v>212</v>
      </c>
      <c r="L33" s="390">
        <v>198</v>
      </c>
    </row>
  </sheetData>
  <sheetProtection sheet="1" objects="1" scenarios="1"/>
  <customSheetViews>
    <customSheetView guid="{B4419C5D-1877-4ABB-A46F-9E0AFFC75B59}" state="hidden" topLeftCell="E1">
      <selection activeCell="BJ58" sqref="BJ58:BO8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428</vt:i4>
      </vt:variant>
    </vt:vector>
  </HeadingPairs>
  <TitlesOfParts>
    <vt:vector size="456" baseType="lpstr">
      <vt:lpstr>Service Review</vt:lpstr>
      <vt:lpstr>MFP</vt:lpstr>
      <vt:lpstr>Report</vt:lpstr>
      <vt:lpstr>Drop Down List</vt:lpstr>
      <vt:lpstr>OAS</vt:lpstr>
      <vt:lpstr>D3 to D14</vt:lpstr>
      <vt:lpstr>D3-D14 Score</vt:lpstr>
      <vt:lpstr>PRC | KHI</vt:lpstr>
      <vt:lpstr>DEL</vt:lpstr>
      <vt:lpstr>BKK</vt:lpstr>
      <vt:lpstr>LHR AT</vt:lpstr>
      <vt:lpstr>LHR LU</vt:lpstr>
      <vt:lpstr>JFK LU</vt:lpstr>
      <vt:lpstr>JFK LB | BF</vt:lpstr>
      <vt:lpstr>PRC | KHI AS</vt:lpstr>
      <vt:lpstr>DEL AS</vt:lpstr>
      <vt:lpstr>BKK AS</vt:lpstr>
      <vt:lpstr>LHR AT AS</vt:lpstr>
      <vt:lpstr>LHR LU AS</vt:lpstr>
      <vt:lpstr>JFK LU AS</vt:lpstr>
      <vt:lpstr>JFK LB | BF AS</vt:lpstr>
      <vt:lpstr>Drinks</vt:lpstr>
      <vt:lpstr>Profiles | Scenarios</vt:lpstr>
      <vt:lpstr>KA</vt:lpstr>
      <vt:lpstr>Graph</vt:lpstr>
      <vt:lpstr>Rubric</vt:lpstr>
      <vt:lpstr>Rubric (.)</vt:lpstr>
      <vt:lpstr>MFP Colors</vt:lpstr>
      <vt:lpstr>_BKK_1.1_MT</vt:lpstr>
      <vt:lpstr>_BKK_1.1_T</vt:lpstr>
      <vt:lpstr>_BKK_1.2_MT</vt:lpstr>
      <vt:lpstr>_BKK_1.2_T</vt:lpstr>
      <vt:lpstr>_BKK_1.3_MT</vt:lpstr>
      <vt:lpstr>_BKK_1.3_T</vt:lpstr>
      <vt:lpstr>_BKK_1.4_MT</vt:lpstr>
      <vt:lpstr>_BKK_1.4_T</vt:lpstr>
      <vt:lpstr>_BKK_1.5_MT</vt:lpstr>
      <vt:lpstr>_BKK_1.5_T</vt:lpstr>
      <vt:lpstr>_BKK_2.1_MT</vt:lpstr>
      <vt:lpstr>_BKK_2.1_T</vt:lpstr>
      <vt:lpstr>_BKK_2.2_MT</vt:lpstr>
      <vt:lpstr>_BKK_2.2_T</vt:lpstr>
      <vt:lpstr>_BKK_2.3_MT</vt:lpstr>
      <vt:lpstr>_BKK_2.3_T</vt:lpstr>
      <vt:lpstr>_BKK_2.4_MT</vt:lpstr>
      <vt:lpstr>_BKK_2.4_T</vt:lpstr>
      <vt:lpstr>_BKK_3.1_MT</vt:lpstr>
      <vt:lpstr>_BKK_3.1_T</vt:lpstr>
      <vt:lpstr>_BKK_3.2_MT</vt:lpstr>
      <vt:lpstr>_BKK_3.2_T</vt:lpstr>
      <vt:lpstr>_BKK_3.3_MT</vt:lpstr>
      <vt:lpstr>_BKK_3.3_T</vt:lpstr>
      <vt:lpstr>_BKK_4.1_MT</vt:lpstr>
      <vt:lpstr>_BKK_4.1_T</vt:lpstr>
      <vt:lpstr>_BKK_4.2_MT</vt:lpstr>
      <vt:lpstr>_BKK_4.2_T</vt:lpstr>
      <vt:lpstr>_BKK_4.3_MT</vt:lpstr>
      <vt:lpstr>_BKK_4.3_T</vt:lpstr>
      <vt:lpstr>_BKK_4.4_MT</vt:lpstr>
      <vt:lpstr>_BKK_4.4_T</vt:lpstr>
      <vt:lpstr>_DEL_1.1_MT</vt:lpstr>
      <vt:lpstr>_DEL_1.1_T</vt:lpstr>
      <vt:lpstr>_DEL_1.2_MT</vt:lpstr>
      <vt:lpstr>_DEL_1.2_T</vt:lpstr>
      <vt:lpstr>_DEL_1.3_MT</vt:lpstr>
      <vt:lpstr>_DEL_1.3_T</vt:lpstr>
      <vt:lpstr>_DEL_1.4_MT</vt:lpstr>
      <vt:lpstr>_DEL_1.4_T</vt:lpstr>
      <vt:lpstr>_DEL_1.5_MT</vt:lpstr>
      <vt:lpstr>_DEL_1.5_T</vt:lpstr>
      <vt:lpstr>_DEL_2.1_MT</vt:lpstr>
      <vt:lpstr>_DEL_2.1_T</vt:lpstr>
      <vt:lpstr>_DEL_2.2_MT</vt:lpstr>
      <vt:lpstr>_DEL_2.2_T</vt:lpstr>
      <vt:lpstr>_DEL_2.3_MT</vt:lpstr>
      <vt:lpstr>_DEL_2.3_T</vt:lpstr>
      <vt:lpstr>_DEL_2.4_MT</vt:lpstr>
      <vt:lpstr>_DEL_2.4_T</vt:lpstr>
      <vt:lpstr>_DEL_3.1_MT</vt:lpstr>
      <vt:lpstr>_DEL_3.1_T</vt:lpstr>
      <vt:lpstr>_DEL_3.2_MT</vt:lpstr>
      <vt:lpstr>_DEL_3.2_T</vt:lpstr>
      <vt:lpstr>_DEL_3.3_MT</vt:lpstr>
      <vt:lpstr>_DEL_3.3_T</vt:lpstr>
      <vt:lpstr>_DEL_4.1_MT</vt:lpstr>
      <vt:lpstr>_DEL_4.1_T</vt:lpstr>
      <vt:lpstr>_DEL_4.2_MT</vt:lpstr>
      <vt:lpstr>_DEL_4.2_T</vt:lpstr>
      <vt:lpstr>_DEL_4.3_MT</vt:lpstr>
      <vt:lpstr>_DEL_4.3_T</vt:lpstr>
      <vt:lpstr>_DEL_4.4_MT</vt:lpstr>
      <vt:lpstr>_DEL_4.4_T</vt:lpstr>
      <vt:lpstr>_JFKLBBF_1.1_MT</vt:lpstr>
      <vt:lpstr>_JFKLBBF_1.1_T</vt:lpstr>
      <vt:lpstr>_JFKLBBF_1.2_MT</vt:lpstr>
      <vt:lpstr>_JFKLBBF_1.2_T</vt:lpstr>
      <vt:lpstr>_JFKLBBF_1.3_MT</vt:lpstr>
      <vt:lpstr>_JFKLBBF_1.3_T</vt:lpstr>
      <vt:lpstr>_JFKLBBF_1.4_MT</vt:lpstr>
      <vt:lpstr>_JFKLBBF_1.4_T</vt:lpstr>
      <vt:lpstr>_JFKLBBF_1.5_MT</vt:lpstr>
      <vt:lpstr>_JFKLBBF_1.5_T</vt:lpstr>
      <vt:lpstr>_JFKLBBF_2.1_MT</vt:lpstr>
      <vt:lpstr>_JFKLBBF_2.1_T</vt:lpstr>
      <vt:lpstr>_JFKLBBF_2.2_MT</vt:lpstr>
      <vt:lpstr>_JFKLBBF_2.2_T</vt:lpstr>
      <vt:lpstr>_JFKLBBF_2.3_MT</vt:lpstr>
      <vt:lpstr>_JFKLBBF_2.3_T</vt:lpstr>
      <vt:lpstr>_JFKLBBF_2.4_MT</vt:lpstr>
      <vt:lpstr>_JFKLBBF_2.4_T</vt:lpstr>
      <vt:lpstr>_JFKLBBF_3.1_MT</vt:lpstr>
      <vt:lpstr>_JFKLBBF_3.1_T</vt:lpstr>
      <vt:lpstr>_JFKLBBF_3.2_MT</vt:lpstr>
      <vt:lpstr>_JFKLBBF_3.2_T</vt:lpstr>
      <vt:lpstr>_JFKLBBF_3.3_MT</vt:lpstr>
      <vt:lpstr>_JFKLBBF_3.3_T</vt:lpstr>
      <vt:lpstr>_JFKLBBF_4.1_MT</vt:lpstr>
      <vt:lpstr>_JFKLBBF_4.1_T</vt:lpstr>
      <vt:lpstr>_JFKLBBF_4.2_MT</vt:lpstr>
      <vt:lpstr>_JFKLBBF_4.2_T</vt:lpstr>
      <vt:lpstr>_JFKLBBF_4.3_MT</vt:lpstr>
      <vt:lpstr>_JFKLBBF_4.3_T</vt:lpstr>
      <vt:lpstr>_JFKLBBF_4.4_MT</vt:lpstr>
      <vt:lpstr>_JFKLBBF_4.4_T</vt:lpstr>
      <vt:lpstr>_JFKLU_1.1_MT</vt:lpstr>
      <vt:lpstr>_JFKLU_1.1_T</vt:lpstr>
      <vt:lpstr>_JFKLU_1.2_MT</vt:lpstr>
      <vt:lpstr>_JFKLU_1.2_T</vt:lpstr>
      <vt:lpstr>_JFKLU_1.3_MT</vt:lpstr>
      <vt:lpstr>_JFKLU_1.3_T</vt:lpstr>
      <vt:lpstr>_JFKLU_1.4_MT</vt:lpstr>
      <vt:lpstr>_JFKLU_1.4_T</vt:lpstr>
      <vt:lpstr>_JFKLU_1.5_MT</vt:lpstr>
      <vt:lpstr>_JFKLU_1.5_T</vt:lpstr>
      <vt:lpstr>_JFKLU_2.1_MT</vt:lpstr>
      <vt:lpstr>_JFKLU_2.1_T</vt:lpstr>
      <vt:lpstr>_JFKLU_2.2_MT</vt:lpstr>
      <vt:lpstr>_JFKLU_2.2_T</vt:lpstr>
      <vt:lpstr>_JFKLU_2.3_MT</vt:lpstr>
      <vt:lpstr>_JFKLU_2.3_T</vt:lpstr>
      <vt:lpstr>_JFKLU_2.4_MT</vt:lpstr>
      <vt:lpstr>_JFKLU_2.4_T</vt:lpstr>
      <vt:lpstr>_JFKLU_3.1_MT</vt:lpstr>
      <vt:lpstr>_JFKLU_3.1_T</vt:lpstr>
      <vt:lpstr>_JFKLU_3.2_MT</vt:lpstr>
      <vt:lpstr>_JFKLU_3.2_T</vt:lpstr>
      <vt:lpstr>_JFKLU_3.3_MT</vt:lpstr>
      <vt:lpstr>_JFKLU_3.3_T</vt:lpstr>
      <vt:lpstr>_JFKLU_4.1_MT</vt:lpstr>
      <vt:lpstr>_JFKLU_4.1_T</vt:lpstr>
      <vt:lpstr>_JFKLU_4.2_MT</vt:lpstr>
      <vt:lpstr>_JFKLU_4.2_T</vt:lpstr>
      <vt:lpstr>_JFKLU_4.3_MT</vt:lpstr>
      <vt:lpstr>_JFKLU_4.3_T</vt:lpstr>
      <vt:lpstr>_JFKLU_4.4_MT</vt:lpstr>
      <vt:lpstr>_JFKLU_4.4_T</vt:lpstr>
      <vt:lpstr>_LHRAT_1.1_MT</vt:lpstr>
      <vt:lpstr>_LHRAT_1.1_T</vt:lpstr>
      <vt:lpstr>_LHRAT_1.2_MT</vt:lpstr>
      <vt:lpstr>_LHRAT_1.2_T</vt:lpstr>
      <vt:lpstr>_LHRAT_1.3_MT</vt:lpstr>
      <vt:lpstr>_LHRAT_1.3_T</vt:lpstr>
      <vt:lpstr>_LHRAT_1.4_MT</vt:lpstr>
      <vt:lpstr>_LHRAT_1.4_T</vt:lpstr>
      <vt:lpstr>_LHRAT_1.5_MT</vt:lpstr>
      <vt:lpstr>_LHRAT_1.5_T</vt:lpstr>
      <vt:lpstr>_LHRAT_2.1_MT</vt:lpstr>
      <vt:lpstr>_LHRAT_2.1_T</vt:lpstr>
      <vt:lpstr>_LHRAT_2.2_MT</vt:lpstr>
      <vt:lpstr>_LHRAT_2.2_T</vt:lpstr>
      <vt:lpstr>_LHRAT_2.3_MT</vt:lpstr>
      <vt:lpstr>_LHRAT_2.3_T</vt:lpstr>
      <vt:lpstr>_LHRAT_2.4_MT</vt:lpstr>
      <vt:lpstr>_LHRAT_2.4_T</vt:lpstr>
      <vt:lpstr>_LHRAT_3.1_MT</vt:lpstr>
      <vt:lpstr>_LHRAT_3.1_T</vt:lpstr>
      <vt:lpstr>_LHRAT_3.2_MT</vt:lpstr>
      <vt:lpstr>_LHRAT_3.2_T</vt:lpstr>
      <vt:lpstr>_LHRAT_3.3_MT</vt:lpstr>
      <vt:lpstr>_LHRAT_3.3_T</vt:lpstr>
      <vt:lpstr>_LHRAT_4.1_MT</vt:lpstr>
      <vt:lpstr>_LHRAT_4.1_T</vt:lpstr>
      <vt:lpstr>_LHRAT_4.2_MT</vt:lpstr>
      <vt:lpstr>_LHRAT_4.2_T</vt:lpstr>
      <vt:lpstr>_LHRAT_4.3_MT</vt:lpstr>
      <vt:lpstr>_LHRAT_4.3_T</vt:lpstr>
      <vt:lpstr>_LHRAT_4.4_MT</vt:lpstr>
      <vt:lpstr>_LHRAT_4.4_T</vt:lpstr>
      <vt:lpstr>_LHRLU_1.1_MT</vt:lpstr>
      <vt:lpstr>_LHRLU_1.1_T</vt:lpstr>
      <vt:lpstr>_LHRLU_1.2_MT</vt:lpstr>
      <vt:lpstr>_LHRLU_1.2_T</vt:lpstr>
      <vt:lpstr>_LHRLU_1.3_MT</vt:lpstr>
      <vt:lpstr>_LHRLU_1.3_T</vt:lpstr>
      <vt:lpstr>_LHRLU_1.4_MT</vt:lpstr>
      <vt:lpstr>_LHRLU_1.4_T</vt:lpstr>
      <vt:lpstr>_LHRLU_1.5_MT</vt:lpstr>
      <vt:lpstr>_LHRLU_1.5_T</vt:lpstr>
      <vt:lpstr>_LHRLU_2.1_MT</vt:lpstr>
      <vt:lpstr>_LHRLU_2.1_T</vt:lpstr>
      <vt:lpstr>_LHRLU_2.2_MT</vt:lpstr>
      <vt:lpstr>_LHRLU_2.2_T</vt:lpstr>
      <vt:lpstr>_LHRLU_2.3_MT</vt:lpstr>
      <vt:lpstr>_LHRLU_2.3_T</vt:lpstr>
      <vt:lpstr>_LHRLU_2.4_MT</vt:lpstr>
      <vt:lpstr>_LHRLU_2.4_T</vt:lpstr>
      <vt:lpstr>_LHRLU_3.1_MT</vt:lpstr>
      <vt:lpstr>_LHRLU_3.1_T</vt:lpstr>
      <vt:lpstr>_LHRLU_3.2_MT</vt:lpstr>
      <vt:lpstr>_LHRLU_3.2_T</vt:lpstr>
      <vt:lpstr>_LHRLU_3.3_MT</vt:lpstr>
      <vt:lpstr>_LHRLU_3.3_T</vt:lpstr>
      <vt:lpstr>_LHRLU_4.1_MT</vt:lpstr>
      <vt:lpstr>_LHRLU_4.1_T</vt:lpstr>
      <vt:lpstr>_LHRLU_4.2_MT</vt:lpstr>
      <vt:lpstr>_LHRLU_4.2_T</vt:lpstr>
      <vt:lpstr>_LHRLU_4.3_MT</vt:lpstr>
      <vt:lpstr>_LHRLU_4.3_T</vt:lpstr>
      <vt:lpstr>_LHRLU_4.4_MT</vt:lpstr>
      <vt:lpstr>_LHRLU_4.4_T</vt:lpstr>
      <vt:lpstr>_MCS</vt:lpstr>
      <vt:lpstr>_MKPI</vt:lpstr>
      <vt:lpstr>_PROF</vt:lpstr>
      <vt:lpstr>_TW</vt:lpstr>
      <vt:lpstr>A1.Resit</vt:lpstr>
      <vt:lpstr>A1.Score</vt:lpstr>
      <vt:lpstr>A2.Resit</vt:lpstr>
      <vt:lpstr>A2.Score</vt:lpstr>
      <vt:lpstr>A3.Resit</vt:lpstr>
      <vt:lpstr>A3.Score</vt:lpstr>
      <vt:lpstr>A4.Resit</vt:lpstr>
      <vt:lpstr>A4.Score</vt:lpstr>
      <vt:lpstr>AKBI1.1</vt:lpstr>
      <vt:lpstr>AKBI1.2</vt:lpstr>
      <vt:lpstr>AKBI1.3</vt:lpstr>
      <vt:lpstr>AKBI1.4</vt:lpstr>
      <vt:lpstr>AKBI1.5</vt:lpstr>
      <vt:lpstr>AKBI2.1</vt:lpstr>
      <vt:lpstr>AKBI2.2</vt:lpstr>
      <vt:lpstr>AKBI2.3</vt:lpstr>
      <vt:lpstr>AKBI2.4</vt:lpstr>
      <vt:lpstr>AKBI3.1</vt:lpstr>
      <vt:lpstr>AKBI3.2</vt:lpstr>
      <vt:lpstr>AKBI3.3</vt:lpstr>
      <vt:lpstr>AKBI4.1</vt:lpstr>
      <vt:lpstr>AKBI4.2</vt:lpstr>
      <vt:lpstr>AKBI4.3</vt:lpstr>
      <vt:lpstr>AKBI4.4</vt:lpstr>
      <vt:lpstr>autotick</vt:lpstr>
      <vt:lpstr>Bar1.Resit</vt:lpstr>
      <vt:lpstr>Bar1.Score</vt:lpstr>
      <vt:lpstr>Bar2.Resit</vt:lpstr>
      <vt:lpstr>Bar2.Score</vt:lpstr>
      <vt:lpstr>BatchAtCreation</vt:lpstr>
      <vt:lpstr>BKBI1.1</vt:lpstr>
      <vt:lpstr>BKBI1.2</vt:lpstr>
      <vt:lpstr>BKBI1.3</vt:lpstr>
      <vt:lpstr>BKBI1.4</vt:lpstr>
      <vt:lpstr>BKBI1.5</vt:lpstr>
      <vt:lpstr>BKBI2.1</vt:lpstr>
      <vt:lpstr>BKBI2.2</vt:lpstr>
      <vt:lpstr>BKBI2.3</vt:lpstr>
      <vt:lpstr>BKBI2.4</vt:lpstr>
      <vt:lpstr>BKBI3.1</vt:lpstr>
      <vt:lpstr>BKBI3.2</vt:lpstr>
      <vt:lpstr>BKBI3.3</vt:lpstr>
      <vt:lpstr>BKBI4.1</vt:lpstr>
      <vt:lpstr>BKBI4.2</vt:lpstr>
      <vt:lpstr>BKBI4.3</vt:lpstr>
      <vt:lpstr>BKBI4.4</vt:lpstr>
      <vt:lpstr>BKK!BKK_</vt:lpstr>
      <vt:lpstr>BKK_LU_2</vt:lpstr>
      <vt:lpstr>CAJFKLBBF</vt:lpstr>
      <vt:lpstr>CAJFKLU</vt:lpstr>
      <vt:lpstr>CalculatorType</vt:lpstr>
      <vt:lpstr>CALHRAT</vt:lpstr>
      <vt:lpstr>CALHRLU</vt:lpstr>
      <vt:lpstr>Report!CCM</vt:lpstr>
      <vt:lpstr>CCM</vt:lpstr>
      <vt:lpstr>Champagne</vt:lpstr>
      <vt:lpstr>CourseDates.Finishing</vt:lpstr>
      <vt:lpstr>CustomerProfiles</vt:lpstr>
      <vt:lpstr>CustomerScenariors</vt:lpstr>
      <vt:lpstr>D3D14.1.EX</vt:lpstr>
      <vt:lpstr>D3D14.1.MT</vt:lpstr>
      <vt:lpstr>D3D14.1.NM</vt:lpstr>
      <vt:lpstr>D3D14.1.WT</vt:lpstr>
      <vt:lpstr>D3D14.2.EX</vt:lpstr>
      <vt:lpstr>D3D14.2.MT</vt:lpstr>
      <vt:lpstr>D3D14.2.NM</vt:lpstr>
      <vt:lpstr>D3D14.2.WT</vt:lpstr>
      <vt:lpstr>D3D14.3.EX</vt:lpstr>
      <vt:lpstr>D3D14.3.MT</vt:lpstr>
      <vt:lpstr>D3D14.3.NM</vt:lpstr>
      <vt:lpstr>D3D14.3.WT</vt:lpstr>
      <vt:lpstr>D3D14.4.EX</vt:lpstr>
      <vt:lpstr>D3D14.4.MT</vt:lpstr>
      <vt:lpstr>D3D14.4.NM</vt:lpstr>
      <vt:lpstr>D3D14.4.WT</vt:lpstr>
      <vt:lpstr>Report!Date</vt:lpstr>
      <vt:lpstr>Date</vt:lpstr>
      <vt:lpstr>DEL_</vt:lpstr>
      <vt:lpstr>BKK!Drinks1</vt:lpstr>
      <vt:lpstr>Drinks!Drinks1</vt:lpstr>
      <vt:lpstr>'JFK LB | BF'!Drinks1</vt:lpstr>
      <vt:lpstr>'JFK LU'!Drinks1</vt:lpstr>
      <vt:lpstr>'LHR AT'!Drinks1</vt:lpstr>
      <vt:lpstr>'LHR LU'!Drinks1</vt:lpstr>
      <vt:lpstr>'PRC | KHI'!Drinks1</vt:lpstr>
      <vt:lpstr>Drinks1</vt:lpstr>
      <vt:lpstr>BKK!Drinks2</vt:lpstr>
      <vt:lpstr>'JFK LB | BF'!Drinks2</vt:lpstr>
      <vt:lpstr>'JFK LU'!Drinks2</vt:lpstr>
      <vt:lpstr>'LHR AT'!Drinks2</vt:lpstr>
      <vt:lpstr>'LHR LU'!Drinks2</vt:lpstr>
      <vt:lpstr>'PRC | KHI'!Drinks2</vt:lpstr>
      <vt:lpstr>Drinks2</vt:lpstr>
      <vt:lpstr>BKK!Drinks3</vt:lpstr>
      <vt:lpstr>Drinks!Drinks3</vt:lpstr>
      <vt:lpstr>'JFK LB | BF'!Drinks3</vt:lpstr>
      <vt:lpstr>'JFK LU'!Drinks3</vt:lpstr>
      <vt:lpstr>'LHR AT'!Drinks3</vt:lpstr>
      <vt:lpstr>'LHR LU'!Drinks3</vt:lpstr>
      <vt:lpstr>'PRC | KHI'!Drinks3</vt:lpstr>
      <vt:lpstr>Drinks3</vt:lpstr>
      <vt:lpstr>E_Learnings</vt:lpstr>
      <vt:lpstr>English.Comments</vt:lpstr>
      <vt:lpstr>English.Flag</vt:lpstr>
      <vt:lpstr>Experience</vt:lpstr>
      <vt:lpstr>FirstName</vt:lpstr>
      <vt:lpstr>Gender</vt:lpstr>
      <vt:lpstr>Report!Group</vt:lpstr>
      <vt:lpstr>Group</vt:lpstr>
      <vt:lpstr>Group.Finishing</vt:lpstr>
      <vt:lpstr>Group.Previous</vt:lpstr>
      <vt:lpstr>IncludeWithFinishing</vt:lpstr>
      <vt:lpstr>IsFinishing</vt:lpstr>
      <vt:lpstr>IsRepeating</vt:lpstr>
      <vt:lpstr>IUNom</vt:lpstr>
      <vt:lpstr>JFK_BF_2</vt:lpstr>
      <vt:lpstr>JFK_BF_3</vt:lpstr>
      <vt:lpstr>JFKLBBF</vt:lpstr>
      <vt:lpstr>Drinks!JFKLBBF_</vt:lpstr>
      <vt:lpstr>'JFK LB | BF'!JFKLBBF_</vt:lpstr>
      <vt:lpstr>JFKLU</vt:lpstr>
      <vt:lpstr>'JFK LU'!JFKLU_</vt:lpstr>
      <vt:lpstr>KBI1.2</vt:lpstr>
      <vt:lpstr>KBI1.3</vt:lpstr>
      <vt:lpstr>KBI1.4</vt:lpstr>
      <vt:lpstr>KBI1.5</vt:lpstr>
      <vt:lpstr>KBI2.1</vt:lpstr>
      <vt:lpstr>KBI2.2</vt:lpstr>
      <vt:lpstr>KBI2.3</vt:lpstr>
      <vt:lpstr>KBI2.4</vt:lpstr>
      <vt:lpstr>KBI3.1</vt:lpstr>
      <vt:lpstr>KBI3.2</vt:lpstr>
      <vt:lpstr>KBI3.3</vt:lpstr>
      <vt:lpstr>KBI4.1</vt:lpstr>
      <vt:lpstr>KBI4.2</vt:lpstr>
      <vt:lpstr>KBI4.3</vt:lpstr>
      <vt:lpstr>KBI4.4</vt:lpstr>
      <vt:lpstr>'PRC | KHI'!KHI_</vt:lpstr>
      <vt:lpstr>LHRAT</vt:lpstr>
      <vt:lpstr>'LHR AT'!LHRAT_</vt:lpstr>
      <vt:lpstr>LHRLU</vt:lpstr>
      <vt:lpstr>'LHR LU'!LHRLU_</vt:lpstr>
      <vt:lpstr>List.YesNo</vt:lpstr>
      <vt:lpstr>BKK!Lunch__CAT_3_DEL</vt:lpstr>
      <vt:lpstr>'JFK LB | BF'!Lunch__CAT_3_DEL</vt:lpstr>
      <vt:lpstr>'JFK LU'!Lunch__CAT_3_DEL</vt:lpstr>
      <vt:lpstr>'LHR AT'!Lunch__CAT_3_DEL</vt:lpstr>
      <vt:lpstr>'LHR LU'!Lunch__CAT_3_DEL</vt:lpstr>
      <vt:lpstr>Lunch__CAT_3_DEL</vt:lpstr>
      <vt:lpstr>Name</vt:lpstr>
      <vt:lpstr>Nationality</vt:lpstr>
      <vt:lpstr>Nickname</vt:lpstr>
      <vt:lpstr>Nominations</vt:lpstr>
      <vt:lpstr>OAS1.1</vt:lpstr>
      <vt:lpstr>OAS1.2</vt:lpstr>
      <vt:lpstr>OAS1.3</vt:lpstr>
      <vt:lpstr>OAS1.4</vt:lpstr>
      <vt:lpstr>OAS1.5</vt:lpstr>
      <vt:lpstr>OAS2.1</vt:lpstr>
      <vt:lpstr>OAS2.2</vt:lpstr>
      <vt:lpstr>OAS2.3</vt:lpstr>
      <vt:lpstr>OAS2.4</vt:lpstr>
      <vt:lpstr>OAS3.1</vt:lpstr>
      <vt:lpstr>OAS3.2</vt:lpstr>
      <vt:lpstr>OAS3.3</vt:lpstr>
      <vt:lpstr>OAS4.1</vt:lpstr>
      <vt:lpstr>OAS4.2</vt:lpstr>
      <vt:lpstr>OAS4.3</vt:lpstr>
      <vt:lpstr>OAS4.4</vt:lpstr>
      <vt:lpstr>OASALL</vt:lpstr>
      <vt:lpstr>OverallComments</vt:lpstr>
      <vt:lpstr>OverallScore.Competency</vt:lpstr>
      <vt:lpstr>OverallScore.Initial</vt:lpstr>
      <vt:lpstr>OverallScore.KA</vt:lpstr>
      <vt:lpstr>OverallScore.Practical</vt:lpstr>
      <vt:lpstr>OverallScore.Previous</vt:lpstr>
      <vt:lpstr>BKK!Print_Area</vt:lpstr>
      <vt:lpstr>'BKK AS'!Print_Area</vt:lpstr>
      <vt:lpstr>'D3-D14 Score'!Print_Area</vt:lpstr>
      <vt:lpstr>DEL!Print_Area</vt:lpstr>
      <vt:lpstr>'DEL AS'!Print_Area</vt:lpstr>
      <vt:lpstr>Drinks!Print_Area</vt:lpstr>
      <vt:lpstr>Graph!Print_Area</vt:lpstr>
      <vt:lpstr>'JFK LB | BF'!Print_Area</vt:lpstr>
      <vt:lpstr>'JFK LB | BF AS'!Print_Area</vt:lpstr>
      <vt:lpstr>'JFK LU'!Print_Area</vt:lpstr>
      <vt:lpstr>'JFK LU AS'!Print_Area</vt:lpstr>
      <vt:lpstr>KA!Print_Area</vt:lpstr>
      <vt:lpstr>'LHR AT'!Print_Area</vt:lpstr>
      <vt:lpstr>'LHR AT AS'!Print_Area</vt:lpstr>
      <vt:lpstr>'LHR LU'!Print_Area</vt:lpstr>
      <vt:lpstr>'LHR LU AS'!Print_Area</vt:lpstr>
      <vt:lpstr>OAS!Print_Area</vt:lpstr>
      <vt:lpstr>'PRC | KHI AS'!Print_Area</vt:lpstr>
      <vt:lpstr>'Profiles | Scenarios'!Print_Area</vt:lpstr>
      <vt:lpstr>Report!Print_Area</vt:lpstr>
      <vt:lpstr>Rubric!Print_Area</vt:lpstr>
      <vt:lpstr>'Service Review'!Print_Area</vt:lpstr>
      <vt:lpstr>Profile_Boarding</vt:lpstr>
      <vt:lpstr>Profile_Customer_on_Wheelchair</vt:lpstr>
      <vt:lpstr>Profile_Customer_Visually_Impaired</vt:lpstr>
      <vt:lpstr>Profile_Deportee</vt:lpstr>
      <vt:lpstr>Profile_High_Valued_Customer</vt:lpstr>
      <vt:lpstr>Profile_Honeymoon_Couple</vt:lpstr>
      <vt:lpstr>Profile_iO</vt:lpstr>
      <vt:lpstr>Profile_Non_English_Speaker</vt:lpstr>
      <vt:lpstr>Profile_Others</vt:lpstr>
      <vt:lpstr>Profile_Parent_with_Infant</vt:lpstr>
      <vt:lpstr>Profile_Unaccompanied_Minor</vt:lpstr>
      <vt:lpstr>Profile_We_Care</vt:lpstr>
      <vt:lpstr>PWSJFKLBBF</vt:lpstr>
      <vt:lpstr>PWSJFKLU</vt:lpstr>
      <vt:lpstr>PWSLHRAT</vt:lpstr>
      <vt:lpstr>PWSLHRLU</vt:lpstr>
      <vt:lpstr>RepeatedWeek</vt:lpstr>
      <vt:lpstr>RepeatReason</vt:lpstr>
      <vt:lpstr>Review.Competencies</vt:lpstr>
      <vt:lpstr>Review.KBIs</vt:lpstr>
      <vt:lpstr>Review.Reason</vt:lpstr>
      <vt:lpstr>Review.YesNo</vt:lpstr>
      <vt:lpstr>Rotation</vt:lpstr>
      <vt:lpstr>StaffNumber</vt:lpstr>
      <vt:lpstr>StartDate</vt:lpstr>
      <vt:lpstr>TrainerComments</vt:lpstr>
      <vt:lpstr>Trainers</vt:lpstr>
      <vt:lpstr>Trainers.OAS</vt:lpstr>
      <vt:lpstr>BKK!Welcome_Services_DEL</vt:lpstr>
      <vt:lpstr>'JFK LB | BF'!Welcome_Services_DEL</vt:lpstr>
      <vt:lpstr>'JFK LU'!Welcome_Services_DEL</vt:lpstr>
      <vt:lpstr>'LHR AT'!Welcome_Services_DEL</vt:lpstr>
      <vt:lpstr>'LHR LU'!Welcome_Services_DEL</vt:lpstr>
      <vt:lpstr>Welcome_Services_DEL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456652 - Alexander Gonzalez Robles</dc:title>
  <dc:creator>Emirates Service Training</dc:creator>
  <cp:keywords>456652;AB</cp:keywords>
  <cp:lastModifiedBy>marvin castelino</cp:lastModifiedBy>
  <cp:lastPrinted>2020-09-02T18:22:14Z</cp:lastPrinted>
  <dcterms:created xsi:type="dcterms:W3CDTF">2015-06-26T06:49:15Z</dcterms:created>
  <dcterms:modified xsi:type="dcterms:W3CDTF">2020-09-02T18:24:26Z</dcterms:modified>
</cp:coreProperties>
</file>