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Training/ChE445-ChemicalReactorAnalysisII/Seminar11&amp;12/Seminar_11/"/>
    </mc:Choice>
  </mc:AlternateContent>
  <xr:revisionPtr revIDLastSave="0" documentId="13_ncr:1_{31A96E06-8719-794F-9C88-62DC194B4FE6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S1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K31" i="1" l="1"/>
  <c r="B32" i="1"/>
  <c r="K32" i="1" s="1"/>
  <c r="G31" i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A19" i="1"/>
  <c r="G24" i="1"/>
  <c r="G20" i="1"/>
  <c r="G7" i="1"/>
  <c r="G21" i="1" s="1"/>
  <c r="G3" i="1"/>
  <c r="D31" i="1" s="1"/>
  <c r="G18" i="1"/>
  <c r="G22" i="1"/>
  <c r="C21" i="1"/>
  <c r="G19" i="1"/>
  <c r="G23" i="1"/>
  <c r="D19" i="1" l="1"/>
  <c r="C18" i="1"/>
  <c r="G25" i="1"/>
  <c r="D18" i="1"/>
  <c r="D21" i="1"/>
  <c r="E21" i="1" s="1"/>
  <c r="F21" i="1" s="1"/>
  <c r="C25" i="1"/>
  <c r="E25" i="1" s="1"/>
  <c r="F25" i="1" s="1"/>
  <c r="C24" i="1"/>
  <c r="A20" i="1"/>
  <c r="M31" i="1"/>
  <c r="D20" i="1"/>
  <c r="D22" i="1"/>
  <c r="D25" i="1"/>
  <c r="C32" i="1"/>
  <c r="C19" i="1"/>
  <c r="E19" i="1" s="1"/>
  <c r="F19" i="1" s="1"/>
  <c r="H19" i="1" s="1"/>
  <c r="I19" i="1" s="1"/>
  <c r="K19" i="1" s="1"/>
  <c r="D23" i="1"/>
  <c r="G32" i="1"/>
  <c r="D24" i="1"/>
  <c r="C22" i="1"/>
  <c r="E22" i="1" s="1"/>
  <c r="F22" i="1" s="1"/>
  <c r="C31" i="1"/>
  <c r="E31" i="1" s="1"/>
  <c r="F31" i="1" s="1"/>
  <c r="D32" i="1"/>
  <c r="C20" i="1"/>
  <c r="C23" i="1"/>
  <c r="B33" i="1"/>
  <c r="H31" i="1"/>
  <c r="I31" i="1" l="1"/>
  <c r="J31" i="1" s="1"/>
  <c r="L31" i="1" s="1"/>
  <c r="A21" i="1"/>
  <c r="E18" i="1"/>
  <c r="F18" i="1" s="1"/>
  <c r="I18" i="1" s="1"/>
  <c r="K18" i="1" s="1"/>
  <c r="E24" i="1"/>
  <c r="F24" i="1" s="1"/>
  <c r="E32" i="1"/>
  <c r="F32" i="1" s="1"/>
  <c r="H32" i="1"/>
  <c r="M32" i="1"/>
  <c r="K33" i="1"/>
  <c r="C33" i="1"/>
  <c r="D33" i="1"/>
  <c r="B34" i="1"/>
  <c r="G33" i="1"/>
  <c r="E23" i="1"/>
  <c r="F23" i="1" s="1"/>
  <c r="E20" i="1"/>
  <c r="F20" i="1" s="1"/>
  <c r="H20" i="1" s="1"/>
  <c r="I20" i="1" s="1"/>
  <c r="I32" i="1" l="1"/>
  <c r="J32" i="1" s="1"/>
  <c r="L32" i="1" s="1"/>
  <c r="K20" i="1"/>
  <c r="H21" i="1"/>
  <c r="I21" i="1" s="1"/>
  <c r="K21" i="1" s="1"/>
  <c r="A22" i="1"/>
  <c r="E33" i="1"/>
  <c r="F33" i="1" s="1"/>
  <c r="H33" i="1"/>
  <c r="M33" i="1"/>
  <c r="G34" i="1"/>
  <c r="C34" i="1"/>
  <c r="D34" i="1"/>
  <c r="B35" i="1"/>
  <c r="K34" i="1"/>
  <c r="I33" i="1" l="1"/>
  <c r="J33" i="1" s="1"/>
  <c r="L33" i="1" s="1"/>
  <c r="H22" i="1"/>
  <c r="I22" i="1" s="1"/>
  <c r="K22" i="1" s="1"/>
  <c r="A23" i="1"/>
  <c r="D35" i="1"/>
  <c r="C35" i="1"/>
  <c r="K35" i="1"/>
  <c r="B36" i="1"/>
  <c r="G35" i="1"/>
  <c r="E34" i="1"/>
  <c r="F34" i="1" s="1"/>
  <c r="H34" i="1"/>
  <c r="M34" i="1"/>
  <c r="H23" i="1" l="1"/>
  <c r="I23" i="1" s="1"/>
  <c r="K23" i="1" s="1"/>
  <c r="A24" i="1"/>
  <c r="I34" i="1"/>
  <c r="J34" i="1" s="1"/>
  <c r="L34" i="1" s="1"/>
  <c r="E35" i="1"/>
  <c r="F35" i="1" s="1"/>
  <c r="M35" i="1"/>
  <c r="H35" i="1"/>
  <c r="B37" i="1"/>
  <c r="G36" i="1"/>
  <c r="C36" i="1"/>
  <c r="K36" i="1"/>
  <c r="D36" i="1"/>
  <c r="I35" i="1" l="1"/>
  <c r="J35" i="1" s="1"/>
  <c r="L35" i="1" s="1"/>
  <c r="H24" i="1"/>
  <c r="I24" i="1" s="1"/>
  <c r="K24" i="1" s="1"/>
  <c r="A25" i="1"/>
  <c r="B38" i="1"/>
  <c r="K37" i="1"/>
  <c r="C37" i="1"/>
  <c r="D37" i="1"/>
  <c r="G37" i="1"/>
  <c r="E36" i="1"/>
  <c r="F36" i="1" s="1"/>
  <c r="M36" i="1"/>
  <c r="H36" i="1"/>
  <c r="H25" i="1" l="1"/>
  <c r="I25" i="1" s="1"/>
  <c r="K25" i="1" s="1"/>
  <c r="I36" i="1"/>
  <c r="J36" i="1" s="1"/>
  <c r="L36" i="1" s="1"/>
  <c r="M37" i="1"/>
  <c r="H37" i="1"/>
  <c r="I37" i="1" s="1"/>
  <c r="J37" i="1" s="1"/>
  <c r="E37" i="1"/>
  <c r="F37" i="1" s="1"/>
  <c r="K38" i="1"/>
  <c r="C38" i="1"/>
  <c r="G38" i="1"/>
  <c r="D38" i="1"/>
  <c r="E38" i="1" l="1"/>
  <c r="F38" i="1" s="1"/>
  <c r="L37" i="1"/>
  <c r="M38" i="1"/>
  <c r="H38" i="1"/>
  <c r="I38" i="1" s="1"/>
  <c r="J38" i="1" s="1"/>
  <c r="L38" i="1" l="1"/>
</calcChain>
</file>

<file path=xl/sharedStrings.xml><?xml version="1.0" encoding="utf-8"?>
<sst xmlns="http://schemas.openxmlformats.org/spreadsheetml/2006/main" count="44" uniqueCount="32">
  <si>
    <t>Evaluation of particle size effect</t>
  </si>
  <si>
    <t>Evaluation of temperature effect</t>
  </si>
  <si>
    <t>Internal mass transfer limitations</t>
  </si>
  <si>
    <t>Catalyst particle diameter, m</t>
  </si>
  <si>
    <t>Data:</t>
  </si>
  <si>
    <t>Molecular diffusivity, m2/s</t>
  </si>
  <si>
    <t>Temperature, K</t>
  </si>
  <si>
    <t>Pressure, Pa</t>
  </si>
  <si>
    <t>Molar mass N2O,  g/mol</t>
  </si>
  <si>
    <t>Molar mass H2, g/mol</t>
  </si>
  <si>
    <t>Diffusion volume H2</t>
  </si>
  <si>
    <t>Diffusion voume N2O</t>
  </si>
  <si>
    <t>Knudsen diffusivity of N2O, m2/s</t>
  </si>
  <si>
    <t>Particle porosity</t>
  </si>
  <si>
    <t>Pore diffusivity of N2O, m2/s</t>
  </si>
  <si>
    <t>Effective diffusivity of N2O, m2/s</t>
  </si>
  <si>
    <t>Tortuosity in a particle</t>
  </si>
  <si>
    <t>Catalyst density, kg/m3</t>
  </si>
  <si>
    <t>Rate constant, m3 fl/(m3 cat*s) at 573 K</t>
  </si>
  <si>
    <t>Intrinsic rate constant (based on N2O), m3 fluid/(kg cat*s) at 573 K</t>
  </si>
  <si>
    <t>Reaction activation energy, J/mol</t>
  </si>
  <si>
    <t>Internal effectiveness factor</t>
  </si>
  <si>
    <t>Intrinsic rate constant, m3 fl/(m3 cat*s)</t>
  </si>
  <si>
    <t>Volumetric velocity at STP (0 oC, 100000 Pa), m3/s</t>
  </si>
  <si>
    <t>Conversion, %</t>
  </si>
  <si>
    <t>Catalyst mass in PBR, kg</t>
  </si>
  <si>
    <t>Volumetric velocity at rxn conditions, m3 fluid/s</t>
  </si>
  <si>
    <t>Pore diameter in individual catalyst particle, m</t>
  </si>
  <si>
    <t>Intrinsic rate constant, m3 fl/(kg cat*s)</t>
  </si>
  <si>
    <t>Ideal PBR conversion, %</t>
  </si>
  <si>
    <t>N. Semagina, March 27, 2018</t>
  </si>
  <si>
    <t>(Generalized) Thiele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</si>
</sst>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as a function of particle diameter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PBR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'S11'!$A$18:$A$25</c:f>
              <c:numCache>
                <c:formatCode>0.00E+00</c:formatCode>
                <c:ptCount val="8"/>
                <c:pt idx="0">
                  <c:v>3.0000000000000001E-6</c:v>
                </c:pt>
                <c:pt idx="1">
                  <c:v>6.0000000000000002E-6</c:v>
                </c:pt>
                <c:pt idx="2">
                  <c:v>1.2E-5</c:v>
                </c:pt>
                <c:pt idx="3">
                  <c:v>2.4000000000000001E-5</c:v>
                </c:pt>
                <c:pt idx="4">
                  <c:v>4.8000000000000001E-5</c:v>
                </c:pt>
                <c:pt idx="5">
                  <c:v>9.6000000000000002E-5</c:v>
                </c:pt>
                <c:pt idx="6">
                  <c:v>1.92E-4</c:v>
                </c:pt>
                <c:pt idx="7">
                  <c:v>3.8400000000000001E-4</c:v>
                </c:pt>
              </c:numCache>
            </c:numRef>
          </c:xVal>
          <c:yVal>
            <c:numRef>
              <c:f>'S11'!$K$18:$K$25</c:f>
              <c:numCache>
                <c:formatCode>0.0</c:formatCode>
                <c:ptCount val="8"/>
                <c:pt idx="0">
                  <c:v>86.758139687661185</c:v>
                </c:pt>
                <c:pt idx="1">
                  <c:v>85.092980738230352</c:v>
                </c:pt>
                <c:pt idx="2">
                  <c:v>78.972220570390263</c:v>
                </c:pt>
                <c:pt idx="3">
                  <c:v>62.442378743578409</c:v>
                </c:pt>
                <c:pt idx="4">
                  <c:v>39.72433050415529</c:v>
                </c:pt>
                <c:pt idx="5">
                  <c:v>22.373884839082294</c:v>
                </c:pt>
                <c:pt idx="6">
                  <c:v>11.894318052144836</c:v>
                </c:pt>
                <c:pt idx="7">
                  <c:v>6.1353730376266791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3-AD4E-8CD0-ABC7ACE4BBD8}"/>
            </c:ext>
          </c:extLst>
        </c:ser>
        <c:ser>
          <c:idx val="1"/>
          <c:order val="1"/>
          <c:tx>
            <c:v>Ideal PBR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'S11'!$A$18:$A$25</c:f>
              <c:numCache>
                <c:formatCode>0.00E+00</c:formatCode>
                <c:ptCount val="8"/>
                <c:pt idx="0">
                  <c:v>3.0000000000000001E-6</c:v>
                </c:pt>
                <c:pt idx="1">
                  <c:v>6.0000000000000002E-6</c:v>
                </c:pt>
                <c:pt idx="2">
                  <c:v>1.2E-5</c:v>
                </c:pt>
                <c:pt idx="3">
                  <c:v>2.4000000000000001E-5</c:v>
                </c:pt>
                <c:pt idx="4">
                  <c:v>4.8000000000000001E-5</c:v>
                </c:pt>
                <c:pt idx="5">
                  <c:v>9.6000000000000002E-5</c:v>
                </c:pt>
                <c:pt idx="6">
                  <c:v>1.92E-4</c:v>
                </c:pt>
                <c:pt idx="7">
                  <c:v>3.8400000000000001E-4</c:v>
                </c:pt>
              </c:numCache>
            </c:numRef>
          </c:xVal>
          <c:yVal>
            <c:numRef>
              <c:f>'S11'!$L$18:$L$25</c:f>
              <c:numCache>
                <c:formatCode>0.0</c:formatCode>
                <c:ptCount val="8"/>
                <c:pt idx="0">
                  <c:v>87.322817882368923</c:v>
                </c:pt>
                <c:pt idx="1">
                  <c:v>87.322817882368923</c:v>
                </c:pt>
                <c:pt idx="2">
                  <c:v>87.322817882368923</c:v>
                </c:pt>
                <c:pt idx="3">
                  <c:v>87.322817882368923</c:v>
                </c:pt>
                <c:pt idx="4">
                  <c:v>87.322817882368923</c:v>
                </c:pt>
                <c:pt idx="5">
                  <c:v>87.322817882368923</c:v>
                </c:pt>
                <c:pt idx="6">
                  <c:v>87.322817882368923</c:v>
                </c:pt>
                <c:pt idx="7">
                  <c:v>87.322817882368923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3-AD4E-8CD0-ABC7ACE4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55080"/>
        <c:axId val="2064258632"/>
      </c:scatterChart>
      <c:valAx>
        <c:axId val="206425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58632"/>
        <c:crosses val="autoZero"/>
        <c:crossBetween val="midCat"/>
      </c:valAx>
      <c:valAx>
        <c:axId val="20642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5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as a function of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PBR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'S11'!$B$31:$B$38</c:f>
              <c:numCache>
                <c:formatCode>General</c:formatCode>
                <c:ptCount val="8"/>
                <c:pt idx="0">
                  <c:v>453</c:v>
                </c:pt>
                <c:pt idx="1">
                  <c:v>493</c:v>
                </c:pt>
                <c:pt idx="2">
                  <c:v>533</c:v>
                </c:pt>
                <c:pt idx="3">
                  <c:v>573</c:v>
                </c:pt>
                <c:pt idx="4">
                  <c:v>613</c:v>
                </c:pt>
                <c:pt idx="5">
                  <c:v>653</c:v>
                </c:pt>
                <c:pt idx="6">
                  <c:v>693</c:v>
                </c:pt>
                <c:pt idx="7">
                  <c:v>733</c:v>
                </c:pt>
              </c:numCache>
            </c:numRef>
          </c:xVal>
          <c:yVal>
            <c:numRef>
              <c:f>'S11'!$L$31:$L$38</c:f>
              <c:numCache>
                <c:formatCode>0.0</c:formatCode>
                <c:ptCount val="8"/>
                <c:pt idx="0">
                  <c:v>0.32736258618082381</c:v>
                </c:pt>
                <c:pt idx="1">
                  <c:v>3.601077680978082</c:v>
                </c:pt>
                <c:pt idx="2">
                  <c:v>17.464077906696438</c:v>
                </c:pt>
                <c:pt idx="3">
                  <c:v>39.72433050415529</c:v>
                </c:pt>
                <c:pt idx="4">
                  <c:v>66.561687455643266</c:v>
                </c:pt>
                <c:pt idx="5">
                  <c:v>88.34059100439336</c:v>
                </c:pt>
                <c:pt idx="6">
                  <c:v>97.955651879624199</c:v>
                </c:pt>
                <c:pt idx="7">
                  <c:v>99.861827859326823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B743-937A-C1B79DADAA35}"/>
            </c:ext>
          </c:extLst>
        </c:ser>
        <c:ser>
          <c:idx val="1"/>
          <c:order val="1"/>
          <c:tx>
            <c:v>Ideal PBR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'S11'!$B$31:$B$38</c:f>
              <c:numCache>
                <c:formatCode>General</c:formatCode>
                <c:ptCount val="8"/>
                <c:pt idx="0">
                  <c:v>453</c:v>
                </c:pt>
                <c:pt idx="1">
                  <c:v>493</c:v>
                </c:pt>
                <c:pt idx="2">
                  <c:v>533</c:v>
                </c:pt>
                <c:pt idx="3">
                  <c:v>573</c:v>
                </c:pt>
                <c:pt idx="4">
                  <c:v>613</c:v>
                </c:pt>
                <c:pt idx="5">
                  <c:v>653</c:v>
                </c:pt>
                <c:pt idx="6">
                  <c:v>693</c:v>
                </c:pt>
                <c:pt idx="7">
                  <c:v>733</c:v>
                </c:pt>
              </c:numCache>
            </c:numRef>
          </c:xVal>
          <c:yVal>
            <c:numRef>
              <c:f>'S11'!$M$31:$M$38</c:f>
              <c:numCache>
                <c:formatCode>0.0</c:formatCode>
                <c:ptCount val="8"/>
                <c:pt idx="0">
                  <c:v>0.32993800402346674</c:v>
                </c:pt>
                <c:pt idx="1">
                  <c:v>3.9482117335645883</c:v>
                </c:pt>
                <c:pt idx="2">
                  <c:v>28.488137955672588</c:v>
                </c:pt>
                <c:pt idx="3">
                  <c:v>87.322817882368923</c:v>
                </c:pt>
                <c:pt idx="4">
                  <c:v>99.995410691378012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F-B743-937A-C1B79DA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96360"/>
        <c:axId val="2064302120"/>
      </c:scatterChart>
      <c:valAx>
        <c:axId val="206429636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02120"/>
        <c:crosses val="autoZero"/>
        <c:crossBetween val="midCat"/>
      </c:valAx>
      <c:valAx>
        <c:axId val="20643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9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16</xdr:row>
      <xdr:rowOff>6350</xdr:rowOff>
    </xdr:from>
    <xdr:to>
      <xdr:col>17</xdr:col>
      <xdr:colOff>38100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2AC5E-749B-5E4F-BF07-A29B3D35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29</xdr:row>
      <xdr:rowOff>25400</xdr:rowOff>
    </xdr:from>
    <xdr:to>
      <xdr:col>17</xdr:col>
      <xdr:colOff>749300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ED8DF-731D-764B-8434-B1B96A0B8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5"/>
  <sheetViews>
    <sheetView tabSelected="1" topLeftCell="A14" zoomScale="81" workbookViewId="0">
      <selection activeCell="B48" sqref="B48"/>
    </sheetView>
  </sheetViews>
  <sheetFormatPr baseColWidth="10" defaultRowHeight="16" x14ac:dyDescent="0.2"/>
  <cols>
    <col min="1" max="1" width="22.5" customWidth="1"/>
    <col min="2" max="2" width="15.33203125" customWidth="1"/>
    <col min="4" max="5" width="12" bestFit="1" customWidth="1"/>
    <col min="6" max="6" width="22.33203125" customWidth="1"/>
    <col min="8" max="8" width="13.83203125" customWidth="1"/>
    <col min="9" max="9" width="13.5" customWidth="1"/>
    <col min="10" max="10" width="13.1640625" customWidth="1"/>
    <col min="11" max="11" width="11.6640625" bestFit="1" customWidth="1"/>
  </cols>
  <sheetData>
    <row r="1" spans="1:7" x14ac:dyDescent="0.2">
      <c r="A1" s="2" t="s">
        <v>2</v>
      </c>
    </row>
    <row r="2" spans="1:7" x14ac:dyDescent="0.2">
      <c r="A2" s="3" t="s">
        <v>4</v>
      </c>
    </row>
    <row r="3" spans="1:7" x14ac:dyDescent="0.2">
      <c r="A3" s="11" t="s">
        <v>7</v>
      </c>
      <c r="B3" s="11">
        <v>102000</v>
      </c>
      <c r="F3" s="20" t="s">
        <v>8</v>
      </c>
      <c r="G3" s="20">
        <f>28+16</f>
        <v>44</v>
      </c>
    </row>
    <row r="4" spans="1:7" ht="51" x14ac:dyDescent="0.2">
      <c r="A4" s="12" t="s">
        <v>27</v>
      </c>
      <c r="B4" s="13">
        <v>3E-9</v>
      </c>
      <c r="F4" s="20" t="s">
        <v>9</v>
      </c>
      <c r="G4" s="20">
        <v>2</v>
      </c>
    </row>
    <row r="5" spans="1:7" x14ac:dyDescent="0.2">
      <c r="A5" s="11" t="s">
        <v>13</v>
      </c>
      <c r="B5" s="11">
        <v>0.2</v>
      </c>
      <c r="F5" s="20" t="s">
        <v>10</v>
      </c>
      <c r="G5" s="20">
        <v>7.07</v>
      </c>
    </row>
    <row r="6" spans="1:7" x14ac:dyDescent="0.2">
      <c r="A6" s="11" t="s">
        <v>16</v>
      </c>
      <c r="B6" s="11">
        <v>4</v>
      </c>
      <c r="F6" s="20" t="s">
        <v>11</v>
      </c>
      <c r="G6" s="20">
        <v>35.9</v>
      </c>
    </row>
    <row r="7" spans="1:7" ht="51" x14ac:dyDescent="0.2">
      <c r="A7" s="12" t="s">
        <v>19</v>
      </c>
      <c r="B7" s="11">
        <v>1.7</v>
      </c>
      <c r="F7" s="21" t="s">
        <v>18</v>
      </c>
      <c r="G7" s="20">
        <f>B7*B8</f>
        <v>6800</v>
      </c>
    </row>
    <row r="8" spans="1:7" x14ac:dyDescent="0.2">
      <c r="A8" s="11" t="s">
        <v>17</v>
      </c>
      <c r="B8" s="11">
        <v>4000</v>
      </c>
      <c r="F8" s="4"/>
    </row>
    <row r="9" spans="1:7" ht="34" x14ac:dyDescent="0.2">
      <c r="A9" s="12" t="s">
        <v>20</v>
      </c>
      <c r="B9" s="11">
        <v>120000</v>
      </c>
    </row>
    <row r="10" spans="1:7" ht="37" customHeight="1" x14ac:dyDescent="0.2">
      <c r="A10" s="12" t="s">
        <v>23</v>
      </c>
      <c r="B10" s="11">
        <v>0.8</v>
      </c>
    </row>
    <row r="11" spans="1:7" ht="17" x14ac:dyDescent="0.2">
      <c r="A11" s="12" t="s">
        <v>25</v>
      </c>
      <c r="B11" s="11">
        <v>2</v>
      </c>
    </row>
    <row r="16" spans="1:7" x14ac:dyDescent="0.2">
      <c r="A16" s="2" t="s">
        <v>0</v>
      </c>
    </row>
    <row r="17" spans="1:13" ht="85" x14ac:dyDescent="0.2">
      <c r="A17" s="14" t="s">
        <v>3</v>
      </c>
      <c r="B17" s="14" t="s">
        <v>6</v>
      </c>
      <c r="C17" s="14" t="s">
        <v>5</v>
      </c>
      <c r="D17" s="14" t="s">
        <v>12</v>
      </c>
      <c r="E17" s="14" t="s">
        <v>14</v>
      </c>
      <c r="F17" s="14" t="s">
        <v>15</v>
      </c>
      <c r="G17" s="14" t="s">
        <v>22</v>
      </c>
      <c r="H17" s="14" t="s">
        <v>31</v>
      </c>
      <c r="I17" s="14" t="s">
        <v>21</v>
      </c>
      <c r="J17" s="14" t="s">
        <v>26</v>
      </c>
      <c r="K17" s="14" t="s">
        <v>24</v>
      </c>
      <c r="L17" s="14" t="s">
        <v>29</v>
      </c>
    </row>
    <row r="18" spans="1:13" x14ac:dyDescent="0.2">
      <c r="A18" s="13">
        <v>3.0000000000000001E-6</v>
      </c>
      <c r="B18" s="11">
        <v>573</v>
      </c>
      <c r="C18" s="15">
        <f>1.013/100*B18^1.75*(1/$G$3+1/$G$4)^0.5/$B$3/($G$5^(1/3)+$G$6^(1/3))^2</f>
        <v>1.769635132230487E-4</v>
      </c>
      <c r="D18" s="15">
        <f>$B$4/3*SQRT(8*8.314*B18/3.14159/($G$3/1000))</f>
        <v>5.2508090293708836E-7</v>
      </c>
      <c r="E18" s="15">
        <f>(1/C18+1/D18)^(-1)</f>
        <v>5.2352750759928141E-7</v>
      </c>
      <c r="F18" s="16">
        <f>$B$5*E18/$B$6</f>
        <v>2.617637537996407E-8</v>
      </c>
      <c r="G18" s="17">
        <f>$G$7</f>
        <v>6800</v>
      </c>
      <c r="H18" s="18">
        <f>A18/6*SQRT(G18/F18)</f>
        <v>0.25484123770945538</v>
      </c>
      <c r="I18" s="18">
        <f>(TANH(H18))/H18</f>
        <v>0.97889994151782489</v>
      </c>
      <c r="J18" s="18">
        <f>B18/273*100000/$B$3*$B$10</f>
        <v>1.6461969403145873</v>
      </c>
      <c r="K18" s="19">
        <f>100*(1-EXP(-I18*$B$7*$B$11/J18))</f>
        <v>86.758139687661185</v>
      </c>
      <c r="L18" s="19">
        <f>100*(1-EXP(-$B$7*$B$11/J18))</f>
        <v>87.322817882368923</v>
      </c>
    </row>
    <row r="19" spans="1:13" x14ac:dyDescent="0.2">
      <c r="A19" s="13">
        <f>A18*2</f>
        <v>6.0000000000000002E-6</v>
      </c>
      <c r="B19" s="11">
        <v>573</v>
      </c>
      <c r="C19" s="15">
        <f t="shared" ref="C19:C25" si="0">1.013/100*B19^1.75*(1/$G$3+1/$G$4)^0.5/$B$3/($G$5^(1/3)+$G$6^(1/3))^2</f>
        <v>1.769635132230487E-4</v>
      </c>
      <c r="D19" s="15">
        <f t="shared" ref="D19:D21" si="1">$B$4/3*SQRT(8*8.314*B19/3.14159/($G$3/1000))</f>
        <v>5.2508090293708836E-7</v>
      </c>
      <c r="E19" s="15">
        <f t="shared" ref="E19:E21" si="2">(1/C19+1/D19)^(-1)</f>
        <v>5.2352750759928141E-7</v>
      </c>
      <c r="F19" s="16">
        <f t="shared" ref="F19:F25" si="3">$B$5*E19/$B$6</f>
        <v>2.617637537996407E-8</v>
      </c>
      <c r="G19" s="17">
        <f t="shared" ref="G19:G25" si="4">$G$7</f>
        <v>6800</v>
      </c>
      <c r="H19" s="18">
        <f t="shared" ref="H19:H25" si="5">A19/6*SQRT(G19/F19)</f>
        <v>0.50968247541891076</v>
      </c>
      <c r="I19" s="18">
        <f t="shared" ref="I19:I25" si="6">(TANH(H19))/H19</f>
        <v>0.92154975875165845</v>
      </c>
      <c r="J19" s="18">
        <f t="shared" ref="J19:J25" si="7">B19/273*100000/$B$3*$B$10</f>
        <v>1.6461969403145873</v>
      </c>
      <c r="K19" s="19">
        <f t="shared" ref="K19:K25" si="8">100*(1-EXP(-I19*$B$7*$B$11/J19))</f>
        <v>85.092980738230352</v>
      </c>
      <c r="L19" s="19">
        <f t="shared" ref="L19:L25" si="9">100*(1-EXP(-$B$7*$B$11/J19))</f>
        <v>87.322817882368923</v>
      </c>
    </row>
    <row r="20" spans="1:13" x14ac:dyDescent="0.2">
      <c r="A20" s="13">
        <f>A19*2</f>
        <v>1.2E-5</v>
      </c>
      <c r="B20" s="11">
        <v>573</v>
      </c>
      <c r="C20" s="15">
        <f t="shared" si="0"/>
        <v>1.769635132230487E-4</v>
      </c>
      <c r="D20" s="15">
        <f t="shared" si="1"/>
        <v>5.2508090293708836E-7</v>
      </c>
      <c r="E20" s="15">
        <f t="shared" si="2"/>
        <v>5.2352750759928141E-7</v>
      </c>
      <c r="F20" s="16">
        <f t="shared" si="3"/>
        <v>2.617637537996407E-8</v>
      </c>
      <c r="G20" s="17">
        <f t="shared" si="4"/>
        <v>6800</v>
      </c>
      <c r="H20" s="18">
        <f t="shared" si="5"/>
        <v>1.0193649508378215</v>
      </c>
      <c r="I20" s="18">
        <f t="shared" si="6"/>
        <v>0.75498745543767665</v>
      </c>
      <c r="J20" s="18">
        <f t="shared" si="7"/>
        <v>1.6461969403145873</v>
      </c>
      <c r="K20" s="19">
        <f t="shared" si="8"/>
        <v>78.972220570390263</v>
      </c>
      <c r="L20" s="19">
        <f t="shared" si="9"/>
        <v>87.322817882368923</v>
      </c>
    </row>
    <row r="21" spans="1:13" x14ac:dyDescent="0.2">
      <c r="A21" s="13">
        <f>A20*2</f>
        <v>2.4000000000000001E-5</v>
      </c>
      <c r="B21" s="11">
        <v>573</v>
      </c>
      <c r="C21" s="15">
        <f t="shared" si="0"/>
        <v>1.769635132230487E-4</v>
      </c>
      <c r="D21" s="15">
        <f t="shared" si="1"/>
        <v>5.2508090293708836E-7</v>
      </c>
      <c r="E21" s="15">
        <f t="shared" si="2"/>
        <v>5.2352750759928141E-7</v>
      </c>
      <c r="F21" s="16">
        <f t="shared" si="3"/>
        <v>2.617637537996407E-8</v>
      </c>
      <c r="G21" s="17">
        <f t="shared" si="4"/>
        <v>6800</v>
      </c>
      <c r="H21" s="18">
        <f t="shared" si="5"/>
        <v>2.0387299016756431</v>
      </c>
      <c r="I21" s="18">
        <f t="shared" si="6"/>
        <v>0.4741501661852402</v>
      </c>
      <c r="J21" s="18">
        <f t="shared" si="7"/>
        <v>1.6461969403145873</v>
      </c>
      <c r="K21" s="19">
        <f t="shared" si="8"/>
        <v>62.442378743578409</v>
      </c>
      <c r="L21" s="19">
        <f t="shared" si="9"/>
        <v>87.322817882368923</v>
      </c>
    </row>
    <row r="22" spans="1:13" x14ac:dyDescent="0.2">
      <c r="A22" s="13">
        <f>A21*2</f>
        <v>4.8000000000000001E-5</v>
      </c>
      <c r="B22" s="11">
        <v>573</v>
      </c>
      <c r="C22" s="15">
        <f t="shared" si="0"/>
        <v>1.769635132230487E-4</v>
      </c>
      <c r="D22" s="15">
        <f t="shared" ref="D22:D23" si="10">$B$4/3*SQRT(8*8.314*B22/3.14159/($G$3/1000))</f>
        <v>5.2508090293708836E-7</v>
      </c>
      <c r="E22" s="15">
        <f t="shared" ref="E22:E23" si="11">(1/C22+1/D22)^(-1)</f>
        <v>5.2352750759928141E-7</v>
      </c>
      <c r="F22" s="16">
        <f t="shared" si="3"/>
        <v>2.617637537996407E-8</v>
      </c>
      <c r="G22" s="17">
        <f t="shared" si="4"/>
        <v>6800</v>
      </c>
      <c r="H22" s="18">
        <f t="shared" si="5"/>
        <v>4.0774598033512861</v>
      </c>
      <c r="I22" s="18">
        <f t="shared" si="6"/>
        <v>0.24510984203148589</v>
      </c>
      <c r="J22" s="18">
        <f t="shared" si="7"/>
        <v>1.6461969403145873</v>
      </c>
      <c r="K22" s="19">
        <f t="shared" si="8"/>
        <v>39.72433050415529</v>
      </c>
      <c r="L22" s="19">
        <f t="shared" si="9"/>
        <v>87.322817882368923</v>
      </c>
    </row>
    <row r="23" spans="1:13" x14ac:dyDescent="0.2">
      <c r="A23" s="13">
        <f>A22*2</f>
        <v>9.6000000000000002E-5</v>
      </c>
      <c r="B23" s="11">
        <v>573</v>
      </c>
      <c r="C23" s="15">
        <f t="shared" si="0"/>
        <v>1.769635132230487E-4</v>
      </c>
      <c r="D23" s="15">
        <f t="shared" si="10"/>
        <v>5.2508090293708836E-7</v>
      </c>
      <c r="E23" s="15">
        <f t="shared" si="11"/>
        <v>5.2352750759928141E-7</v>
      </c>
      <c r="F23" s="16">
        <f t="shared" si="3"/>
        <v>2.617637537996407E-8</v>
      </c>
      <c r="G23" s="17">
        <f t="shared" si="4"/>
        <v>6800</v>
      </c>
      <c r="H23" s="18">
        <f t="shared" si="5"/>
        <v>8.1549196067025722</v>
      </c>
      <c r="I23" s="18">
        <f t="shared" si="6"/>
        <v>0.12262534557353592</v>
      </c>
      <c r="J23" s="18">
        <f t="shared" si="7"/>
        <v>1.6461969403145873</v>
      </c>
      <c r="K23" s="19">
        <f t="shared" si="8"/>
        <v>22.373884839082294</v>
      </c>
      <c r="L23" s="19">
        <f t="shared" si="9"/>
        <v>87.322817882368923</v>
      </c>
    </row>
    <row r="24" spans="1:13" x14ac:dyDescent="0.2">
      <c r="A24" s="13">
        <f t="shared" ref="A24:A25" si="12">A23*2</f>
        <v>1.92E-4</v>
      </c>
      <c r="B24" s="11">
        <v>573</v>
      </c>
      <c r="C24" s="15">
        <f t="shared" si="0"/>
        <v>1.769635132230487E-4</v>
      </c>
      <c r="D24" s="15">
        <f t="shared" ref="D24:D25" si="13">$B$4/3*SQRT(8*8.314*B24/3.14159/($G$3/1000))</f>
        <v>5.2508090293708836E-7</v>
      </c>
      <c r="E24" s="15">
        <f t="shared" ref="E24:E25" si="14">(1/C24+1/D24)^(-1)</f>
        <v>5.2352750759928141E-7</v>
      </c>
      <c r="F24" s="16">
        <f t="shared" si="3"/>
        <v>2.617637537996407E-8</v>
      </c>
      <c r="G24" s="17">
        <f t="shared" si="4"/>
        <v>6800</v>
      </c>
      <c r="H24" s="18">
        <f t="shared" si="5"/>
        <v>16.309839213405144</v>
      </c>
      <c r="I24" s="18">
        <f t="shared" si="6"/>
        <v>6.1312682909717531E-2</v>
      </c>
      <c r="J24" s="18">
        <f t="shared" si="7"/>
        <v>1.6461969403145873</v>
      </c>
      <c r="K24" s="19">
        <f t="shared" si="8"/>
        <v>11.894318052144836</v>
      </c>
      <c r="L24" s="19">
        <f t="shared" si="9"/>
        <v>87.322817882368923</v>
      </c>
    </row>
    <row r="25" spans="1:13" x14ac:dyDescent="0.2">
      <c r="A25" s="13">
        <f t="shared" si="12"/>
        <v>3.8400000000000001E-4</v>
      </c>
      <c r="B25" s="11">
        <v>573</v>
      </c>
      <c r="C25" s="15">
        <f t="shared" si="0"/>
        <v>1.769635132230487E-4</v>
      </c>
      <c r="D25" s="15">
        <f t="shared" si="13"/>
        <v>5.2508090293708836E-7</v>
      </c>
      <c r="E25" s="15">
        <f t="shared" si="14"/>
        <v>5.2352750759928141E-7</v>
      </c>
      <c r="F25" s="16">
        <f t="shared" si="3"/>
        <v>2.617637537996407E-8</v>
      </c>
      <c r="G25" s="17">
        <f t="shared" si="4"/>
        <v>6800</v>
      </c>
      <c r="H25" s="18">
        <f t="shared" si="5"/>
        <v>32.619678426810289</v>
      </c>
      <c r="I25" s="18">
        <f t="shared" si="6"/>
        <v>3.0656341454859182E-2</v>
      </c>
      <c r="J25" s="18">
        <f t="shared" si="7"/>
        <v>1.6461969403145873</v>
      </c>
      <c r="K25" s="19">
        <f t="shared" si="8"/>
        <v>6.1353730376266791</v>
      </c>
      <c r="L25" s="19">
        <f t="shared" si="9"/>
        <v>87.322817882368923</v>
      </c>
    </row>
    <row r="26" spans="1:13" x14ac:dyDescent="0.2">
      <c r="A26" s="1"/>
      <c r="F26" s="6"/>
      <c r="G26" s="6"/>
      <c r="H26" s="7"/>
      <c r="I26" s="8"/>
      <c r="J26" s="8"/>
      <c r="K26" s="9"/>
    </row>
    <row r="27" spans="1:13" x14ac:dyDescent="0.2">
      <c r="A27" s="1"/>
      <c r="H27" s="10"/>
      <c r="I27" s="10"/>
      <c r="J27" s="10"/>
      <c r="K27" s="10"/>
    </row>
    <row r="29" spans="1:13" x14ac:dyDescent="0.2">
      <c r="A29" s="2" t="s">
        <v>1</v>
      </c>
    </row>
    <row r="30" spans="1:13" ht="85" x14ac:dyDescent="0.2">
      <c r="A30" s="14" t="s">
        <v>3</v>
      </c>
      <c r="B30" s="14" t="s">
        <v>6</v>
      </c>
      <c r="C30" s="14" t="s">
        <v>5</v>
      </c>
      <c r="D30" s="14" t="s">
        <v>12</v>
      </c>
      <c r="E30" s="14" t="s">
        <v>14</v>
      </c>
      <c r="F30" s="14" t="s">
        <v>15</v>
      </c>
      <c r="G30" s="14" t="s">
        <v>28</v>
      </c>
      <c r="H30" s="14" t="s">
        <v>22</v>
      </c>
      <c r="I30" s="14" t="s">
        <v>31</v>
      </c>
      <c r="J30" s="14" t="s">
        <v>21</v>
      </c>
      <c r="K30" s="14" t="s">
        <v>26</v>
      </c>
      <c r="L30" s="14" t="s">
        <v>24</v>
      </c>
      <c r="M30" s="14" t="s">
        <v>29</v>
      </c>
    </row>
    <row r="31" spans="1:13" x14ac:dyDescent="0.2">
      <c r="A31" s="13">
        <v>4.8000000000000001E-5</v>
      </c>
      <c r="B31" s="11">
        <v>453</v>
      </c>
      <c r="C31" s="15">
        <f>1.013/100*B31^1.75*(1/$G$3+1/$G$4)^0.5/$B$3/($G$5^(1/3)+$G$6^(1/3))^2</f>
        <v>1.1729648469206884E-4</v>
      </c>
      <c r="D31" s="15">
        <f>$B$4/3*SQRT(8*8.314*B31/3.14159/($G$3/1000))</f>
        <v>4.6687219878124541E-7</v>
      </c>
      <c r="E31" s="15">
        <f>(1/C31+1/D31)^(-1)</f>
        <v>4.6502128644527275E-7</v>
      </c>
      <c r="F31" s="16">
        <f>$B$5*E31/$B$6</f>
        <v>2.3251064322263639E-8</v>
      </c>
      <c r="G31" s="18">
        <f>EXP(LN($B$7)+$B$9/8.314*(1/573-1/B31))</f>
        <v>2.1505282675008354E-3</v>
      </c>
      <c r="H31" s="17">
        <f>G31*$B$8</f>
        <v>8.602113070003341</v>
      </c>
      <c r="I31" s="18">
        <f>A31/6*SQRT(H31/F31)</f>
        <v>0.15387608974186703</v>
      </c>
      <c r="J31" s="18">
        <f>(TANH(I31))/I31</f>
        <v>0.9921814254783452</v>
      </c>
      <c r="K31" s="18">
        <f>B31/273*100000/$B$3*$B$10</f>
        <v>1.3014436543848309</v>
      </c>
      <c r="L31" s="19">
        <f>100*(1-EXP(-J31*G31*$B$11/K31))</f>
        <v>0.32736258618082381</v>
      </c>
      <c r="M31" s="19">
        <f>100*(1-EXP(-G31*$B$11/K31))</f>
        <v>0.32993800402346674</v>
      </c>
    </row>
    <row r="32" spans="1:13" x14ac:dyDescent="0.2">
      <c r="A32" s="13">
        <v>4.8000000000000001E-5</v>
      </c>
      <c r="B32" s="11">
        <f>B31+40</f>
        <v>493</v>
      </c>
      <c r="C32" s="15">
        <f t="shared" ref="C32:C38" si="15">1.013/100*B32^1.75*(1/$G$3+1/$G$4)^0.5/$B$3/($G$5^(1/3)+$G$6^(1/3))^2</f>
        <v>1.3601764523094945E-4</v>
      </c>
      <c r="D32" s="15">
        <f t="shared" ref="D32:D38" si="16">$B$4/3*SQRT(8*8.314*B32/3.14159/($G$3/1000))</f>
        <v>4.8704868155688418E-7</v>
      </c>
      <c r="E32" s="15">
        <f t="shared" ref="E32:E38" si="17">(1/C32+1/D32)^(-1)</f>
        <v>4.8531089209772945E-7</v>
      </c>
      <c r="F32" s="16">
        <f t="shared" ref="F32:F38" si="18">$B$5*E32/$B$6</f>
        <v>2.4265544604886474E-8</v>
      </c>
      <c r="G32" s="18">
        <f t="shared" ref="G32:G38" si="19">EXP(LN($B$7)+$B$9/8.314*(1/573-1/B32))</f>
        <v>2.8527416048430336E-2</v>
      </c>
      <c r="H32" s="17">
        <f t="shared" ref="H32:H38" si="20">G32*$B$8</f>
        <v>114.10966419372134</v>
      </c>
      <c r="I32" s="18">
        <f t="shared" ref="I32:I38" si="21">A32/6*SQRT(H32/F32)</f>
        <v>0.54860047489350849</v>
      </c>
      <c r="J32" s="18">
        <f t="shared" ref="J32:J38" si="22">(TANH(I32))/I32</f>
        <v>0.91044500335154943</v>
      </c>
      <c r="K32" s="18">
        <f t="shared" ref="K32:K38" si="23">B32/273*100000/$B$3*$B$10</f>
        <v>1.4163614163614164</v>
      </c>
      <c r="L32" s="19">
        <f t="shared" ref="L32:L38" si="24">100*(1-EXP(-J32*G32*$B$11/K32))</f>
        <v>3.601077680978082</v>
      </c>
      <c r="M32" s="19">
        <f t="shared" ref="M32:M38" si="25">100*(1-EXP(-G32*$B$11/K32))</f>
        <v>3.9482117335645883</v>
      </c>
    </row>
    <row r="33" spans="1:13" x14ac:dyDescent="0.2">
      <c r="A33" s="13">
        <v>4.8000000000000001E-5</v>
      </c>
      <c r="B33" s="11">
        <f t="shared" ref="B33:B38" si="26">B32+40</f>
        <v>533</v>
      </c>
      <c r="C33" s="15">
        <f t="shared" si="15"/>
        <v>1.5591423171866796E-4</v>
      </c>
      <c r="D33" s="15">
        <f t="shared" si="16"/>
        <v>5.0642194503967102E-7</v>
      </c>
      <c r="E33" s="15">
        <f t="shared" si="17"/>
        <v>5.0478237136182952E-7</v>
      </c>
      <c r="F33" s="16">
        <f t="shared" si="18"/>
        <v>2.5239118568091478E-8</v>
      </c>
      <c r="G33" s="18">
        <f t="shared" si="19"/>
        <v>0.25672419683575159</v>
      </c>
      <c r="H33" s="17">
        <f t="shared" si="20"/>
        <v>1026.8967873430063</v>
      </c>
      <c r="I33" s="18">
        <f t="shared" si="21"/>
        <v>1.6136758246215959</v>
      </c>
      <c r="J33" s="18">
        <f t="shared" si="22"/>
        <v>0.57242066372991696</v>
      </c>
      <c r="K33" s="18">
        <f t="shared" si="23"/>
        <v>1.531279178338002</v>
      </c>
      <c r="L33" s="19">
        <f t="shared" si="24"/>
        <v>17.464077906696438</v>
      </c>
      <c r="M33" s="19">
        <f t="shared" si="25"/>
        <v>28.488137955672588</v>
      </c>
    </row>
    <row r="34" spans="1:13" x14ac:dyDescent="0.2">
      <c r="A34" s="13">
        <v>4.8000000000000001E-5</v>
      </c>
      <c r="B34" s="11">
        <f t="shared" si="26"/>
        <v>573</v>
      </c>
      <c r="C34" s="15">
        <f t="shared" si="15"/>
        <v>1.769635132230487E-4</v>
      </c>
      <c r="D34" s="15">
        <f t="shared" si="16"/>
        <v>5.2508090293708836E-7</v>
      </c>
      <c r="E34" s="15">
        <f t="shared" si="17"/>
        <v>5.2352750759928141E-7</v>
      </c>
      <c r="F34" s="16">
        <f t="shared" si="18"/>
        <v>2.617637537996407E-8</v>
      </c>
      <c r="G34" s="18">
        <f t="shared" si="19"/>
        <v>1.7</v>
      </c>
      <c r="H34" s="17">
        <f t="shared" si="20"/>
        <v>6800</v>
      </c>
      <c r="I34" s="18">
        <f t="shared" si="21"/>
        <v>4.0774598033512861</v>
      </c>
      <c r="J34" s="18">
        <f t="shared" si="22"/>
        <v>0.24510984203148589</v>
      </c>
      <c r="K34" s="18">
        <f t="shared" si="23"/>
        <v>1.6461969403145873</v>
      </c>
      <c r="L34" s="19">
        <f t="shared" si="24"/>
        <v>39.72433050415529</v>
      </c>
      <c r="M34" s="19">
        <f t="shared" si="25"/>
        <v>87.322817882368923</v>
      </c>
    </row>
    <row r="35" spans="1:13" x14ac:dyDescent="0.2">
      <c r="A35" s="13">
        <v>4.8000000000000001E-5</v>
      </c>
      <c r="B35" s="11">
        <f t="shared" si="26"/>
        <v>613</v>
      </c>
      <c r="C35" s="15">
        <f t="shared" si="15"/>
        <v>1.9914480132704853E-4</v>
      </c>
      <c r="D35" s="15">
        <f t="shared" si="16"/>
        <v>5.4309918324436142E-7</v>
      </c>
      <c r="E35" s="15">
        <f t="shared" si="17"/>
        <v>5.4162209463715515E-7</v>
      </c>
      <c r="F35" s="16">
        <f t="shared" si="18"/>
        <v>2.7081104731857758E-8</v>
      </c>
      <c r="G35" s="18">
        <f t="shared" si="19"/>
        <v>8.7960600396280118</v>
      </c>
      <c r="H35" s="17">
        <f t="shared" si="20"/>
        <v>35184.240158512046</v>
      </c>
      <c r="I35" s="18">
        <f t="shared" si="21"/>
        <v>9.1186571443610678</v>
      </c>
      <c r="J35" s="18">
        <f t="shared" si="22"/>
        <v>0.10966526760942037</v>
      </c>
      <c r="K35" s="18">
        <f t="shared" si="23"/>
        <v>1.7611147022911731</v>
      </c>
      <c r="L35" s="19">
        <f t="shared" si="24"/>
        <v>66.561687455643266</v>
      </c>
      <c r="M35" s="19">
        <f t="shared" si="25"/>
        <v>99.995410691378012</v>
      </c>
    </row>
    <row r="36" spans="1:13" x14ac:dyDescent="0.2">
      <c r="A36" s="13">
        <v>4.8000000000000001E-5</v>
      </c>
      <c r="B36" s="11">
        <f t="shared" si="26"/>
        <v>653</v>
      </c>
      <c r="C36" s="15">
        <f t="shared" si="15"/>
        <v>2.2243914160678259E-4</v>
      </c>
      <c r="D36" s="15">
        <f t="shared" si="16"/>
        <v>5.6053857231430282E-7</v>
      </c>
      <c r="E36" s="15">
        <f t="shared" si="17"/>
        <v>5.5912958602876284E-7</v>
      </c>
      <c r="F36" s="16">
        <f t="shared" si="18"/>
        <v>2.7956479301438144E-8</v>
      </c>
      <c r="G36" s="18">
        <f t="shared" si="19"/>
        <v>37.211222678539116</v>
      </c>
      <c r="H36" s="17">
        <f t="shared" si="20"/>
        <v>148844.89071415647</v>
      </c>
      <c r="I36" s="18">
        <f t="shared" si="21"/>
        <v>18.459320654043001</v>
      </c>
      <c r="J36" s="18">
        <f t="shared" si="22"/>
        <v>5.4173174557265058E-2</v>
      </c>
      <c r="K36" s="18">
        <f t="shared" si="23"/>
        <v>1.8760324642677586</v>
      </c>
      <c r="L36" s="19">
        <f t="shared" si="24"/>
        <v>88.34059100439336</v>
      </c>
      <c r="M36" s="19">
        <f t="shared" si="25"/>
        <v>100</v>
      </c>
    </row>
    <row r="37" spans="1:13" x14ac:dyDescent="0.2">
      <c r="A37" s="13">
        <v>4.8000000000000001E-5</v>
      </c>
      <c r="B37" s="11">
        <f t="shared" si="26"/>
        <v>693</v>
      </c>
      <c r="C37" s="15">
        <f t="shared" si="15"/>
        <v>2.4682906824644767E-4</v>
      </c>
      <c r="D37" s="15">
        <f t="shared" si="16"/>
        <v>5.7745152113716119E-7</v>
      </c>
      <c r="E37" s="15">
        <f t="shared" si="17"/>
        <v>5.7610373830760254E-7</v>
      </c>
      <c r="F37" s="16">
        <f t="shared" si="18"/>
        <v>2.8805186915380127E-8</v>
      </c>
      <c r="G37" s="18">
        <f t="shared" si="19"/>
        <v>133.27529468379126</v>
      </c>
      <c r="H37" s="17">
        <f t="shared" si="20"/>
        <v>533101.17873516504</v>
      </c>
      <c r="I37" s="18">
        <f t="shared" si="21"/>
        <v>34.415926024210549</v>
      </c>
      <c r="J37" s="18">
        <f t="shared" si="22"/>
        <v>2.9056315360991031E-2</v>
      </c>
      <c r="K37" s="18">
        <f t="shared" si="23"/>
        <v>1.9909502262443439</v>
      </c>
      <c r="L37" s="19">
        <f t="shared" si="24"/>
        <v>97.955651879624199</v>
      </c>
      <c r="M37" s="19">
        <f t="shared" si="25"/>
        <v>100</v>
      </c>
    </row>
    <row r="38" spans="1:13" x14ac:dyDescent="0.2">
      <c r="A38" s="13">
        <v>4.8000000000000001E-5</v>
      </c>
      <c r="B38" s="11">
        <f t="shared" si="26"/>
        <v>733</v>
      </c>
      <c r="C38" s="15">
        <f t="shared" si="15"/>
        <v>2.7229840588215766E-4</v>
      </c>
      <c r="D38" s="15">
        <f t="shared" si="16"/>
        <v>5.9388300823906872E-7</v>
      </c>
      <c r="E38" s="15">
        <f t="shared" si="17"/>
        <v>5.9259056780805041E-7</v>
      </c>
      <c r="F38" s="16">
        <f t="shared" si="18"/>
        <v>2.9629528390402521E-8</v>
      </c>
      <c r="G38" s="18">
        <f t="shared" si="19"/>
        <v>415.2917008952162</v>
      </c>
      <c r="H38" s="17">
        <f t="shared" si="20"/>
        <v>1661166.8035808648</v>
      </c>
      <c r="I38" s="18">
        <f t="shared" si="21"/>
        <v>59.901022994200979</v>
      </c>
      <c r="J38" s="18">
        <f t="shared" si="22"/>
        <v>1.6694205708253265E-2</v>
      </c>
      <c r="K38" s="18">
        <f t="shared" si="23"/>
        <v>2.105867988220929</v>
      </c>
      <c r="L38" s="19">
        <f t="shared" si="24"/>
        <v>99.861827859326823</v>
      </c>
      <c r="M38" s="19">
        <f t="shared" si="25"/>
        <v>100</v>
      </c>
    </row>
    <row r="39" spans="1:13" x14ac:dyDescent="0.2">
      <c r="K39" s="5"/>
    </row>
    <row r="42" spans="1:13" x14ac:dyDescent="0.2">
      <c r="A42" s="2"/>
    </row>
    <row r="255" spans="68:68" x14ac:dyDescent="0.2">
      <c r="BP255" t="s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Microsoft Office User</cp:lastModifiedBy>
  <dcterms:created xsi:type="dcterms:W3CDTF">2018-03-26T20:00:35Z</dcterms:created>
  <dcterms:modified xsi:type="dcterms:W3CDTF">2020-03-31T19:48:03Z</dcterms:modified>
</cp:coreProperties>
</file>